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跑团文档&amp;杂物\新建文件夹\闪7\CrazyFlashNight\data\items\"/>
    </mc:Choice>
  </mc:AlternateContent>
  <xr:revisionPtr revIDLastSave="0" documentId="13_ncr:1_{F7600882-4552-4B2A-AEFC-BF9113D74067}" xr6:coauthVersionLast="47" xr6:coauthVersionMax="47" xr10:uidLastSave="{00000000-0000-0000-0000-000000000000}"/>
  <bookViews>
    <workbookView xWindow="-108" yWindow="-108" windowWidth="23256" windowHeight="1272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9" l="1"/>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M6" i="13"/>
  <c r="M4" i="13"/>
  <c r="M5" i="13"/>
  <c r="M3" i="13"/>
  <c r="L14" i="13"/>
  <c r="L15" i="13"/>
  <c r="L22" i="13"/>
  <c r="L19" i="13"/>
  <c r="O32" i="13"/>
  <c r="K13" i="3"/>
  <c r="K12" i="3"/>
  <c r="P10" i="10" l="1"/>
  <c r="O30" i="13"/>
  <c r="O31" i="13"/>
  <c r="O27" i="13"/>
  <c r="O28" i="13"/>
  <c r="O29" i="13"/>
  <c r="O5" i="9"/>
  <c r="O6" i="9"/>
  <c r="O7" i="9"/>
  <c r="O8" i="9"/>
  <c r="O9" i="9"/>
  <c r="O10" i="9"/>
  <c r="O11" i="9"/>
  <c r="O12" i="9"/>
  <c r="O13" i="9"/>
  <c r="O14" i="9"/>
  <c r="O15" i="9"/>
  <c r="O16" i="9"/>
  <c r="O4" i="9"/>
  <c r="S5" i="9"/>
  <c r="S4" i="9"/>
  <c r="R5" i="9"/>
  <c r="R6" i="9"/>
  <c r="R7" i="9"/>
  <c r="R8" i="9"/>
  <c r="R9" i="9"/>
  <c r="R10" i="9"/>
  <c r="R11" i="9"/>
  <c r="R12" i="9"/>
  <c r="R13" i="9"/>
  <c r="R14" i="9"/>
  <c r="R15" i="9"/>
  <c r="R16" i="9"/>
  <c r="R4" i="9"/>
  <c r="P5" i="9"/>
  <c r="P6" i="9"/>
  <c r="P7" i="9"/>
  <c r="P8" i="9"/>
  <c r="P9" i="9"/>
  <c r="P10" i="9"/>
  <c r="P11" i="9"/>
  <c r="P12" i="9"/>
  <c r="P13" i="9"/>
  <c r="P14" i="9"/>
  <c r="P15" i="9"/>
  <c r="P16" i="9"/>
  <c r="P4" i="9"/>
  <c r="L5" i="9"/>
  <c r="L6" i="9"/>
  <c r="L7" i="9"/>
  <c r="L8" i="9"/>
  <c r="L9" i="9"/>
  <c r="L10" i="9"/>
  <c r="L11" i="9"/>
  <c r="L12" i="9"/>
  <c r="L13" i="9"/>
  <c r="L14" i="9"/>
  <c r="L15" i="9"/>
  <c r="L4" i="9"/>
  <c r="N5" i="9" s="1"/>
  <c r="K5" i="9"/>
  <c r="K6" i="9"/>
  <c r="K7" i="9"/>
  <c r="K8" i="9"/>
  <c r="K9" i="9"/>
  <c r="K10" i="9"/>
  <c r="K11" i="9"/>
  <c r="K12" i="9"/>
  <c r="K13" i="9"/>
  <c r="K14" i="9"/>
  <c r="K15" i="9"/>
  <c r="K4" i="9"/>
  <c r="M5" i="9" s="1"/>
  <c r="AD3" i="12"/>
  <c r="AD4" i="12"/>
  <c r="AD5" i="12"/>
  <c r="AD6" i="12"/>
  <c r="AD7" i="12"/>
  <c r="AD8" i="12"/>
  <c r="AD10" i="12"/>
  <c r="AD11" i="12"/>
  <c r="AD12" i="12"/>
  <c r="AD13" i="12"/>
  <c r="AD14" i="12"/>
  <c r="AD15" i="12"/>
  <c r="AE4" i="12"/>
  <c r="AF4" i="12" s="1"/>
  <c r="AE5" i="12"/>
  <c r="AF5" i="12" s="1"/>
  <c r="AE6" i="12"/>
  <c r="AF6" i="12" s="1"/>
  <c r="AE7" i="12"/>
  <c r="AF7" i="12" s="1"/>
  <c r="AE8" i="12"/>
  <c r="AF8" i="12" s="1"/>
  <c r="AE10" i="12"/>
  <c r="AF10" i="12" s="1"/>
  <c r="AE11" i="12"/>
  <c r="AF11" i="12" s="1"/>
  <c r="AE12" i="12"/>
  <c r="AF12" i="12" s="1"/>
  <c r="AE13" i="12"/>
  <c r="AF13" i="12" s="1"/>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T6" i="9" l="1"/>
  <c r="Q7" i="9"/>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J16" i="2"/>
  <c r="J4" i="2"/>
  <c r="J3" i="2"/>
  <c r="J16" i="5"/>
  <c r="K17" i="5"/>
  <c r="K18" i="5"/>
  <c r="K19" i="5"/>
  <c r="K16" i="5"/>
  <c r="J17" i="5"/>
  <c r="J18" i="5"/>
  <c r="J19" i="5"/>
  <c r="K6" i="5"/>
  <c r="K7" i="5"/>
  <c r="K8" i="5"/>
  <c r="K5" i="5"/>
  <c r="J6" i="5"/>
  <c r="J7" i="5"/>
  <c r="N7" i="5" s="1"/>
  <c r="J8" i="5"/>
  <c r="J5" i="5"/>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P3" i="11" s="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D39" i="7"/>
  <c r="AF39" i="7" s="1"/>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AG16" i="7" s="1"/>
  <c r="S57" i="7"/>
  <c r="U57" i="7" s="1"/>
  <c r="S29" i="7"/>
  <c r="U29" i="7" s="1"/>
  <c r="S30" i="7"/>
  <c r="U30" i="7" s="1"/>
  <c r="S31" i="7"/>
  <c r="U31" i="7" s="1"/>
  <c r="S32" i="7"/>
  <c r="U32" i="7" s="1"/>
  <c r="S33" i="7"/>
  <c r="U33" i="7" s="1"/>
  <c r="S34" i="7"/>
  <c r="U34" i="7" s="1"/>
  <c r="S35" i="7"/>
  <c r="U35" i="7" s="1"/>
  <c r="S36" i="7"/>
  <c r="U36" i="7" s="1"/>
  <c r="W36" i="7" s="1"/>
  <c r="S37" i="7"/>
  <c r="U37" i="7" s="1"/>
  <c r="S38" i="7"/>
  <c r="U38" i="7" s="1"/>
  <c r="S39" i="7"/>
  <c r="U39" i="7" s="1"/>
  <c r="V9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W57" i="7" s="1"/>
  <c r="S58" i="7"/>
  <c r="U58" i="7" s="1"/>
  <c r="S59" i="7"/>
  <c r="S60" i="7"/>
  <c r="S61" i="7"/>
  <c r="S62" i="7"/>
  <c r="U62" i="7" s="1"/>
  <c r="S63" i="7"/>
  <c r="U63" i="7" s="1"/>
  <c r="S64" i="7"/>
  <c r="S65" i="7"/>
  <c r="U65" i="7" s="1"/>
  <c r="S66" i="7"/>
  <c r="U66" i="7" s="1"/>
  <c r="W66" i="7" s="1"/>
  <c r="S67" i="7"/>
  <c r="S68" i="7"/>
  <c r="S69" i="7"/>
  <c r="S70" i="7"/>
  <c r="U70" i="7" s="1"/>
  <c r="S71" i="7"/>
  <c r="U71" i="7" s="1"/>
  <c r="S72" i="7"/>
  <c r="U72" i="7" s="1"/>
  <c r="S73" i="7"/>
  <c r="U73" i="7" s="1"/>
  <c r="S74" i="7"/>
  <c r="U74" i="7" s="1"/>
  <c r="S75" i="7"/>
  <c r="U75" i="7" s="1"/>
  <c r="S76" i="7"/>
  <c r="U76" i="7" s="1"/>
  <c r="W76" i="7" s="1"/>
  <c r="S77" i="7"/>
  <c r="U77" i="7" s="1"/>
  <c r="S78" i="7"/>
  <c r="U78" i="7" s="1"/>
  <c r="S79" i="7"/>
  <c r="S80" i="7"/>
  <c r="S81" i="7"/>
  <c r="U81" i="7" s="1"/>
  <c r="S82" i="7"/>
  <c r="S83" i="7"/>
  <c r="S84" i="7"/>
  <c r="S85" i="7"/>
  <c r="S86" i="7"/>
  <c r="U86" i="7" s="1"/>
  <c r="S87" i="7"/>
  <c r="U87" i="7" s="1"/>
  <c r="S88" i="7"/>
  <c r="S89" i="7"/>
  <c r="U89" i="7" s="1"/>
  <c r="S90" i="7"/>
  <c r="S91" i="7"/>
  <c r="S92" i="7"/>
  <c r="S93" i="7"/>
  <c r="S94" i="7"/>
  <c r="U94" i="7" s="1"/>
  <c r="S95" i="7"/>
  <c r="U95" i="7" s="1"/>
  <c r="S96" i="7"/>
  <c r="U96" i="7" s="1"/>
  <c r="S97" i="7"/>
  <c r="U97" i="7" s="1"/>
  <c r="S98" i="7"/>
  <c r="U98" i="7" s="1"/>
  <c r="S99" i="7"/>
  <c r="S100" i="7"/>
  <c r="S101" i="7"/>
  <c r="S102" i="7"/>
  <c r="U102" i="7" s="1"/>
  <c r="S103" i="7"/>
  <c r="U103" i="7" s="1"/>
  <c r="S104" i="7"/>
  <c r="U104" i="7" s="1"/>
  <c r="S105" i="7"/>
  <c r="U105" i="7" s="1"/>
  <c r="S106" i="7"/>
  <c r="U106" i="7" s="1"/>
  <c r="S107" i="7"/>
  <c r="S10" i="7"/>
  <c r="U10" i="7" s="1"/>
  <c r="S11" i="7"/>
  <c r="U11" i="7" s="1"/>
  <c r="S12" i="7"/>
  <c r="U12" i="7" s="1"/>
  <c r="S13" i="7"/>
  <c r="U13" i="7" s="1"/>
  <c r="S14" i="7"/>
  <c r="U14" i="7" s="1"/>
  <c r="S15" i="7"/>
  <c r="U15" i="7" s="1"/>
  <c r="S16" i="7"/>
  <c r="U16" i="7" s="1"/>
  <c r="W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V36"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W26" i="7" s="1"/>
  <c r="U43" i="7"/>
  <c r="V101" i="7" s="1"/>
  <c r="U44" i="7"/>
  <c r="U64" i="7"/>
  <c r="U82" i="7"/>
  <c r="U83" i="7"/>
  <c r="U84" i="7"/>
  <c r="U59" i="7"/>
  <c r="U60" i="7"/>
  <c r="U61" i="7"/>
  <c r="U67" i="7"/>
  <c r="U68" i="7"/>
  <c r="U69" i="7"/>
  <c r="U79" i="7"/>
  <c r="U80" i="7"/>
  <c r="U85" i="7"/>
  <c r="U88" i="7"/>
  <c r="U90" i="7"/>
  <c r="U91" i="7"/>
  <c r="U92" i="7"/>
  <c r="U93" i="7"/>
  <c r="U99" i="7"/>
  <c r="U100" i="7"/>
  <c r="U101" i="7"/>
  <c r="F40" i="8"/>
  <c r="M40" i="8" s="1"/>
  <c r="F39" i="8"/>
  <c r="M39" i="8" s="1"/>
  <c r="N39" i="8" s="1"/>
  <c r="C35" i="8"/>
  <c r="F35" i="8"/>
  <c r="G35" i="8" s="1"/>
  <c r="F32" i="8"/>
  <c r="H32" i="8" s="1"/>
  <c r="K32" i="8" s="1"/>
  <c r="F31" i="8"/>
  <c r="H31" i="8" s="1"/>
  <c r="K31" i="8" s="1"/>
  <c r="O31" i="8" s="1"/>
  <c r="C29" i="8"/>
  <c r="F29" i="8"/>
  <c r="G29" i="8" s="1"/>
  <c r="F26" i="8"/>
  <c r="M26" i="8" s="1"/>
  <c r="F28" i="8"/>
  <c r="M28" i="8" s="1"/>
  <c r="F27" i="8"/>
  <c r="H27" i="8" s="1"/>
  <c r="K27" i="8" s="1"/>
  <c r="O27" i="8" s="1"/>
  <c r="F25" i="8"/>
  <c r="H25" i="8" s="1"/>
  <c r="K25" i="8" s="1"/>
  <c r="O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O8" i="8" s="1"/>
  <c r="F9" i="8"/>
  <c r="H9" i="8" s="1"/>
  <c r="K9" i="8" s="1"/>
  <c r="O9" i="8" s="1"/>
  <c r="F6" i="8"/>
  <c r="H6" i="8" s="1"/>
  <c r="K6" i="8" s="1"/>
  <c r="O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7" i="7"/>
  <c r="S108" i="7"/>
  <c r="O10" i="6"/>
  <c r="Q27" i="6" s="1"/>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68" i="6" s="1"/>
  <c r="F17" i="6"/>
  <c r="F16" i="6"/>
  <c r="F15" i="6"/>
  <c r="F14" i="6"/>
  <c r="F13" i="6"/>
  <c r="F12" i="6"/>
  <c r="F11" i="6"/>
  <c r="F10" i="6"/>
  <c r="F9" i="6"/>
  <c r="F8" i="6"/>
  <c r="K5" i="3"/>
  <c r="K4" i="3"/>
  <c r="K3" i="3"/>
  <c r="L21" i="4"/>
  <c r="L22" i="4"/>
  <c r="L20" i="4"/>
  <c r="L3" i="4"/>
  <c r="L4" i="4"/>
  <c r="L5" i="4"/>
  <c r="V98" i="7" l="1"/>
  <c r="V91" i="7"/>
  <c r="V88" i="7"/>
  <c r="V103" i="7"/>
  <c r="V95" i="7"/>
  <c r="V87" i="7"/>
  <c r="V104" i="7"/>
  <c r="V96" i="7"/>
  <c r="V93" i="7"/>
  <c r="V100" i="7"/>
  <c r="V46" i="7"/>
  <c r="V106" i="7"/>
  <c r="V90" i="7"/>
  <c r="M25" i="8"/>
  <c r="N26" i="8" s="1"/>
  <c r="V16" i="7"/>
  <c r="V105" i="7"/>
  <c r="V97" i="7"/>
  <c r="V89" i="7"/>
  <c r="V102" i="7"/>
  <c r="V94" i="7"/>
  <c r="V76" i="7"/>
  <c r="V66" i="7"/>
  <c r="AG26" i="7"/>
  <c r="V86" i="7"/>
  <c r="P5" i="1"/>
  <c r="V56" i="7"/>
  <c r="H59" i="6"/>
  <c r="V92" i="7"/>
  <c r="M111" i="7"/>
  <c r="O32" i="8"/>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O40" i="8" s="1"/>
  <c r="H39" i="8"/>
  <c r="K39" i="8" s="1"/>
  <c r="O39" i="8" s="1"/>
  <c r="G39" i="8"/>
  <c r="M35" i="8"/>
  <c r="H35" i="8"/>
  <c r="K35" i="8" s="1"/>
  <c r="O35" i="8" s="1"/>
  <c r="G32" i="8"/>
  <c r="G31" i="8"/>
  <c r="M29" i="8"/>
  <c r="N29" i="8" s="1"/>
  <c r="H29" i="8"/>
  <c r="K29" i="8" s="1"/>
  <c r="O29" i="8" s="1"/>
  <c r="G26" i="8"/>
  <c r="H26" i="8"/>
  <c r="K26" i="8" s="1"/>
  <c r="O26" i="8" s="1"/>
  <c r="G28" i="8"/>
  <c r="H28" i="8"/>
  <c r="K28" i="8" s="1"/>
  <c r="O28" i="8" s="1"/>
  <c r="M27" i="8"/>
  <c r="N28" i="8" s="1"/>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O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A12" i="12" s="1"/>
  <c r="AC12" i="12" s="1"/>
  <c r="Q15" i="12"/>
  <c r="AN15" i="12"/>
  <c r="AL11" i="12"/>
  <c r="AA11" i="12" s="1"/>
  <c r="AC11" i="12" s="1"/>
  <c r="Q11" i="12"/>
  <c r="AN11" i="12"/>
  <c r="Q5" i="12"/>
  <c r="AL4" i="12"/>
  <c r="AA4" i="12" s="1"/>
  <c r="AC4" i="12" s="1"/>
  <c r="AL5" i="12"/>
  <c r="AA5" i="12" s="1"/>
  <c r="AC5" i="12" s="1"/>
  <c r="AL10" i="12"/>
  <c r="AA10" i="12" s="1"/>
  <c r="AC10" i="12" s="1"/>
  <c r="Q10" i="12"/>
  <c r="AL14" i="12"/>
  <c r="AA14" i="12" s="1"/>
  <c r="AC14" i="12" s="1"/>
  <c r="Q6" i="12"/>
  <c r="AL6" i="12"/>
  <c r="AA6" i="12" s="1"/>
  <c r="AC6" i="12" s="1"/>
  <c r="AL3" i="12"/>
  <c r="AA3" i="12" s="1"/>
  <c r="AC3" i="12" s="1"/>
  <c r="Q13" i="12"/>
  <c r="AL13" i="12"/>
  <c r="AA13" i="12" s="1"/>
  <c r="AC13" i="12" s="1"/>
  <c r="AL15" i="12"/>
  <c r="AA15" i="12" s="1"/>
  <c r="AC15" i="12" s="1"/>
  <c r="AL7" i="12"/>
  <c r="AA7" i="12" s="1"/>
  <c r="AC7" i="12" s="1"/>
  <c r="AL8" i="12"/>
  <c r="AA8" i="12" s="1"/>
  <c r="AC8" i="12" s="1"/>
  <c r="Q3" i="12"/>
  <c r="Q7" i="12"/>
  <c r="Q8" i="12"/>
  <c r="Q14" i="12"/>
  <c r="Q12" i="12"/>
  <c r="Q4" i="12"/>
  <c r="O17" i="8"/>
  <c r="L19" i="8"/>
  <c r="L22" i="8"/>
  <c r="O21" i="8"/>
  <c r="L21" i="8"/>
  <c r="O18" i="8"/>
  <c r="L18" i="8"/>
  <c r="K46" i="8"/>
  <c r="O43" i="8"/>
  <c r="V5" i="12" l="1"/>
  <c r="V3" i="12"/>
  <c r="V10" i="12"/>
  <c r="V13" i="12"/>
  <c r="V14" i="12"/>
  <c r="V12" i="12"/>
  <c r="V15" i="12"/>
  <c r="V4" i="12"/>
  <c r="V8"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<sst xmlns="http://schemas.openxmlformats.org/spreadsheetml/2006/main" count="795" uniqueCount="522">
  <si>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</si>
  <si>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</si>
  <si>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</si>
  <si>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</si>
  <si>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</si>
  <si>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</si>
  <si>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</si>
  <si>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</si>
  <si>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</si>
  <si>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</si>
  <si>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</si>
  <si>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</si>
  <si>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</si>
  <si>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</si>
  <si>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</si>
  <si>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</si>
  <si>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</si>
  <si>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</si>
  <si>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</si>
  <si>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</si>
  <si>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</si>
  <si>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</si>
  <si>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</si>
  <si>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</si>
  <si>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</si>
  <si>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</si>
  <si>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</si>
  <si>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</si>
  <si>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</si>
  <si>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</si>
  <si>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</si>
  <si>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</si>
  <si>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</si>
  <si>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</si>
  <si>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</si>
  <si>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</si>
  <si>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</si>
  <si>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锋利度</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</si>
  <si>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</si>
  <si>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</si>
  <si>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</si>
  <si>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</si>
  <si>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</si>
  <si>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</si>
  <si>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</si>
  <si>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</si>
  <si>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</si>
  <si>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</si>
  <si>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</si>
  <si>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</si>
  <si>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</si>
  <si>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</si>
  <si>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</si>
  <si>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</si>
  <si>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</si>
  <si>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</si>
  <si>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</si>
  <si>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</si>
  <si>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</si>
  <si>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</si>
  <si>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</si>
  <si>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</si>
  <si>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</si>
  <si>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</si>
  <si>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</si>
  <si>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</si>
  <si>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</si>
  <si>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</si>
  <si>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</si>
  <si>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</si>
  <si>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</si>
  <si>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</si>
  <si>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</si>
  <si>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</si>
  <si>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</si>
  <si>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</si>
  <si>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</si>
  <si>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</si>
  <si>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</si>
  <si>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</si>
  <si>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</si>
  <si>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</si>
  <si>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</si>
  <si>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</si>
  <si>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</si>
  <si>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</si>
  <si>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</si>
  <si>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</si>
  <si>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</si>
  <si>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</si>
  <si>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</si>
  <si>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</si>
  <si>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</si>
  <si>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</si>
  <si>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</si>
  <si>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</si>
  <si>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</si>
  <si>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</si>
  <si>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</si>
  <si>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</si>
  <si>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</si>
  <si>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</si>
  <si>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</si>
  <si>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</si>
  <si>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</si>
  <si>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</si>
  <si>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</si>
  <si>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</si>
  <si>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</si>
  <si>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</si>
  <si>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</si>
  <si>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</si>
  <si>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</si>
  <si>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</si>
  <si>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</si>
  <si>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</si>
  <si>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</si>
  <si>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</si>
  <si>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</si>
  <si>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</si>
  <si>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</si>
  <si>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</si>
  <si>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</si>
  <si>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</si>
  <si>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</si>
  <si>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</si>
  <si>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</si>
  <si>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</si>
  <si>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</si>
  <si>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</si>
  <si>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</si>
  <si>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</si>
  <si>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</si>
  <si>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</si>
  <si>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</si>
  <si>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</si>
  <si>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</si>
  <si>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</si>
  <si>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</si>
  <si>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</si>
  <si>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</si>
  <si>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</si>
  <si>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</si>
  <si>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</si>
  <si>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</si>
  <si>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</si>
  <si>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</si>
  <si>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</si>
  <si>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</si>
  <si>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</si>
  <si>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</si>
  <si>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</si>
  <si>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</si>
  <si>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</si>
  <si>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</si>
  <si>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</si>
  <si>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</si>
  <si>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</si>
  <si>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</si>
  <si>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</si>
  <si>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</si>
  <si>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</si>
  <si>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</si>
  <si>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</si>
  <si>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</si>
  <si>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</si>
  <si>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种类系数：有主动战技/特效的可为1.5，效果极其强力时为2</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</si>
  <si>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</si>
  <si>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</si>
  <si>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</si>
  <si>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</si>
  <si>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</si>
  <si>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</si>
  <si>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</si>
  <si>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</si>
  <si>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</si>
  <si>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</si>
  <si>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</si>
  <si>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</si>
  <si>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</si>
  <si>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</si>
  <si>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</si>
  <si>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</si>
  <si>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</si>
  <si>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</si>
  <si>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</si>
  <si>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</si>
  <si>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</si>
  <si>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</si>
  <si>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</si>
  <si>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</si>
  <si>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</si>
  <si>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</si>
  <si>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</si>
  <si>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</si>
  <si>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</si>
  <si>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</si>
  <si>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</si>
  <si>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</si>
  <si>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</si>
  <si>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</si>
  <si>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</si>
  <si>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</si>
  <si>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</si>
  <si>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</si>
  <si>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</si>
  <si>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</si>
  <si>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</si>
  <si>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</si>
  <si>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</si>
  <si>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</si>
  <si>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</si>
  <si>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</si>
  <si>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</si>
  <si>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</si>
  <si>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</si>
  <si>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</si>
  <si>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</si>
  <si>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</si>
  <si>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</si>
  <si>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</si>
  <si>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</si>
  <si>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</si>
  <si>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</si>
  <si>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</si>
  <si>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</si>
  <si>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</si>
  <si>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</si>
  <si>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</si>
  <si>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</si>
  <si>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</si>
  <si>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</si>
  <si>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</si>
  <si>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</si>
  <si>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</si>
  <si>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</si>
  <si>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</si>
  <si>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</si>
  <si>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</si>
  <si>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</si>
  <si>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</si>
  <si>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</si>
  <si>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</si>
  <si>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</si>
  <si>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</si>
  <si>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</si>
  <si>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</si>
  <si>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</si>
  <si>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</si>
  <si>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</si>
  <si>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</si>
  <si>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</si>
  <si>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</si>
  <si>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</si>
  <si>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</si>
  <si>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</si>
  <si>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</si>
  <si>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</si>
  <si>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</si>
  <si>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</si>
  <si>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</si>
  <si>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</si>
  <si>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只有免费获取途径的装备，或免费获取途径早于可购买时的装备，均填-1层。</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</si>
  <si>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</si>
  <si>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</si>
  <si>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</si>
  <si>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</si>
  <si>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</si>
  <si>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</si>
  <si>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</si>
  <si>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</si>
  <si>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</si>
  <si>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</si>
  <si>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</si>
  <si>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</si>
  <si>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</si>
  <si>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</si>
  <si>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</si>
  <si>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</si>
  <si>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</si>
  <si>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喷火的穿刺系数为1.5，狙击枪穿刺系数为1.5，普通穿刺为2，非穿刺为1（其他拥有穿刺效果根据单体段数数量填入穿刺系数，段数较多时可填3或更高的穿刺系数）。</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</si>
  <si>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</si>
  <si>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</si>
  <si>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</si>
  <si>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</si>
  <si>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</si>
  <si>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</si>
  <si>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</si>
  <si>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</si>
  <si>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</si>
  <si>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</si>
  <si>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</si>
  <si>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</si>
  <si>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</si>
  <si>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</si>
  <si>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</si>
  <si>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</si>
  <si>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</si>
  <si>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</si>
  <si>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</si>
  <si>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</si>
  <si>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</si>
  <si>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</si>
  <si>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</si>
  <si>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</si>
  <si>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</si>
  <si>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</si>
  <si>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</si>
  <si>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</si>
  <si>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</si>
  <si>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</si>
  <si>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</si>
  <si>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</si>
  <si>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</si>
  <si>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</si>
  <si>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</si>
  <si>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短刀为0.5，常规刀为1，长武器为1.5，特效+0.5（强力特效则+1），战技+0.5（强力战技则+1）。</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</si>
  <si>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</si>
  <si>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</si>
  <si>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</si>
  <si>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重机枪为1.5，喷火器类为1.5，散弹枪为1.5，轰炸类为1.5，穿刺类为2。只掉落、无法金币或k点购买的武器为0.5，非购买途径明显早于购买途径的物品也为0.5。</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</si>
  <si>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</si>
  <si>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</si>
  <si>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</si>
  <si>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</si>
  <si>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</si>
  <si>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</si>
  <si>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</si>
  <si>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</si>
  <si>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</si>
  <si>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面板转换的基本计算公式暂定为1攻=1.5防=3hp=3mp，1重量=3.3攻=5防=10hp=10mp，1攻=0.8空手加成=1伤害加成。以此为依据可进行面板转换。</t>
    <phoneticPr fontId="1" type="noConversion"/>
  </si>
  <si>
    <t>超前武器需要减少一层加权，可减为负数。限制等级低于30级的穿刺武器、低于40级的属性伤害武器均视为超前武器。</t>
    <phoneticPr fontId="1" type="noConversion"/>
  </si>
  <si>
    <t>限制等级低于40级的属性伤害武器视为超前武器，需减少一层加权等级，可减到负数。</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</si>
  <si>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</si>
  <si>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</si>
  <si>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</si>
  <si>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</si>
  <si>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</si>
  <si>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</si>
  <si>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</si>
  <si>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</si>
  <si>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</si>
  <si>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</si>
  <si>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</si>
  <si>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</si>
  <si>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</si>
  <si>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</si>
  <si>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</si>
  <si>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</si>
  <si>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</si>
  <si>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</si>
  <si>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</si>
  <si>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</si>
  <si>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</si>
  <si>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</si>
  <si>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</si>
  <si>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</si>
  <si>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</si>
  <si>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</si>
  <si>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</si>
  <si>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</si>
  <si>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</si>
  <si>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</si>
  <si>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</si>
  <si>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</si>
  <si>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</si>
  <si>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</si>
  <si>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</si>
  <si>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</si>
  <si>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</si>
  <si>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</si>
  <si>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</si>
  <si>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</si>
  <si>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</si>
  <si>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</si>
  <si>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</si>
  <si>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</si>
  <si>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</si>
  <si>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</si>
  <si>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</si>
  <si>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</si>
  <si>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</si>
  <si>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</si>
  <si>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</si>
  <si>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</si>
  <si>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</si>
  <si>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</si>
  <si>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</si>
  <si>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</si>
  <si>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</si>
  <si>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</si>
  <si>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</si>
  <si>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</si>
  <si>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</si>
  <si>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</si>
  <si>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</si>
  <si>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</si>
  <si>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</si>
  <si>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</si>
  <si>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</si>
  <si>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</si>
  <si>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</si>
  <si>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</si>
  <si>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</si>
  <si>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</si>
  <si>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</si>
  <si>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</si>
  <si>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</si>
  <si>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</si>
  <si>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</si>
  <si>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</si>
  <si>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</si>
  <si>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</si>
  <si>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</si>
  <si>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</si>
  <si>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</si>
  <si>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</si>
  <si>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</si>
  <si>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</si>
  <si>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</si>
  <si>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</si>
  <si>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</si>
  <si>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</si>
  <si>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</si>
  <si>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</si>
  <si>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</si>
  <si>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</si>
  <si>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</si>
  <si>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</si>
  <si>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</si>
  <si>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</si>
  <si>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</si>
  <si>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</si>
  <si>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</si>
  <si>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</si>
  <si>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</si>
  <si>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</si>
  <si>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</si>
  <si>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</si>
  <si>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</si>
  <si>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</si>
  <si>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</si>
  <si>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</si>
  <si>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</si>
  <si>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</si>
  <si>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</si>
  <si>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</si>
  <si>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</si>
  <si>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</si>
  <si>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</si>
  <si>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</si>
  <si>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</si>
  <si>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</si>
  <si>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</si>
  <si>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</si>
  <si>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</si>
  <si>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</si>
  <si>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</si>
  <si>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</si>
  <si>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</si>
  <si>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</si>
  <si>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</si>
  <si>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</si>
  <si>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</si>
  <si>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</si>
  <si>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</si>
  <si>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</si>
  <si>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</si>
  <si>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</si>
  <si>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</si>
  <si>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</si>
  <si>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</si>
  <si>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</si>
  <si>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</si>
  <si>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</si>
  <si>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</si>
  <si>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</si>
  <si>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</si>
  <si>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</si>
  <si>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</si>
  <si>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</si>
  <si>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</si>
  <si>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</si>
  <si>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</si>
  <si>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</si>
  <si>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</si>
  <si>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</si>
  <si>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</si>
  <si>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</si>
  <si>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</si>
  <si>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</si>
  <si>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</si>
  <si>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机枪的弹容量种族优势可额外换2-4层级，对应种族价格系数，可叠加武器价格层级。穿刺枪的种族优势为群攻，散弹的种族优势为吃拐率，不反映在面板上，所以无额外加权层级。</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</si>
  <si>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</si>
  <si>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</si>
  <si>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</si>
  <si>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</si>
  <si>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韧性系数</t>
    <phoneticPr fontId="1" type="noConversion"/>
  </si>
  <si>
    <t>阶段、档次系数、韧性系数参考下方表格。阶段和档次系数将决定整体数值大致水平。对于拥有暖机、强力buff、多阶段等显著影响面板的特殊机制单位可能不适用。</t>
    <phoneticPr fontId="1" type="noConversion"/>
  </si>
  <si>
    <t>韧性系数</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</si>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</sst>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1">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2"/>
  <sheetViews>
    <sheetView tabSelected="1" zoomScaleNormal="100" workbookViewId="0">
      <selection activeCell="F6" sqref="F6"/>
    </sheetView>
  </sheetViews>
  <sheetFormatPr defaultRowHeight="13.8" x14ac:dyDescent="0.25"/>
  <cols>
    <col min="1" max="1" width="17.44140625" customWidth="1"/>
    <col min="2" max="2" width="13.109375" customWidth="1"/>
    <col min="3" max="3" width="15.109375" customWidth="1"/>
    <col min="4" max="4" width="8" customWidth="1"/>
    <col min="5" max="5" width="8.109375" customWidth="1"/>
    <col min="6" max="6" width="8.77734375" customWidth="1"/>
    <col min="7" max="7" width="8.109375" customWidth="1"/>
    <col min="8" max="10" width="7.77734375" customWidth="1"/>
    <col min="11" max="11" width="7.6640625" customWidth="1"/>
    <col min="12" max="12" width="12.109375" customWidth="1"/>
    <col min="13" max="13" width="7.5546875" customWidth="1"/>
    <col min="14" max="14" width="6.77734375" customWidth="1"/>
    <col min="15" max="15" width="12.109375" customWidth="1"/>
    <col min="20" max="20" width="12.109375" customWidth="1"/>
    <col min="21" max="21" width="12.44140625" customWidth="1"/>
    <col min="23" max="23" width="9.6640625" customWidth="1"/>
    <col min="24" max="25" width="11.109375" customWidth="1"/>
    <col min="26" max="26" width="7.33203125" customWidth="1"/>
    <col min="27" max="27" width="10.77734375" customWidth="1"/>
    <col min="28" max="28" width="7.6640625" customWidth="1"/>
    <col min="29" max="29" width="10.77734375" customWidth="1"/>
    <col min="30" max="30" width="8.109375" customWidth="1"/>
    <col min="31" max="31" width="6.5546875" customWidth="1"/>
    <col min="32" max="32" width="7.77734375" customWidth="1"/>
    <col min="33" max="33" width="10.77734375" customWidth="1"/>
    <col min="34" max="35" width="8.109375" customWidth="1"/>
    <col min="36" max="36" width="4.5546875" customWidth="1"/>
    <col min="37" max="37" width="9.77734375" customWidth="1"/>
    <col min="38" max="38" width="11.44140625" customWidth="1"/>
    <col min="39" max="39" width="9.44140625" customWidth="1"/>
    <col min="40" max="40" width="7.109375" customWidth="1"/>
    <col min="41" max="41" width="11.33203125" customWidth="1"/>
  </cols>
  <sheetData>
    <row r="1" spans="1:41" x14ac:dyDescent="0.25">
      <c r="A1" t="s">
        <v>266</v>
      </c>
      <c r="D1" t="s">
        <v>46</v>
      </c>
      <c r="E1" t="s">
        <v>43</v>
      </c>
      <c r="F1" t="s">
        <v>44</v>
      </c>
      <c r="G1" t="s">
        <v>45</v>
      </c>
      <c r="I1" t="s">
        <v>299</v>
      </c>
      <c r="L1" t="s">
        <v>273</v>
      </c>
      <c r="M1" t="s">
        <v>42</v>
      </c>
      <c r="N1" t="s">
        <v>297</v>
      </c>
      <c r="O1" t="s">
        <v>165</v>
      </c>
      <c r="Q1" s="1" t="s">
        <v>376</v>
      </c>
      <c r="V1" t="s">
        <v>310</v>
      </c>
    </row>
    <row r="2" spans="1:41" x14ac:dyDescent="0.25">
      <c r="A2" t="s">
        <v>311</v>
      </c>
      <c r="B2" s="10" t="s">
        <v>282</v>
      </c>
      <c r="C2" s="10" t="s">
        <v>50</v>
      </c>
      <c r="D2" s="8" t="s">
        <v>14</v>
      </c>
      <c r="E2" s="8" t="s">
        <v>1</v>
      </c>
      <c r="F2" s="8" t="s">
        <v>2</v>
      </c>
      <c r="G2" s="8" t="s">
        <v>3</v>
      </c>
      <c r="H2" s="8" t="s">
        <v>10</v>
      </c>
      <c r="I2" s="8" t="s">
        <v>170</v>
      </c>
      <c r="J2" s="9" t="s">
        <v>6</v>
      </c>
      <c r="K2" s="9" t="s">
        <v>4</v>
      </c>
      <c r="L2" s="9" t="s">
        <v>272</v>
      </c>
      <c r="M2" s="8" t="s">
        <v>162</v>
      </c>
      <c r="N2" s="8" t="s">
        <v>296</v>
      </c>
      <c r="O2" s="8" t="s">
        <v>12</v>
      </c>
      <c r="P2" s="11" t="s">
        <v>221</v>
      </c>
      <c r="Q2" s="14" t="s">
        <v>291</v>
      </c>
      <c r="R2" s="11" t="s">
        <v>222</v>
      </c>
      <c r="S2" s="14" t="s">
        <v>295</v>
      </c>
      <c r="T2" s="11" t="s">
        <v>307</v>
      </c>
      <c r="U2" s="11" t="s">
        <v>220</v>
      </c>
      <c r="V2" s="14" t="s">
        <v>294</v>
      </c>
      <c r="W2" s="14" t="s">
        <v>292</v>
      </c>
      <c r="X2" s="14" t="s">
        <v>300</v>
      </c>
      <c r="Y2" s="14" t="s">
        <v>308</v>
      </c>
      <c r="Z2" s="14" t="s">
        <v>377</v>
      </c>
      <c r="AA2" s="14" t="s">
        <v>378</v>
      </c>
      <c r="AB2" s="14" t="s">
        <v>379</v>
      </c>
      <c r="AC2" s="14" t="s">
        <v>380</v>
      </c>
      <c r="AD2" s="14" t="s">
        <v>385</v>
      </c>
      <c r="AE2" s="14" t="s">
        <v>384</v>
      </c>
      <c r="AF2" s="14" t="s">
        <v>386</v>
      </c>
      <c r="AG2" s="14" t="s">
        <v>381</v>
      </c>
      <c r="AH2" s="14" t="s">
        <v>290</v>
      </c>
      <c r="AI2" s="14" t="s">
        <v>169</v>
      </c>
      <c r="AJ2" s="14" t="s">
        <v>271</v>
      </c>
      <c r="AK2" s="14" t="s">
        <v>298</v>
      </c>
      <c r="AL2" s="14" t="s">
        <v>309</v>
      </c>
      <c r="AM2" s="14" t="s">
        <v>293</v>
      </c>
      <c r="AN2" s="14" t="s">
        <v>289</v>
      </c>
      <c r="AO2" s="14" t="s">
        <v>333</v>
      </c>
    </row>
    <row r="3" spans="1:41" x14ac:dyDescent="0.25">
      <c r="B3" s="2" t="s">
        <v>13</v>
      </c>
      <c r="C3" t="s">
        <v>15</v>
      </c>
      <c r="D3">
        <v>7</v>
      </c>
      <c r="E3">
        <v>100</v>
      </c>
      <c r="F3">
        <v>120</v>
      </c>
      <c r="G3">
        <v>30</v>
      </c>
      <c r="H3">
        <v>200</v>
      </c>
      <c r="I3">
        <v>4</v>
      </c>
      <c r="J3">
        <v>1</v>
      </c>
      <c r="K3">
        <v>1</v>
      </c>
      <c r="L3">
        <v>1</v>
      </c>
      <c r="M3">
        <v>1</v>
      </c>
      <c r="N3">
        <v>40</v>
      </c>
      <c r="O3">
        <v>0</v>
      </c>
      <c r="Q3">
        <f>1000*表2_5[[#This Row],[周期伤害]]/(表2_5[[#This Row],[射击间隔]]*(表2_5[[#This Row],[弹容量]]-1)+900*表2_5[[#This Row],[双枪系数]])</f>
        <v>1914.1695205479452</v>
      </c>
      <c r="S3">
        <f>表2_5[[#This Row],[平衡dps]]*表2_5[[#This Row],[周期dps系数]]*表2_5[[#This Row],[吃拐系数]]*1.1^表2_5[[#This Row],[额外加权层数]]</f>
        <v>1914.2374083361844</v>
      </c>
      <c r="V3">
        <f>表2_5[[#This Row],[平衡裸伤dps]]+表2_5[[#This Row],[平衡增益dps]]</f>
        <v>1914.0679719372729</v>
      </c>
      <c r="W3">
        <f>(表2_5[[#This Row],[子弹威力]]*1.5+30+表2_5[[#This Row],[子弹威力]]*2*表2_5[[#This Row],[限制等级]]/256+表2_5[[#This Row],[伤害加成]]+表2_5[[#This Row],[剧毒]]/(表2_5[[#This Row],[霰弹值]]*3^(表2_5[[#This Row],[穿刺系数]]-1)))*表2_5[[#This Row],[穿刺系数]]*表2_5[[#This Row],[弹容量]]*(1+(表2_5[[#This Row],[霰弹值]]-1)*0.5)</f>
        <v>8384.0625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8230.4</v>
      </c>
      <c r="Y3">
        <f>表2_5[[#This Row],[平衡周期伤害]]*1.25^表2_5[[#This Row],[额外加权层数]]</f>
        <v>8230.4</v>
      </c>
      <c r="Z3">
        <f>1000*(表2_5[[#This Row],[子弹威力]]*1.5+30)*表2_5[[#This Row],[穿刺系数]]*表2_5[[#This Row],[弹容量]]*(1+(表2_5[[#This Row],[霰弹值]]-1)*0.5)/(表2_5[[#This Row],[射击间隔]]*(表2_5[[#This Row],[弹容量]]-1)+900*表2_5[[#This Row],[双枪系数]])</f>
        <v>1232.8767123287671</v>
      </c>
      <c r="AA3">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1232.7781579905241</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681.29280821917803</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681.28981394674884</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1882.5504347793969</v>
      </c>
      <c r="AH3">
        <f>(表2_5[[#This Row],[子弹威力]]*1.5+30+表2_5[[#This Row],[子弹威力]]*2*表2_5[[#This Row],[限制等级]]/256+表2_5[[#This Row],[伤害加成]]+表2_5[[#This Row],[剧毒]]/表2_5[[#This Row],[霰弹值]])</f>
        <v>279.46875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0.98888888888888893</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0.99719956436010304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1914.1695205479452</v>
      </c>
      <c r="AN3">
        <f>1000*表2_5[[#This Row],[周期伤害]]/(表2_5[[#This Row],[射击间隔]]*表2_5[[#This Row],[弹容量]])</f>
        <v>2328.90625</v>
      </c>
      <c r="AO3">
        <f>IF(表2_5[[#This Row],[周期dps]]&lt;=表2_5[[#This Row],[平衡dps]] * 2,0.85+0.3365/(1+EXP(-(表2_5[[#This Row],[平衡dps]]-表2_5[[#This Row],[周期dps]])/(表2_5[[#This Row],[平衡dps]]))),0.37+1.68/(1+EXP(-(表2_5[[#This Row],[平衡dps]]-表2_5[[#This Row],[周期dps]])/(表2_5[[#This Row],[平衡dps]]*1.5))))</f>
        <v>1.0000885216206508</v>
      </c>
    </row>
    <row r="4" spans="1:41" x14ac:dyDescent="0.25">
      <c r="B4" s="2" t="s">
        <v>18</v>
      </c>
      <c r="C4" t="s">
        <v>24</v>
      </c>
      <c r="D4" s="3">
        <v>22</v>
      </c>
      <c r="E4" s="3">
        <v>125</v>
      </c>
      <c r="F4" s="3">
        <v>150</v>
      </c>
      <c r="G4" s="3">
        <v>40</v>
      </c>
      <c r="H4" s="3">
        <v>200</v>
      </c>
      <c r="I4" s="3">
        <v>5</v>
      </c>
      <c r="J4" s="3">
        <v>1</v>
      </c>
      <c r="K4" s="3">
        <v>2</v>
      </c>
      <c r="L4">
        <v>1</v>
      </c>
      <c r="M4" s="3">
        <v>1</v>
      </c>
      <c r="N4" s="3">
        <v>45</v>
      </c>
      <c r="O4" s="3">
        <v>0.3</v>
      </c>
      <c r="Q4">
        <f>1000*表2_5[[#This Row],[周期伤害]]/(表2_5[[#This Row],[射击间隔]]*(表2_5[[#This Row],[弹容量]]-1)+900*表2_5[[#This Row],[双枪系数]])</f>
        <v>4953.8888888888887</v>
      </c>
      <c r="S4">
        <f>表2_5[[#This Row],[平衡dps]]*表2_5[[#This Row],[周期dps系数]]*表2_5[[#This Row],[吃拐系数]]*1.1^表2_5[[#This Row],[额外加权层数]]</f>
        <v>4935.3835494073419</v>
      </c>
      <c r="V4">
        <f>表2_5[[#This Row],[平衡裸伤dps]]+表2_5[[#This Row],[平衡增益dps]]</f>
        <v>4851.308428662649</v>
      </c>
      <c r="W4">
        <f>(表2_5[[#This Row],[子弹威力]]*1.5+30+表2_5[[#This Row],[子弹威力]]*2*表2_5[[#This Row],[限制等级]]/256+表2_5[[#This Row],[伤害加成]]+表2_5[[#This Row],[剧毒]]/(表2_5[[#This Row],[霰弹值]]*3^(表2_5[[#This Row],[穿刺系数]]-1)))*表2_5[[#This Row],[穿刺系数]]*表2_5[[#This Row],[弹容量]]*(1+(表2_5[[#This Row],[霰弹值]]-1)*0.5)</f>
        <v>33438.75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2577.7777777777778</v>
      </c>
      <c r="AA4">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3020.4208312948876</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2376.1111111111113</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1830.8875973677614</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5155.8706610160534</v>
      </c>
      <c r="AH4">
        <f>(表2_5[[#This Row],[子弹威力]]*1.5+30+表2_5[[#This Row],[子弹威力]]*2*表2_5[[#This Row],[限制等级]]/256+表2_5[[#This Row],[伤害加成]]+表2_5[[#This Row],[剧毒]]/表2_5[[#This Row],[霰弹值]])</f>
        <v>437.984375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0.98653212435985971</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4953.8888888888887</v>
      </c>
      <c r="AN4">
        <f>1000*表2_5[[#This Row],[周期伤害]]/(表2_5[[#This Row],[射击间隔]]*表2_5[[#This Row],[弹容量]])</f>
        <v>5573.125</v>
      </c>
      <c r="AO4">
        <f>IF(表2_5[[#This Row],[周期dps]]&lt;=表2_5[[#This Row],[平衡dps]] * 2,0.85+0.3365/(1+EXP(-(表2_5[[#This Row],[平衡dps]]-表2_5[[#This Row],[周期dps]])/(表2_5[[#This Row],[平衡dps]]))),0.37+1.68/(1+EXP(-(表2_5[[#This Row],[平衡dps]]-表2_5[[#This Row],[周期dps]])/(表2_5[[#This Row],[平衡dps]]*1.5))))</f>
        <v>1.005756248149515</v>
      </c>
    </row>
    <row r="5" spans="1:41" x14ac:dyDescent="0.25">
      <c r="A5" s="2" t="s">
        <v>148</v>
      </c>
      <c r="B5" s="2" t="s">
        <v>274</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3564.3431278887515</v>
      </c>
      <c r="V5">
        <f>表2_5[[#This Row],[平衡裸伤dps]]+表2_5[[#This Row],[平衡增益dps]]</f>
        <v>3264.9952462733104</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2504.2768273593201</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760.71841891399015</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0.99244001599782883</v>
      </c>
    </row>
    <row r="6" spans="1:41" x14ac:dyDescent="0.25">
      <c r="A6" s="2"/>
      <c r="B6" s="1" t="s">
        <v>25</v>
      </c>
      <c r="C6" t="s">
        <v>283</v>
      </c>
      <c r="D6" s="12">
        <v>15</v>
      </c>
      <c r="E6" s="12">
        <v>500</v>
      </c>
      <c r="F6" s="12">
        <v>600</v>
      </c>
      <c r="G6" s="12">
        <v>5</v>
      </c>
      <c r="H6" s="12">
        <v>150</v>
      </c>
      <c r="I6" s="12">
        <v>4</v>
      </c>
      <c r="J6" s="13">
        <v>1</v>
      </c>
      <c r="K6" s="13">
        <v>1</v>
      </c>
      <c r="L6" s="12">
        <v>1</v>
      </c>
      <c r="M6" s="12">
        <v>4</v>
      </c>
      <c r="N6" s="12">
        <v>10</v>
      </c>
      <c r="O6" s="12">
        <v>1</v>
      </c>
      <c r="Q6" s="17">
        <f>1000*表2_5[[#This Row],[周期伤害]]/(表2_5[[#This Row],[射击间隔]]*(表2_5[[#This Row],[弹容量]]-1)+900*表2_5[[#This Row],[双枪系数]])</f>
        <v>3659.4460227272725</v>
      </c>
      <c r="S6" s="17">
        <f>表2_5[[#This Row],[平衡dps]]*表2_5[[#This Row],[周期dps系数]]*表2_5[[#This Row],[吃拐系数]]*1.1^表2_5[[#This Row],[额外加权层数]]</f>
        <v>3696.6239270393025</v>
      </c>
      <c r="V6">
        <f>表2_5[[#This Row],[平衡裸伤dps]]+表2_5[[#This Row],[平衡增益dps]]</f>
        <v>3355.49768587789</v>
      </c>
      <c r="W6">
        <f>(表2_5[[#This Row],[子弹威力]]*1.5+30+表2_5[[#This Row],[子弹威力]]*2*表2_5[[#This Row],[限制等级]]/256+表2_5[[#This Row],[伤害加成]]+表2_5[[#This Row],[剧毒]]/(表2_5[[#This Row],[霰弹值]]*3^(表2_5[[#This Row],[穿刺系数]]-1)))*表2_5[[#This Row],[穿刺系数]]*表2_5[[#This Row],[弹容量]]*(1+(表2_5[[#This Row],[霰弹值]]-1)*0.5)</f>
        <v>12076.171875</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17715.2</v>
      </c>
      <c r="Y6">
        <f>表2_5[[#This Row],[平衡周期伤害]]*1.25^表2_5[[#This Row],[额外加权层数]]</f>
        <v>22144</v>
      </c>
      <c r="Z6">
        <f>1000*(表2_5[[#This Row],[子弹威力]]*1.5+30)*表2_5[[#This Row],[穿刺系数]]*表2_5[[#This Row],[弹容量]]*(1+(表2_5[[#This Row],[霰弹值]]-1)*0.5)/(表2_5[[#This Row],[射击间隔]]*(表2_5[[#This Row],[弹容量]]-1)+900*表2_5[[#This Row],[双枪系数]])</f>
        <v>2954.5454545454545</v>
      </c>
      <c r="AA6">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2200.4717941373774</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704.90056818181813</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1155.0258917405129</v>
      </c>
      <c r="AD6">
        <f>1000*表2_5[[#This Row],[弹容量]]/(表2_5[[#This Row],[射击间隔]]*(表2_5[[#This Row],[弹容量]]-1)+900*表2_5[[#This Row],[双枪系数]])</f>
        <v>1.5151515151515151</v>
      </c>
      <c r="AE6">
        <f>1000*(表2_5[[#This Row],[穿刺系数]]*表2_5[[#This Row],[弹容量]]*(1+(表2_5[[#This Row],[霰弹值]]-1)*0.5)/(表2_5[[#This Row],[射击间隔]]*(表2_5[[#This Row],[弹容量]]-1)+900*表2_5[[#This Row],[双枪系数]]))</f>
        <v>3.7878787878787881</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3847.278989161231</v>
      </c>
      <c r="AH6">
        <f>(表2_5[[#This Row],[子弹威力]]*1.5+30+表2_5[[#This Row],[子弹威力]]*2*表2_5[[#This Row],[限制等级]]/256+表2_5[[#This Row],[伤害加成]]+表2_5[[#This Row],[剧毒]]/表2_5[[#This Row],[霰弹值]])</f>
        <v>966.09375</v>
      </c>
      <c r="AI6">
        <f>IF(表2_5[[#This Row],[限制等级]]&gt;=35,17*表2_5[[#This Row],[限制等级]]-330,7*表2_5[[#This Row],[限制等级]]+15) * IF(表2_5[[#This Row],[限制等级]]&gt;=25, 1 + (MIN(13,(表2_5[[#This Row],[限制等级]]-18)/3.5) - 1) * (MIN(13,(表2_5[[#This Row],[限制等级]]-18)/3.5)  - 1) / 100 + 0.05 * (MIN(13,(表2_5[[#This Row],[限制等级]]-18)/3.5)  - 1),1)</f>
        <v>120</v>
      </c>
      <c r="AJ6">
        <f>IF(表2_5[[#This Row],[限制等级]]&gt;=30,120,30)</f>
        <v>30</v>
      </c>
      <c r="AK6">
        <f>0.9+(1.1-0.9)*表2_5[[#This Row],[冲击力]]/(表2_5[[#This Row],[冲击力]]+50)</f>
        <v>0.93333333333333335</v>
      </c>
      <c r="AL6">
        <f>IF(表2_5[[#This Row],[周期伤害]] &lt;=表2_5[[#This Row],[加权周期伤害]]* 5,0.7+0.6/(1+EXP(-(表2_5[[#This Row],[加权周期伤害]]-表2_5[[#This Row],[周期伤害]])/(表2_5[[#This Row],[加权周期伤害]]))),0.1+1.5/(1+EXP(-(表2_5[[#This Row],[加权周期伤害]]-表2_5[[#This Row],[周期伤害]])/(表2_5[[#This Row],[加权周期伤害]]*10))))</f>
        <v>1.067046922213243</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3659.4460227272725</v>
      </c>
      <c r="AN6">
        <f>1000*表2_5[[#This Row],[周期伤害]]/(表2_5[[#This Row],[射击间隔]]*表2_5[[#This Row],[弹容量]])</f>
        <v>4025.390625</v>
      </c>
      <c r="AO6">
        <f>IF(表2_5[[#This Row],[周期dps]]&lt;=表2_5[[#This Row],[平衡dps]] * 2,0.85+0.3365/(1+EXP(-(表2_5[[#This Row],[平衡dps]]-表2_5[[#This Row],[周期dps]])/(表2_5[[#This Row],[平衡dps]]))),0.37+1.68/(1+EXP(-(表2_5[[#This Row],[平衡dps]]-表2_5[[#This Row],[周期dps]])/(表2_5[[#This Row],[平衡dps]]*1.5))))</f>
        <v>1.0015108103166965</v>
      </c>
    </row>
    <row r="7" spans="1:41" x14ac:dyDescent="0.25">
      <c r="A7" s="6" t="s">
        <v>150</v>
      </c>
      <c r="B7" s="3"/>
      <c r="C7" t="s">
        <v>285</v>
      </c>
      <c r="D7" s="12">
        <v>28</v>
      </c>
      <c r="E7" s="12">
        <v>1300</v>
      </c>
      <c r="F7" s="12">
        <v>700</v>
      </c>
      <c r="G7" s="12">
        <v>9</v>
      </c>
      <c r="H7" s="12">
        <v>1000</v>
      </c>
      <c r="I7" s="12">
        <v>8</v>
      </c>
      <c r="J7" s="13">
        <v>1</v>
      </c>
      <c r="K7" s="12">
        <v>2</v>
      </c>
      <c r="L7" s="12">
        <v>1</v>
      </c>
      <c r="M7" s="12">
        <v>1</v>
      </c>
      <c r="N7" s="12">
        <v>3</v>
      </c>
      <c r="O7" s="12">
        <v>0</v>
      </c>
      <c r="Q7" s="17">
        <f>1000*表2_5[[#This Row],[周期伤害]]/(表2_5[[#This Row],[射击间隔]]*(表2_5[[#This Row],[弹容量]]-1)+900*表2_5[[#This Row],[双枪系数]])</f>
        <v>6956.9867189952902</v>
      </c>
      <c r="S7" s="17">
        <f>表2_5[[#This Row],[平衡dps]]*表2_5[[#This Row],[周期dps系数]]*表2_5[[#This Row],[吃拐系数]]*1.1^表2_5[[#This Row],[额外加权层数]]</f>
        <v>6950.0297894248506</v>
      </c>
      <c r="V7">
        <f>表2_5[[#This Row],[平衡裸伤dps]]+表2_5[[#This Row],[平衡增益dps]]</f>
        <v>6852.3512610772741</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5483.0769230769229</v>
      </c>
      <c r="AA7">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3987.6758367719603</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1473.9097959183673</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2864.6754243053138</v>
      </c>
      <c r="AD7">
        <f>1000*表2_5[[#This Row],[弹容量]]/(表2_5[[#This Row],[射击间隔]]*(表2_5[[#This Row],[弹容量]]-1)+900*表2_5[[#This Row],[双枪系数]])</f>
        <v>1.3846153846153846</v>
      </c>
      <c r="AE7">
        <f>1000*(表2_5[[#This Row],[穿刺系数]]*表2_5[[#This Row],[弹容量]]*(1+(表2_5[[#This Row],[霰弹值]]-1)*0.5)/(表2_5[[#This Row],[射击间隔]]*(表2_5[[#This Row],[弹容量]]-1)+900*表2_5[[#This Row],[双枪系数]]))</f>
        <v>2.7692307692307692</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6905.9216366212231</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6956.9867189952902</v>
      </c>
      <c r="AN7">
        <f>1000*表2_5[[#This Row],[周期伤害]]/(表2_5[[#This Row],[射击间隔]]*表2_5[[#This Row],[弹容量]])</f>
        <v>7177.8434402332359</v>
      </c>
      <c r="AO7">
        <f>IF(表2_5[[#This Row],[周期dps]]&lt;=表2_5[[#This Row],[平衡dps]] * 2,0.85+0.3365/(1+EXP(-(表2_5[[#This Row],[平衡dps]]-表2_5[[#This Row],[周期dps]])/(表2_5[[#This Row],[平衡dps]]))),0.37+1.68/(1+EXP(-(表2_5[[#This Row],[平衡dps]]-表2_5[[#This Row],[周期dps]])/(表2_5[[#This Row],[平衡dps]]*1.5))))</f>
        <v>1.0142547462361438</v>
      </c>
    </row>
    <row r="8" spans="1:41" x14ac:dyDescent="0.25">
      <c r="A8" s="6" t="s">
        <v>151</v>
      </c>
      <c r="B8" s="3"/>
      <c r="C8" t="s">
        <v>287</v>
      </c>
      <c r="D8" s="12">
        <v>35</v>
      </c>
      <c r="E8" s="12">
        <v>900</v>
      </c>
      <c r="F8" s="12">
        <v>130</v>
      </c>
      <c r="G8" s="12">
        <v>10</v>
      </c>
      <c r="H8" s="12">
        <v>500</v>
      </c>
      <c r="I8" s="12">
        <v>3</v>
      </c>
      <c r="J8" s="13">
        <v>1</v>
      </c>
      <c r="K8" s="12">
        <v>1</v>
      </c>
      <c r="L8" s="12">
        <v>1</v>
      </c>
      <c r="M8" s="12">
        <v>1</v>
      </c>
      <c r="N8" s="12">
        <v>10</v>
      </c>
      <c r="O8" s="12">
        <v>0</v>
      </c>
      <c r="Q8" s="17">
        <f>1000*表2_5[[#This Row],[周期伤害]]/(表2_5[[#This Row],[射击间隔]]*(表2_5[[#This Row],[弹容量]]-1)+900*表2_5[[#This Row],[双枪系数]])</f>
        <v>10152.784555851327</v>
      </c>
      <c r="S8" s="17">
        <f>表2_5[[#This Row],[平衡dps]]*表2_5[[#This Row],[周期dps系数]]*表2_5[[#This Row],[吃拐系数]]*1.1^表2_5[[#This Row],[额外加权层数]]</f>
        <v>10608.682012142001</v>
      </c>
      <c r="V8">
        <f>表2_5[[#This Row],[平衡裸伤dps]]+表2_5[[#This Row],[平衡增益dps]]</f>
        <v>10849.242444199579</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6666.666666666667</v>
      </c>
      <c r="AA8">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5153.2323332905817</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3486.1178891846585</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5696.0101109089965</v>
      </c>
      <c r="AD8">
        <f>1000*表2_5[[#This Row],[弹容量]]/(表2_5[[#This Row],[射击间隔]]*(表2_5[[#This Row],[弹容量]]-1)+900*表2_5[[#This Row],[双枪系数]])</f>
        <v>4.8309178743961354</v>
      </c>
      <c r="AE8">
        <f>1000*(表2_5[[#This Row],[穿刺系数]]*表2_5[[#This Row],[弹容量]]*(1+(表2_5[[#This Row],[霰弹值]]-1)*0.5)/(表2_5[[#This Row],[射击间隔]]*(表2_5[[#This Row],[弹容量]]-1)+900*表2_5[[#This Row],[双枪系数]]))</f>
        <v>4.8309178743961354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9621.340695062765</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10152.784555851325</v>
      </c>
      <c r="AN8">
        <f>1000*表2_5[[#This Row],[周期伤害]]/(表2_5[[#This Row],[射击间隔]]*表2_5[[#This Row],[弹容量]])</f>
        <v>16166.356946624806</v>
      </c>
      <c r="AO8">
        <f>IF(表2_5[[#This Row],[周期dps]]&lt;=表2_5[[#This Row],[平衡dps]] * 2,0.85+0.3365/(1+EXP(-(表2_5[[#This Row],[平衡dps]]-表2_5[[#This Row],[周期dps]])/(表2_5[[#This Row],[平衡dps]]))),0.37+1.68/(1+EXP(-(表2_5[[#This Row],[平衡dps]]-表2_5[[#This Row],[周期dps]])/(表2_5[[#This Row],[平衡dps]]*1.5))))</f>
        <v>0.97782698346959784</v>
      </c>
    </row>
    <row r="9" spans="1:41" x14ac:dyDescent="0.25">
      <c r="A9" s="6" t="s">
        <v>158</v>
      </c>
      <c r="B9" s="3"/>
    </row>
    <row r="10" spans="1:41" x14ac:dyDescent="0.25">
      <c r="A10" s="7" t="s">
        <v>155</v>
      </c>
      <c r="B10" s="30" t="s">
        <v>16</v>
      </c>
      <c r="C10" s="27" t="s">
        <v>17</v>
      </c>
      <c r="D10" s="31">
        <v>13</v>
      </c>
      <c r="E10" s="31">
        <v>65</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2175.9231596558316</v>
      </c>
      <c r="S10">
        <f>表2_5[[#This Row],[平衡dps]]*表2_5[[#This Row],[周期dps系数]]*表2_5[[#This Row],[吃拐系数]]*1.1^表2_5[[#This Row],[额外加权层数]]</f>
        <v>2177.2504447235419</v>
      </c>
      <c r="T10" s="27"/>
      <c r="U10" s="27"/>
      <c r="V10">
        <f>表2_5[[#This Row],[平衡裸伤dps]]+表2_5[[#This Row],[平衡增益dps]]</f>
        <v>2221.803925305222</v>
      </c>
      <c r="W10">
        <f>(表2_5[[#This Row],[子弹威力]]+20+表2_5[[#This Row],[子弹威力]]*2*表2_5[[#This Row],[限制等级]]/256+表2_5[[#This Row],[伤害加成]]+表2_5[[#This Row],[剧毒]]/(表2_5[[#This Row],[霰弹值]]*3^(表2_5[[#This Row],[穿刺系数]]-1)))*表2_5[[#This Row],[穿刺系数]]*表2_5[[#This Row],[弹容量]]*(1+(表2_5[[#This Row],[霰弹值]]-1)*0.5)</f>
        <v>11380.078125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812.61950286806882</v>
      </c>
      <c r="AA10">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1272.9404441211784</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1363.303656787763</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948.86348118404374</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2115.1844642179994</v>
      </c>
      <c r="AH10" s="27">
        <f>(表2_5[[#This Row],[子弹威力]]+20+表2_5[[#This Row],[子弹威力]]*2*表2_5[[#This Row],[限制等级]]/256+表2_5[[#This Row],[伤害加成]]+表2_5[[#This Row],[剧毒]]/表2_5[[#This Row],[霰弹值]])</f>
        <v>227.6015625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0.9996607731708953</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2175.9231596558316</v>
      </c>
      <c r="AN10">
        <f>1000*表2_5[[#This Row],[周期伤害]]/(表2_5[[#This Row],[射击间隔]]*表2_5[[#This Row],[弹容量]])</f>
        <v>3251.4508928571427</v>
      </c>
      <c r="AO10">
        <f>IF(表2_5[[#This Row],[周期dps]]&lt;=表2_5[[#This Row],[平衡dps]] * 2,0.85+0.3365/(1+EXP(-(表2_5[[#This Row],[平衡dps]]-表2_5[[#This Row],[周期dps]])/(表2_5[[#This Row],[平衡dps]]))),0.37+1.68/(1+EXP(-(表2_5[[#This Row],[平衡dps]]-表2_5[[#This Row],[周期dps]])/(表2_5[[#This Row],[平衡dps]]*1.5))))</f>
        <v>0.97994715911956121</v>
      </c>
    </row>
    <row r="11" spans="1:41" x14ac:dyDescent="0.25">
      <c r="A11" s="7" t="s">
        <v>156</v>
      </c>
      <c r="B11" s="30" t="s">
        <v>21</v>
      </c>
      <c r="C11" s="27" t="s">
        <v>26</v>
      </c>
      <c r="D11" s="27">
        <v>22</v>
      </c>
      <c r="E11" s="27">
        <v>700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3706.590909090909</v>
      </c>
      <c r="S11">
        <f>表2_5[[#This Row],[平衡dps]]*表2_5[[#This Row],[周期dps系数]]*表2_5[[#This Row],[吃拐系数]]*1.1^表2_5[[#This Row],[额外加权层数]]</f>
        <v>3731.7617881206602</v>
      </c>
      <c r="T11" s="27"/>
      <c r="U11" s="27"/>
      <c r="V11">
        <f>表2_5[[#This Row],[平衡裸伤dps]]+表2_5[[#This Row],[平衡增益dps]]</f>
        <v>3580.7831490712351</v>
      </c>
      <c r="W11">
        <f>(表2_5[[#This Row],[子弹威力]]+20+表2_5[[#This Row],[子弹威力]]*2*表2_5[[#This Row],[限制等级]]/256+表2_5[[#This Row],[伤害加成]]+表2_5[[#This Row],[剧毒]]/(表2_5[[#This Row],[霰弹值]]*3^(表2_5[[#This Row],[穿刺系数]]-1)))*表2_5[[#This Row],[穿刺系数]]*表2_5[[#This Row],[弹容量]]*(1+(表2_5[[#This Row],[霰弹值]]-1)*0.5)</f>
        <v>12231.75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2618.181818181818</v>
      </c>
      <c r="AA11">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1978.8149744772097</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1088.409090909091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1601.9681745940256</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3254.3598737779162</v>
      </c>
      <c r="AH11" s="27">
        <f>(表2_5[[#This Row],[子弹威力]]+20+表2_5[[#This Row],[子弹威力]]*2*表2_5[[#This Row],[限制等级]]/256+表2_5[[#This Row],[伤害加成]]+表2_5[[#This Row],[剧毒]]/表2_5[[#This Row],[霰弹值]])</f>
        <v>1039.3125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1.0627371836726873</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3706.590909090909</v>
      </c>
      <c r="AN11">
        <f>1000*表2_5[[#This Row],[周期伤害]]/(表2_5[[#This Row],[射击间隔]]*表2_5[[#This Row],[弹容量]])</f>
        <v>6795.416666666667</v>
      </c>
      <c r="AO11">
        <f>IF(表2_5[[#This Row],[周期dps]]&lt;=表2_5[[#This Row],[平衡dps]] * 2,0.85+0.3365/(1+EXP(-(表2_5[[#This Row],[平衡dps]]-表2_5[[#This Row],[周期dps]])/(表2_5[[#This Row],[平衡dps]]))),0.37+1.68/(1+EXP(-(表2_5[[#This Row],[平衡dps]]-表2_5[[#This Row],[周期dps]])/(表2_5[[#This Row],[平衡dps]]*1.5))))</f>
        <v>0.9474214369427143</v>
      </c>
    </row>
    <row r="12" spans="1:41" x14ac:dyDescent="0.25">
      <c r="A12" s="7" t="s">
        <v>157</v>
      </c>
      <c r="B12" s="30" t="s">
        <v>281</v>
      </c>
      <c r="C12" s="27" t="s">
        <v>47</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1960.568781560713</v>
      </c>
      <c r="T12" s="27"/>
      <c r="U12" s="27"/>
      <c r="V12">
        <f>表2_5[[#This Row],[平衡裸伤dps]]+表2_5[[#This Row],[平衡增益dps]]</f>
        <v>2010.8114808268531</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1239.6327646418943</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771.17871618495883</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0.97501371971206363</v>
      </c>
    </row>
    <row r="13" spans="1:41" x14ac:dyDescent="0.25">
      <c r="A13" s="15" t="s">
        <v>149</v>
      </c>
      <c r="B13" s="1" t="s">
        <v>25</v>
      </c>
      <c r="C13" t="s">
        <v>284</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5861.0382911394163</v>
      </c>
      <c r="V13">
        <f>表2_5[[#This Row],[平衡裸伤dps]]+表2_5[[#This Row],[平衡增益dps]]</f>
        <v>5983.8239946457634</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2441.2010784463823</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3542.6229161993806</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0.97948039520944907</v>
      </c>
    </row>
    <row r="14" spans="1:41" x14ac:dyDescent="0.25">
      <c r="A14" s="15" t="s">
        <v>159</v>
      </c>
      <c r="B14" s="3"/>
      <c r="C14" t="s">
        <v>286</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5738.230804796859</v>
      </c>
      <c r="V14">
        <f>表2_5[[#This Row],[平衡裸伤dps]]+表2_5[[#This Row],[平衡增益dps]]</f>
        <v>5739.2477640888637</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2489.6938291494339</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3249.5539349394298</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0.99982280617011032</v>
      </c>
    </row>
    <row r="15" spans="1:41" x14ac:dyDescent="0.25">
      <c r="A15" s="15" t="s">
        <v>306</v>
      </c>
      <c r="B15" s="3"/>
      <c r="C15" t="s">
        <v>287</v>
      </c>
      <c r="D15" s="12">
        <v>15</v>
      </c>
      <c r="E15" s="12">
        <v>850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2399.1629464285716</v>
      </c>
      <c r="S15" s="17">
        <f>表2_5[[#This Row],[平衡dps]]*表2_5[[#This Row],[周期dps系数]]*表2_5[[#This Row],[吃拐系数]]*1.1^表2_5[[#This Row],[额外加权层数]]</f>
        <v>2397.2788735560025</v>
      </c>
      <c r="V15">
        <f>表2_5[[#This Row],[平衡裸伤dps]]+表2_5[[#This Row],[平衡增益dps]]</f>
        <v>2636.2558710452458</v>
      </c>
      <c r="W15">
        <f>(表2_5[[#This Row],[子弹威力]]+20+表2_5[[#This Row],[子弹威力]]*2*表2_5[[#This Row],[限制等级]]/256+表2_5[[#This Row],[伤害加成]]+表2_5[[#This Row],[剧毒]]/(表2_5[[#This Row],[霰弹值]]*3^(表2_5[[#This Row],[穿刺系数]]-1)))*表2_5[[#This Row],[穿刺系数]]*表2_5[[#This Row],[弹容量]]*(1+(表2_5[[#This Row],[霰弹值]]-1)*0.5)</f>
        <v>6717.65625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1864.2857142857142</v>
      </c>
      <c r="AA15">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1498.7496369024429</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534.87723214285711</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1137.5062341428027</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2432.0179857629705</v>
      </c>
      <c r="AH15" s="27">
        <f>(表2_5[[#This Row],[子弹威力]]+20+表2_5[[#This Row],[子弹威力]]*2*表2_5[[#This Row],[限制等级]]/256+表2_5[[#This Row],[伤害加成]]+表2_5[[#This Row],[剧毒]]/表2_5[[#This Row],[霰弹值]])</f>
        <v>1119.609375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1.0638386982365695</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2399.1629464285716</v>
      </c>
      <c r="AN15">
        <f>1000*表2_5[[#This Row],[周期伤害]]/(表2_5[[#This Row],[射击间隔]]*表2_5[[#This Row],[弹容量]])</f>
        <v>5598.046875</v>
      </c>
      <c r="AO15">
        <f>IF(表2_5[[#This Row],[周期dps]]&lt;=表2_5[[#This Row],[平衡dps]] * 2,0.85+0.3365/(1+EXP(-(表2_5[[#This Row],[平衡dps]]-表2_5[[#This Row],[周期dps]])/(表2_5[[#This Row],[平衡dps]]))),0.37+1.68/(1+EXP(-(表2_5[[#This Row],[平衡dps]]-表2_5[[#This Row],[周期dps]])/(表2_5[[#This Row],[平衡dps]]*1.5))))</f>
        <v>0.90934984721551648</v>
      </c>
    </row>
    <row r="16" spans="1:41" x14ac:dyDescent="0.25">
      <c r="B16" s="3"/>
      <c r="D16" s="3"/>
      <c r="E16" s="3"/>
      <c r="F16" s="3"/>
      <c r="G16" s="3"/>
      <c r="H16" s="3"/>
      <c r="I16" s="3"/>
    </row>
    <row r="17" spans="2:41" x14ac:dyDescent="0.25">
      <c r="B17" s="3"/>
      <c r="C17" s="2" t="s">
        <v>236</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25">
      <c r="B18" s="3"/>
      <c r="C18" s="2" t="s">
        <v>275</v>
      </c>
      <c r="D18" s="2" t="s">
        <v>279</v>
      </c>
    </row>
    <row r="19" spans="2:41" x14ac:dyDescent="0.25">
      <c r="B19" s="3"/>
      <c r="C19" s="2" t="s">
        <v>276</v>
      </c>
      <c r="D19" s="2" t="s">
        <v>280</v>
      </c>
    </row>
    <row r="20" spans="2:41" x14ac:dyDescent="0.25">
      <c r="B20" s="3"/>
      <c r="C20" s="2" t="s">
        <v>277</v>
      </c>
      <c r="D20" s="2" t="s">
        <v>301</v>
      </c>
      <c r="O20" s="29" t="s">
        <v>288</v>
      </c>
    </row>
    <row r="21" spans="2:41" x14ac:dyDescent="0.25">
      <c r="B21" s="3"/>
      <c r="C21" s="2" t="s">
        <v>278</v>
      </c>
      <c r="D21" s="2" t="s">
        <v>375</v>
      </c>
    </row>
    <row r="22" spans="2:41" x14ac:dyDescent="0.25">
      <c r="B22" s="3"/>
    </row>
    <row r="23" spans="2:41" x14ac:dyDescent="0.25">
      <c r="B23" s="4" t="s">
        <v>40</v>
      </c>
      <c r="C23" s="2" t="s">
        <v>305</v>
      </c>
    </row>
    <row r="24" spans="2:41" x14ac:dyDescent="0.25">
      <c r="B24" s="3"/>
      <c r="C24" t="s">
        <v>312</v>
      </c>
      <c r="AL24" s="2" t="s">
        <v>268</v>
      </c>
    </row>
    <row r="25" spans="2:41" x14ac:dyDescent="0.25">
      <c r="B25" s="3"/>
      <c r="AL25" t="s">
        <v>90</v>
      </c>
      <c r="AM25" t="s">
        <v>169</v>
      </c>
      <c r="AN25" t="s">
        <v>382</v>
      </c>
      <c r="AO25" t="s">
        <v>271</v>
      </c>
    </row>
    <row r="26" spans="2:41" x14ac:dyDescent="0.25">
      <c r="B26" s="4" t="s">
        <v>41</v>
      </c>
      <c r="C26" t="s">
        <v>302</v>
      </c>
      <c r="AK26" s="2" t="s">
        <v>269</v>
      </c>
      <c r="AL26" s="28">
        <v>10</v>
      </c>
      <c r="AM26" s="28">
        <v>85</v>
      </c>
      <c r="AN26" s="28">
        <f>表5[[#This Row],[伤害加成]]*IF(AL26&gt;=25, 1 + (MIN(13,(AL26-18)/3.5) - 1) * (MIN(13,(AL26-18)/3.5)  - 1) / 100 + 0.05 * (MIN(13,(AL26-18)/3.5)  - 1),1)-表5[[#This Row],[伤害加成]]</f>
        <v>0</v>
      </c>
      <c r="AO26" s="28">
        <v>30</v>
      </c>
    </row>
    <row r="27" spans="2:41" x14ac:dyDescent="0.25">
      <c r="C27" t="s">
        <v>303</v>
      </c>
      <c r="AL27" s="28">
        <v>20</v>
      </c>
      <c r="AM27" s="28">
        <v>160</v>
      </c>
      <c r="AN27" s="28">
        <f>表5[[#This Row],[伤害加成]]*IF(AL27&gt;=25, 1 + (MIN(13,(AL27-18)/3.5) - 1) * (MIN(13,(AL27-18)/3.5)  - 1) / 100 + 0.05 * (MIN(13,(AL27-18)/3.5)  - 1),1)-表5[[#This Row],[伤害加成]]</f>
        <v>0</v>
      </c>
      <c r="AO27" s="28">
        <v>30</v>
      </c>
    </row>
    <row r="28" spans="2:41" x14ac:dyDescent="0.25">
      <c r="C28" t="s">
        <v>181</v>
      </c>
      <c r="AL28" s="28">
        <v>30</v>
      </c>
      <c r="AM28" s="28">
        <v>200</v>
      </c>
      <c r="AN28" s="28">
        <f>表5[[#This Row],[伤害加成]]*IF(AL28&gt;=25, 1 + (MIN(13,(AL28-18)/3.5) - 1) * (MIN(13,(AL28-18)/3.5)  - 1) / 100 + 0.05 * (MIN(13,(AL28-18)/3.5)  - 1),1)-表5[[#This Row],[伤害加成]]</f>
        <v>36.081632653061206</v>
      </c>
      <c r="AO28" s="28">
        <v>120</v>
      </c>
    </row>
    <row r="29" spans="2:41" x14ac:dyDescent="0.25">
      <c r="C29" t="s">
        <v>48</v>
      </c>
      <c r="AL29" s="28">
        <v>40</v>
      </c>
      <c r="AM29" s="28">
        <v>350</v>
      </c>
      <c r="AN29" s="28">
        <f>表5[[#This Row],[伤害加成]]*IF(AL29&gt;=25, 1 + (MIN(13,(AL29-18)/3.5) - 1) * (MIN(13,(AL29-18)/3.5)  - 1) / 100 + 0.05 * (MIN(13,(AL29-18)/3.5)  - 1),1)-表5[[#This Row],[伤害加成]]</f>
        <v>190.28571428571422</v>
      </c>
      <c r="AO29" s="28">
        <v>120</v>
      </c>
    </row>
    <row r="30" spans="2:41" x14ac:dyDescent="0.25">
      <c r="C30" t="s">
        <v>304</v>
      </c>
      <c r="AL30" s="28">
        <v>50</v>
      </c>
      <c r="AM30" s="28">
        <v>530</v>
      </c>
      <c r="AN30" s="28">
        <f>表5[[#This Row],[伤害加成]]*IF(AL30&gt;=25, 1 + (MIN(13,(AL30-18)/3.5) - 1) * (MIN(13,(AL30-18)/3.5)  - 1) / 100 + 0.05 * (MIN(13,(AL30-18)/3.5)  - 1),1)-表5[[#This Row],[伤害加成]]</f>
        <v>567.20816326530621</v>
      </c>
      <c r="AO30" s="28">
        <v>120</v>
      </c>
    </row>
    <row r="31" spans="2:41" x14ac:dyDescent="0.25">
      <c r="C31" t="s">
        <v>492</v>
      </c>
      <c r="AK31" s="2" t="s">
        <v>270</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25">
      <c r="C32" t="s">
        <v>331</v>
      </c>
      <c r="AL32" s="2" t="s">
        <v>383</v>
      </c>
      <c r="AM32" s="16">
        <f>IF(AL31&gt;=35,17*AL31-330,7*AL31+15) * IF(AL31&gt;=25, 1 + (MIN(13,(AL31-18)/3.5) - 1) * (MIN(13,(AL31-18)/3.5)  - 1) / 100 + 0.05 * (MIN(13,(AL31-18)/3.5)  - 1),1)</f>
        <v>355.53265306122444</v>
      </c>
    </row>
  </sheetData>
  <phoneticPr fontId="1" type="noConversion"/>
  <pageMargins left="0.7" right="0.7" top="0.75" bottom="0.75" header="0.3" footer="0.3"/>
  <pageSetup paperSize="9" orientation="portrait" r:id="rId1"/>
  <ignoredErrors>
    <ignoredError sqref="W10:W15 W3:W8 AL3:AL15 X3:X15 Z3:Z15 AB3:AB15 AI3:AI15 AE3:AE15 V3:V15 AC3:AC15 AA3:AA15 AF3:AF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3.8" x14ac:dyDescent="0.25"/>
  <cols>
    <col min="4" max="4" width="7.77734375" customWidth="1"/>
    <col min="5" max="5" width="11.5546875" customWidth="1"/>
    <col min="6" max="6" width="8.33203125" customWidth="1"/>
    <col min="7" max="7" width="11.33203125" customWidth="1"/>
    <col min="8" max="8" width="13.77734375" customWidth="1"/>
    <col min="9" max="9" width="9.77734375" customWidth="1"/>
    <col min="10" max="10" width="16.109375" customWidth="1"/>
    <col min="11" max="11" width="12" customWidth="1"/>
  </cols>
  <sheetData>
    <row r="1" spans="1:12" x14ac:dyDescent="0.25">
      <c r="A1" t="s">
        <v>76</v>
      </c>
    </row>
    <row r="2" spans="1:12" x14ac:dyDescent="0.25">
      <c r="D2" s="2" t="s">
        <v>57</v>
      </c>
      <c r="E2" s="2" t="s">
        <v>58</v>
      </c>
      <c r="F2" s="2" t="s">
        <v>59</v>
      </c>
      <c r="G2" s="2" t="s">
        <v>60</v>
      </c>
      <c r="H2" s="2" t="s">
        <v>74</v>
      </c>
      <c r="I2" s="2" t="s">
        <v>61</v>
      </c>
      <c r="J2" s="2" t="s">
        <v>71</v>
      </c>
      <c r="K2" s="2"/>
      <c r="L2" s="2" t="s">
        <v>66</v>
      </c>
    </row>
    <row r="3" spans="1:12" x14ac:dyDescent="0.25">
      <c r="B3" t="s">
        <v>135</v>
      </c>
      <c r="C3" t="s">
        <v>136</v>
      </c>
      <c r="D3" t="s">
        <v>137</v>
      </c>
      <c r="E3" s="5" t="s">
        <v>75</v>
      </c>
      <c r="F3" t="s">
        <v>63</v>
      </c>
      <c r="G3" t="s">
        <v>63</v>
      </c>
      <c r="J3" s="5" t="s">
        <v>72</v>
      </c>
      <c r="L3" t="str">
        <f>"子弹威力 = "&amp;D3&amp;" ( _parent._parent.空手攻击力 "&amp;F3&amp;E3&amp;" ) "&amp;"*(1+_parent._parent.技能等级"&amp;G3&amp;")"&amp;J3</f>
        <v>子弹威力 = 100+ ( _parent._parent.空手攻击力 *1+100 ) *(1+_parent._parent.技能等级*1)+_parent._parent.等级*10</v>
      </c>
    </row>
    <row r="4" spans="1:12" x14ac:dyDescent="0.25">
      <c r="C4" t="s">
        <v>65</v>
      </c>
      <c r="E4" s="5" t="s">
        <v>75</v>
      </c>
      <c r="F4" t="s">
        <v>63</v>
      </c>
      <c r="G4" t="s">
        <v>63</v>
      </c>
      <c r="L4" t="str">
        <f>"子弹威力 = "&amp;D4&amp;" ( _parent._parent.空手攻击力 "&amp;F4&amp;E4&amp;" ) "&amp;"*(1+_parent._parent.技能等级"&amp;G4&amp;")"&amp;J4</f>
        <v>子弹威力 =  ( _parent._parent.空手攻击力 *1+100 ) *(1+_parent._parent.技能等级*1)</v>
      </c>
    </row>
    <row r="5" spans="1:12" x14ac:dyDescent="0.25">
      <c r="C5" s="1" t="s">
        <v>69</v>
      </c>
      <c r="E5" s="5" t="s">
        <v>75</v>
      </c>
      <c r="F5" t="s">
        <v>63</v>
      </c>
      <c r="G5" t="s">
        <v>63</v>
      </c>
      <c r="L5" t="str">
        <f>"子弹威力 = "&amp;D5&amp;" ( _parent._parent.空手攻击力 "&amp;F5&amp;E5&amp;" ) "&amp;"*(1+_parent._parent.技能等级"&amp;G5&amp;")"&amp;J5</f>
        <v>子弹威力 =  ( _parent._parent.空手攻击力 *1+100 ) *(1+_parent._parent.技能等级*1)</v>
      </c>
    </row>
    <row r="8" spans="1:12" x14ac:dyDescent="0.25">
      <c r="K8" s="1" t="s">
        <v>67</v>
      </c>
      <c r="L8" s="4"/>
    </row>
    <row r="9" spans="1:12" x14ac:dyDescent="0.25">
      <c r="K9" s="4"/>
      <c r="L9" s="4" t="s">
        <v>73</v>
      </c>
    </row>
    <row r="12" spans="1:12" x14ac:dyDescent="0.25">
      <c r="B12" t="s">
        <v>133</v>
      </c>
      <c r="C12" t="s">
        <v>70</v>
      </c>
      <c r="D12" t="s">
        <v>62</v>
      </c>
      <c r="E12" s="5" t="s">
        <v>75</v>
      </c>
      <c r="F12" t="s">
        <v>138</v>
      </c>
      <c r="G12" t="s">
        <v>63</v>
      </c>
      <c r="J12" s="5" t="s">
        <v>72</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25">
      <c r="C13" t="s">
        <v>65</v>
      </c>
      <c r="E13" s="5" t="s">
        <v>75</v>
      </c>
      <c r="F13" t="s">
        <v>139</v>
      </c>
      <c r="G13" t="s">
        <v>63</v>
      </c>
      <c r="L13" t="str">
        <f>"子弹威力 = "&amp;D13&amp;" ( _parent._parent.空手攻击力 "&amp;F13&amp;E13&amp;" ) "&amp;"*(1+_parent._parent.技能等级"&amp;G13&amp;")"&amp;J13</f>
        <v>子弹威力 =  ( _parent._parent.空手攻击力 /3+100 ) *(1+_parent._parent.技能等级*1)</v>
      </c>
    </row>
    <row r="14" spans="1:12" x14ac:dyDescent="0.25">
      <c r="C14" s="1" t="s">
        <v>69</v>
      </c>
      <c r="E14" s="5" t="s">
        <v>75</v>
      </c>
      <c r="F14" t="s">
        <v>139</v>
      </c>
      <c r="G14" t="s">
        <v>63</v>
      </c>
      <c r="L14" t="str">
        <f>"子弹威力 = "&amp;D14&amp;" ( _parent._parent.空手攻击力 "&amp;F14&amp;E14&amp;" ) "&amp;"*(1+_parent._parent.技能等级"&amp;G14&amp;")"&amp;J14</f>
        <v>子弹威力 =  ( _parent._parent.空手攻击力 /3+100 ) *(1+_parent._parent.技能等级*1)</v>
      </c>
    </row>
    <row r="17" spans="2:29" x14ac:dyDescent="0.25">
      <c r="K17" s="1" t="s">
        <v>67</v>
      </c>
      <c r="L17" s="4"/>
    </row>
    <row r="18" spans="2:29" x14ac:dyDescent="0.25">
      <c r="K18" s="4"/>
      <c r="L18" s="4" t="s">
        <v>73</v>
      </c>
    </row>
    <row r="20" spans="2:29" x14ac:dyDescent="0.25">
      <c r="B20" t="s">
        <v>134</v>
      </c>
      <c r="C20" t="s">
        <v>70</v>
      </c>
      <c r="D20" t="s">
        <v>62</v>
      </c>
      <c r="E20" s="5" t="s">
        <v>75</v>
      </c>
      <c r="F20" t="s">
        <v>132</v>
      </c>
      <c r="G20" t="s">
        <v>63</v>
      </c>
      <c r="H20" s="5" t="s">
        <v>75</v>
      </c>
      <c r="I20" s="5" t="s">
        <v>64</v>
      </c>
      <c r="J20" s="5" t="s">
        <v>72</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25">
      <c r="C21" t="s">
        <v>68</v>
      </c>
      <c r="E21" s="5"/>
      <c r="F21" t="s">
        <v>132</v>
      </c>
      <c r="G21" t="s">
        <v>63</v>
      </c>
      <c r="H21" s="5"/>
      <c r="I21" s="5" t="s">
        <v>64</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25">
      <c r="C22" s="1" t="s">
        <v>69</v>
      </c>
      <c r="E22" s="5" t="s">
        <v>75</v>
      </c>
      <c r="F22" t="s">
        <v>132</v>
      </c>
      <c r="G22" t="s">
        <v>63</v>
      </c>
      <c r="H22" s="5"/>
      <c r="I22" s="5" t="s">
        <v>64</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25">
      <c r="K25" s="1" t="s">
        <v>67</v>
      </c>
      <c r="L25" s="4"/>
    </row>
    <row r="26" spans="2:29" x14ac:dyDescent="0.25">
      <c r="K26" s="4"/>
      <c r="L26" s="4" t="s">
        <v>73</v>
      </c>
    </row>
    <row r="30" spans="2:29" x14ac:dyDescent="0.25">
      <c r="C30" s="1" t="s">
        <v>77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82" workbookViewId="0">
      <selection activeCell="A109" sqref="A109"/>
    </sheetView>
  </sheetViews>
  <sheetFormatPr defaultRowHeight="13.8" x14ac:dyDescent="0.25"/>
  <cols>
    <col min="3" max="3" width="13.5546875" customWidth="1"/>
    <col min="5" max="5" width="12.44140625" customWidth="1"/>
    <col min="6" max="6" width="11.21875" customWidth="1"/>
    <col min="8" max="8" width="6.21875" customWidth="1"/>
    <col min="9" max="9" width="9.109375" customWidth="1"/>
    <col min="10" max="10" width="9.44140625" customWidth="1"/>
    <col min="11" max="11" width="11.77734375" customWidth="1"/>
    <col min="13" max="13" width="15.77734375" customWidth="1"/>
    <col min="14" max="14" width="5.44140625" customWidth="1"/>
    <col min="15" max="15" width="10.109375" customWidth="1"/>
    <col min="16" max="16" width="12.88671875" customWidth="1"/>
    <col min="17" max="17" width="11.6640625" customWidth="1"/>
    <col min="18" max="18" width="9.21875" customWidth="1"/>
    <col min="22" max="23" width="11.21875" bestFit="1" customWidth="1"/>
    <col min="26" max="26" width="10.21875" customWidth="1"/>
    <col min="27" max="27" width="9.77734375" customWidth="1"/>
    <col min="28" max="28" width="11.6640625" customWidth="1"/>
    <col min="33" max="33" width="9.6640625" customWidth="1"/>
  </cols>
  <sheetData>
    <row r="2" spans="2:34" x14ac:dyDescent="0.25">
      <c r="B2" t="s">
        <v>106</v>
      </c>
    </row>
    <row r="3" spans="2:34" x14ac:dyDescent="0.25">
      <c r="B3" t="s">
        <v>103</v>
      </c>
    </row>
    <row r="6" spans="2:34" x14ac:dyDescent="0.25">
      <c r="B6" t="s">
        <v>90</v>
      </c>
      <c r="C6" t="s">
        <v>104</v>
      </c>
      <c r="D6" t="s">
        <v>105</v>
      </c>
      <c r="E6" t="s">
        <v>93</v>
      </c>
      <c r="F6" t="s">
        <v>107</v>
      </c>
      <c r="H6" t="s">
        <v>90</v>
      </c>
      <c r="I6" t="s">
        <v>104</v>
      </c>
      <c r="J6" t="s">
        <v>105</v>
      </c>
      <c r="K6" t="s">
        <v>93</v>
      </c>
      <c r="L6" t="s">
        <v>107</v>
      </c>
      <c r="N6" t="s">
        <v>90</v>
      </c>
      <c r="O6" t="s">
        <v>91</v>
      </c>
      <c r="P6" t="s">
        <v>92</v>
      </c>
      <c r="Q6" t="s">
        <v>93</v>
      </c>
      <c r="R6" t="s">
        <v>108</v>
      </c>
      <c r="S6" t="s">
        <v>94</v>
      </c>
      <c r="U6" t="s">
        <v>120</v>
      </c>
      <c r="Y6" t="s">
        <v>90</v>
      </c>
      <c r="Z6" t="s">
        <v>91</v>
      </c>
      <c r="AA6" t="s">
        <v>92</v>
      </c>
      <c r="AB6" t="s">
        <v>93</v>
      </c>
      <c r="AC6" t="s">
        <v>108</v>
      </c>
      <c r="AD6" t="s">
        <v>94</v>
      </c>
      <c r="AF6" t="s">
        <v>120</v>
      </c>
    </row>
    <row r="7" spans="2:34" x14ac:dyDescent="0.25">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25">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25">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25">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25">
      <c r="B11">
        <v>5</v>
      </c>
      <c r="C11">
        <v>-83</v>
      </c>
      <c r="D11">
        <v>6000</v>
      </c>
      <c r="E11">
        <v>60</v>
      </c>
      <c r="F11">
        <f t="shared" si="0"/>
        <v>432.50847457627117</v>
      </c>
      <c r="G11" t="s">
        <v>109</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25">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25">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25">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25">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122</v>
      </c>
    </row>
    <row r="16" spans="2:34" x14ac:dyDescent="0.25">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121</v>
      </c>
    </row>
    <row r="17" spans="2:33" x14ac:dyDescent="0.25">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25">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25">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25">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25">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25">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25">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25">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25">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25">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25">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25">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25">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25">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25">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25">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25">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25">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25">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25">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25">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25">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25">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25">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25">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25">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25">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25">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25">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25">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25">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25">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25">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25">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25">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25">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25">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25">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25">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25">
      <c r="B56">
        <v>50</v>
      </c>
      <c r="C56">
        <v>-9500</v>
      </c>
      <c r="D56">
        <v>90000</v>
      </c>
      <c r="E56">
        <v>60</v>
      </c>
      <c r="F56">
        <f t="shared" si="6"/>
        <v>74822.03389830509</v>
      </c>
      <c r="G56" t="s">
        <v>109</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25">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25">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25">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25">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25">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25">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25">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25">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25">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25">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25">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25">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25">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25">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25">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25">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25">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25">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25">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25">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25">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25">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25">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25">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25">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25">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25">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25">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25">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25">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25">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25">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25">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25">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25">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25">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25">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25">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25">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25">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25">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25">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25">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25">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25">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25">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25">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25">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25">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25">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25">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25">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25">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25">
      <c r="B110">
        <v>30</v>
      </c>
      <c r="C110">
        <v>265.61398339158382</v>
      </c>
      <c r="D110">
        <v>360.61398339158387</v>
      </c>
      <c r="E110">
        <v>60</v>
      </c>
      <c r="F110">
        <f t="shared" ref="F110:F112" si="26">C110+((D110-C110)/(E110-1))*B110</f>
        <v>313.91906813734658</v>
      </c>
      <c r="M110">
        <f>L106/L109</f>
        <v>0.24842767295597482</v>
      </c>
    </row>
    <row r="111" spans="2:32" x14ac:dyDescent="0.25">
      <c r="B111">
        <v>30</v>
      </c>
      <c r="C111">
        <v>189.28191492822722</v>
      </c>
      <c r="D111">
        <v>468.56382985645445</v>
      </c>
      <c r="E111">
        <v>60</v>
      </c>
      <c r="F111">
        <f t="shared" si="26"/>
        <v>331.28966828156308</v>
      </c>
      <c r="M111">
        <f>L109/L106</f>
        <v>4.0253164556962027</v>
      </c>
    </row>
    <row r="112" spans="2:32" x14ac:dyDescent="0.25">
      <c r="B112">
        <v>30</v>
      </c>
      <c r="C112">
        <v>135.30699169579191</v>
      </c>
      <c r="D112">
        <v>621.22796678316774</v>
      </c>
      <c r="E112">
        <v>60</v>
      </c>
      <c r="F112">
        <f t="shared" si="26"/>
        <v>382.38545360462706</v>
      </c>
    </row>
    <row r="114" spans="6:7" x14ac:dyDescent="0.25">
      <c r="F114" t="s">
        <v>261</v>
      </c>
      <c r="G114">
        <v>393220.33898305101</v>
      </c>
    </row>
    <row r="115" spans="6:7" x14ac:dyDescent="0.25">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3.8" x14ac:dyDescent="0.25"/>
  <cols>
    <col min="11" max="11" width="12.33203125" bestFit="1" customWidth="1"/>
    <col min="21" max="21" width="9.109375" bestFit="1" customWidth="1"/>
  </cols>
  <sheetData>
    <row r="1" spans="1:23" x14ac:dyDescent="0.25">
      <c r="A1" t="s">
        <v>145</v>
      </c>
      <c r="R1" t="s">
        <v>144</v>
      </c>
    </row>
    <row r="2" spans="1:23" x14ac:dyDescent="0.25">
      <c r="B2" t="s">
        <v>110</v>
      </c>
      <c r="S2" t="s">
        <v>146</v>
      </c>
    </row>
    <row r="5" spans="1:23" x14ac:dyDescent="0.25">
      <c r="C5" t="s">
        <v>111</v>
      </c>
      <c r="D5" t="s">
        <v>112</v>
      </c>
      <c r="E5" t="s">
        <v>114</v>
      </c>
      <c r="F5" t="s">
        <v>116</v>
      </c>
      <c r="G5" t="s">
        <v>117</v>
      </c>
      <c r="H5" t="s">
        <v>118</v>
      </c>
      <c r="J5" t="s">
        <v>113</v>
      </c>
      <c r="K5" t="s">
        <v>119</v>
      </c>
      <c r="M5" t="s">
        <v>115</v>
      </c>
      <c r="O5" t="s">
        <v>142</v>
      </c>
      <c r="R5" t="s">
        <v>111</v>
      </c>
      <c r="S5" t="s">
        <v>147</v>
      </c>
      <c r="T5" t="s">
        <v>113</v>
      </c>
      <c r="U5" t="s">
        <v>119</v>
      </c>
      <c r="W5" t="s">
        <v>115</v>
      </c>
    </row>
    <row r="6" spans="1:23" x14ac:dyDescent="0.25">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25">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25">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25">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25">
      <c r="E10">
        <v>0</v>
      </c>
      <c r="F10">
        <f t="shared" si="0"/>
        <v>0</v>
      </c>
      <c r="G10">
        <f t="shared" si="1"/>
        <v>0</v>
      </c>
      <c r="H10">
        <f t="shared" si="2"/>
        <v>1</v>
      </c>
      <c r="J10">
        <v>10000</v>
      </c>
      <c r="K10">
        <f t="shared" si="3"/>
        <v>10000</v>
      </c>
      <c r="M10">
        <f t="shared" ref="M10:M12" si="5">C10*(1-(F10/(F10+300)))</f>
        <v>0</v>
      </c>
    </row>
    <row r="11" spans="1:23" x14ac:dyDescent="0.25">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25">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25">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25">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25">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25">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25">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25">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25">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25">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25">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25">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25">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25">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25">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25">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25">
      <c r="S30">
        <f>18000/30</f>
        <v>600</v>
      </c>
    </row>
    <row r="31" spans="3:19" x14ac:dyDescent="0.25">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25">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25">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25">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25">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25">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25">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25">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K30" sqref="K30"/>
    </sheetView>
  </sheetViews>
  <sheetFormatPr defaultRowHeight="13.8" x14ac:dyDescent="0.25"/>
  <cols>
    <col min="8" max="8" width="9.44140625" customWidth="1"/>
    <col min="9" max="9" width="9.21875" customWidth="1"/>
    <col min="10" max="10" width="8" customWidth="1"/>
    <col min="11" max="11" width="10.44140625" customWidth="1"/>
    <col min="12" max="12" width="11.77734375" customWidth="1"/>
    <col min="13" max="13" width="8.33203125" customWidth="1"/>
    <col min="14" max="14" width="11.21875" customWidth="1"/>
    <col min="15" max="15" width="8.44140625" customWidth="1"/>
    <col min="16" max="16" width="9.77734375" customWidth="1"/>
    <col min="17" max="17" width="7.77734375" customWidth="1"/>
    <col min="18" max="18" width="11.5546875" customWidth="1"/>
    <col min="19" max="19" width="9.109375" customWidth="1"/>
    <col min="20" max="20" width="11.44140625" customWidth="1"/>
    <col min="21" max="21" width="11.5546875" customWidth="1"/>
    <col min="22" max="22" width="15" customWidth="1"/>
  </cols>
  <sheetData>
    <row r="2" spans="2:22" x14ac:dyDescent="0.25">
      <c r="B2" t="s">
        <v>126</v>
      </c>
      <c r="I2" t="s">
        <v>387</v>
      </c>
    </row>
    <row r="3" spans="2:22" x14ac:dyDescent="0.25">
      <c r="C3" t="s">
        <v>123</v>
      </c>
      <c r="D3" t="s">
        <v>124</v>
      </c>
      <c r="E3" t="s">
        <v>125</v>
      </c>
      <c r="J3" t="s">
        <v>388</v>
      </c>
      <c r="K3" t="s">
        <v>389</v>
      </c>
      <c r="L3" t="s">
        <v>390</v>
      </c>
      <c r="M3" t="s">
        <v>394</v>
      </c>
      <c r="N3" t="s">
        <v>395</v>
      </c>
      <c r="O3" t="s">
        <v>393</v>
      </c>
      <c r="P3" t="s">
        <v>396</v>
      </c>
      <c r="Q3" t="s">
        <v>391</v>
      </c>
      <c r="R3" t="s">
        <v>399</v>
      </c>
      <c r="S3" t="s">
        <v>400</v>
      </c>
      <c r="T3" t="s">
        <v>392</v>
      </c>
      <c r="U3" t="s">
        <v>397</v>
      </c>
      <c r="V3" t="s">
        <v>398</v>
      </c>
    </row>
    <row r="4" spans="2:22" x14ac:dyDescent="0.25">
      <c r="C4">
        <v>10</v>
      </c>
      <c r="D4">
        <f>C4*120</f>
        <v>1200</v>
      </c>
      <c r="J4">
        <v>1</v>
      </c>
      <c r="K4">
        <f xml:space="preserve"> (J4- 1) * (J4 - 1) * (J4 - 1) + 1</f>
        <v>1</v>
      </c>
      <c r="L4">
        <f>_xlfn.FLOOR.MATH(0.5*(J4-1)*(J4-1)*(J4-1)+1)</f>
        <v>1</v>
      </c>
      <c r="M4">
        <v>0</v>
      </c>
      <c r="N4">
        <v>0</v>
      </c>
      <c r="O4" s="41">
        <f>0.25*(1+(J4-1)^4.2/216)-1</f>
        <v>-0.75</v>
      </c>
      <c r="P4" s="41">
        <f>0.5*(1+(J4-1)^4.2/216)-0.7</f>
        <v>-0.19999999999999996</v>
      </c>
      <c r="Q4" s="41"/>
      <c r="R4">
        <f t="shared" ref="R4:R16" si="0">J4*200+600</f>
        <v>800</v>
      </c>
      <c r="S4">
        <f>M4*R4</f>
        <v>0</v>
      </c>
      <c r="T4" s="41"/>
    </row>
    <row r="5" spans="2:22" x14ac:dyDescent="0.25">
      <c r="D5">
        <f>C4*C4*10</f>
        <v>1000</v>
      </c>
      <c r="E5">
        <f>D5+100000/100</f>
        <v>2000</v>
      </c>
      <c r="J5">
        <v>2</v>
      </c>
      <c r="K5">
        <f t="shared" ref="K5:K15" si="1" xml:space="preserve"> (J5- 1) * (J5 - 1) * (J5 - 1) + 1</f>
        <v>2</v>
      </c>
      <c r="L5">
        <f t="shared" ref="L5:L15" si="2">_xlfn.FLOOR.MATH(0.5*(J5-1)*(J5-1)*(J5-1)+1)</f>
        <v>1</v>
      </c>
      <c r="M5">
        <f>SUM(K4:K4)</f>
        <v>1</v>
      </c>
      <c r="N5">
        <f>SUM(L4:L4)</f>
        <v>1</v>
      </c>
      <c r="O5" s="41">
        <f t="shared" ref="O5:O16" si="3">0.25*(1+(J5-1)^4.2/216)-1</f>
        <v>-0.74884259259259256</v>
      </c>
      <c r="P5" s="41">
        <f t="shared" ref="P5:P16" si="4">0.5*(1+(J5-1)^4.2/216)-0.7</f>
        <v>-0.19768518518518519</v>
      </c>
      <c r="Q5" s="41">
        <f t="shared" ref="Q5:Q16" si="5">O5/M5</f>
        <v>-0.74884259259259256</v>
      </c>
      <c r="R5">
        <f t="shared" si="0"/>
        <v>1000</v>
      </c>
      <c r="S5">
        <f t="shared" ref="S5:S16" si="6">M5*R5</f>
        <v>1000</v>
      </c>
      <c r="T5" s="41">
        <f>O5/N5</f>
        <v>-0.74884259259259256</v>
      </c>
      <c r="U5" s="41">
        <f>P5/M5</f>
        <v>-0.19768518518518519</v>
      </c>
      <c r="V5" s="41">
        <f>P5/N5</f>
        <v>-0.19768518518518519</v>
      </c>
    </row>
    <row r="6" spans="2:22" x14ac:dyDescent="0.25">
      <c r="J6">
        <v>3</v>
      </c>
      <c r="K6">
        <f t="shared" si="1"/>
        <v>9</v>
      </c>
      <c r="L6">
        <f t="shared" si="2"/>
        <v>5</v>
      </c>
      <c r="M6">
        <f>SUM(K4:K5)</f>
        <v>3</v>
      </c>
      <c r="N6">
        <f>SUM(L4:L5)</f>
        <v>2</v>
      </c>
      <c r="O6" s="41">
        <f t="shared" si="3"/>
        <v>-0.72872780824079564</v>
      </c>
      <c r="P6" s="41">
        <f t="shared" si="4"/>
        <v>-0.15745561648159123</v>
      </c>
      <c r="Q6" s="41">
        <f t="shared" si="5"/>
        <v>-0.24290926941359856</v>
      </c>
      <c r="R6">
        <f t="shared" si="0"/>
        <v>1200</v>
      </c>
      <c r="S6">
        <f t="shared" si="6"/>
        <v>3600</v>
      </c>
      <c r="T6" s="41">
        <f t="shared" ref="T6:T16" si="7">O6/N6</f>
        <v>-0.36436390412039782</v>
      </c>
      <c r="U6" s="41">
        <f t="shared" ref="U6:U16" si="8">P6/M6</f>
        <v>-5.2485205493863742E-2</v>
      </c>
      <c r="V6" s="41">
        <f t="shared" ref="V6:V15" si="9">P6/N6</f>
        <v>-7.8727808240795616E-2</v>
      </c>
    </row>
    <row r="7" spans="2:22" x14ac:dyDescent="0.25">
      <c r="J7">
        <v>4</v>
      </c>
      <c r="K7">
        <f t="shared" si="1"/>
        <v>28</v>
      </c>
      <c r="L7">
        <f t="shared" si="2"/>
        <v>14</v>
      </c>
      <c r="M7">
        <f>SUM(K4:K6)</f>
        <v>12</v>
      </c>
      <c r="N7">
        <f>SUM(L4:L6)</f>
        <v>7</v>
      </c>
      <c r="O7" s="41">
        <f t="shared" si="3"/>
        <v>-0.63321272441104515</v>
      </c>
      <c r="P7" s="41">
        <f t="shared" si="4"/>
        <v>3.3574551177909751E-2</v>
      </c>
      <c r="Q7" s="41">
        <f t="shared" si="5"/>
        <v>-5.276772703425376E-2</v>
      </c>
      <c r="R7">
        <f t="shared" si="0"/>
        <v>1400</v>
      </c>
      <c r="S7">
        <f t="shared" si="6"/>
        <v>16800</v>
      </c>
      <c r="T7" s="41">
        <f t="shared" si="7"/>
        <v>-9.0458960630149313E-2</v>
      </c>
      <c r="U7" s="41">
        <f t="shared" si="8"/>
        <v>2.7978792648258124E-3</v>
      </c>
      <c r="V7" s="41">
        <f t="shared" si="9"/>
        <v>4.7963644539871075E-3</v>
      </c>
    </row>
    <row r="8" spans="2:22" x14ac:dyDescent="0.25">
      <c r="B8" t="s">
        <v>127</v>
      </c>
      <c r="J8">
        <v>5</v>
      </c>
      <c r="K8">
        <f t="shared" si="1"/>
        <v>65</v>
      </c>
      <c r="L8">
        <f t="shared" si="2"/>
        <v>33</v>
      </c>
      <c r="M8">
        <f>SUM(K4:K7)</f>
        <v>40</v>
      </c>
      <c r="N8">
        <f>SUM(L4:L7)</f>
        <v>21</v>
      </c>
      <c r="O8" s="41">
        <f t="shared" si="3"/>
        <v>-0.35903469310432778</v>
      </c>
      <c r="P8" s="41">
        <f t="shared" si="4"/>
        <v>0.58193061379134448</v>
      </c>
      <c r="Q8" s="41">
        <f t="shared" si="5"/>
        <v>-8.9758673276081943E-3</v>
      </c>
      <c r="R8">
        <f t="shared" si="0"/>
        <v>1600</v>
      </c>
      <c r="S8">
        <f t="shared" si="6"/>
        <v>64000</v>
      </c>
      <c r="T8" s="41">
        <f t="shared" si="7"/>
        <v>-1.7096890147825134E-2</v>
      </c>
      <c r="U8" s="41">
        <f t="shared" si="8"/>
        <v>1.4548265344783613E-2</v>
      </c>
      <c r="V8" s="41">
        <f t="shared" si="9"/>
        <v>2.7710981609111642E-2</v>
      </c>
    </row>
    <row r="9" spans="2:22" x14ac:dyDescent="0.25">
      <c r="C9" t="s">
        <v>90</v>
      </c>
      <c r="D9" t="s">
        <v>128</v>
      </c>
      <c r="J9">
        <v>6</v>
      </c>
      <c r="K9">
        <f t="shared" si="1"/>
        <v>126</v>
      </c>
      <c r="L9">
        <f t="shared" si="2"/>
        <v>63</v>
      </c>
      <c r="M9">
        <f>SUM(K4:K8)</f>
        <v>105</v>
      </c>
      <c r="N9">
        <f>SUM(L4:L8)</f>
        <v>54</v>
      </c>
      <c r="O9" s="41">
        <f t="shared" si="3"/>
        <v>0.24806833149682728</v>
      </c>
      <c r="P9" s="41">
        <f t="shared" si="4"/>
        <v>1.7961366629936546</v>
      </c>
      <c r="Q9" s="41">
        <f t="shared" si="5"/>
        <v>2.3625555380650215E-3</v>
      </c>
      <c r="R9">
        <f t="shared" si="0"/>
        <v>1800</v>
      </c>
      <c r="S9">
        <f t="shared" si="6"/>
        <v>189000</v>
      </c>
      <c r="T9" s="41">
        <f t="shared" si="7"/>
        <v>4.5938579906819868E-3</v>
      </c>
      <c r="U9" s="41">
        <f t="shared" si="8"/>
        <v>1.7106063457082425E-2</v>
      </c>
      <c r="V9" s="41">
        <f t="shared" si="9"/>
        <v>3.3261790055438049E-2</v>
      </c>
    </row>
    <row r="10" spans="2:22" x14ac:dyDescent="0.25">
      <c r="C10">
        <v>1</v>
      </c>
      <c r="D10">
        <f>2500+C10*2500</f>
        <v>5000</v>
      </c>
      <c r="J10">
        <v>7</v>
      </c>
      <c r="K10">
        <f t="shared" si="1"/>
        <v>217</v>
      </c>
      <c r="L10">
        <f t="shared" si="2"/>
        <v>109</v>
      </c>
      <c r="M10">
        <f>SUM(K4:K9)</f>
        <v>231</v>
      </c>
      <c r="N10">
        <f>SUM(L4:L9)</f>
        <v>117</v>
      </c>
      <c r="O10" s="41">
        <f t="shared" si="3"/>
        <v>1.396453621657884</v>
      </c>
      <c r="P10" s="41">
        <f t="shared" si="4"/>
        <v>4.0929072433157678</v>
      </c>
      <c r="Q10" s="41">
        <f t="shared" si="5"/>
        <v>6.0452537734107534E-3</v>
      </c>
      <c r="R10">
        <f t="shared" si="0"/>
        <v>2000</v>
      </c>
      <c r="S10">
        <f t="shared" si="6"/>
        <v>462000</v>
      </c>
      <c r="T10" s="41">
        <f t="shared" si="7"/>
        <v>1.1935501039810975E-2</v>
      </c>
      <c r="U10" s="41">
        <f t="shared" si="8"/>
        <v>1.7718213174527132E-2</v>
      </c>
      <c r="V10" s="41">
        <f t="shared" si="9"/>
        <v>3.4982113190733057E-2</v>
      </c>
    </row>
    <row r="11" spans="2:22" x14ac:dyDescent="0.25">
      <c r="C11">
        <v>2</v>
      </c>
      <c r="D11">
        <f>2500+C11*2500</f>
        <v>7500</v>
      </c>
      <c r="J11">
        <v>8</v>
      </c>
      <c r="K11">
        <f t="shared" si="1"/>
        <v>344</v>
      </c>
      <c r="L11">
        <f t="shared" si="2"/>
        <v>172</v>
      </c>
      <c r="M11">
        <f>SUM(K4:K10)</f>
        <v>448</v>
      </c>
      <c r="N11">
        <f>SUM(L4:L10)</f>
        <v>226</v>
      </c>
      <c r="O11" s="41">
        <f t="shared" si="3"/>
        <v>3.3510779641070823</v>
      </c>
      <c r="P11" s="41">
        <f t="shared" si="4"/>
        <v>8.0021559282141652</v>
      </c>
      <c r="Q11" s="41">
        <f t="shared" si="5"/>
        <v>7.4800847413104511E-3</v>
      </c>
      <c r="R11">
        <f t="shared" si="0"/>
        <v>2200</v>
      </c>
      <c r="S11">
        <f t="shared" si="6"/>
        <v>985600</v>
      </c>
      <c r="T11" s="41">
        <f t="shared" si="7"/>
        <v>1.4827778602243727E-2</v>
      </c>
      <c r="U11" s="41">
        <f t="shared" si="8"/>
        <v>1.7861955196906618E-2</v>
      </c>
      <c r="V11" s="41">
        <f t="shared" si="9"/>
        <v>3.5407769593867988E-2</v>
      </c>
    </row>
    <row r="12" spans="2:22" x14ac:dyDescent="0.25">
      <c r="C12">
        <v>3</v>
      </c>
      <c r="D12">
        <f t="shared" ref="D12:D18" si="10">2500+C12*2500</f>
        <v>10000</v>
      </c>
      <c r="J12">
        <v>9</v>
      </c>
      <c r="K12">
        <f t="shared" si="1"/>
        <v>513</v>
      </c>
      <c r="L12">
        <f t="shared" si="2"/>
        <v>257</v>
      </c>
      <c r="M12">
        <f>SUM(K4:K11)</f>
        <v>792</v>
      </c>
      <c r="N12">
        <f>SUM(L4:L11)</f>
        <v>398</v>
      </c>
      <c r="O12" s="41">
        <f t="shared" si="3"/>
        <v>6.4356192782715125</v>
      </c>
      <c r="P12" s="41">
        <f t="shared" si="4"/>
        <v>14.171238556543026</v>
      </c>
      <c r="Q12" s="41">
        <f t="shared" si="5"/>
        <v>8.125781917009486E-3</v>
      </c>
      <c r="R12">
        <f t="shared" si="0"/>
        <v>2400</v>
      </c>
      <c r="S12">
        <f t="shared" si="6"/>
        <v>1900800</v>
      </c>
      <c r="T12" s="41">
        <f t="shared" si="7"/>
        <v>1.6169897684099276E-2</v>
      </c>
      <c r="U12" s="41">
        <f t="shared" si="8"/>
        <v>1.7892977975433114E-2</v>
      </c>
      <c r="V12" s="41">
        <f t="shared" si="9"/>
        <v>3.5606127026490013E-2</v>
      </c>
    </row>
    <row r="13" spans="2:22" x14ac:dyDescent="0.25">
      <c r="C13">
        <v>4</v>
      </c>
      <c r="D13">
        <f t="shared" si="10"/>
        <v>12500</v>
      </c>
      <c r="J13">
        <v>10</v>
      </c>
      <c r="K13">
        <f t="shared" si="1"/>
        <v>730</v>
      </c>
      <c r="L13">
        <f t="shared" si="2"/>
        <v>365</v>
      </c>
      <c r="M13">
        <f>SUM(K4:K12)</f>
        <v>1305</v>
      </c>
      <c r="N13">
        <f>SUM(L4:L12)</f>
        <v>655</v>
      </c>
      <c r="O13" s="41">
        <f t="shared" si="3"/>
        <v>11.034327326919785</v>
      </c>
      <c r="P13" s="41">
        <f t="shared" si="4"/>
        <v>23.36865465383957</v>
      </c>
      <c r="Q13" s="41">
        <f t="shared" si="5"/>
        <v>8.4554232390189922E-3</v>
      </c>
      <c r="R13">
        <f t="shared" si="0"/>
        <v>2600</v>
      </c>
      <c r="S13">
        <f t="shared" si="6"/>
        <v>3393000</v>
      </c>
      <c r="T13" s="41">
        <f t="shared" si="7"/>
        <v>1.6846301262472954E-2</v>
      </c>
      <c r="U13" s="41">
        <f t="shared" si="8"/>
        <v>1.7907015060413464E-2</v>
      </c>
      <c r="V13" s="41">
        <f t="shared" si="9"/>
        <v>3.5677335349373389E-2</v>
      </c>
    </row>
    <row r="14" spans="2:22" x14ac:dyDescent="0.25">
      <c r="C14">
        <v>5</v>
      </c>
      <c r="D14">
        <f t="shared" si="10"/>
        <v>15000</v>
      </c>
      <c r="J14">
        <v>11</v>
      </c>
      <c r="K14">
        <f t="shared" si="1"/>
        <v>1001</v>
      </c>
      <c r="L14">
        <f t="shared" si="2"/>
        <v>501</v>
      </c>
      <c r="M14">
        <f>SUM(K4:K13)</f>
        <v>2035</v>
      </c>
      <c r="N14">
        <f>SUM(L4:L13)</f>
        <v>1020</v>
      </c>
      <c r="O14" s="41">
        <f t="shared" si="3"/>
        <v>17.593671209040679</v>
      </c>
      <c r="P14" s="41">
        <f t="shared" si="4"/>
        <v>36.487342418081354</v>
      </c>
      <c r="Q14" s="41">
        <f t="shared" si="5"/>
        <v>8.6455386776612669E-3</v>
      </c>
      <c r="R14">
        <f t="shared" si="0"/>
        <v>2800</v>
      </c>
      <c r="S14">
        <f t="shared" si="6"/>
        <v>5698000</v>
      </c>
      <c r="T14" s="41">
        <f t="shared" si="7"/>
        <v>1.7248697263765371E-2</v>
      </c>
      <c r="U14" s="41">
        <f t="shared" si="8"/>
        <v>1.7929897994143171E-2</v>
      </c>
      <c r="V14" s="41">
        <f t="shared" si="9"/>
        <v>3.577190433145231E-2</v>
      </c>
    </row>
    <row r="15" spans="2:22" x14ac:dyDescent="0.25">
      <c r="C15">
        <v>6</v>
      </c>
      <c r="D15">
        <f t="shared" si="10"/>
        <v>17500</v>
      </c>
      <c r="J15">
        <v>12</v>
      </c>
      <c r="K15">
        <f t="shared" si="1"/>
        <v>1332</v>
      </c>
      <c r="L15">
        <f t="shared" si="2"/>
        <v>666</v>
      </c>
      <c r="M15">
        <f>SUM(K4:K14)</f>
        <v>3036</v>
      </c>
      <c r="N15">
        <f>SUM(L4:L14)</f>
        <v>1521</v>
      </c>
      <c r="O15" s="41">
        <f t="shared" si="3"/>
        <v>26.623828068826533</v>
      </c>
      <c r="P15" s="41">
        <f t="shared" si="4"/>
        <v>54.547656137653064</v>
      </c>
      <c r="Q15" s="41">
        <f t="shared" si="5"/>
        <v>8.7693768342643388E-3</v>
      </c>
      <c r="R15">
        <f t="shared" si="0"/>
        <v>3000</v>
      </c>
      <c r="S15">
        <f t="shared" si="6"/>
        <v>9108000</v>
      </c>
      <c r="T15" s="41">
        <f t="shared" si="7"/>
        <v>1.7504160466026649E-2</v>
      </c>
      <c r="U15" s="41">
        <f t="shared" si="8"/>
        <v>1.7966948661941061E-2</v>
      </c>
      <c r="V15" s="41">
        <f t="shared" si="9"/>
        <v>3.586302178675415E-2</v>
      </c>
    </row>
    <row r="16" spans="2:22" x14ac:dyDescent="0.25">
      <c r="C16">
        <v>7</v>
      </c>
      <c r="D16">
        <f t="shared" si="10"/>
        <v>20000</v>
      </c>
      <c r="J16">
        <v>13</v>
      </c>
      <c r="M16">
        <f>SUM(K4:K15)</f>
        <v>4368</v>
      </c>
      <c r="N16">
        <f>SUM(L4:L15)</f>
        <v>2187</v>
      </c>
      <c r="O16" s="41">
        <f t="shared" si="3"/>
        <v>38.700043908413448</v>
      </c>
      <c r="P16" s="41">
        <f t="shared" si="4"/>
        <v>78.700087816826894</v>
      </c>
      <c r="Q16" s="41">
        <f t="shared" si="5"/>
        <v>8.8599001621825664E-3</v>
      </c>
      <c r="R16">
        <f t="shared" si="0"/>
        <v>3200</v>
      </c>
      <c r="S16">
        <f t="shared" si="6"/>
        <v>13977600</v>
      </c>
      <c r="T16" s="41">
        <f t="shared" si="7"/>
        <v>1.7695493328035414E-2</v>
      </c>
      <c r="U16" s="41">
        <f t="shared" si="8"/>
        <v>1.8017419371984179E-2</v>
      </c>
      <c r="V16" s="41">
        <f>P16/N16</f>
        <v>3.5985408238146728E-2</v>
      </c>
    </row>
    <row r="17" spans="3:15" x14ac:dyDescent="0.25">
      <c r="C17">
        <v>8</v>
      </c>
      <c r="D17">
        <f t="shared" si="10"/>
        <v>22500</v>
      </c>
    </row>
    <row r="18" spans="3:15" x14ac:dyDescent="0.25">
      <c r="C18">
        <v>9</v>
      </c>
      <c r="D18">
        <f t="shared" si="10"/>
        <v>25000</v>
      </c>
    </row>
    <row r="19" spans="3:15" x14ac:dyDescent="0.25">
      <c r="C19">
        <v>10</v>
      </c>
      <c r="D19">
        <f>C19*5000-20000</f>
        <v>30000</v>
      </c>
    </row>
    <row r="20" spans="3:15" x14ac:dyDescent="0.25">
      <c r="C20">
        <v>11</v>
      </c>
      <c r="D20">
        <f t="shared" ref="D20:D58" si="11">C20*5000-20000</f>
        <v>35000</v>
      </c>
    </row>
    <row r="21" spans="3:15" x14ac:dyDescent="0.25">
      <c r="C21">
        <v>12</v>
      </c>
      <c r="D21">
        <f t="shared" si="11"/>
        <v>40000</v>
      </c>
    </row>
    <row r="22" spans="3:15" x14ac:dyDescent="0.25">
      <c r="C22">
        <v>13</v>
      </c>
      <c r="D22">
        <f t="shared" si="11"/>
        <v>45000</v>
      </c>
    </row>
    <row r="23" spans="3:15" x14ac:dyDescent="0.25">
      <c r="C23">
        <v>14</v>
      </c>
      <c r="D23">
        <f t="shared" si="11"/>
        <v>50000</v>
      </c>
    </row>
    <row r="24" spans="3:15" x14ac:dyDescent="0.25">
      <c r="C24">
        <v>15</v>
      </c>
      <c r="D24">
        <f t="shared" si="11"/>
        <v>55000</v>
      </c>
      <c r="H24" t="s">
        <v>513</v>
      </c>
      <c r="I24" t="s">
        <v>511</v>
      </c>
      <c r="J24" t="s">
        <v>505</v>
      </c>
    </row>
    <row r="25" spans="3:15" x14ac:dyDescent="0.25">
      <c r="C25">
        <v>16</v>
      </c>
      <c r="D25">
        <f t="shared" si="11"/>
        <v>60000</v>
      </c>
      <c r="I25" t="s">
        <v>514</v>
      </c>
      <c r="K25" t="s">
        <v>506</v>
      </c>
      <c r="M25" t="s">
        <v>507</v>
      </c>
      <c r="O25" t="s">
        <v>508</v>
      </c>
    </row>
    <row r="26" spans="3:15" x14ac:dyDescent="0.25">
      <c r="C26">
        <v>17</v>
      </c>
      <c r="D26">
        <f t="shared" si="11"/>
        <v>65000</v>
      </c>
      <c r="J26" t="s">
        <v>509</v>
      </c>
      <c r="K26" t="str">
        <f>I25&amp;K25&amp;J26</f>
        <v>通用重甲攻击套</v>
      </c>
      <c r="M26" t="str">
        <f>I25&amp;M25&amp;J26</f>
        <v>通用中甲攻击套</v>
      </c>
      <c r="O26" t="str">
        <f>I25&amp;O25&amp;J26</f>
        <v>通用轻甲攻击套</v>
      </c>
    </row>
    <row r="27" spans="3:15" x14ac:dyDescent="0.25">
      <c r="C27">
        <v>18</v>
      </c>
      <c r="D27">
        <f t="shared" si="11"/>
        <v>70000</v>
      </c>
      <c r="J27" t="s">
        <v>510</v>
      </c>
      <c r="K27" t="str">
        <f>I25&amp;K25&amp;J27</f>
        <v>通用重甲一般套</v>
      </c>
      <c r="M27" t="str">
        <f>I25&amp;M25&amp;J27</f>
        <v>通用中甲一般套</v>
      </c>
      <c r="O27" t="str">
        <f>I25&amp;O25&amp;J27</f>
        <v>通用轻甲一般套</v>
      </c>
    </row>
    <row r="28" spans="3:15" x14ac:dyDescent="0.25">
      <c r="C28">
        <v>19</v>
      </c>
      <c r="D28">
        <f t="shared" si="11"/>
        <v>75000</v>
      </c>
      <c r="J28" t="s">
        <v>519</v>
      </c>
      <c r="K28" t="str">
        <f>I25&amp;K25&amp;J28</f>
        <v>通用重甲物防套</v>
      </c>
      <c r="M28" t="str">
        <f>I25&amp;M25&amp;J28</f>
        <v>通用中甲物防套</v>
      </c>
      <c r="O28" t="str">
        <f>I25&amp;O25&amp;J28</f>
        <v>通用轻甲物防套</v>
      </c>
    </row>
    <row r="29" spans="3:15" x14ac:dyDescent="0.25">
      <c r="C29">
        <v>20</v>
      </c>
      <c r="D29">
        <f t="shared" si="11"/>
        <v>80000</v>
      </c>
      <c r="J29" t="s">
        <v>520</v>
      </c>
      <c r="K29" t="str">
        <f>I25&amp;K25&amp;J29</f>
        <v>通用重甲魔抗套</v>
      </c>
      <c r="M29" t="str">
        <f>I25&amp;M25&amp;J29</f>
        <v>通用中甲魔抗套</v>
      </c>
      <c r="O29" t="str">
        <f>I25&amp;O25&amp;J29</f>
        <v>通用轻甲魔抗套</v>
      </c>
    </row>
    <row r="30" spans="3:15" x14ac:dyDescent="0.25">
      <c r="C30">
        <v>21</v>
      </c>
      <c r="D30">
        <f t="shared" si="11"/>
        <v>85000</v>
      </c>
      <c r="J30" t="s">
        <v>521</v>
      </c>
      <c r="K30" t="str">
        <f>I25&amp;K25&amp;J30</f>
        <v>通用重甲血防套</v>
      </c>
      <c r="M30" t="str">
        <f>I25&amp;M25&amp;J30</f>
        <v>通用中甲血防套</v>
      </c>
      <c r="O30" t="str">
        <f>I25&amp;O25&amp;J30</f>
        <v>通用轻甲血防套</v>
      </c>
    </row>
    <row r="31" spans="3:15" x14ac:dyDescent="0.25">
      <c r="C31">
        <v>22</v>
      </c>
      <c r="D31">
        <f t="shared" si="11"/>
        <v>90000</v>
      </c>
      <c r="I31" t="s">
        <v>512</v>
      </c>
      <c r="K31" t="s">
        <v>506</v>
      </c>
      <c r="M31" t="s">
        <v>507</v>
      </c>
      <c r="O31" t="s">
        <v>508</v>
      </c>
    </row>
    <row r="32" spans="3:15" x14ac:dyDescent="0.25">
      <c r="C32">
        <v>23</v>
      </c>
      <c r="D32">
        <f t="shared" si="11"/>
        <v>95000</v>
      </c>
      <c r="J32" t="s">
        <v>509</v>
      </c>
      <c r="K32" t="str">
        <f>I31&amp;K31&amp;J32</f>
        <v>刀剑重甲攻击套</v>
      </c>
      <c r="M32" t="str">
        <f>I31&amp;M31&amp;J32</f>
        <v>刀剑中甲攻击套</v>
      </c>
      <c r="O32" t="str">
        <f>I31&amp;O31&amp;J32</f>
        <v>刀剑轻甲攻击套</v>
      </c>
    </row>
    <row r="33" spans="3:15" x14ac:dyDescent="0.25">
      <c r="C33">
        <v>24</v>
      </c>
      <c r="D33">
        <f t="shared" si="11"/>
        <v>100000</v>
      </c>
      <c r="J33" t="s">
        <v>510</v>
      </c>
      <c r="K33" t="str">
        <f>I31&amp;K31&amp;J33</f>
        <v>刀剑重甲一般套</v>
      </c>
      <c r="M33" t="str">
        <f>I31&amp;M31&amp;J33</f>
        <v>刀剑中甲一般套</v>
      </c>
      <c r="O33" t="str">
        <f>I31&amp;O31&amp;J33</f>
        <v>刀剑轻甲一般套</v>
      </c>
    </row>
    <row r="34" spans="3:15" x14ac:dyDescent="0.25">
      <c r="C34">
        <v>25</v>
      </c>
      <c r="D34">
        <f t="shared" si="11"/>
        <v>105000</v>
      </c>
      <c r="J34" t="s">
        <v>519</v>
      </c>
      <c r="K34" t="str">
        <f>I31&amp;K31&amp;J34</f>
        <v>刀剑重甲物防套</v>
      </c>
      <c r="M34" t="str">
        <f>I31&amp;M31&amp;J34</f>
        <v>刀剑中甲物防套</v>
      </c>
      <c r="O34" t="str">
        <f>I31&amp;O31&amp;J34</f>
        <v>刀剑轻甲物防套</v>
      </c>
    </row>
    <row r="35" spans="3:15" x14ac:dyDescent="0.25">
      <c r="C35">
        <v>26</v>
      </c>
      <c r="D35">
        <f t="shared" si="11"/>
        <v>110000</v>
      </c>
      <c r="J35" t="s">
        <v>520</v>
      </c>
      <c r="K35" t="str">
        <f>I31&amp;K31&amp;J35</f>
        <v>刀剑重甲魔抗套</v>
      </c>
      <c r="M35" t="str">
        <f>I31&amp;M31&amp;J35</f>
        <v>刀剑中甲魔抗套</v>
      </c>
      <c r="O35" t="str">
        <f>I31&amp;O31&amp;J35</f>
        <v>刀剑轻甲魔抗套</v>
      </c>
    </row>
    <row r="36" spans="3:15" x14ac:dyDescent="0.25">
      <c r="C36">
        <v>27</v>
      </c>
      <c r="D36">
        <f t="shared" si="11"/>
        <v>115000</v>
      </c>
      <c r="J36" t="s">
        <v>521</v>
      </c>
      <c r="K36" t="str">
        <f>I31&amp;K31&amp;J36</f>
        <v>刀剑重甲血防套</v>
      </c>
      <c r="M36" t="str">
        <f>I31&amp;M31&amp;J36</f>
        <v>刀剑中甲血防套</v>
      </c>
      <c r="O36" t="str">
        <f>I31&amp;O31&amp;J36</f>
        <v>刀剑轻甲血防套</v>
      </c>
    </row>
    <row r="37" spans="3:15" x14ac:dyDescent="0.25">
      <c r="C37">
        <v>28</v>
      </c>
      <c r="D37">
        <f t="shared" si="11"/>
        <v>120000</v>
      </c>
      <c r="I37" t="s">
        <v>515</v>
      </c>
      <c r="K37" t="s">
        <v>506</v>
      </c>
      <c r="M37" t="s">
        <v>507</v>
      </c>
      <c r="O37" t="s">
        <v>508</v>
      </c>
    </row>
    <row r="38" spans="3:15" x14ac:dyDescent="0.25">
      <c r="C38">
        <v>29</v>
      </c>
      <c r="D38">
        <f t="shared" si="11"/>
        <v>125000</v>
      </c>
      <c r="J38" t="s">
        <v>509</v>
      </c>
      <c r="K38" t="str">
        <f>I37&amp;K37&amp;J38</f>
        <v>枪械重甲攻击套</v>
      </c>
      <c r="M38" t="str">
        <f>I37&amp;M37&amp;J38</f>
        <v>枪械中甲攻击套</v>
      </c>
      <c r="O38" t="str">
        <f>I37&amp;O37&amp;J38</f>
        <v>枪械轻甲攻击套</v>
      </c>
    </row>
    <row r="39" spans="3:15" x14ac:dyDescent="0.25">
      <c r="C39">
        <v>30</v>
      </c>
      <c r="D39">
        <f t="shared" si="11"/>
        <v>130000</v>
      </c>
      <c r="J39" t="s">
        <v>510</v>
      </c>
      <c r="K39" t="str">
        <f>I37&amp;K37&amp;J39</f>
        <v>枪械重甲一般套</v>
      </c>
      <c r="M39" t="str">
        <f>I37&amp;M37&amp;J39</f>
        <v>枪械中甲一般套</v>
      </c>
      <c r="O39" t="str">
        <f>I37&amp;O37&amp;J39</f>
        <v>枪械轻甲一般套</v>
      </c>
    </row>
    <row r="40" spans="3:15" x14ac:dyDescent="0.25">
      <c r="C40">
        <v>31</v>
      </c>
      <c r="D40">
        <f t="shared" si="11"/>
        <v>135000</v>
      </c>
      <c r="J40" t="s">
        <v>519</v>
      </c>
      <c r="K40" t="str">
        <f>I37&amp;K37&amp;J40</f>
        <v>枪械重甲物防套</v>
      </c>
      <c r="M40" t="str">
        <f>I37&amp;M37&amp;J40</f>
        <v>枪械中甲物防套</v>
      </c>
      <c r="O40" t="str">
        <f>I37&amp;O37&amp;J40</f>
        <v>枪械轻甲物防套</v>
      </c>
    </row>
    <row r="41" spans="3:15" x14ac:dyDescent="0.25">
      <c r="C41">
        <v>32</v>
      </c>
      <c r="D41">
        <f t="shared" si="11"/>
        <v>140000</v>
      </c>
      <c r="J41" t="s">
        <v>520</v>
      </c>
      <c r="K41" t="str">
        <f>I37&amp;K37&amp;J41</f>
        <v>枪械重甲魔抗套</v>
      </c>
      <c r="M41" t="str">
        <f>I37&amp;M37&amp;J41</f>
        <v>枪械中甲魔抗套</v>
      </c>
      <c r="O41" t="str">
        <f>I37&amp;O37&amp;J41</f>
        <v>枪械轻甲魔抗套</v>
      </c>
    </row>
    <row r="42" spans="3:15" x14ac:dyDescent="0.25">
      <c r="C42">
        <v>33</v>
      </c>
      <c r="D42">
        <f t="shared" si="11"/>
        <v>145000</v>
      </c>
      <c r="J42" t="s">
        <v>521</v>
      </c>
      <c r="K42" t="str">
        <f>I37&amp;K37&amp;J42</f>
        <v>枪械重甲血防套</v>
      </c>
      <c r="M42" t="str">
        <f>I37&amp;M37&amp;J42</f>
        <v>枪械中甲血防套</v>
      </c>
      <c r="O42" t="str">
        <f>I37&amp;O37&amp;J42</f>
        <v>枪械轻甲血防套</v>
      </c>
    </row>
    <row r="43" spans="3:15" x14ac:dyDescent="0.25">
      <c r="C43">
        <v>34</v>
      </c>
      <c r="D43">
        <f>C43*5000-20000</f>
        <v>150000</v>
      </c>
      <c r="I43" t="s">
        <v>516</v>
      </c>
      <c r="K43" t="s">
        <v>506</v>
      </c>
      <c r="M43" t="s">
        <v>507</v>
      </c>
      <c r="O43" t="s">
        <v>508</v>
      </c>
    </row>
    <row r="44" spans="3:15" x14ac:dyDescent="0.25">
      <c r="C44">
        <v>35</v>
      </c>
      <c r="D44">
        <f t="shared" si="11"/>
        <v>155000</v>
      </c>
      <c r="J44" t="s">
        <v>509</v>
      </c>
      <c r="K44" t="str">
        <f>I43&amp;K43&amp;J44</f>
        <v>拳皇重甲攻击套</v>
      </c>
      <c r="M44" t="str">
        <f>I43&amp;M43&amp;J44</f>
        <v>拳皇中甲攻击套</v>
      </c>
      <c r="O44" t="str">
        <f>I43&amp;O43&amp;J44</f>
        <v>拳皇轻甲攻击套</v>
      </c>
    </row>
    <row r="45" spans="3:15" x14ac:dyDescent="0.25">
      <c r="C45">
        <v>36</v>
      </c>
      <c r="D45">
        <f t="shared" si="11"/>
        <v>160000</v>
      </c>
      <c r="J45" t="s">
        <v>510</v>
      </c>
      <c r="K45" t="str">
        <f>I43&amp;K43&amp;J45</f>
        <v>拳皇重甲一般套</v>
      </c>
      <c r="M45" t="str">
        <f>I43&amp;M43&amp;J45</f>
        <v>拳皇中甲一般套</v>
      </c>
      <c r="O45" t="str">
        <f>I43&amp;O43&amp;J45</f>
        <v>拳皇轻甲一般套</v>
      </c>
    </row>
    <row r="46" spans="3:15" x14ac:dyDescent="0.25">
      <c r="C46">
        <v>37</v>
      </c>
      <c r="D46">
        <f t="shared" si="11"/>
        <v>165000</v>
      </c>
      <c r="J46" t="s">
        <v>519</v>
      </c>
      <c r="K46" t="str">
        <f>I43&amp;K43&amp;J46</f>
        <v>拳皇重甲物防套</v>
      </c>
      <c r="M46" t="str">
        <f>I43&amp;M43&amp;J46</f>
        <v>拳皇中甲物防套</v>
      </c>
      <c r="O46" t="str">
        <f>I43&amp;O43&amp;J46</f>
        <v>拳皇轻甲物防套</v>
      </c>
    </row>
    <row r="47" spans="3:15" x14ac:dyDescent="0.25">
      <c r="C47">
        <v>38</v>
      </c>
      <c r="D47">
        <f t="shared" si="11"/>
        <v>170000</v>
      </c>
      <c r="J47" t="s">
        <v>520</v>
      </c>
      <c r="K47" t="str">
        <f>I43&amp;K43&amp;J47</f>
        <v>拳皇重甲魔抗套</v>
      </c>
      <c r="M47" t="str">
        <f>I43&amp;M43&amp;J47</f>
        <v>拳皇中甲魔抗套</v>
      </c>
      <c r="O47" t="str">
        <f>I43&amp;O43&amp;J47</f>
        <v>拳皇轻甲魔抗套</v>
      </c>
    </row>
    <row r="48" spans="3:15" x14ac:dyDescent="0.25">
      <c r="C48">
        <v>39</v>
      </c>
      <c r="D48">
        <f t="shared" si="11"/>
        <v>175000</v>
      </c>
      <c r="J48" t="s">
        <v>521</v>
      </c>
      <c r="K48" t="str">
        <f>I43&amp;K43&amp;J48</f>
        <v>拳皇重甲血防套</v>
      </c>
      <c r="M48" t="str">
        <f>I43&amp;M43&amp;J48</f>
        <v>拳皇中甲血防套</v>
      </c>
      <c r="O48" t="str">
        <f>I43&amp;O43&amp;J48</f>
        <v>拳皇轻甲血防套</v>
      </c>
    </row>
    <row r="49" spans="3:15" x14ac:dyDescent="0.25">
      <c r="C49">
        <v>40</v>
      </c>
      <c r="D49">
        <f t="shared" si="11"/>
        <v>180000</v>
      </c>
      <c r="I49" t="s">
        <v>517</v>
      </c>
      <c r="K49" t="s">
        <v>506</v>
      </c>
      <c r="M49" t="s">
        <v>507</v>
      </c>
      <c r="O49" t="s">
        <v>508</v>
      </c>
    </row>
    <row r="50" spans="3:15" x14ac:dyDescent="0.25">
      <c r="C50">
        <v>41</v>
      </c>
      <c r="D50">
        <f t="shared" si="11"/>
        <v>185000</v>
      </c>
      <c r="J50" t="s">
        <v>509</v>
      </c>
      <c r="K50" t="str">
        <f>I49&amp;K49&amp;J50</f>
        <v>刀内力重甲攻击套</v>
      </c>
      <c r="M50" t="str">
        <f>I49&amp;M49&amp;J50</f>
        <v>刀内力中甲攻击套</v>
      </c>
      <c r="O50" t="str">
        <f>I49&amp;O49&amp;J50</f>
        <v>刀内力轻甲攻击套</v>
      </c>
    </row>
    <row r="51" spans="3:15" x14ac:dyDescent="0.25">
      <c r="C51">
        <v>42</v>
      </c>
      <c r="D51">
        <f t="shared" si="11"/>
        <v>190000</v>
      </c>
      <c r="J51" t="s">
        <v>510</v>
      </c>
      <c r="K51" t="str">
        <f>I49&amp;K49&amp;J51</f>
        <v>刀内力重甲一般套</v>
      </c>
      <c r="M51" t="str">
        <f>I49&amp;M49&amp;J51</f>
        <v>刀内力中甲一般套</v>
      </c>
      <c r="O51" t="str">
        <f>I49&amp;O49&amp;J51</f>
        <v>刀内力轻甲一般套</v>
      </c>
    </row>
    <row r="52" spans="3:15" x14ac:dyDescent="0.25">
      <c r="C52">
        <v>43</v>
      </c>
      <c r="D52">
        <f t="shared" si="11"/>
        <v>195000</v>
      </c>
      <c r="J52" t="s">
        <v>519</v>
      </c>
      <c r="K52" t="str">
        <f>I49&amp;K49&amp;J52</f>
        <v>刀内力重甲物防套</v>
      </c>
      <c r="M52" t="str">
        <f>I49&amp;M49&amp;J52</f>
        <v>刀内力中甲物防套</v>
      </c>
      <c r="O52" t="str">
        <f>I49&amp;O49&amp;J52</f>
        <v>刀内力轻甲物防套</v>
      </c>
    </row>
    <row r="53" spans="3:15" x14ac:dyDescent="0.25">
      <c r="C53">
        <v>44</v>
      </c>
      <c r="D53">
        <f t="shared" si="11"/>
        <v>200000</v>
      </c>
      <c r="J53" t="s">
        <v>520</v>
      </c>
      <c r="K53" t="str">
        <f>I49&amp;K49&amp;J53</f>
        <v>刀内力重甲魔抗套</v>
      </c>
      <c r="M53" t="str">
        <f>I49&amp;M49&amp;J53</f>
        <v>刀内力中甲魔抗套</v>
      </c>
      <c r="O53" t="str">
        <f>I49&amp;O49&amp;J53</f>
        <v>刀内力轻甲魔抗套</v>
      </c>
    </row>
    <row r="54" spans="3:15" x14ac:dyDescent="0.25">
      <c r="C54">
        <v>45</v>
      </c>
      <c r="D54">
        <f t="shared" si="11"/>
        <v>205000</v>
      </c>
      <c r="J54" t="s">
        <v>521</v>
      </c>
      <c r="K54" t="str">
        <f>I49&amp;K49&amp;J54</f>
        <v>刀内力重甲血防套</v>
      </c>
      <c r="M54" t="str">
        <f>I49&amp;M49&amp;J54</f>
        <v>刀内力中甲血防套</v>
      </c>
      <c r="O54" t="str">
        <f>I49&amp;O49&amp;J54</f>
        <v>刀内力轻甲血防套</v>
      </c>
    </row>
    <row r="55" spans="3:15" x14ac:dyDescent="0.25">
      <c r="C55">
        <v>46</v>
      </c>
      <c r="D55">
        <f t="shared" si="11"/>
        <v>210000</v>
      </c>
      <c r="I55" t="s">
        <v>518</v>
      </c>
      <c r="K55" t="s">
        <v>506</v>
      </c>
      <c r="M55" t="s">
        <v>507</v>
      </c>
      <c r="O55" t="s">
        <v>508</v>
      </c>
    </row>
    <row r="56" spans="3:15" x14ac:dyDescent="0.25">
      <c r="C56">
        <v>47</v>
      </c>
      <c r="D56">
        <f t="shared" si="11"/>
        <v>215000</v>
      </c>
      <c r="J56" t="s">
        <v>509</v>
      </c>
      <c r="K56" t="str">
        <f>I55&amp;K55&amp;J56</f>
        <v>拳内力重甲攻击套</v>
      </c>
      <c r="M56" t="str">
        <f>I55&amp;M55&amp;J56</f>
        <v>拳内力中甲攻击套</v>
      </c>
      <c r="O56" t="str">
        <f>I55&amp;O55&amp;J56</f>
        <v>拳内力轻甲攻击套</v>
      </c>
    </row>
    <row r="57" spans="3:15" x14ac:dyDescent="0.25">
      <c r="C57">
        <v>48</v>
      </c>
      <c r="D57">
        <f t="shared" si="11"/>
        <v>220000</v>
      </c>
      <c r="J57" t="s">
        <v>510</v>
      </c>
      <c r="K57" t="str">
        <f>I55&amp;K55&amp;J57</f>
        <v>拳内力重甲一般套</v>
      </c>
      <c r="M57" t="str">
        <f>I55&amp;M55&amp;J57</f>
        <v>拳内力中甲一般套</v>
      </c>
      <c r="O57" t="str">
        <f>I55&amp;O55&amp;J57</f>
        <v>拳内力轻甲一般套</v>
      </c>
    </row>
    <row r="58" spans="3:15" x14ac:dyDescent="0.25">
      <c r="C58">
        <v>49</v>
      </c>
      <c r="D58">
        <f t="shared" si="11"/>
        <v>225000</v>
      </c>
      <c r="J58" t="s">
        <v>519</v>
      </c>
      <c r="K58" t="str">
        <f>I55&amp;K55&amp;J58</f>
        <v>拳内力重甲物防套</v>
      </c>
      <c r="M58" t="str">
        <f>I55&amp;M55&amp;J58</f>
        <v>拳内力中甲物防套</v>
      </c>
      <c r="O58" t="str">
        <f>I55&amp;O55&amp;J58</f>
        <v>拳内力轻甲物防套</v>
      </c>
    </row>
    <row r="59" spans="3:15" x14ac:dyDescent="0.25">
      <c r="C59">
        <v>50</v>
      </c>
      <c r="D59">
        <f t="shared" ref="D59:D64" si="12">C59*25000-1000000</f>
        <v>250000</v>
      </c>
      <c r="J59" t="s">
        <v>520</v>
      </c>
      <c r="K59" t="str">
        <f>I55&amp;K55&amp;J59</f>
        <v>拳内力重甲魔抗套</v>
      </c>
      <c r="M59" t="str">
        <f>I55&amp;M55&amp;J59</f>
        <v>拳内力中甲魔抗套</v>
      </c>
      <c r="O59" t="str">
        <f>I55&amp;O55&amp;J59</f>
        <v>拳内力轻甲魔抗套</v>
      </c>
    </row>
    <row r="60" spans="3:15" x14ac:dyDescent="0.25">
      <c r="C60">
        <v>51</v>
      </c>
      <c r="D60">
        <f t="shared" si="12"/>
        <v>275000</v>
      </c>
      <c r="J60" t="s">
        <v>521</v>
      </c>
      <c r="K60" t="str">
        <f>I55&amp;K55&amp;J60</f>
        <v>拳内力重甲血防套</v>
      </c>
      <c r="M60" t="str">
        <f>I55&amp;M55&amp;J60</f>
        <v>拳内力中甲血防套</v>
      </c>
      <c r="O60" t="str">
        <f>I55&amp;O55&amp;J60</f>
        <v>拳内力轻甲血防套</v>
      </c>
    </row>
    <row r="61" spans="3:15" x14ac:dyDescent="0.25">
      <c r="C61">
        <v>52</v>
      </c>
      <c r="D61">
        <f t="shared" si="12"/>
        <v>300000</v>
      </c>
    </row>
    <row r="62" spans="3:15" x14ac:dyDescent="0.25">
      <c r="C62">
        <v>53</v>
      </c>
      <c r="D62">
        <f t="shared" si="12"/>
        <v>325000</v>
      </c>
    </row>
    <row r="63" spans="3:15" x14ac:dyDescent="0.25">
      <c r="C63">
        <v>54</v>
      </c>
      <c r="D63">
        <f t="shared" si="12"/>
        <v>350000</v>
      </c>
    </row>
    <row r="64" spans="3:15" x14ac:dyDescent="0.25">
      <c r="C64">
        <v>55</v>
      </c>
      <c r="D64">
        <f t="shared" si="12"/>
        <v>375000</v>
      </c>
    </row>
    <row r="65" spans="3:4" x14ac:dyDescent="0.25">
      <c r="C65">
        <v>56</v>
      </c>
      <c r="D65">
        <f t="shared" ref="D65:D109" si="13">C65*25000-1000000</f>
        <v>400000</v>
      </c>
    </row>
    <row r="66" spans="3:4" x14ac:dyDescent="0.25">
      <c r="C66">
        <v>57</v>
      </c>
      <c r="D66">
        <f t="shared" si="13"/>
        <v>425000</v>
      </c>
    </row>
    <row r="67" spans="3:4" x14ac:dyDescent="0.25">
      <c r="C67">
        <v>58</v>
      </c>
      <c r="D67">
        <f t="shared" si="13"/>
        <v>450000</v>
      </c>
    </row>
    <row r="68" spans="3:4" x14ac:dyDescent="0.25">
      <c r="C68">
        <v>59</v>
      </c>
      <c r="D68">
        <f t="shared" si="13"/>
        <v>475000</v>
      </c>
    </row>
    <row r="69" spans="3:4" x14ac:dyDescent="0.25">
      <c r="C69">
        <v>60</v>
      </c>
      <c r="D69">
        <f t="shared" si="13"/>
        <v>500000</v>
      </c>
    </row>
    <row r="70" spans="3:4" x14ac:dyDescent="0.25">
      <c r="C70">
        <v>61</v>
      </c>
      <c r="D70">
        <f t="shared" si="13"/>
        <v>525000</v>
      </c>
    </row>
    <row r="71" spans="3:4" x14ac:dyDescent="0.25">
      <c r="C71">
        <v>62</v>
      </c>
      <c r="D71">
        <f t="shared" si="13"/>
        <v>550000</v>
      </c>
    </row>
    <row r="72" spans="3:4" x14ac:dyDescent="0.25">
      <c r="C72">
        <v>63</v>
      </c>
      <c r="D72">
        <f t="shared" si="13"/>
        <v>575000</v>
      </c>
    </row>
    <row r="73" spans="3:4" x14ac:dyDescent="0.25">
      <c r="C73">
        <v>64</v>
      </c>
      <c r="D73">
        <f t="shared" si="13"/>
        <v>600000</v>
      </c>
    </row>
    <row r="74" spans="3:4" x14ac:dyDescent="0.25">
      <c r="C74">
        <v>65</v>
      </c>
      <c r="D74">
        <f t="shared" si="13"/>
        <v>625000</v>
      </c>
    </row>
    <row r="75" spans="3:4" x14ac:dyDescent="0.25">
      <c r="C75">
        <v>66</v>
      </c>
      <c r="D75">
        <f t="shared" si="13"/>
        <v>650000</v>
      </c>
    </row>
    <row r="76" spans="3:4" x14ac:dyDescent="0.25">
      <c r="C76">
        <v>67</v>
      </c>
      <c r="D76">
        <f t="shared" si="13"/>
        <v>675000</v>
      </c>
    </row>
    <row r="77" spans="3:4" x14ac:dyDescent="0.25">
      <c r="C77">
        <v>68</v>
      </c>
      <c r="D77">
        <f t="shared" si="13"/>
        <v>700000</v>
      </c>
    </row>
    <row r="78" spans="3:4" x14ac:dyDescent="0.25">
      <c r="C78">
        <v>69</v>
      </c>
      <c r="D78">
        <f t="shared" si="13"/>
        <v>725000</v>
      </c>
    </row>
    <row r="79" spans="3:4" x14ac:dyDescent="0.25">
      <c r="C79">
        <v>70</v>
      </c>
      <c r="D79">
        <f>C79*25000-1000000</f>
        <v>750000</v>
      </c>
    </row>
    <row r="80" spans="3:4" x14ac:dyDescent="0.25">
      <c r="C80">
        <v>71</v>
      </c>
      <c r="D80">
        <f t="shared" si="13"/>
        <v>775000</v>
      </c>
    </row>
    <row r="81" spans="3:4" x14ac:dyDescent="0.25">
      <c r="C81">
        <v>72</v>
      </c>
      <c r="D81">
        <f t="shared" si="13"/>
        <v>800000</v>
      </c>
    </row>
    <row r="82" spans="3:4" x14ac:dyDescent="0.25">
      <c r="C82">
        <v>73</v>
      </c>
      <c r="D82">
        <f t="shared" si="13"/>
        <v>825000</v>
      </c>
    </row>
    <row r="83" spans="3:4" x14ac:dyDescent="0.25">
      <c r="C83">
        <v>74</v>
      </c>
      <c r="D83">
        <f t="shared" si="13"/>
        <v>850000</v>
      </c>
    </row>
    <row r="84" spans="3:4" x14ac:dyDescent="0.25">
      <c r="C84">
        <v>75</v>
      </c>
      <c r="D84">
        <f t="shared" si="13"/>
        <v>875000</v>
      </c>
    </row>
    <row r="85" spans="3:4" x14ac:dyDescent="0.25">
      <c r="C85">
        <v>76</v>
      </c>
      <c r="D85">
        <f t="shared" si="13"/>
        <v>900000</v>
      </c>
    </row>
    <row r="86" spans="3:4" x14ac:dyDescent="0.25">
      <c r="C86">
        <v>77</v>
      </c>
      <c r="D86">
        <f t="shared" si="13"/>
        <v>925000</v>
      </c>
    </row>
    <row r="87" spans="3:4" x14ac:dyDescent="0.25">
      <c r="C87">
        <v>78</v>
      </c>
      <c r="D87">
        <f t="shared" si="13"/>
        <v>950000</v>
      </c>
    </row>
    <row r="88" spans="3:4" x14ac:dyDescent="0.25">
      <c r="C88">
        <v>79</v>
      </c>
      <c r="D88">
        <f t="shared" si="13"/>
        <v>975000</v>
      </c>
    </row>
    <row r="89" spans="3:4" x14ac:dyDescent="0.25">
      <c r="C89">
        <v>80</v>
      </c>
      <c r="D89">
        <f t="shared" si="13"/>
        <v>1000000</v>
      </c>
    </row>
    <row r="90" spans="3:4" x14ac:dyDescent="0.25">
      <c r="C90">
        <v>81</v>
      </c>
      <c r="D90">
        <f t="shared" si="13"/>
        <v>1025000</v>
      </c>
    </row>
    <row r="91" spans="3:4" x14ac:dyDescent="0.25">
      <c r="C91">
        <v>82</v>
      </c>
      <c r="D91">
        <f t="shared" si="13"/>
        <v>1050000</v>
      </c>
    </row>
    <row r="92" spans="3:4" x14ac:dyDescent="0.25">
      <c r="C92">
        <v>83</v>
      </c>
      <c r="D92">
        <f t="shared" si="13"/>
        <v>1075000</v>
      </c>
    </row>
    <row r="93" spans="3:4" x14ac:dyDescent="0.25">
      <c r="C93">
        <v>84</v>
      </c>
      <c r="D93">
        <f t="shared" si="13"/>
        <v>1100000</v>
      </c>
    </row>
    <row r="94" spans="3:4" x14ac:dyDescent="0.25">
      <c r="C94">
        <v>85</v>
      </c>
      <c r="D94">
        <f t="shared" si="13"/>
        <v>1125000</v>
      </c>
    </row>
    <row r="95" spans="3:4" x14ac:dyDescent="0.25">
      <c r="C95">
        <v>86</v>
      </c>
      <c r="D95">
        <f t="shared" si="13"/>
        <v>1150000</v>
      </c>
    </row>
    <row r="96" spans="3:4" x14ac:dyDescent="0.25">
      <c r="C96">
        <v>87</v>
      </c>
      <c r="D96">
        <f t="shared" si="13"/>
        <v>1175000</v>
      </c>
    </row>
    <row r="97" spans="3:4" x14ac:dyDescent="0.25">
      <c r="C97">
        <v>88</v>
      </c>
      <c r="D97">
        <f t="shared" si="13"/>
        <v>1200000</v>
      </c>
    </row>
    <row r="98" spans="3:4" x14ac:dyDescent="0.25">
      <c r="C98">
        <v>89</v>
      </c>
      <c r="D98">
        <f t="shared" si="13"/>
        <v>1225000</v>
      </c>
    </row>
    <row r="99" spans="3:4" x14ac:dyDescent="0.25">
      <c r="C99">
        <v>90</v>
      </c>
      <c r="D99">
        <f t="shared" si="13"/>
        <v>1250000</v>
      </c>
    </row>
    <row r="100" spans="3:4" x14ac:dyDescent="0.25">
      <c r="C100">
        <v>91</v>
      </c>
      <c r="D100">
        <f t="shared" si="13"/>
        <v>1275000</v>
      </c>
    </row>
    <row r="101" spans="3:4" x14ac:dyDescent="0.25">
      <c r="C101">
        <v>92</v>
      </c>
      <c r="D101">
        <f t="shared" si="13"/>
        <v>1300000</v>
      </c>
    </row>
    <row r="102" spans="3:4" x14ac:dyDescent="0.25">
      <c r="C102">
        <v>93</v>
      </c>
      <c r="D102">
        <f t="shared" si="13"/>
        <v>1325000</v>
      </c>
    </row>
    <row r="103" spans="3:4" x14ac:dyDescent="0.25">
      <c r="C103">
        <v>94</v>
      </c>
      <c r="D103">
        <f t="shared" si="13"/>
        <v>1350000</v>
      </c>
    </row>
    <row r="104" spans="3:4" x14ac:dyDescent="0.25">
      <c r="C104">
        <v>95</v>
      </c>
      <c r="D104">
        <f t="shared" si="13"/>
        <v>1375000</v>
      </c>
    </row>
    <row r="105" spans="3:4" x14ac:dyDescent="0.25">
      <c r="C105">
        <v>96</v>
      </c>
      <c r="D105">
        <f t="shared" si="13"/>
        <v>1400000</v>
      </c>
    </row>
    <row r="106" spans="3:4" x14ac:dyDescent="0.25">
      <c r="C106">
        <v>97</v>
      </c>
      <c r="D106">
        <f t="shared" si="13"/>
        <v>1425000</v>
      </c>
    </row>
    <row r="107" spans="3:4" x14ac:dyDescent="0.25">
      <c r="C107">
        <v>98</v>
      </c>
      <c r="D107">
        <f t="shared" si="13"/>
        <v>1450000</v>
      </c>
    </row>
    <row r="108" spans="3:4" x14ac:dyDescent="0.25">
      <c r="C108">
        <v>99</v>
      </c>
      <c r="D108">
        <f t="shared" si="13"/>
        <v>1475000</v>
      </c>
    </row>
    <row r="109" spans="3:4" x14ac:dyDescent="0.25">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3.8" x14ac:dyDescent="0.25"/>
  <cols>
    <col min="2" max="2" width="17.44140625" customWidth="1"/>
    <col min="3" max="3" width="9.109375" customWidth="1"/>
    <col min="4" max="4" width="15" customWidth="1"/>
    <col min="5" max="5" width="8" customWidth="1"/>
    <col min="6" max="6" width="10.109375" customWidth="1"/>
    <col min="7" max="7" width="6.77734375" customWidth="1"/>
    <col min="8" max="8" width="8.109375" customWidth="1"/>
    <col min="9" max="10" width="7.77734375" customWidth="1"/>
    <col min="11" max="11" width="7.6640625" customWidth="1"/>
    <col min="12" max="12" width="8.33203125" customWidth="1"/>
    <col min="13" max="13" width="12.109375" customWidth="1"/>
    <col min="22" max="22" width="10.6640625" customWidth="1"/>
  </cols>
  <sheetData>
    <row r="1" spans="2:23" x14ac:dyDescent="0.25">
      <c r="C1" s="29" t="s">
        <v>264</v>
      </c>
    </row>
    <row r="2" spans="2:23" x14ac:dyDescent="0.25">
      <c r="C2" s="2" t="s">
        <v>265</v>
      </c>
    </row>
    <row r="3" spans="2:23" x14ac:dyDescent="0.25">
      <c r="B3" t="s">
        <v>0</v>
      </c>
      <c r="E3" t="s">
        <v>43</v>
      </c>
      <c r="F3" t="s">
        <v>44</v>
      </c>
      <c r="G3" t="s">
        <v>45</v>
      </c>
      <c r="I3" t="s">
        <v>46</v>
      </c>
      <c r="L3" t="s">
        <v>42</v>
      </c>
      <c r="M3" t="s">
        <v>165</v>
      </c>
      <c r="O3" t="s">
        <v>56</v>
      </c>
      <c r="T3" t="s">
        <v>51</v>
      </c>
    </row>
    <row r="4" spans="2:23" x14ac:dyDescent="0.25">
      <c r="B4" t="s">
        <v>23</v>
      </c>
      <c r="C4" s="10" t="s">
        <v>49</v>
      </c>
      <c r="D4" s="10" t="s">
        <v>50</v>
      </c>
      <c r="E4" s="8" t="s">
        <v>1</v>
      </c>
      <c r="F4" s="8" t="s">
        <v>2</v>
      </c>
      <c r="G4" s="8" t="s">
        <v>3</v>
      </c>
      <c r="H4" s="8" t="s">
        <v>10</v>
      </c>
      <c r="I4" s="8" t="s">
        <v>14</v>
      </c>
      <c r="J4" s="9" t="s">
        <v>6</v>
      </c>
      <c r="K4" s="9" t="s">
        <v>4</v>
      </c>
      <c r="L4" s="8" t="s">
        <v>162</v>
      </c>
      <c r="M4" s="8" t="s">
        <v>12</v>
      </c>
      <c r="N4" s="11" t="s">
        <v>152</v>
      </c>
      <c r="O4" s="14" t="s">
        <v>7</v>
      </c>
      <c r="P4" s="14" t="s">
        <v>8</v>
      </c>
      <c r="Q4" s="14" t="s">
        <v>11</v>
      </c>
      <c r="R4" s="11" t="s">
        <v>154</v>
      </c>
      <c r="S4" s="11" t="s">
        <v>153</v>
      </c>
      <c r="T4" s="14" t="s">
        <v>9</v>
      </c>
      <c r="U4" s="14" t="s">
        <v>5</v>
      </c>
      <c r="V4" s="14" t="s">
        <v>27</v>
      </c>
      <c r="W4" s="14" t="s">
        <v>22</v>
      </c>
    </row>
    <row r="5" spans="2:23" x14ac:dyDescent="0.25">
      <c r="B5" t="s">
        <v>267</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25">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25">
      <c r="C7" s="3"/>
      <c r="E7" s="3"/>
      <c r="F7" s="3"/>
      <c r="G7" s="3"/>
      <c r="H7" s="3"/>
      <c r="I7" s="3"/>
      <c r="J7" s="3"/>
      <c r="K7" s="3"/>
      <c r="L7" s="3"/>
      <c r="M7" s="3"/>
    </row>
    <row r="8" spans="2:23" x14ac:dyDescent="0.25">
      <c r="B8" s="2" t="s">
        <v>148</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25">
      <c r="B9" s="6" t="s">
        <v>150</v>
      </c>
      <c r="C9" s="3"/>
      <c r="D9" t="s">
        <v>47</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25">
      <c r="B10" s="6" t="s">
        <v>151</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25">
      <c r="B11" s="6" t="s">
        <v>158</v>
      </c>
      <c r="C11" s="3"/>
      <c r="E11" s="3"/>
      <c r="F11" s="3"/>
      <c r="G11" s="3"/>
      <c r="H11" s="3"/>
      <c r="I11" s="3"/>
      <c r="J11" s="3"/>
      <c r="K11" s="3"/>
      <c r="L11" s="3"/>
      <c r="M11" s="3"/>
    </row>
    <row r="12" spans="2:23" x14ac:dyDescent="0.25">
      <c r="B12" s="7" t="s">
        <v>155</v>
      </c>
      <c r="C12" s="3"/>
      <c r="D12" s="2" t="s">
        <v>164</v>
      </c>
      <c r="E12" s="3"/>
      <c r="F12" s="3"/>
      <c r="G12" s="3"/>
      <c r="H12" s="3"/>
      <c r="I12" s="3"/>
      <c r="J12" s="3"/>
      <c r="K12" s="3"/>
      <c r="L12" s="3"/>
      <c r="M12" s="3"/>
    </row>
    <row r="13" spans="2:23" x14ac:dyDescent="0.25">
      <c r="B13" s="7" t="s">
        <v>156</v>
      </c>
      <c r="C13" s="3"/>
      <c r="E13" s="3"/>
      <c r="F13" s="3"/>
      <c r="G13" s="3"/>
      <c r="H13" s="3"/>
      <c r="I13" s="3"/>
      <c r="J13" s="3"/>
      <c r="K13" s="3"/>
      <c r="L13" s="3"/>
      <c r="M13" s="3"/>
    </row>
    <row r="14" spans="2:23" x14ac:dyDescent="0.25">
      <c r="B14" s="7" t="s">
        <v>157</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25">
      <c r="B15" s="15" t="s">
        <v>149</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25">
      <c r="B16" s="15" t="s">
        <v>159</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25">
      <c r="B17" s="15" t="s">
        <v>160</v>
      </c>
      <c r="C17" s="3"/>
    </row>
    <row r="18" spans="2:23" x14ac:dyDescent="0.25">
      <c r="C18" s="3"/>
    </row>
    <row r="19" spans="2:23" x14ac:dyDescent="0.25">
      <c r="C19" s="3"/>
      <c r="D19" s="2" t="s">
        <v>163</v>
      </c>
    </row>
    <row r="20" spans="2:23" x14ac:dyDescent="0.25">
      <c r="C20" s="3"/>
    </row>
    <row r="21" spans="2:23" x14ac:dyDescent="0.25">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25">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25">
      <c r="C23" s="3"/>
    </row>
    <row r="24" spans="2:23" x14ac:dyDescent="0.25">
      <c r="C24" s="4" t="s">
        <v>40</v>
      </c>
      <c r="D24" s="2" t="s">
        <v>161</v>
      </c>
    </row>
    <row r="25" spans="2:23" x14ac:dyDescent="0.25">
      <c r="C25" s="3"/>
      <c r="D25" t="s">
        <v>208</v>
      </c>
    </row>
    <row r="26" spans="2:23" x14ac:dyDescent="0.25">
      <c r="C26" s="3"/>
    </row>
    <row r="27" spans="2:23" x14ac:dyDescent="0.25">
      <c r="C27" s="4" t="s">
        <v>41</v>
      </c>
      <c r="D27" t="s">
        <v>198</v>
      </c>
    </row>
    <row r="28" spans="2:23" x14ac:dyDescent="0.25">
      <c r="D28" t="s">
        <v>199</v>
      </c>
    </row>
    <row r="29" spans="2:23" x14ac:dyDescent="0.25">
      <c r="D29" t="s">
        <v>48</v>
      </c>
    </row>
    <row r="30" spans="2:23" x14ac:dyDescent="0.25">
      <c r="D30" t="s">
        <v>181</v>
      </c>
    </row>
    <row r="31" spans="2:23" x14ac:dyDescent="0.25">
      <c r="D31" t="s">
        <v>180</v>
      </c>
    </row>
    <row r="32" spans="2:23" x14ac:dyDescent="0.25">
      <c r="D32" t="s">
        <v>258</v>
      </c>
    </row>
    <row r="33" spans="4:4" x14ac:dyDescent="0.25">
      <c r="D33" t="s">
        <v>78</v>
      </c>
    </row>
    <row r="34" spans="4:4" x14ac:dyDescent="0.25">
      <c r="D34" t="s">
        <v>143</v>
      </c>
    </row>
    <row r="35" spans="4:4" x14ac:dyDescent="0.25">
      <c r="D3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P26" sqref="P26"/>
    </sheetView>
  </sheetViews>
  <sheetFormatPr defaultRowHeight="13.8" x14ac:dyDescent="0.25"/>
  <cols>
    <col min="1" max="1" width="17.44140625" customWidth="1"/>
    <col min="2" max="2" width="10.109375" customWidth="1"/>
    <col min="3" max="3" width="15" customWidth="1"/>
    <col min="4" max="4" width="8" customWidth="1"/>
    <col min="5" max="5" width="7.88671875" customWidth="1"/>
    <col min="6" max="6" width="6.77734375" customWidth="1"/>
    <col min="7" max="7" width="6.44140625" customWidth="1"/>
    <col min="8" max="8" width="8.109375" customWidth="1"/>
    <col min="9" max="9" width="10.77734375" customWidth="1"/>
    <col min="10" max="10" width="7" customWidth="1"/>
    <col min="11" max="11" width="7.6640625" customWidth="1"/>
    <col min="12" max="12" width="11.5546875" customWidth="1"/>
    <col min="13" max="13" width="12.109375" customWidth="1"/>
    <col min="19" max="20" width="12.21875" customWidth="1"/>
  </cols>
  <sheetData>
    <row r="1" spans="1:20" x14ac:dyDescent="0.25">
      <c r="A1" t="s">
        <v>184</v>
      </c>
      <c r="D1" t="s">
        <v>46</v>
      </c>
      <c r="E1" t="s">
        <v>187</v>
      </c>
      <c r="H1" t="s">
        <v>188</v>
      </c>
      <c r="J1" t="s">
        <v>189</v>
      </c>
      <c r="K1" t="s">
        <v>190</v>
      </c>
      <c r="L1" t="s">
        <v>191</v>
      </c>
      <c r="M1" t="s">
        <v>165</v>
      </c>
      <c r="O1" t="s">
        <v>218</v>
      </c>
    </row>
    <row r="2" spans="1:20" x14ac:dyDescent="0.25">
      <c r="A2" t="s">
        <v>183</v>
      </c>
      <c r="B2" s="10" t="s">
        <v>49</v>
      </c>
      <c r="C2" s="10" t="s">
        <v>197</v>
      </c>
      <c r="D2" s="8" t="s">
        <v>14</v>
      </c>
      <c r="E2" s="8" t="s">
        <v>112</v>
      </c>
      <c r="F2" s="8" t="s">
        <v>167</v>
      </c>
      <c r="G2" s="8" t="s">
        <v>168</v>
      </c>
      <c r="H2" s="8" t="s">
        <v>169</v>
      </c>
      <c r="I2" s="8" t="s">
        <v>401</v>
      </c>
      <c r="J2" s="8" t="s">
        <v>170</v>
      </c>
      <c r="K2" s="8" t="s">
        <v>171</v>
      </c>
      <c r="L2" s="8" t="s">
        <v>172</v>
      </c>
      <c r="M2" s="8" t="s">
        <v>12</v>
      </c>
      <c r="N2" s="11" t="s">
        <v>152</v>
      </c>
      <c r="O2" s="14" t="s">
        <v>173</v>
      </c>
      <c r="P2" s="14" t="s">
        <v>174</v>
      </c>
      <c r="Q2" s="14" t="s">
        <v>175</v>
      </c>
      <c r="R2" s="11" t="s">
        <v>154</v>
      </c>
      <c r="S2" s="14" t="s">
        <v>402</v>
      </c>
      <c r="T2" s="14" t="s">
        <v>403</v>
      </c>
    </row>
    <row r="3" spans="1:20" x14ac:dyDescent="0.25">
      <c r="B3" s="2" t="s">
        <v>176</v>
      </c>
      <c r="C3" t="s">
        <v>179</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25">
      <c r="B4" s="3"/>
      <c r="C4" t="s">
        <v>178</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25">
      <c r="B5" s="3"/>
      <c r="C5" t="s">
        <v>263</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25">
      <c r="A6" s="2" t="s">
        <v>148</v>
      </c>
      <c r="B6" s="2"/>
      <c r="C6" t="s">
        <v>406</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25">
      <c r="A7" s="6" t="s">
        <v>150</v>
      </c>
      <c r="B7" s="3"/>
      <c r="C7" s="19" t="s">
        <v>185</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25">
      <c r="A8" s="6" t="s">
        <v>151</v>
      </c>
      <c r="B8" s="3"/>
      <c r="C8" t="s">
        <v>186</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25">
      <c r="A9" s="6" t="s">
        <v>158</v>
      </c>
      <c r="B9" s="3"/>
      <c r="C9" t="s">
        <v>259</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25">
      <c r="A10" s="15" t="s">
        <v>149</v>
      </c>
      <c r="B10" s="3"/>
      <c r="C10" s="1" t="s">
        <v>177</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25">
      <c r="A11" s="15" t="s">
        <v>159</v>
      </c>
      <c r="B11" s="3"/>
      <c r="D11" s="3"/>
      <c r="E11" s="3"/>
      <c r="F11" s="3"/>
      <c r="G11" s="3"/>
      <c r="H11" s="3"/>
      <c r="I11" s="3"/>
      <c r="J11" s="3"/>
      <c r="K11" s="3"/>
      <c r="L11" s="3"/>
      <c r="M11" s="3"/>
    </row>
    <row r="12" spans="1:20" x14ac:dyDescent="0.25">
      <c r="A12" s="15" t="s">
        <v>196</v>
      </c>
      <c r="B12" s="3"/>
      <c r="C12" s="24" t="s">
        <v>236</v>
      </c>
      <c r="D12" s="2" t="s">
        <v>494</v>
      </c>
      <c r="E12" s="3"/>
      <c r="F12" s="3"/>
      <c r="G12" s="3"/>
      <c r="H12" s="3"/>
      <c r="I12" s="3"/>
      <c r="J12" s="3"/>
      <c r="K12" s="3"/>
      <c r="L12" s="3"/>
      <c r="M12" s="3"/>
    </row>
    <row r="13" spans="1:20" x14ac:dyDescent="0.25">
      <c r="B13" s="3"/>
      <c r="C13" s="2"/>
      <c r="D13" s="2" t="s">
        <v>495</v>
      </c>
      <c r="E13" s="3"/>
      <c r="F13" s="3"/>
      <c r="G13" s="3"/>
      <c r="H13" s="3"/>
      <c r="I13" s="3"/>
      <c r="J13" s="3"/>
      <c r="K13" s="3"/>
      <c r="L13" s="3"/>
      <c r="M13" s="3"/>
    </row>
    <row r="14" spans="1:20" x14ac:dyDescent="0.25">
      <c r="B14" s="3"/>
      <c r="C14" s="2"/>
      <c r="D14" s="2"/>
      <c r="E14" s="3"/>
      <c r="F14" s="3"/>
      <c r="G14" s="3"/>
      <c r="H14" s="3"/>
      <c r="I14" s="3"/>
      <c r="J14" s="3"/>
      <c r="K14" s="3"/>
      <c r="L14" s="3"/>
      <c r="M14" s="3"/>
      <c r="S14">
        <f>10+表2_2[[#This Row],[限制等级]]*0.2</f>
        <v>10</v>
      </c>
      <c r="T14">
        <f>25+表2_2[[#This Row],[限制等级]]*0.2</f>
        <v>25</v>
      </c>
    </row>
    <row r="15" spans="1:20" x14ac:dyDescent="0.25">
      <c r="B15" s="2" t="s">
        <v>493</v>
      </c>
      <c r="C15" s="1" t="s">
        <v>177</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25">
      <c r="B16" s="2"/>
      <c r="D16" s="3"/>
      <c r="E16" s="3"/>
      <c r="F16" s="3"/>
      <c r="G16" s="3"/>
      <c r="H16" s="3"/>
      <c r="I16" s="3"/>
      <c r="J16" s="3"/>
      <c r="K16" s="3"/>
      <c r="L16" s="3"/>
      <c r="M16" s="3"/>
    </row>
    <row r="17" spans="2:20" x14ac:dyDescent="0.25">
      <c r="B17" s="2" t="s">
        <v>194</v>
      </c>
      <c r="C17" t="s">
        <v>195</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25">
      <c r="B18" s="3"/>
      <c r="C18" s="1" t="s">
        <v>260</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25">
      <c r="B19" s="3"/>
      <c r="C19" s="1"/>
      <c r="D19" s="1"/>
      <c r="E19" s="1"/>
      <c r="F19" s="1"/>
      <c r="G19" s="1"/>
      <c r="H19" s="1"/>
      <c r="I19" s="1"/>
      <c r="J19" s="1"/>
      <c r="K19" s="1"/>
      <c r="L19" s="1"/>
      <c r="M19" s="1"/>
      <c r="N19" s="1"/>
      <c r="O19" s="1"/>
      <c r="P19" s="1"/>
      <c r="Q19" s="1"/>
      <c r="R19" s="1"/>
      <c r="S19" s="1"/>
      <c r="T19" s="1"/>
    </row>
    <row r="20" spans="2:20" x14ac:dyDescent="0.25">
      <c r="B20" s="3"/>
      <c r="C20" s="24" t="s">
        <v>236</v>
      </c>
      <c r="D20" s="2" t="s">
        <v>405</v>
      </c>
      <c r="E20" s="1"/>
      <c r="F20" s="1"/>
      <c r="G20" s="1"/>
      <c r="H20" s="1"/>
      <c r="I20" s="1"/>
      <c r="J20" s="1"/>
      <c r="K20" s="1"/>
      <c r="L20" s="1"/>
      <c r="M20" s="1"/>
      <c r="N20" s="1"/>
      <c r="O20" s="1"/>
      <c r="P20" s="1"/>
      <c r="Q20" s="1"/>
      <c r="R20" s="1"/>
      <c r="S20" s="1"/>
      <c r="T20" s="1"/>
    </row>
    <row r="21" spans="2:20" x14ac:dyDescent="0.25">
      <c r="B21" s="3"/>
    </row>
    <row r="22" spans="2:20" x14ac:dyDescent="0.25">
      <c r="B22" s="4" t="s">
        <v>40</v>
      </c>
      <c r="C22" s="2" t="s">
        <v>192</v>
      </c>
    </row>
    <row r="23" spans="2:20" x14ac:dyDescent="0.25">
      <c r="B23" s="3"/>
      <c r="C23" t="s">
        <v>207</v>
      </c>
    </row>
    <row r="24" spans="2:20" x14ac:dyDescent="0.25">
      <c r="B24" s="3"/>
    </row>
    <row r="25" spans="2:20" x14ac:dyDescent="0.25">
      <c r="B25" s="4" t="s">
        <v>41</v>
      </c>
      <c r="C25" t="s">
        <v>324</v>
      </c>
    </row>
    <row r="26" spans="2:20" x14ac:dyDescent="0.25">
      <c r="C26" t="s">
        <v>199</v>
      </c>
    </row>
    <row r="27" spans="2:20" x14ac:dyDescent="0.25">
      <c r="C27" t="s">
        <v>48</v>
      </c>
    </row>
    <row r="28" spans="2:20" x14ac:dyDescent="0.25">
      <c r="C28" t="s">
        <v>182</v>
      </c>
    </row>
    <row r="29" spans="2:20" x14ac:dyDescent="0.25">
      <c r="C29" t="s">
        <v>323</v>
      </c>
    </row>
    <row r="30" spans="2:20" x14ac:dyDescent="0.25">
      <c r="C30" t="s">
        <v>193</v>
      </c>
    </row>
    <row r="31" spans="2:20" x14ac:dyDescent="0.25">
      <c r="C31" t="s">
        <v>404</v>
      </c>
    </row>
    <row r="32" spans="2:20" x14ac:dyDescent="0.25">
      <c r="C32" t="s">
        <v>325</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16"/>
  <sheetViews>
    <sheetView workbookViewId="0">
      <selection activeCell="D4" sqref="D4"/>
    </sheetView>
  </sheetViews>
  <sheetFormatPr defaultRowHeight="13.8" x14ac:dyDescent="0.25"/>
  <cols>
    <col min="3" max="3" width="10.44140625" customWidth="1"/>
    <col min="6" max="6" width="8.33203125" customWidth="1"/>
    <col min="7" max="7" width="12.109375" customWidth="1"/>
  </cols>
  <sheetData>
    <row r="1" spans="1:10" x14ac:dyDescent="0.25">
      <c r="A1" t="s">
        <v>35</v>
      </c>
    </row>
    <row r="2" spans="1:10" x14ac:dyDescent="0.25">
      <c r="D2" t="s">
        <v>14</v>
      </c>
      <c r="E2" t="s">
        <v>37</v>
      </c>
      <c r="F2" t="s">
        <v>170</v>
      </c>
      <c r="G2" t="s">
        <v>272</v>
      </c>
      <c r="H2" t="s">
        <v>36</v>
      </c>
      <c r="J2" t="s">
        <v>38</v>
      </c>
    </row>
    <row r="3" spans="1:10" x14ac:dyDescent="0.25">
      <c r="C3" t="s">
        <v>39</v>
      </c>
      <c r="D3">
        <v>13</v>
      </c>
      <c r="E3">
        <v>136</v>
      </c>
      <c r="F3">
        <v>2</v>
      </c>
      <c r="G3">
        <v>1</v>
      </c>
      <c r="H3">
        <v>0</v>
      </c>
      <c r="J3">
        <f>(D3*10*1.25^H3+F3*3)/1.6^(G3-1)</f>
        <v>136</v>
      </c>
    </row>
    <row r="4" spans="1:10" x14ac:dyDescent="0.25">
      <c r="C4" s="1" t="s">
        <v>52</v>
      </c>
      <c r="D4">
        <v>30</v>
      </c>
      <c r="E4">
        <v>300</v>
      </c>
      <c r="F4">
        <v>3</v>
      </c>
      <c r="G4">
        <v>1</v>
      </c>
      <c r="H4">
        <v>0</v>
      </c>
      <c r="J4">
        <f>(D4*10*1.25^H4+F4*3)/1.6^(G4-1)</f>
        <v>309</v>
      </c>
    </row>
    <row r="9" spans="1:10" x14ac:dyDescent="0.25">
      <c r="C9" t="s">
        <v>55</v>
      </c>
    </row>
    <row r="10" spans="1:10" x14ac:dyDescent="0.25">
      <c r="C10" t="s">
        <v>330</v>
      </c>
    </row>
    <row r="11" spans="1:10" x14ac:dyDescent="0.25">
      <c r="C11" s="2" t="s">
        <v>319</v>
      </c>
    </row>
    <row r="12" spans="1:10" x14ac:dyDescent="0.25">
      <c r="C12" t="s">
        <v>332</v>
      </c>
    </row>
    <row r="13" spans="1:10" x14ac:dyDescent="0.25">
      <c r="C13" s="1" t="s">
        <v>322</v>
      </c>
    </row>
    <row r="15" spans="1:10" x14ac:dyDescent="0.25">
      <c r="C15" t="s">
        <v>326</v>
      </c>
      <c r="F15" t="s">
        <v>14</v>
      </c>
      <c r="G15" t="s">
        <v>328</v>
      </c>
      <c r="J15" t="s">
        <v>327</v>
      </c>
    </row>
    <row r="16" spans="1:10" x14ac:dyDescent="0.25">
      <c r="C16" t="s">
        <v>329</v>
      </c>
      <c r="F16">
        <v>20</v>
      </c>
      <c r="G16">
        <v>30</v>
      </c>
      <c r="J16">
        <f>G16*F16/16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C35" sqref="C35"/>
    </sheetView>
  </sheetViews>
  <sheetFormatPr defaultRowHeight="13.8" x14ac:dyDescent="0.25"/>
  <cols>
    <col min="1" max="1" width="16.21875" customWidth="1"/>
    <col min="3" max="3" width="10.109375" customWidth="1"/>
    <col min="7" max="7" width="11.5546875" customWidth="1"/>
    <col min="8" max="8" width="11.44140625" customWidth="1"/>
  </cols>
  <sheetData>
    <row r="1" spans="1:11" x14ac:dyDescent="0.25">
      <c r="A1" t="s">
        <v>29</v>
      </c>
      <c r="B1" s="2" t="s">
        <v>321</v>
      </c>
    </row>
    <row r="2" spans="1:11" x14ac:dyDescent="0.25">
      <c r="A2" t="s">
        <v>28</v>
      </c>
      <c r="B2" t="s">
        <v>34</v>
      </c>
      <c r="D2" s="2" t="s">
        <v>30</v>
      </c>
      <c r="E2" s="2" t="s">
        <v>10</v>
      </c>
      <c r="F2" s="2" t="s">
        <v>3</v>
      </c>
      <c r="G2" s="2" t="s">
        <v>14</v>
      </c>
      <c r="H2" s="2" t="s">
        <v>89</v>
      </c>
      <c r="I2" s="2"/>
      <c r="K2" s="2" t="s">
        <v>31</v>
      </c>
    </row>
    <row r="3" spans="1:11" x14ac:dyDescent="0.25">
      <c r="D3">
        <v>3000</v>
      </c>
      <c r="E3">
        <v>7500</v>
      </c>
      <c r="F3">
        <v>2</v>
      </c>
      <c r="G3">
        <v>15</v>
      </c>
      <c r="H3">
        <v>0</v>
      </c>
      <c r="K3" s="50">
        <f>1.5*E3*1.25^H3*SQRT(G3/30)/(F3+0.5)</f>
        <v>3181.9805153394641</v>
      </c>
    </row>
    <row r="4" spans="1:11" x14ac:dyDescent="0.25">
      <c r="D4">
        <v>1800</v>
      </c>
      <c r="E4">
        <v>7500</v>
      </c>
      <c r="F4">
        <v>6</v>
      </c>
      <c r="G4">
        <v>33</v>
      </c>
      <c r="H4">
        <v>0</v>
      </c>
      <c r="K4" s="50">
        <f>1.5*E4*1.25^H4*SQRT(G4/30)/(F4+0.5)</f>
        <v>1815.2460833714163</v>
      </c>
    </row>
    <row r="5" spans="1:11" x14ac:dyDescent="0.25">
      <c r="C5" s="1" t="s">
        <v>53</v>
      </c>
      <c r="D5">
        <v>3000</v>
      </c>
      <c r="E5">
        <v>7500</v>
      </c>
      <c r="F5">
        <v>5</v>
      </c>
      <c r="G5">
        <v>50</v>
      </c>
      <c r="H5">
        <v>0</v>
      </c>
      <c r="K5" s="48">
        <f>1.5*E5*1.25^H5*SQRT(G5/30)/(F5+0.5)</f>
        <v>2640.6704633232384</v>
      </c>
    </row>
    <row r="8" spans="1:11" x14ac:dyDescent="0.25">
      <c r="C8" t="s">
        <v>140</v>
      </c>
    </row>
    <row r="11" spans="1:11" x14ac:dyDescent="0.25">
      <c r="B11" t="s">
        <v>32</v>
      </c>
      <c r="D11" s="2" t="s">
        <v>30</v>
      </c>
      <c r="E11" s="2" t="s">
        <v>33</v>
      </c>
      <c r="F11" s="2" t="s">
        <v>14</v>
      </c>
      <c r="G11" s="2" t="s">
        <v>407</v>
      </c>
      <c r="K11" s="2" t="s">
        <v>31</v>
      </c>
    </row>
    <row r="12" spans="1:11" x14ac:dyDescent="0.25">
      <c r="D12">
        <v>1000</v>
      </c>
      <c r="E12">
        <v>1000</v>
      </c>
      <c r="F12">
        <v>1</v>
      </c>
      <c r="G12">
        <v>1</v>
      </c>
      <c r="K12" s="50">
        <f>IF(E12 &gt; 800 +F12 * 200 + IF(F12 &gt;=30,1200 * (F12 - 29) * (F12 - 29),0), 800 +F12 * 200+ IF(F12 &gt;=30,1200  * (F12 - 29) * (F12 - 29),0) + (E12 - 800 -F12 * 200-IF(F12 &gt;=30,1200 * (F12 - 29) * (F12 - 29),0))/10,E12 )/G12</f>
        <v>1000</v>
      </c>
    </row>
    <row r="13" spans="1:11" ht="13.05" customHeight="1" x14ac:dyDescent="0.25">
      <c r="C13" s="1" t="s">
        <v>54</v>
      </c>
      <c r="D13">
        <v>8000</v>
      </c>
      <c r="E13">
        <v>8000</v>
      </c>
      <c r="F13">
        <v>30</v>
      </c>
      <c r="G13">
        <v>1</v>
      </c>
      <c r="K13" s="48">
        <f>IF(E13 &gt; 800 +F13 * 200 + IF(F13 &gt;=30,1200 * (F13 - 29) * (F13 - 29),0), 800 +F13 * 200+ IF(F13 &gt;=30,1200  * (F13 - 29) * (F13 - 29),0) + (E13 - 800 -F13 * 200-IF(F13 &gt;=30,1200 * (F13 - 29) * (F13 - 29),0))/10,E13 )/G13</f>
        <v>8000</v>
      </c>
    </row>
    <row r="17" spans="3:4" x14ac:dyDescent="0.25">
      <c r="C17" s="42" t="s">
        <v>277</v>
      </c>
      <c r="D17" t="s">
        <v>408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30"/>
  <sheetViews>
    <sheetView workbookViewId="0">
      <selection activeCell="E9" sqref="E9"/>
    </sheetView>
  </sheetViews>
  <sheetFormatPr defaultRowHeight="13.8" x14ac:dyDescent="0.25"/>
  <cols>
    <col min="8" max="8" width="11.77734375" customWidth="1"/>
  </cols>
  <sheetData>
    <row r="1" spans="1:14" x14ac:dyDescent="0.25">
      <c r="A1" t="s">
        <v>79</v>
      </c>
    </row>
    <row r="4" spans="1:14" x14ac:dyDescent="0.25">
      <c r="B4" t="s">
        <v>80</v>
      </c>
      <c r="D4" s="2" t="s">
        <v>14</v>
      </c>
      <c r="E4" s="2" t="s">
        <v>36</v>
      </c>
      <c r="F4" s="2" t="s">
        <v>6</v>
      </c>
      <c r="G4" s="2" t="s">
        <v>88</v>
      </c>
      <c r="H4" s="2" t="s">
        <v>272</v>
      </c>
      <c r="J4" s="2" t="s">
        <v>82</v>
      </c>
      <c r="K4" s="2" t="s">
        <v>83</v>
      </c>
      <c r="N4" t="s">
        <v>101</v>
      </c>
    </row>
    <row r="5" spans="1:14" x14ac:dyDescent="0.25">
      <c r="C5" t="s">
        <v>87</v>
      </c>
      <c r="D5">
        <v>5</v>
      </c>
      <c r="E5">
        <v>0</v>
      </c>
      <c r="F5">
        <v>1</v>
      </c>
      <c r="G5">
        <v>1</v>
      </c>
      <c r="H5">
        <v>1</v>
      </c>
      <c r="J5">
        <f>D5*3900*(1.6)^(E5)*G5*1.6^(H5-1)/F5</f>
        <v>19500</v>
      </c>
      <c r="K5" s="5">
        <f>D5*120*(1.5)^E5*G5*1.6^(H5-1)/F5</f>
        <v>600</v>
      </c>
      <c r="N5">
        <f>J5/K5</f>
        <v>32.5</v>
      </c>
    </row>
    <row r="6" spans="1:14" x14ac:dyDescent="0.25">
      <c r="C6" t="s">
        <v>86</v>
      </c>
      <c r="D6">
        <v>20</v>
      </c>
      <c r="E6">
        <v>0</v>
      </c>
      <c r="F6">
        <v>1</v>
      </c>
      <c r="G6">
        <v>1</v>
      </c>
      <c r="H6">
        <v>1</v>
      </c>
      <c r="J6">
        <f t="shared" ref="J6:J8" si="0">D6*3900*(1.6)^(E6)*G6*1.6^(H6-1)/F6</f>
        <v>78000</v>
      </c>
      <c r="K6" s="5">
        <f t="shared" ref="K6:K8" si="1">D6*120*(1.5)^E6*G6*1.6^(H6-1)/F6</f>
        <v>2400</v>
      </c>
      <c r="N6">
        <f>J6/K6</f>
        <v>32.5</v>
      </c>
    </row>
    <row r="7" spans="1:14" x14ac:dyDescent="0.25">
      <c r="C7" t="s">
        <v>85</v>
      </c>
      <c r="D7">
        <v>2</v>
      </c>
      <c r="E7">
        <v>0</v>
      </c>
      <c r="F7">
        <v>1.5</v>
      </c>
      <c r="G7">
        <v>1</v>
      </c>
      <c r="H7">
        <v>1</v>
      </c>
      <c r="J7">
        <f t="shared" si="0"/>
        <v>5200</v>
      </c>
      <c r="K7" s="5">
        <f t="shared" si="1"/>
        <v>160</v>
      </c>
      <c r="N7">
        <f>J7/K7</f>
        <v>32.5</v>
      </c>
    </row>
    <row r="8" spans="1:14" x14ac:dyDescent="0.25">
      <c r="C8" s="1" t="s">
        <v>84</v>
      </c>
      <c r="D8">
        <v>15</v>
      </c>
      <c r="E8">
        <v>1</v>
      </c>
      <c r="F8">
        <v>1</v>
      </c>
      <c r="G8">
        <v>1</v>
      </c>
      <c r="H8">
        <v>1</v>
      </c>
      <c r="J8">
        <f t="shared" si="0"/>
        <v>93600</v>
      </c>
      <c r="K8" s="5">
        <f t="shared" si="1"/>
        <v>2700</v>
      </c>
      <c r="N8">
        <f>J8/K8</f>
        <v>34.666666666666664</v>
      </c>
    </row>
    <row r="11" spans="1:14" x14ac:dyDescent="0.25">
      <c r="C11" t="s">
        <v>275</v>
      </c>
      <c r="D11" t="s">
        <v>317</v>
      </c>
    </row>
    <row r="12" spans="1:14" x14ac:dyDescent="0.25">
      <c r="C12" t="s">
        <v>315</v>
      </c>
      <c r="D12" t="s">
        <v>316</v>
      </c>
    </row>
    <row r="13" spans="1:14" x14ac:dyDescent="0.25">
      <c r="D13" t="s">
        <v>320</v>
      </c>
    </row>
    <row r="14" spans="1:14" x14ac:dyDescent="0.25">
      <c r="C14" t="s">
        <v>318</v>
      </c>
    </row>
    <row r="16" spans="1:14" x14ac:dyDescent="0.25">
      <c r="B16" t="s">
        <v>81</v>
      </c>
      <c r="C16" t="s">
        <v>87</v>
      </c>
      <c r="D16">
        <v>5</v>
      </c>
      <c r="E16">
        <v>1</v>
      </c>
      <c r="G16">
        <v>1</v>
      </c>
      <c r="H16">
        <v>1</v>
      </c>
      <c r="J16">
        <f>D16*2600*(1.6)^E16*G16*1.6^(H16-1)</f>
        <v>20800</v>
      </c>
      <c r="K16" s="5">
        <f>D16*90*(1.5)^E16*1.6^(H16-1)</f>
        <v>675</v>
      </c>
      <c r="N16">
        <f>J16/K16</f>
        <v>30.814814814814813</v>
      </c>
    </row>
    <row r="17" spans="3:14" x14ac:dyDescent="0.25">
      <c r="D17">
        <v>10</v>
      </c>
      <c r="E17">
        <v>0</v>
      </c>
      <c r="G17">
        <v>1</v>
      </c>
      <c r="H17">
        <v>1</v>
      </c>
      <c r="J17">
        <f t="shared" ref="J17:J19" si="2">D17*2600*(1.6)^E17*G17*1.6^(H17-1)</f>
        <v>26000</v>
      </c>
      <c r="K17" s="5">
        <f t="shared" ref="K17:K19" si="3">D17*90*(1.5)^E17*1.6^(H17-1)</f>
        <v>900</v>
      </c>
      <c r="N17">
        <f>J17/K17</f>
        <v>28.888888888888889</v>
      </c>
    </row>
    <row r="18" spans="3:14" x14ac:dyDescent="0.25">
      <c r="D18">
        <v>32</v>
      </c>
      <c r="E18">
        <v>1</v>
      </c>
      <c r="G18">
        <v>1</v>
      </c>
      <c r="H18">
        <v>1</v>
      </c>
      <c r="J18">
        <f t="shared" si="2"/>
        <v>133120</v>
      </c>
      <c r="K18" s="5">
        <f t="shared" si="3"/>
        <v>4320</v>
      </c>
      <c r="N18">
        <f>J18/K18</f>
        <v>30.814814814814813</v>
      </c>
    </row>
    <row r="19" spans="3:14" x14ac:dyDescent="0.25">
      <c r="C19" s="1" t="s">
        <v>84</v>
      </c>
      <c r="D19">
        <v>20</v>
      </c>
      <c r="E19">
        <v>0</v>
      </c>
      <c r="G19">
        <v>1</v>
      </c>
      <c r="H19">
        <v>1</v>
      </c>
      <c r="J19">
        <f t="shared" si="2"/>
        <v>52000</v>
      </c>
      <c r="K19" s="5">
        <f t="shared" si="3"/>
        <v>1800</v>
      </c>
      <c r="N19">
        <f>J19/K19</f>
        <v>28.888888888888889</v>
      </c>
    </row>
    <row r="22" spans="3:14" x14ac:dyDescent="0.25">
      <c r="C22" t="s">
        <v>166</v>
      </c>
    </row>
    <row r="25" spans="3:14" x14ac:dyDescent="0.25">
      <c r="C25" t="s">
        <v>131</v>
      </c>
    </row>
    <row r="26" spans="3:14" x14ac:dyDescent="0.25">
      <c r="D26" t="s">
        <v>129</v>
      </c>
    </row>
    <row r="27" spans="3:14" x14ac:dyDescent="0.25">
      <c r="D27" t="s">
        <v>262</v>
      </c>
    </row>
    <row r="28" spans="3:14" x14ac:dyDescent="0.25">
      <c r="D28" t="s">
        <v>130</v>
      </c>
    </row>
    <row r="29" spans="3:14" x14ac:dyDescent="0.25">
      <c r="D29" t="s">
        <v>313</v>
      </c>
    </row>
    <row r="30" spans="3:14" x14ac:dyDescent="0.25">
      <c r="D30" t="s">
        <v>314</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3.8" x14ac:dyDescent="0.25"/>
  <cols>
    <col min="1" max="1" width="17.44140625" customWidth="1"/>
    <col min="2" max="2" width="16.88671875" customWidth="1"/>
    <col min="3" max="3" width="14.77734375" customWidth="1"/>
    <col min="4" max="4" width="8.77734375" customWidth="1"/>
    <col min="5" max="5" width="8.44140625" style="21" customWidth="1"/>
    <col min="6" max="6" width="8" customWidth="1"/>
    <col min="7" max="7" width="12.109375" customWidth="1"/>
    <col min="8" max="8" width="8.5546875" customWidth="1"/>
    <col min="9" max="9" width="11.77734375" customWidth="1"/>
    <col min="10" max="10" width="13.6640625" customWidth="1"/>
    <col min="11" max="11" width="11.44140625" customWidth="1"/>
    <col min="12" max="12" width="12.109375" customWidth="1"/>
    <col min="13" max="13" width="6.109375" customWidth="1"/>
    <col min="14" max="14" width="13.77734375" customWidth="1"/>
    <col min="15" max="15" width="11.21875" customWidth="1"/>
    <col min="16" max="16" width="13.88671875" customWidth="1"/>
    <col min="17" max="17" width="12.44140625" customWidth="1"/>
    <col min="18" max="18" width="10.6640625" customWidth="1"/>
  </cols>
  <sheetData>
    <row r="1" spans="1:17" x14ac:dyDescent="0.25">
      <c r="A1" t="s">
        <v>201</v>
      </c>
      <c r="D1" t="s">
        <v>46</v>
      </c>
      <c r="E1" s="21" t="s">
        <v>202</v>
      </c>
      <c r="F1" t="s">
        <v>43</v>
      </c>
      <c r="G1" t="s">
        <v>44</v>
      </c>
      <c r="H1" t="s">
        <v>45</v>
      </c>
      <c r="N1" t="s">
        <v>219</v>
      </c>
    </row>
    <row r="2" spans="1:17" x14ac:dyDescent="0.25">
      <c r="B2" s="10" t="s">
        <v>49</v>
      </c>
      <c r="C2" s="10" t="s">
        <v>197</v>
      </c>
      <c r="D2" s="8" t="s">
        <v>14</v>
      </c>
      <c r="E2" s="20" t="s">
        <v>36</v>
      </c>
      <c r="F2" s="8" t="s">
        <v>212</v>
      </c>
      <c r="G2" s="8" t="s">
        <v>213</v>
      </c>
      <c r="H2" s="8" t="s">
        <v>210</v>
      </c>
      <c r="I2" s="8" t="s">
        <v>211</v>
      </c>
      <c r="J2" s="8" t="s">
        <v>246</v>
      </c>
      <c r="K2" s="11" t="s">
        <v>220</v>
      </c>
      <c r="L2" s="11" t="s">
        <v>222</v>
      </c>
      <c r="M2" s="11" t="s">
        <v>221</v>
      </c>
      <c r="N2" s="26" t="s">
        <v>203</v>
      </c>
      <c r="O2" s="26" t="s">
        <v>204</v>
      </c>
      <c r="P2" s="26" t="s">
        <v>205</v>
      </c>
      <c r="Q2" s="11" t="s">
        <v>154</v>
      </c>
    </row>
    <row r="3" spans="1:17" x14ac:dyDescent="0.25">
      <c r="B3" s="2" t="s">
        <v>176</v>
      </c>
      <c r="C3" t="s">
        <v>227</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25">
      <c r="B4" s="3"/>
      <c r="C4" s="1" t="s">
        <v>177</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25">
      <c r="A5" s="2" t="s">
        <v>148</v>
      </c>
      <c r="B5" s="3"/>
      <c r="D5" s="3"/>
      <c r="E5" s="23"/>
      <c r="F5" s="3"/>
      <c r="G5" s="3"/>
      <c r="H5" s="3"/>
      <c r="I5" s="3"/>
      <c r="J5" s="3"/>
    </row>
    <row r="6" spans="1:17" x14ac:dyDescent="0.25">
      <c r="A6" s="6" t="s">
        <v>150</v>
      </c>
      <c r="B6" s="3"/>
      <c r="C6" s="24" t="s">
        <v>236</v>
      </c>
      <c r="D6" s="2" t="s">
        <v>257</v>
      </c>
      <c r="E6" s="23"/>
      <c r="F6" s="3"/>
      <c r="G6" s="3"/>
      <c r="H6" s="3"/>
      <c r="I6" s="3"/>
      <c r="J6" s="3"/>
    </row>
    <row r="7" spans="1:17" x14ac:dyDescent="0.25">
      <c r="A7" s="6" t="s">
        <v>151</v>
      </c>
      <c r="B7" s="3"/>
      <c r="D7" s="3"/>
      <c r="E7" s="23"/>
      <c r="F7" s="3"/>
      <c r="G7" s="3"/>
      <c r="H7" s="3"/>
      <c r="I7" s="3"/>
      <c r="J7" s="3"/>
    </row>
    <row r="8" spans="1:17" x14ac:dyDescent="0.25">
      <c r="A8" s="6" t="s">
        <v>158</v>
      </c>
      <c r="B8" s="2" t="s">
        <v>217</v>
      </c>
      <c r="D8" s="8" t="s">
        <v>214</v>
      </c>
      <c r="E8" s="20" t="s">
        <v>215</v>
      </c>
      <c r="F8" s="8" t="s">
        <v>216</v>
      </c>
      <c r="G8" s="3"/>
      <c r="I8" s="3"/>
      <c r="J8" s="3"/>
      <c r="N8" s="14" t="s">
        <v>210</v>
      </c>
    </row>
    <row r="9" spans="1:17" x14ac:dyDescent="0.25">
      <c r="A9" s="15" t="s">
        <v>149</v>
      </c>
      <c r="B9" s="3"/>
      <c r="C9" t="s">
        <v>200</v>
      </c>
      <c r="D9" s="3">
        <v>5</v>
      </c>
      <c r="E9" s="23">
        <v>0</v>
      </c>
      <c r="F9" s="3">
        <v>1</v>
      </c>
      <c r="G9" s="3"/>
      <c r="I9" s="3"/>
      <c r="J9" s="3"/>
      <c r="N9" s="3">
        <f>1000*表2_4[[#This Row],[限制等级]]+3000*表2_4[[#This Row],[加权层数]]+5000*表2_4[[#This Row],[金币需求]]</f>
        <v>10000</v>
      </c>
    </row>
    <row r="10" spans="1:17" x14ac:dyDescent="0.25">
      <c r="A10" s="15" t="s">
        <v>159</v>
      </c>
      <c r="B10" s="3"/>
      <c r="C10" s="1" t="s">
        <v>177</v>
      </c>
      <c r="D10" s="12">
        <v>0</v>
      </c>
      <c r="E10" s="22">
        <v>0</v>
      </c>
      <c r="F10" s="12">
        <v>0</v>
      </c>
      <c r="G10" s="3"/>
      <c r="N10" s="17">
        <f>1000*表2_4[[#This Row],[限制等级]]+3000*表2_4[[#This Row],[加权层数]]+5000*表2_4[[#This Row],[金币需求]]</f>
        <v>0</v>
      </c>
    </row>
    <row r="11" spans="1:17" x14ac:dyDescent="0.25">
      <c r="A11" s="15" t="s">
        <v>374</v>
      </c>
      <c r="B11" s="3"/>
      <c r="D11" s="3"/>
      <c r="E11" s="23"/>
      <c r="F11" s="3"/>
      <c r="G11" s="3"/>
      <c r="H11" s="3"/>
      <c r="I11" s="3"/>
      <c r="J11" s="3"/>
    </row>
    <row r="12" spans="1:17" x14ac:dyDescent="0.25">
      <c r="B12" s="2" t="s">
        <v>223</v>
      </c>
      <c r="D12" s="20" t="s">
        <v>225</v>
      </c>
      <c r="E12" s="20" t="s">
        <v>14</v>
      </c>
      <c r="F12" s="8" t="s">
        <v>36</v>
      </c>
      <c r="G12" s="8" t="s">
        <v>229</v>
      </c>
      <c r="H12" s="8" t="s">
        <v>88</v>
      </c>
      <c r="I12" s="8" t="s">
        <v>224</v>
      </c>
      <c r="J12" s="14" t="s">
        <v>230</v>
      </c>
      <c r="K12" s="3"/>
      <c r="L12" s="3"/>
      <c r="M12" s="3"/>
      <c r="N12" s="14" t="s">
        <v>211</v>
      </c>
      <c r="O12" s="2"/>
    </row>
    <row r="13" spans="1:17" x14ac:dyDescent="0.25">
      <c r="B13" s="2"/>
      <c r="C13" t="s">
        <v>227</v>
      </c>
      <c r="D13" t="s">
        <v>226</v>
      </c>
      <c r="E13" s="21">
        <v>10</v>
      </c>
      <c r="F13">
        <v>0</v>
      </c>
      <c r="G13">
        <v>1.5</v>
      </c>
      <c r="H13">
        <v>1</v>
      </c>
      <c r="I13">
        <v>1</v>
      </c>
      <c r="J13" s="3">
        <f>表2_4[[#This Row],[装备折算价格]]*0.25 * E13*3900*(1.6)^(F13)*H13/G13</f>
        <v>6500</v>
      </c>
      <c r="K13" s="3"/>
      <c r="L13" s="3"/>
      <c r="M13" s="3"/>
      <c r="N13">
        <f>表2_4[[#This Row],[掉落物折算价格]]+J14</f>
        <v>6500</v>
      </c>
    </row>
    <row r="14" spans="1:17" x14ac:dyDescent="0.25">
      <c r="B14" s="3"/>
      <c r="D14" t="s">
        <v>228</v>
      </c>
      <c r="E14" s="21">
        <v>0</v>
      </c>
      <c r="F14">
        <v>0</v>
      </c>
      <c r="G14">
        <v>1</v>
      </c>
      <c r="H14">
        <v>1</v>
      </c>
      <c r="I14">
        <v>0</v>
      </c>
      <c r="J14" s="3">
        <f>表2_4[[#This Row],[装备折算价格]]*0.25 * E14*3900*(1.6)^(F14)*H14/G14</f>
        <v>0</v>
      </c>
    </row>
    <row r="15" spans="1:17" x14ac:dyDescent="0.25">
      <c r="B15" s="3"/>
      <c r="C15" s="1" t="s">
        <v>177</v>
      </c>
      <c r="D15" t="s">
        <v>231</v>
      </c>
      <c r="E15" s="22">
        <v>1</v>
      </c>
      <c r="F15" s="12">
        <v>0</v>
      </c>
      <c r="G15" s="12">
        <v>1</v>
      </c>
      <c r="H15" s="12">
        <v>1</v>
      </c>
      <c r="I15" s="12">
        <v>0</v>
      </c>
      <c r="J15" s="3">
        <f>表2_4[[#This Row],[装备折算价格]]*0.25 * E15*3900*(1.6)^(F15)*H15/G15</f>
        <v>0</v>
      </c>
      <c r="N15" s="17">
        <f>表2_4[[#This Row],[掉落物折算价格]]+J16+J17+J18</f>
        <v>0</v>
      </c>
    </row>
    <row r="16" spans="1:17" x14ac:dyDescent="0.25">
      <c r="B16" s="3"/>
      <c r="D16" t="s">
        <v>232</v>
      </c>
      <c r="E16" s="22">
        <v>1</v>
      </c>
      <c r="F16" s="12">
        <v>0</v>
      </c>
      <c r="G16" s="12">
        <v>1</v>
      </c>
      <c r="H16" s="12">
        <v>1</v>
      </c>
      <c r="I16" s="12">
        <v>0</v>
      </c>
      <c r="J16" s="3">
        <f>表2_4[[#This Row],[装备折算价格]]*0.25 * E16*3900*(1.6)^(F16)*H16/G16</f>
        <v>0</v>
      </c>
    </row>
    <row r="17" spans="2:17" x14ac:dyDescent="0.25">
      <c r="B17" s="3"/>
      <c r="D17" t="s">
        <v>233</v>
      </c>
      <c r="E17" s="22">
        <v>1</v>
      </c>
      <c r="F17" s="12">
        <v>0</v>
      </c>
      <c r="G17" s="12">
        <v>1</v>
      </c>
      <c r="H17" s="12">
        <v>1</v>
      </c>
      <c r="I17" s="12">
        <v>0</v>
      </c>
      <c r="J17" s="3">
        <f>表2_4[[#This Row],[装备折算价格]]*0.25 * E17*3900*(1.6)^(F17)*H17/G17</f>
        <v>0</v>
      </c>
    </row>
    <row r="18" spans="2:17" x14ac:dyDescent="0.25">
      <c r="B18" s="3"/>
      <c r="C18" s="2"/>
      <c r="D18" t="s">
        <v>234</v>
      </c>
      <c r="E18" s="22">
        <v>1</v>
      </c>
      <c r="F18" s="12">
        <v>0</v>
      </c>
      <c r="G18" s="12">
        <v>1</v>
      </c>
      <c r="H18" s="12">
        <v>1</v>
      </c>
      <c r="I18" s="12">
        <v>0</v>
      </c>
      <c r="J18" s="3">
        <f>表2_4[[#This Row],[装备折算价格]]*0.25 * E18*3900*(1.6)^(F18)*H18/G18</f>
        <v>0</v>
      </c>
    </row>
    <row r="19" spans="2:17" x14ac:dyDescent="0.25">
      <c r="B19" s="3"/>
      <c r="C19" s="24" t="s">
        <v>236</v>
      </c>
      <c r="D19" s="2" t="s">
        <v>237</v>
      </c>
    </row>
    <row r="20" spans="2:17" x14ac:dyDescent="0.25">
      <c r="B20" s="3"/>
      <c r="D20" s="2" t="s">
        <v>235</v>
      </c>
    </row>
    <row r="21" spans="2:17" x14ac:dyDescent="0.25">
      <c r="B21" s="3"/>
    </row>
    <row r="22" spans="2:17" x14ac:dyDescent="0.25">
      <c r="B22" s="2" t="s">
        <v>373</v>
      </c>
      <c r="D22" s="20" t="s">
        <v>225</v>
      </c>
      <c r="E22" s="20" t="s">
        <v>248</v>
      </c>
      <c r="F22" s="20" t="s">
        <v>238</v>
      </c>
      <c r="G22" s="20" t="s">
        <v>239</v>
      </c>
      <c r="H22" s="20" t="s">
        <v>240</v>
      </c>
      <c r="I22" s="20" t="s">
        <v>241</v>
      </c>
      <c r="J22" s="20" t="s">
        <v>242</v>
      </c>
      <c r="K22" s="25" t="s">
        <v>243</v>
      </c>
      <c r="L22" s="25" t="s">
        <v>244</v>
      </c>
      <c r="N22" s="26" t="s">
        <v>246</v>
      </c>
      <c r="P22" s="26" t="s">
        <v>250</v>
      </c>
      <c r="Q22" s="26" t="s">
        <v>245</v>
      </c>
    </row>
    <row r="23" spans="2:17" x14ac:dyDescent="0.25">
      <c r="B23" s="3"/>
      <c r="C23" t="s">
        <v>227</v>
      </c>
      <c r="D23" t="s">
        <v>253</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25">
      <c r="B24" s="3"/>
      <c r="C24" s="1" t="s">
        <v>25</v>
      </c>
      <c r="D24" t="s">
        <v>254</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25">
      <c r="B25" s="3"/>
      <c r="C25" s="1"/>
      <c r="D25" t="s">
        <v>255</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25">
      <c r="B26" s="3"/>
      <c r="C26" s="1"/>
      <c r="D26" t="s">
        <v>256</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25">
      <c r="B27" s="3"/>
      <c r="C27" s="24" t="s">
        <v>236</v>
      </c>
      <c r="D27" s="2" t="s">
        <v>252</v>
      </c>
      <c r="F27" s="21"/>
      <c r="G27" s="21"/>
      <c r="H27" s="21"/>
      <c r="I27" s="21"/>
      <c r="J27" s="21"/>
      <c r="N27" s="3" t="s">
        <v>371</v>
      </c>
    </row>
    <row r="28" spans="2:17" x14ac:dyDescent="0.25">
      <c r="B28" s="3"/>
      <c r="C28" s="24"/>
      <c r="D28" s="2" t="s">
        <v>249</v>
      </c>
      <c r="F28" s="21"/>
      <c r="G28" s="21"/>
      <c r="H28" s="21"/>
      <c r="I28" s="21"/>
      <c r="J28" s="21"/>
    </row>
    <row r="29" spans="2:17" x14ac:dyDescent="0.25">
      <c r="B29" s="3"/>
      <c r="D29" s="2" t="s">
        <v>251</v>
      </c>
    </row>
    <row r="30" spans="2:17" x14ac:dyDescent="0.25">
      <c r="B30" s="4" t="s">
        <v>40</v>
      </c>
      <c r="C30" s="2" t="s">
        <v>206</v>
      </c>
    </row>
    <row r="31" spans="2:17" x14ac:dyDescent="0.25">
      <c r="B31" s="3"/>
      <c r="C31" t="s">
        <v>209</v>
      </c>
    </row>
    <row r="32" spans="2:17" x14ac:dyDescent="0.25">
      <c r="B32" s="3"/>
    </row>
    <row r="33" spans="2:3" x14ac:dyDescent="0.25">
      <c r="B33" s="4" t="s">
        <v>41</v>
      </c>
      <c r="C33" t="s">
        <v>247</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G26" sqref="G26"/>
    </sheetView>
  </sheetViews>
  <sheetFormatPr defaultRowHeight="13.8" x14ac:dyDescent="0.25"/>
  <cols>
    <col min="3" max="3" width="13.109375" customWidth="1"/>
    <col min="8" max="8" width="13.44140625" customWidth="1"/>
    <col min="9" max="9" width="9.109375" customWidth="1"/>
    <col min="10" max="10" width="12.6640625" customWidth="1"/>
    <col min="16" max="16" width="8.21875" customWidth="1"/>
    <col min="17" max="17" width="8.44140625" customWidth="1"/>
  </cols>
  <sheetData>
    <row r="2" spans="3:15" x14ac:dyDescent="0.25">
      <c r="D2" s="33" t="s">
        <v>430</v>
      </c>
      <c r="E2" s="33" t="s">
        <v>239</v>
      </c>
      <c r="F2" s="33" t="s">
        <v>240</v>
      </c>
      <c r="G2" s="33" t="s">
        <v>338</v>
      </c>
      <c r="H2" s="33" t="s">
        <v>356</v>
      </c>
      <c r="I2" s="33" t="s">
        <v>94</v>
      </c>
      <c r="J2" s="33" t="s">
        <v>357</v>
      </c>
      <c r="K2" s="33" t="s">
        <v>339</v>
      </c>
      <c r="M2" s="35" t="s">
        <v>337</v>
      </c>
      <c r="O2" s="35" t="s">
        <v>336</v>
      </c>
    </row>
    <row r="3" spans="3:15" x14ac:dyDescent="0.25">
      <c r="C3" t="s">
        <v>335</v>
      </c>
      <c r="D3" s="34">
        <v>1.5</v>
      </c>
      <c r="E3" s="27">
        <v>1.5</v>
      </c>
      <c r="F3" s="27">
        <v>1.5</v>
      </c>
      <c r="G3" s="45">
        <v>20000</v>
      </c>
      <c r="H3" s="27">
        <v>22000</v>
      </c>
      <c r="I3" s="27">
        <v>20000</v>
      </c>
      <c r="J3" s="45">
        <v>0</v>
      </c>
      <c r="K3" s="27">
        <v>0</v>
      </c>
      <c r="M3" s="45">
        <f>G3+H3*0.5+I3/D3+IF(D3&gt;4,K3*300/(D3-2.5),K3*300)+J3*0.5</f>
        <v>44333.333333333336</v>
      </c>
      <c r="O3" s="45">
        <f>(D3*13000*E3*F3)</f>
        <v>43875</v>
      </c>
    </row>
    <row r="4" spans="3:15" x14ac:dyDescent="0.25">
      <c r="C4" t="s">
        <v>355</v>
      </c>
      <c r="D4" s="34">
        <v>4</v>
      </c>
      <c r="E4" s="27">
        <v>2</v>
      </c>
      <c r="F4" s="27">
        <v>1.5</v>
      </c>
      <c r="G4" s="45">
        <v>50000</v>
      </c>
      <c r="H4" s="27">
        <v>10000</v>
      </c>
      <c r="I4" s="27">
        <v>60000</v>
      </c>
      <c r="J4" s="45">
        <v>0</v>
      </c>
      <c r="K4" s="27">
        <v>300</v>
      </c>
      <c r="M4" s="45">
        <f t="shared" ref="M4:M6" si="0">G4+H4*0.5+I4/D4+IF(D4&gt;4,K4*300/(D4-2.5),K4*300)+J4*0.5</f>
        <v>160000</v>
      </c>
      <c r="O4" s="45">
        <f t="shared" ref="O4:O6" si="1">(D4*13000*E4*F4)</f>
        <v>156000</v>
      </c>
    </row>
    <row r="5" spans="3:15" x14ac:dyDescent="0.25">
      <c r="C5" t="s">
        <v>359</v>
      </c>
      <c r="D5" s="34">
        <v>4</v>
      </c>
      <c r="E5" s="27">
        <v>2</v>
      </c>
      <c r="F5" s="27">
        <v>2</v>
      </c>
      <c r="G5" s="45">
        <v>50000</v>
      </c>
      <c r="H5" s="27">
        <v>4000</v>
      </c>
      <c r="I5" s="27">
        <v>50000</v>
      </c>
      <c r="J5" s="45">
        <v>260000</v>
      </c>
      <c r="K5" s="27">
        <v>0</v>
      </c>
      <c r="M5" s="45">
        <f t="shared" si="0"/>
        <v>194500</v>
      </c>
      <c r="O5" s="45">
        <f t="shared" si="1"/>
        <v>208000</v>
      </c>
    </row>
    <row r="6" spans="3:15" x14ac:dyDescent="0.25">
      <c r="C6" s="1" t="s">
        <v>334</v>
      </c>
      <c r="D6" s="36">
        <v>1</v>
      </c>
      <c r="E6" s="37">
        <v>1</v>
      </c>
      <c r="F6" s="37">
        <v>1</v>
      </c>
      <c r="G6" s="37">
        <v>0</v>
      </c>
      <c r="H6" s="37">
        <v>0</v>
      </c>
      <c r="I6" s="37">
        <v>0</v>
      </c>
      <c r="J6" s="37">
        <v>0</v>
      </c>
      <c r="K6" s="37">
        <v>0</v>
      </c>
      <c r="M6" s="40">
        <f t="shared" si="0"/>
        <v>0</v>
      </c>
      <c r="O6" s="40">
        <f t="shared" si="1"/>
        <v>13000</v>
      </c>
    </row>
    <row r="8" spans="3:15" x14ac:dyDescent="0.25">
      <c r="C8" s="24" t="s">
        <v>236</v>
      </c>
      <c r="D8" s="2" t="s">
        <v>431</v>
      </c>
    </row>
    <row r="9" spans="3:15" x14ac:dyDescent="0.25">
      <c r="D9" s="2" t="s">
        <v>372</v>
      </c>
    </row>
    <row r="10" spans="3:15" x14ac:dyDescent="0.25">
      <c r="D10" s="2" t="s">
        <v>358</v>
      </c>
    </row>
    <row r="11" spans="3:15" x14ac:dyDescent="0.25">
      <c r="I11" s="2" t="s">
        <v>360</v>
      </c>
    </row>
    <row r="12" spans="3:15" x14ac:dyDescent="0.25">
      <c r="I12" s="33" t="s">
        <v>340</v>
      </c>
      <c r="J12" s="33" t="s">
        <v>224</v>
      </c>
      <c r="K12" s="33" t="s">
        <v>353</v>
      </c>
      <c r="L12" s="33" t="s">
        <v>354</v>
      </c>
      <c r="M12" s="35" t="s">
        <v>342</v>
      </c>
    </row>
    <row r="13" spans="3:15" x14ac:dyDescent="0.25">
      <c r="D13" s="2" t="s">
        <v>429</v>
      </c>
      <c r="H13" t="s">
        <v>87</v>
      </c>
      <c r="I13" s="46" t="s">
        <v>343</v>
      </c>
      <c r="J13" s="45">
        <v>20</v>
      </c>
      <c r="K13" s="45">
        <v>500</v>
      </c>
      <c r="L13" s="45">
        <f t="shared" ref="L13:L22" si="2">J13*K13</f>
        <v>10000</v>
      </c>
      <c r="M13">
        <f>SUM(L13:L13)</f>
        <v>10000</v>
      </c>
    </row>
    <row r="14" spans="3:15" x14ac:dyDescent="0.25">
      <c r="D14" s="33" t="s">
        <v>410</v>
      </c>
      <c r="E14" s="35" t="s">
        <v>411</v>
      </c>
      <c r="F14" s="33" t="s">
        <v>414</v>
      </c>
      <c r="H14" s="1" t="s">
        <v>363</v>
      </c>
      <c r="I14" s="46" t="s">
        <v>344</v>
      </c>
      <c r="J14" s="45">
        <v>0</v>
      </c>
      <c r="K14" s="45">
        <v>0</v>
      </c>
      <c r="L14" s="45">
        <f t="shared" si="2"/>
        <v>0</v>
      </c>
      <c r="M14" s="40">
        <f>SUM(L14:L22)</f>
        <v>0</v>
      </c>
    </row>
    <row r="15" spans="3:15" x14ac:dyDescent="0.25">
      <c r="D15" t="s">
        <v>409</v>
      </c>
      <c r="E15" s="40">
        <v>1</v>
      </c>
      <c r="I15" s="46" t="s">
        <v>345</v>
      </c>
      <c r="J15" s="45">
        <v>0</v>
      </c>
      <c r="K15" s="45">
        <v>0</v>
      </c>
      <c r="L15" s="45">
        <f t="shared" si="2"/>
        <v>0</v>
      </c>
    </row>
    <row r="16" spans="3:15" x14ac:dyDescent="0.25">
      <c r="D16" t="s">
        <v>412</v>
      </c>
      <c r="E16" s="40">
        <v>2</v>
      </c>
      <c r="I16" s="46" t="s">
        <v>346</v>
      </c>
      <c r="J16" s="45">
        <v>0</v>
      </c>
      <c r="K16" s="45">
        <v>0</v>
      </c>
      <c r="L16" s="45">
        <f t="shared" si="2"/>
        <v>0</v>
      </c>
    </row>
    <row r="17" spans="4:16" x14ac:dyDescent="0.25">
      <c r="D17" t="s">
        <v>413</v>
      </c>
      <c r="E17" s="40">
        <v>3</v>
      </c>
      <c r="I17" s="46" t="s">
        <v>347</v>
      </c>
      <c r="J17" s="45">
        <v>0</v>
      </c>
      <c r="K17" s="45">
        <v>0</v>
      </c>
      <c r="L17" s="45">
        <f t="shared" si="2"/>
        <v>0</v>
      </c>
    </row>
    <row r="18" spans="4:16" x14ac:dyDescent="0.25">
      <c r="D18" t="s">
        <v>415</v>
      </c>
      <c r="E18" s="40">
        <v>4</v>
      </c>
      <c r="F18" t="s">
        <v>426</v>
      </c>
      <c r="I18" s="46" t="s">
        <v>348</v>
      </c>
      <c r="J18" s="45">
        <v>0</v>
      </c>
      <c r="K18" s="45">
        <v>0</v>
      </c>
      <c r="L18" s="45">
        <f t="shared" si="2"/>
        <v>0</v>
      </c>
    </row>
    <row r="19" spans="4:16" x14ac:dyDescent="0.25">
      <c r="D19" t="s">
        <v>416</v>
      </c>
      <c r="E19" s="40">
        <v>5</v>
      </c>
      <c r="F19" t="s">
        <v>423</v>
      </c>
      <c r="I19" s="46" t="s">
        <v>349</v>
      </c>
      <c r="J19" s="45">
        <v>0</v>
      </c>
      <c r="K19" s="45">
        <v>0</v>
      </c>
      <c r="L19" s="45">
        <f t="shared" si="2"/>
        <v>0</v>
      </c>
    </row>
    <row r="20" spans="4:16" x14ac:dyDescent="0.25">
      <c r="D20" t="s">
        <v>417</v>
      </c>
      <c r="E20" s="40">
        <v>6</v>
      </c>
      <c r="F20" t="s">
        <v>425</v>
      </c>
      <c r="I20" s="46" t="s">
        <v>350</v>
      </c>
      <c r="J20" s="45">
        <v>0</v>
      </c>
      <c r="K20" s="45">
        <v>0</v>
      </c>
      <c r="L20" s="45">
        <f t="shared" si="2"/>
        <v>0</v>
      </c>
    </row>
    <row r="21" spans="4:16" x14ac:dyDescent="0.25">
      <c r="D21" t="s">
        <v>418</v>
      </c>
      <c r="E21" s="40">
        <v>7</v>
      </c>
      <c r="F21" t="s">
        <v>424</v>
      </c>
      <c r="I21" s="46" t="s">
        <v>351</v>
      </c>
      <c r="J21" s="45">
        <v>0</v>
      </c>
      <c r="K21" s="45">
        <v>0</v>
      </c>
      <c r="L21" s="45">
        <f t="shared" si="2"/>
        <v>0</v>
      </c>
    </row>
    <row r="22" spans="4:16" x14ac:dyDescent="0.25">
      <c r="D22" t="s">
        <v>419</v>
      </c>
      <c r="E22" s="40">
        <v>8</v>
      </c>
      <c r="I22" s="46" t="s">
        <v>352</v>
      </c>
      <c r="J22" s="45">
        <v>0</v>
      </c>
      <c r="K22" s="45">
        <v>0</v>
      </c>
      <c r="L22" s="45">
        <f t="shared" si="2"/>
        <v>0</v>
      </c>
    </row>
    <row r="23" spans="4:16" x14ac:dyDescent="0.25">
      <c r="D23" t="s">
        <v>428</v>
      </c>
      <c r="E23" s="40">
        <v>9</v>
      </c>
    </row>
    <row r="24" spans="4:16" x14ac:dyDescent="0.25">
      <c r="D24" t="s">
        <v>421</v>
      </c>
      <c r="E24" s="43" t="s">
        <v>422</v>
      </c>
      <c r="I24" s="2" t="s">
        <v>370</v>
      </c>
    </row>
    <row r="25" spans="4:16" x14ac:dyDescent="0.25">
      <c r="I25" s="33" t="s">
        <v>225</v>
      </c>
      <c r="J25" s="33" t="s">
        <v>14</v>
      </c>
      <c r="K25" s="38" t="s">
        <v>36</v>
      </c>
      <c r="L25" s="38" t="s">
        <v>229</v>
      </c>
      <c r="M25" s="38" t="s">
        <v>88</v>
      </c>
      <c r="N25" s="38" t="s">
        <v>224</v>
      </c>
      <c r="O25" s="38" t="s">
        <v>362</v>
      </c>
      <c r="P25" s="39" t="s">
        <v>341</v>
      </c>
    </row>
    <row r="26" spans="4:16" x14ac:dyDescent="0.25">
      <c r="H26" t="s">
        <v>87</v>
      </c>
      <c r="I26" s="46" t="s">
        <v>361</v>
      </c>
      <c r="J26" s="45">
        <v>20</v>
      </c>
      <c r="K26" s="45">
        <v>0</v>
      </c>
      <c r="L26" s="45">
        <v>1.5</v>
      </c>
      <c r="M26" s="34">
        <v>1</v>
      </c>
      <c r="N26" s="45">
        <v>5</v>
      </c>
      <c r="O26" s="45">
        <f>N26 * J26*3900*(1.6)^(K26)*M26/L26</f>
        <v>260000</v>
      </c>
      <c r="P26">
        <f>SUM(O26:O26)</f>
        <v>260000</v>
      </c>
    </row>
    <row r="27" spans="4:16" x14ac:dyDescent="0.25">
      <c r="H27" s="1" t="s">
        <v>364</v>
      </c>
      <c r="I27" s="46" t="s">
        <v>365</v>
      </c>
      <c r="J27" s="45">
        <v>0</v>
      </c>
      <c r="K27" s="45">
        <v>0</v>
      </c>
      <c r="L27" s="45">
        <v>1</v>
      </c>
      <c r="M27" s="34">
        <v>1</v>
      </c>
      <c r="N27" s="45">
        <v>0</v>
      </c>
      <c r="O27" s="45">
        <f t="shared" ref="O27:O29" si="3">N27 * J27*3900*(1.6)^(K27)*M27/L27</f>
        <v>0</v>
      </c>
      <c r="P27" s="40">
        <f>SUM(O27:O32)</f>
        <v>0</v>
      </c>
    </row>
    <row r="28" spans="4:16" x14ac:dyDescent="0.25">
      <c r="I28" s="46" t="s">
        <v>366</v>
      </c>
      <c r="J28" s="45">
        <v>0</v>
      </c>
      <c r="K28" s="45">
        <v>0</v>
      </c>
      <c r="L28" s="45">
        <v>1</v>
      </c>
      <c r="M28" s="34">
        <v>1</v>
      </c>
      <c r="N28" s="45">
        <v>0</v>
      </c>
      <c r="O28" s="45">
        <f t="shared" si="3"/>
        <v>0</v>
      </c>
    </row>
    <row r="29" spans="4:16" x14ac:dyDescent="0.25">
      <c r="I29" s="46" t="s">
        <v>367</v>
      </c>
      <c r="J29" s="45">
        <v>0</v>
      </c>
      <c r="K29" s="45">
        <v>0</v>
      </c>
      <c r="L29" s="45">
        <v>1</v>
      </c>
      <c r="M29" s="34">
        <v>1</v>
      </c>
      <c r="N29" s="45">
        <v>0</v>
      </c>
      <c r="O29" s="45">
        <f t="shared" si="3"/>
        <v>0</v>
      </c>
    </row>
    <row r="30" spans="4:16" x14ac:dyDescent="0.25">
      <c r="I30" s="46" t="s">
        <v>368</v>
      </c>
      <c r="J30" s="45">
        <v>0</v>
      </c>
      <c r="K30" s="45">
        <v>0</v>
      </c>
      <c r="L30" s="45">
        <v>1</v>
      </c>
      <c r="M30" s="34">
        <v>1</v>
      </c>
      <c r="N30" s="45">
        <v>0</v>
      </c>
      <c r="O30" s="45">
        <f t="shared" ref="O30:O31" si="4">N30 * J30*3900*(1.6)^(K30)*M30/L30</f>
        <v>0</v>
      </c>
    </row>
    <row r="31" spans="4:16" x14ac:dyDescent="0.25">
      <c r="I31" s="46" t="s">
        <v>369</v>
      </c>
      <c r="J31" s="45">
        <v>0</v>
      </c>
      <c r="K31" s="45">
        <v>0</v>
      </c>
      <c r="L31" s="45">
        <v>1</v>
      </c>
      <c r="M31" s="34">
        <v>1</v>
      </c>
      <c r="N31" s="45">
        <v>0</v>
      </c>
      <c r="O31" s="45">
        <f t="shared" si="4"/>
        <v>0</v>
      </c>
    </row>
    <row r="32" spans="4:16" x14ac:dyDescent="0.25">
      <c r="I32" s="46" t="s">
        <v>427</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3"/>
  <sheetViews>
    <sheetView workbookViewId="0">
      <selection activeCell="M9" sqref="M9"/>
    </sheetView>
  </sheetViews>
  <sheetFormatPr defaultRowHeight="13.8" x14ac:dyDescent="0.25"/>
  <cols>
    <col min="1" max="1" width="4.44140625" customWidth="1"/>
    <col min="2" max="2" width="8.77734375" customWidth="1"/>
    <col min="3" max="3" width="5.88671875" customWidth="1"/>
    <col min="4" max="4" width="8.21875" customWidth="1"/>
    <col min="5" max="5" width="7.88671875" customWidth="1"/>
    <col min="6" max="6" width="8.21875" customWidth="1"/>
    <col min="7" max="7" width="8.109375" customWidth="1"/>
    <col min="8" max="8" width="8.5546875" customWidth="1"/>
    <col min="9" max="9" width="8.44140625" customWidth="1"/>
    <col min="10" max="10" width="13.109375" customWidth="1"/>
    <col min="11" max="11" width="7.88671875" customWidth="1"/>
    <col min="12" max="12" width="11.6640625" customWidth="1"/>
    <col min="13" max="13" width="6.5546875" customWidth="1"/>
    <col min="14" max="14" width="12" customWidth="1"/>
    <col min="15" max="15" width="11.44140625" customWidth="1"/>
    <col min="18" max="18" width="10.6640625" customWidth="1"/>
    <col min="19" max="19" width="9.88671875" customWidth="1"/>
    <col min="22" max="22" width="10" customWidth="1"/>
  </cols>
  <sheetData>
    <row r="1" spans="1:23" x14ac:dyDescent="0.25">
      <c r="N1" t="s">
        <v>479</v>
      </c>
    </row>
    <row r="2" spans="1:23" x14ac:dyDescent="0.25">
      <c r="C2" s="33" t="s">
        <v>410</v>
      </c>
      <c r="D2" s="33" t="s">
        <v>432</v>
      </c>
      <c r="E2" s="33" t="s">
        <v>476</v>
      </c>
      <c r="F2" s="33" t="s">
        <v>456</v>
      </c>
      <c r="G2" s="33" t="s">
        <v>457</v>
      </c>
      <c r="H2" s="33" t="s">
        <v>459</v>
      </c>
      <c r="I2" s="33" t="s">
        <v>455</v>
      </c>
      <c r="J2" s="33" t="s">
        <v>458</v>
      </c>
      <c r="K2" s="33" t="s">
        <v>497</v>
      </c>
      <c r="L2" s="33" t="s">
        <v>454</v>
      </c>
      <c r="N2" s="35" t="s">
        <v>464</v>
      </c>
      <c r="O2" s="35" t="s">
        <v>463</v>
      </c>
      <c r="P2" s="35" t="s">
        <v>465</v>
      </c>
      <c r="Q2" s="35" t="s">
        <v>462</v>
      </c>
      <c r="R2" s="35" t="s">
        <v>467</v>
      </c>
      <c r="S2" s="35" t="s">
        <v>466</v>
      </c>
      <c r="T2" s="35" t="s">
        <v>468</v>
      </c>
      <c r="U2" s="35" t="s">
        <v>469</v>
      </c>
      <c r="V2" s="35" t="s">
        <v>82</v>
      </c>
      <c r="W2" s="35" t="s">
        <v>478</v>
      </c>
    </row>
    <row r="3" spans="1:23" x14ac:dyDescent="0.25">
      <c r="B3" t="s">
        <v>480</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25">
      <c r="B4" t="s">
        <v>496</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25">
      <c r="B5" t="s">
        <v>482</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25">
      <c r="B6" t="s">
        <v>484</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25">
      <c r="B7" t="s">
        <v>481</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25">
      <c r="B8" s="1" t="s">
        <v>472</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25">
      <c r="A10" s="2" t="s">
        <v>483</v>
      </c>
      <c r="C10" s="24" t="s">
        <v>236</v>
      </c>
      <c r="D10" s="2" t="s">
        <v>498</v>
      </c>
    </row>
    <row r="11" spans="1:23" x14ac:dyDescent="0.25">
      <c r="A11" s="6" t="s">
        <v>150</v>
      </c>
      <c r="B11" s="6"/>
      <c r="C11" s="24"/>
      <c r="D11" s="2" t="s">
        <v>477</v>
      </c>
    </row>
    <row r="12" spans="1:23" x14ac:dyDescent="0.25">
      <c r="A12" s="15" t="s">
        <v>149</v>
      </c>
      <c r="B12" s="15"/>
      <c r="D12" s="2" t="s">
        <v>491</v>
      </c>
    </row>
    <row r="13" spans="1:23" x14ac:dyDescent="0.25">
      <c r="D13" s="2" t="s">
        <v>490</v>
      </c>
    </row>
    <row r="14" spans="1:23" x14ac:dyDescent="0.25">
      <c r="D14" s="2" t="s">
        <v>470</v>
      </c>
    </row>
    <row r="15" spans="1:23" x14ac:dyDescent="0.25">
      <c r="D15" s="2" t="s">
        <v>460</v>
      </c>
    </row>
    <row r="16" spans="1:23" x14ac:dyDescent="0.25">
      <c r="D16" s="2" t="s">
        <v>489</v>
      </c>
    </row>
    <row r="17" spans="2:12" x14ac:dyDescent="0.25">
      <c r="D17" s="2" t="s">
        <v>461</v>
      </c>
    </row>
    <row r="18" spans="2:12" x14ac:dyDescent="0.25">
      <c r="D18" s="2"/>
    </row>
    <row r="19" spans="2:12" x14ac:dyDescent="0.25">
      <c r="B19" s="2" t="s">
        <v>410</v>
      </c>
      <c r="J19" s="2" t="s">
        <v>432</v>
      </c>
    </row>
    <row r="20" spans="2:12" x14ac:dyDescent="0.25">
      <c r="B20" s="33" t="s">
        <v>410</v>
      </c>
      <c r="C20" s="35" t="s">
        <v>411</v>
      </c>
      <c r="D20" s="33" t="s">
        <v>414</v>
      </c>
      <c r="J20" s="33" t="s">
        <v>433</v>
      </c>
      <c r="K20" s="35" t="s">
        <v>411</v>
      </c>
      <c r="L20" s="33" t="s">
        <v>444</v>
      </c>
    </row>
    <row r="21" spans="2:12" x14ac:dyDescent="0.25">
      <c r="B21" t="s">
        <v>409</v>
      </c>
      <c r="C21" s="40">
        <v>1</v>
      </c>
      <c r="J21" t="s">
        <v>434</v>
      </c>
      <c r="K21" s="40">
        <v>1</v>
      </c>
      <c r="L21" t="s">
        <v>446</v>
      </c>
    </row>
    <row r="22" spans="2:12" x14ac:dyDescent="0.25">
      <c r="B22" t="s">
        <v>412</v>
      </c>
      <c r="C22" s="40">
        <v>2</v>
      </c>
      <c r="J22" t="s">
        <v>435</v>
      </c>
      <c r="K22" s="40">
        <v>1.5</v>
      </c>
      <c r="L22" t="s">
        <v>473</v>
      </c>
    </row>
    <row r="23" spans="2:12" x14ac:dyDescent="0.25">
      <c r="B23" t="s">
        <v>413</v>
      </c>
      <c r="C23" s="40">
        <v>3</v>
      </c>
      <c r="J23" t="s">
        <v>436</v>
      </c>
      <c r="K23" s="40">
        <v>2</v>
      </c>
      <c r="L23" t="s">
        <v>447</v>
      </c>
    </row>
    <row r="24" spans="2:12" x14ac:dyDescent="0.25">
      <c r="B24" t="s">
        <v>415</v>
      </c>
      <c r="C24" s="40">
        <v>4</v>
      </c>
      <c r="D24" t="s">
        <v>426</v>
      </c>
      <c r="J24" t="s">
        <v>437</v>
      </c>
      <c r="K24" s="44" t="s">
        <v>486</v>
      </c>
      <c r="L24" t="s">
        <v>485</v>
      </c>
    </row>
    <row r="25" spans="2:12" x14ac:dyDescent="0.25">
      <c r="B25" t="s">
        <v>416</v>
      </c>
      <c r="C25" s="40">
        <v>5</v>
      </c>
      <c r="D25" t="s">
        <v>423</v>
      </c>
      <c r="J25" t="s">
        <v>438</v>
      </c>
      <c r="K25" s="44" t="s">
        <v>487</v>
      </c>
      <c r="L25" t="s">
        <v>448</v>
      </c>
    </row>
    <row r="26" spans="2:12" x14ac:dyDescent="0.25">
      <c r="B26" t="s">
        <v>417</v>
      </c>
      <c r="C26" s="40">
        <v>6</v>
      </c>
      <c r="D26" t="s">
        <v>425</v>
      </c>
      <c r="G26" s="2" t="s">
        <v>499</v>
      </c>
      <c r="J26" t="s">
        <v>439</v>
      </c>
      <c r="K26" s="44" t="s">
        <v>488</v>
      </c>
      <c r="L26" t="s">
        <v>449</v>
      </c>
    </row>
    <row r="27" spans="2:12" x14ac:dyDescent="0.25">
      <c r="B27" t="s">
        <v>418</v>
      </c>
      <c r="C27" s="40">
        <v>7</v>
      </c>
      <c r="D27" t="s">
        <v>424</v>
      </c>
      <c r="G27" s="33" t="s">
        <v>410</v>
      </c>
      <c r="H27" s="35" t="s">
        <v>411</v>
      </c>
      <c r="J27" t="s">
        <v>440</v>
      </c>
      <c r="K27" s="40">
        <v>9</v>
      </c>
      <c r="L27" t="s">
        <v>452</v>
      </c>
    </row>
    <row r="28" spans="2:12" x14ac:dyDescent="0.25">
      <c r="B28" t="s">
        <v>419</v>
      </c>
      <c r="C28" s="40">
        <v>8</v>
      </c>
      <c r="G28" s="42" t="s">
        <v>501</v>
      </c>
      <c r="H28" s="40">
        <v>1</v>
      </c>
      <c r="J28" t="s">
        <v>441</v>
      </c>
      <c r="K28" s="40">
        <v>13</v>
      </c>
      <c r="L28" t="s">
        <v>453</v>
      </c>
    </row>
    <row r="29" spans="2:12" x14ac:dyDescent="0.25">
      <c r="B29" t="s">
        <v>420</v>
      </c>
      <c r="C29" s="40">
        <v>9</v>
      </c>
      <c r="G29" s="42" t="s">
        <v>500</v>
      </c>
      <c r="H29" s="40">
        <v>2</v>
      </c>
      <c r="J29" t="s">
        <v>442</v>
      </c>
      <c r="K29" s="40">
        <v>16</v>
      </c>
      <c r="L29" t="s">
        <v>471</v>
      </c>
    </row>
    <row r="30" spans="2:12" x14ac:dyDescent="0.25">
      <c r="B30" t="s">
        <v>421</v>
      </c>
      <c r="C30" s="44" t="s">
        <v>422</v>
      </c>
      <c r="G30" s="42" t="s">
        <v>502</v>
      </c>
      <c r="H30" s="40">
        <v>3</v>
      </c>
      <c r="J30" t="s">
        <v>443</v>
      </c>
      <c r="K30" s="40">
        <v>20</v>
      </c>
      <c r="L30" t="s">
        <v>451</v>
      </c>
    </row>
    <row r="31" spans="2:12" x14ac:dyDescent="0.25">
      <c r="G31" s="42" t="s">
        <v>503</v>
      </c>
      <c r="H31" s="40">
        <v>4</v>
      </c>
    </row>
    <row r="32" spans="2:12" x14ac:dyDescent="0.25">
      <c r="B32" t="s">
        <v>474</v>
      </c>
      <c r="C32" s="47" t="s">
        <v>475</v>
      </c>
      <c r="D32" s="44"/>
      <c r="G32" s="42" t="s">
        <v>504</v>
      </c>
      <c r="H32" s="40">
        <v>5</v>
      </c>
      <c r="J32" s="24" t="s">
        <v>236</v>
      </c>
      <c r="K32" s="2" t="s">
        <v>450</v>
      </c>
    </row>
    <row r="33" spans="11:11" x14ac:dyDescent="0.25">
      <c r="K33" s="2" t="s">
        <v>445</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3.8" x14ac:dyDescent="0.25"/>
  <cols>
    <col min="3" max="3" width="13.33203125" customWidth="1"/>
    <col min="4" max="4" width="13.77734375" customWidth="1"/>
    <col min="5" max="5" width="19.33203125" customWidth="1"/>
    <col min="8" max="8" width="9.88671875" customWidth="1"/>
    <col min="11" max="11" width="4.88671875" customWidth="1"/>
    <col min="12" max="12" width="9.44140625" customWidth="1"/>
    <col min="13" max="13" width="9.5546875" customWidth="1"/>
    <col min="14" max="14" width="11.21875" customWidth="1"/>
  </cols>
  <sheetData>
    <row r="2" spans="1:15" x14ac:dyDescent="0.25">
      <c r="A2" t="s">
        <v>102</v>
      </c>
    </row>
    <row r="6" spans="1:15" x14ac:dyDescent="0.25">
      <c r="J6" t="s">
        <v>100</v>
      </c>
    </row>
    <row r="7" spans="1:15" x14ac:dyDescent="0.25">
      <c r="B7" t="s">
        <v>90</v>
      </c>
      <c r="C7" t="s">
        <v>91</v>
      </c>
      <c r="D7" t="s">
        <v>92</v>
      </c>
      <c r="E7" t="s">
        <v>93</v>
      </c>
      <c r="F7" t="s">
        <v>94</v>
      </c>
      <c r="K7" t="s">
        <v>90</v>
      </c>
      <c r="L7" t="s">
        <v>91</v>
      </c>
      <c r="M7" t="s">
        <v>92</v>
      </c>
      <c r="N7" t="s">
        <v>93</v>
      </c>
      <c r="O7" t="s">
        <v>94</v>
      </c>
    </row>
    <row r="8" spans="1:15" x14ac:dyDescent="0.25">
      <c r="A8" t="s">
        <v>96</v>
      </c>
      <c r="B8">
        <v>1</v>
      </c>
      <c r="C8">
        <v>10000</v>
      </c>
      <c r="D8">
        <v>55000</v>
      </c>
      <c r="E8">
        <v>60</v>
      </c>
      <c r="F8">
        <f>(C8+(D8-C8)/(E8-1)*B8)</f>
        <v>10762.71186440678</v>
      </c>
      <c r="K8">
        <v>1</v>
      </c>
      <c r="L8">
        <v>10000</v>
      </c>
      <c r="M8">
        <v>55000</v>
      </c>
      <c r="N8">
        <v>60</v>
      </c>
      <c r="O8">
        <f>(L8+(M8-L8)/(N8-1)*K8)</f>
        <v>10762.71186440678</v>
      </c>
    </row>
    <row r="9" spans="1:15" x14ac:dyDescent="0.25">
      <c r="B9">
        <v>2</v>
      </c>
      <c r="C9">
        <v>10000</v>
      </c>
      <c r="D9">
        <v>55000</v>
      </c>
      <c r="E9">
        <v>60</v>
      </c>
      <c r="F9">
        <f>(C9+(D9-C9)/(E9-1)*B9)</f>
        <v>11525.423728813559</v>
      </c>
      <c r="K9">
        <v>2</v>
      </c>
      <c r="L9">
        <v>10000</v>
      </c>
      <c r="M9">
        <v>55000</v>
      </c>
      <c r="N9">
        <v>60</v>
      </c>
      <c r="O9">
        <f>(L9+(M9-L9)/(N9-1)*K9)</f>
        <v>11525.423728813559</v>
      </c>
    </row>
    <row r="10" spans="1:15" x14ac:dyDescent="0.25">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25">
      <c r="B11">
        <v>4</v>
      </c>
      <c r="C11">
        <v>10000</v>
      </c>
      <c r="D11">
        <v>55000</v>
      </c>
      <c r="E11">
        <v>60</v>
      </c>
      <c r="F11">
        <f t="shared" si="0"/>
        <v>13050.847457627118</v>
      </c>
    </row>
    <row r="12" spans="1:15" x14ac:dyDescent="0.25">
      <c r="B12">
        <v>5</v>
      </c>
      <c r="C12">
        <v>10000</v>
      </c>
      <c r="D12">
        <v>55000</v>
      </c>
      <c r="E12">
        <v>60</v>
      </c>
      <c r="F12">
        <f t="shared" si="0"/>
        <v>13813.559322033898</v>
      </c>
    </row>
    <row r="13" spans="1:15" x14ac:dyDescent="0.25">
      <c r="B13">
        <v>6</v>
      </c>
      <c r="C13">
        <v>10000</v>
      </c>
      <c r="D13">
        <v>55000</v>
      </c>
      <c r="E13">
        <v>60</v>
      </c>
      <c r="F13">
        <f t="shared" si="0"/>
        <v>14576.271186440677</v>
      </c>
    </row>
    <row r="14" spans="1:15" x14ac:dyDescent="0.25">
      <c r="B14">
        <v>7</v>
      </c>
      <c r="C14">
        <v>10000</v>
      </c>
      <c r="D14">
        <v>55000</v>
      </c>
      <c r="E14">
        <v>60</v>
      </c>
      <c r="F14">
        <f t="shared" si="0"/>
        <v>15338.983050847459</v>
      </c>
    </row>
    <row r="15" spans="1:15" x14ac:dyDescent="0.25">
      <c r="B15">
        <v>8</v>
      </c>
      <c r="C15">
        <v>10000</v>
      </c>
      <c r="D15">
        <v>55000</v>
      </c>
      <c r="E15">
        <v>60</v>
      </c>
      <c r="F15">
        <f t="shared" si="0"/>
        <v>16101.694915254237</v>
      </c>
    </row>
    <row r="16" spans="1:15" x14ac:dyDescent="0.25">
      <c r="B16">
        <v>9</v>
      </c>
      <c r="C16">
        <v>10000</v>
      </c>
      <c r="D16">
        <v>55000</v>
      </c>
      <c r="E16">
        <v>60</v>
      </c>
      <c r="F16">
        <f t="shared" si="0"/>
        <v>16864.406779661018</v>
      </c>
    </row>
    <row r="17" spans="1:18" x14ac:dyDescent="0.25">
      <c r="B17">
        <v>10</v>
      </c>
      <c r="C17">
        <v>10000</v>
      </c>
      <c r="D17">
        <v>55000</v>
      </c>
      <c r="E17">
        <v>60</v>
      </c>
      <c r="F17">
        <f t="shared" si="0"/>
        <v>17627.118644067796</v>
      </c>
    </row>
    <row r="20" spans="1:18" x14ac:dyDescent="0.25">
      <c r="A20" t="s">
        <v>97</v>
      </c>
      <c r="B20">
        <v>1</v>
      </c>
      <c r="C20">
        <v>10</v>
      </c>
      <c r="D20">
        <v>20000</v>
      </c>
      <c r="E20">
        <v>60</v>
      </c>
      <c r="F20">
        <f>(C20+(D20-C20)/(E20-1)*B20)</f>
        <v>348.81355932203388</v>
      </c>
    </row>
    <row r="21" spans="1:18" x14ac:dyDescent="0.25">
      <c r="B21">
        <v>2</v>
      </c>
      <c r="C21">
        <v>10</v>
      </c>
      <c r="D21">
        <v>20000</v>
      </c>
      <c r="E21">
        <v>60</v>
      </c>
      <c r="F21">
        <f>(C21+(D21-C21)/(E21-1)*B21)</f>
        <v>687.62711864406776</v>
      </c>
    </row>
    <row r="22" spans="1:18" x14ac:dyDescent="0.25">
      <c r="B22">
        <v>3</v>
      </c>
      <c r="C22">
        <v>10</v>
      </c>
      <c r="D22">
        <v>20000</v>
      </c>
      <c r="E22">
        <v>60</v>
      </c>
      <c r="F22">
        <f t="shared" ref="F22:F29" si="2">(C22+(D22-C22)/(E22-1)*B22)</f>
        <v>1026.4406779661017</v>
      </c>
    </row>
    <row r="23" spans="1:18" x14ac:dyDescent="0.25">
      <c r="B23">
        <v>4</v>
      </c>
      <c r="C23">
        <v>10</v>
      </c>
      <c r="D23">
        <v>20000</v>
      </c>
      <c r="E23">
        <v>60</v>
      </c>
      <c r="F23">
        <f t="shared" si="2"/>
        <v>1365.2542372881355</v>
      </c>
    </row>
    <row r="24" spans="1:18" x14ac:dyDescent="0.25">
      <c r="B24">
        <v>5</v>
      </c>
      <c r="C24">
        <v>10</v>
      </c>
      <c r="D24">
        <v>20000</v>
      </c>
      <c r="E24">
        <v>60</v>
      </c>
      <c r="F24">
        <f t="shared" si="2"/>
        <v>1704.0677966101694</v>
      </c>
    </row>
    <row r="25" spans="1:18" x14ac:dyDescent="0.25">
      <c r="B25">
        <v>6</v>
      </c>
      <c r="C25">
        <v>10</v>
      </c>
      <c r="D25">
        <v>20000</v>
      </c>
      <c r="E25">
        <v>60</v>
      </c>
      <c r="F25">
        <f t="shared" si="2"/>
        <v>2042.8813559322034</v>
      </c>
    </row>
    <row r="26" spans="1:18" x14ac:dyDescent="0.25">
      <c r="B26">
        <v>7</v>
      </c>
      <c r="C26">
        <v>10</v>
      </c>
      <c r="D26">
        <v>20000</v>
      </c>
      <c r="E26">
        <v>60</v>
      </c>
      <c r="F26">
        <f t="shared" si="2"/>
        <v>2381.694915254237</v>
      </c>
    </row>
    <row r="27" spans="1:18" x14ac:dyDescent="0.25">
      <c r="B27">
        <v>8</v>
      </c>
      <c r="C27">
        <v>10</v>
      </c>
      <c r="D27">
        <v>20000</v>
      </c>
      <c r="E27">
        <v>60</v>
      </c>
      <c r="F27">
        <f t="shared" si="2"/>
        <v>2720.5084745762711</v>
      </c>
      <c r="Q27">
        <f>SUM(O8:O119)</f>
        <v>34576.271186440674</v>
      </c>
      <c r="R27" t="s">
        <v>98</v>
      </c>
    </row>
    <row r="28" spans="1:18" x14ac:dyDescent="0.25">
      <c r="B28">
        <v>9</v>
      </c>
      <c r="C28">
        <v>10</v>
      </c>
      <c r="D28">
        <v>20000</v>
      </c>
      <c r="E28">
        <v>60</v>
      </c>
      <c r="F28">
        <f t="shared" si="2"/>
        <v>3059.3220338983051</v>
      </c>
    </row>
    <row r="29" spans="1:18" x14ac:dyDescent="0.25">
      <c r="B29">
        <v>10</v>
      </c>
      <c r="C29">
        <v>10</v>
      </c>
      <c r="D29">
        <v>20000</v>
      </c>
      <c r="E29">
        <v>60</v>
      </c>
      <c r="F29">
        <f t="shared" si="2"/>
        <v>3398.1355932203387</v>
      </c>
    </row>
    <row r="30" spans="1:18" x14ac:dyDescent="0.25">
      <c r="B30">
        <v>11</v>
      </c>
      <c r="C30">
        <v>10</v>
      </c>
      <c r="D30">
        <v>20000</v>
      </c>
      <c r="E30">
        <v>60</v>
      </c>
      <c r="F30">
        <f>(C30+(D30-C30)/(E30-1)*B30)</f>
        <v>3736.9491525423728</v>
      </c>
    </row>
    <row r="31" spans="1:18" x14ac:dyDescent="0.25">
      <c r="B31">
        <v>12</v>
      </c>
      <c r="C31">
        <v>10</v>
      </c>
      <c r="D31">
        <v>20000</v>
      </c>
      <c r="E31">
        <v>60</v>
      </c>
      <c r="F31">
        <f>(C31+(D31-C31)/(E31-1)*B31)</f>
        <v>4075.7627118644068</v>
      </c>
    </row>
    <row r="32" spans="1:18" x14ac:dyDescent="0.25">
      <c r="B32">
        <v>13</v>
      </c>
      <c r="C32">
        <v>10</v>
      </c>
      <c r="D32">
        <v>20000</v>
      </c>
      <c r="E32">
        <v>60</v>
      </c>
      <c r="F32">
        <f t="shared" ref="F32:F38" si="3">(C32+(D32-C32)/(E32-1)*B32)</f>
        <v>4414.5762711864409</v>
      </c>
    </row>
    <row r="33" spans="2:6" x14ac:dyDescent="0.25">
      <c r="B33">
        <v>14</v>
      </c>
      <c r="C33">
        <v>10</v>
      </c>
      <c r="D33">
        <v>20000</v>
      </c>
      <c r="E33">
        <v>60</v>
      </c>
      <c r="F33">
        <f t="shared" si="3"/>
        <v>4753.389830508474</v>
      </c>
    </row>
    <row r="34" spans="2:6" x14ac:dyDescent="0.25">
      <c r="B34">
        <v>15</v>
      </c>
      <c r="C34">
        <v>10</v>
      </c>
      <c r="D34">
        <v>20000</v>
      </c>
      <c r="E34">
        <v>60</v>
      </c>
      <c r="F34">
        <f t="shared" si="3"/>
        <v>5092.2033898305081</v>
      </c>
    </row>
    <row r="35" spans="2:6" x14ac:dyDescent="0.25">
      <c r="B35">
        <v>16</v>
      </c>
      <c r="C35">
        <v>10</v>
      </c>
      <c r="D35">
        <v>20000</v>
      </c>
      <c r="E35">
        <v>60</v>
      </c>
      <c r="F35">
        <f t="shared" si="3"/>
        <v>5431.0169491525421</v>
      </c>
    </row>
    <row r="36" spans="2:6" x14ac:dyDescent="0.25">
      <c r="B36">
        <v>17</v>
      </c>
      <c r="C36">
        <v>10</v>
      </c>
      <c r="D36">
        <v>20000</v>
      </c>
      <c r="E36">
        <v>60</v>
      </c>
      <c r="F36">
        <f t="shared" si="3"/>
        <v>5769.8305084745762</v>
      </c>
    </row>
    <row r="37" spans="2:6" x14ac:dyDescent="0.25">
      <c r="B37">
        <v>18</v>
      </c>
      <c r="C37">
        <v>10</v>
      </c>
      <c r="D37">
        <v>20000</v>
      </c>
      <c r="E37">
        <v>60</v>
      </c>
      <c r="F37">
        <f t="shared" si="3"/>
        <v>6108.6440677966102</v>
      </c>
    </row>
    <row r="38" spans="2:6" x14ac:dyDescent="0.25">
      <c r="B38">
        <v>19</v>
      </c>
      <c r="C38">
        <v>10</v>
      </c>
      <c r="D38">
        <v>20000</v>
      </c>
      <c r="E38">
        <v>60</v>
      </c>
      <c r="F38">
        <f t="shared" si="3"/>
        <v>6447.4576271186434</v>
      </c>
    </row>
    <row r="39" spans="2:6" x14ac:dyDescent="0.25">
      <c r="B39">
        <v>20</v>
      </c>
      <c r="C39">
        <v>10</v>
      </c>
      <c r="D39">
        <v>20000</v>
      </c>
      <c r="E39">
        <v>60</v>
      </c>
      <c r="F39">
        <f>(C39+(D39-C39)/(E39-1)*B39)</f>
        <v>6786.2711864406774</v>
      </c>
    </row>
    <row r="40" spans="2:6" x14ac:dyDescent="0.25">
      <c r="B40">
        <v>21</v>
      </c>
      <c r="C40">
        <v>10</v>
      </c>
      <c r="D40">
        <v>20000</v>
      </c>
      <c r="E40">
        <v>60</v>
      </c>
      <c r="F40">
        <f>(C40+(D40-C40)/(E40-1)*B40)</f>
        <v>7125.0847457627115</v>
      </c>
    </row>
    <row r="41" spans="2:6" x14ac:dyDescent="0.25">
      <c r="B41">
        <v>22</v>
      </c>
      <c r="C41">
        <v>10</v>
      </c>
      <c r="D41">
        <v>20000</v>
      </c>
      <c r="E41">
        <v>60</v>
      </c>
      <c r="F41">
        <f t="shared" ref="F41:F48" si="4">(C41+(D41-C41)/(E41-1)*B41)</f>
        <v>7463.8983050847455</v>
      </c>
    </row>
    <row r="42" spans="2:6" x14ac:dyDescent="0.25">
      <c r="B42">
        <v>23</v>
      </c>
      <c r="C42">
        <v>10</v>
      </c>
      <c r="D42">
        <v>20000</v>
      </c>
      <c r="E42">
        <v>60</v>
      </c>
      <c r="F42">
        <f t="shared" si="4"/>
        <v>7802.7118644067796</v>
      </c>
    </row>
    <row r="43" spans="2:6" x14ac:dyDescent="0.25">
      <c r="B43">
        <v>24</v>
      </c>
      <c r="C43">
        <v>10</v>
      </c>
      <c r="D43">
        <v>20000</v>
      </c>
      <c r="E43">
        <v>60</v>
      </c>
      <c r="F43">
        <f t="shared" si="4"/>
        <v>8141.5254237288136</v>
      </c>
    </row>
    <row r="44" spans="2:6" x14ac:dyDescent="0.25">
      <c r="B44">
        <v>25</v>
      </c>
      <c r="C44">
        <v>10</v>
      </c>
      <c r="D44">
        <v>20000</v>
      </c>
      <c r="E44">
        <v>60</v>
      </c>
      <c r="F44">
        <f t="shared" si="4"/>
        <v>8480.3389830508477</v>
      </c>
    </row>
    <row r="45" spans="2:6" x14ac:dyDescent="0.25">
      <c r="B45">
        <v>26</v>
      </c>
      <c r="C45">
        <v>10</v>
      </c>
      <c r="D45">
        <v>20000</v>
      </c>
      <c r="E45">
        <v>60</v>
      </c>
      <c r="F45">
        <f t="shared" si="4"/>
        <v>8819.1525423728817</v>
      </c>
    </row>
    <row r="46" spans="2:6" x14ac:dyDescent="0.25">
      <c r="B46">
        <v>27</v>
      </c>
      <c r="C46">
        <v>10</v>
      </c>
      <c r="D46">
        <v>20000</v>
      </c>
      <c r="E46">
        <v>60</v>
      </c>
      <c r="F46">
        <f t="shared" si="4"/>
        <v>9157.966101694914</v>
      </c>
    </row>
    <row r="47" spans="2:6" x14ac:dyDescent="0.25">
      <c r="B47">
        <v>28</v>
      </c>
      <c r="C47">
        <v>10</v>
      </c>
      <c r="D47">
        <v>20000</v>
      </c>
      <c r="E47">
        <v>60</v>
      </c>
      <c r="F47">
        <f t="shared" si="4"/>
        <v>9496.779661016948</v>
      </c>
    </row>
    <row r="48" spans="2:6" x14ac:dyDescent="0.25">
      <c r="B48">
        <v>29</v>
      </c>
      <c r="C48">
        <v>10</v>
      </c>
      <c r="D48">
        <v>20000</v>
      </c>
      <c r="E48">
        <v>60</v>
      </c>
      <c r="F48">
        <f t="shared" si="4"/>
        <v>9835.5932203389821</v>
      </c>
    </row>
    <row r="49" spans="2:9" x14ac:dyDescent="0.25">
      <c r="B49">
        <v>30</v>
      </c>
      <c r="C49">
        <v>10</v>
      </c>
      <c r="D49">
        <v>20000</v>
      </c>
      <c r="E49">
        <v>60</v>
      </c>
      <c r="F49">
        <f>(C49+(D49-C49)/(E49-1)*B49)</f>
        <v>10174.406779661016</v>
      </c>
      <c r="H49">
        <f>SUM(F20:F49)</f>
        <v>157848.30508474578</v>
      </c>
      <c r="I49" t="s">
        <v>95</v>
      </c>
    </row>
    <row r="50" spans="2:9" x14ac:dyDescent="0.25">
      <c r="B50">
        <v>31</v>
      </c>
      <c r="C50">
        <v>10</v>
      </c>
      <c r="D50">
        <v>20000</v>
      </c>
      <c r="E50">
        <v>60</v>
      </c>
      <c r="F50">
        <f t="shared" ref="F50:F59" si="5">(C50+(D50-C50)/(E50-1)*B50)</f>
        <v>10513.22033898305</v>
      </c>
    </row>
    <row r="51" spans="2:9" x14ac:dyDescent="0.25">
      <c r="B51">
        <v>32</v>
      </c>
      <c r="C51">
        <v>10</v>
      </c>
      <c r="D51">
        <v>20000</v>
      </c>
      <c r="E51">
        <v>60</v>
      </c>
      <c r="F51">
        <f t="shared" si="5"/>
        <v>10852.033898305084</v>
      </c>
    </row>
    <row r="52" spans="2:9" x14ac:dyDescent="0.25">
      <c r="B52">
        <v>33</v>
      </c>
      <c r="C52">
        <v>10</v>
      </c>
      <c r="D52">
        <v>20000</v>
      </c>
      <c r="E52">
        <v>60</v>
      </c>
      <c r="F52">
        <f t="shared" si="5"/>
        <v>11190.847457627118</v>
      </c>
    </row>
    <row r="53" spans="2:9" x14ac:dyDescent="0.25">
      <c r="B53">
        <v>34</v>
      </c>
      <c r="C53">
        <v>10</v>
      </c>
      <c r="D53">
        <v>20000</v>
      </c>
      <c r="E53">
        <v>60</v>
      </c>
      <c r="F53">
        <f t="shared" si="5"/>
        <v>11529.661016949152</v>
      </c>
    </row>
    <row r="54" spans="2:9" x14ac:dyDescent="0.25">
      <c r="B54">
        <v>35</v>
      </c>
      <c r="C54">
        <v>10</v>
      </c>
      <c r="D54">
        <v>20000</v>
      </c>
      <c r="E54">
        <v>60</v>
      </c>
      <c r="F54">
        <f t="shared" si="5"/>
        <v>11868.474576271186</v>
      </c>
    </row>
    <row r="55" spans="2:9" x14ac:dyDescent="0.25">
      <c r="B55">
        <v>36</v>
      </c>
      <c r="C55">
        <v>10</v>
      </c>
      <c r="D55">
        <v>20000</v>
      </c>
      <c r="E55">
        <v>60</v>
      </c>
      <c r="F55">
        <f t="shared" si="5"/>
        <v>12207.28813559322</v>
      </c>
    </row>
    <row r="56" spans="2:9" x14ac:dyDescent="0.25">
      <c r="B56">
        <v>37</v>
      </c>
      <c r="C56">
        <v>10</v>
      </c>
      <c r="D56">
        <v>20000</v>
      </c>
      <c r="E56">
        <v>60</v>
      </c>
      <c r="F56">
        <f t="shared" si="5"/>
        <v>12546.101694915254</v>
      </c>
    </row>
    <row r="57" spans="2:9" x14ac:dyDescent="0.25">
      <c r="B57">
        <v>38</v>
      </c>
      <c r="C57">
        <v>10</v>
      </c>
      <c r="D57">
        <v>20000</v>
      </c>
      <c r="E57">
        <v>60</v>
      </c>
      <c r="F57">
        <f t="shared" si="5"/>
        <v>12884.915254237287</v>
      </c>
    </row>
    <row r="58" spans="2:9" x14ac:dyDescent="0.25">
      <c r="B58">
        <v>39</v>
      </c>
      <c r="C58">
        <v>10</v>
      </c>
      <c r="D58">
        <v>20000</v>
      </c>
      <c r="E58">
        <v>60</v>
      </c>
      <c r="F58">
        <f t="shared" si="5"/>
        <v>13223.728813559321</v>
      </c>
    </row>
    <row r="59" spans="2:9" x14ac:dyDescent="0.25">
      <c r="B59">
        <v>40</v>
      </c>
      <c r="C59">
        <v>10</v>
      </c>
      <c r="D59">
        <v>20000</v>
      </c>
      <c r="E59">
        <v>60</v>
      </c>
      <c r="F59">
        <f t="shared" si="5"/>
        <v>13562.542372881355</v>
      </c>
      <c r="H59">
        <f>SUM(F20:F59)</f>
        <v>278227.11864406784</v>
      </c>
      <c r="I59" t="s">
        <v>95</v>
      </c>
    </row>
    <row r="68" spans="8:9" x14ac:dyDescent="0.25">
      <c r="H68">
        <f>SUM(F20:F128)</f>
        <v>278227.11864406784</v>
      </c>
      <c r="I68" t="s">
        <v>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白 执</cp:lastModifiedBy>
  <dcterms:created xsi:type="dcterms:W3CDTF">2015-06-05T18:19:34Z</dcterms:created>
  <dcterms:modified xsi:type="dcterms:W3CDTF">2025-10-15T07:16:00Z</dcterms:modified>
</cp:coreProperties>
</file>