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E:\Steam\steamapps\common\CRAZYFLASHER7StandAloneStarter\project\CrazyFlashNight\0.说明文件与教程\"/>
    </mc:Choice>
  </mc:AlternateContent>
  <xr:revisionPtr revIDLastSave="0" documentId="13_ncr:1_{4FD79F34-ACEB-4BF1-96E6-2C6D5AFF0017}" xr6:coauthVersionLast="47" xr6:coauthVersionMax="47" xr10:uidLastSave="{00000000-0000-0000-0000-000000000000}"/>
  <bookViews>
    <workbookView xWindow="-110" yWindow="-110" windowWidth="25820" windowHeight="13900" tabRatio="651" activeTab="2" xr2:uid="{00000000-000D-0000-FFFF-FFFF00000000}"/>
  </bookViews>
  <sheets>
    <sheet name="枪械" sheetId="12" r:id="rId1"/>
    <sheet name="防具" sheetId="10" r:id="rId2"/>
    <sheet name="刀" sheetId="2" r:id="rId3"/>
    <sheet name="爆炸类" sheetId="3" r:id="rId4"/>
    <sheet name="装备价格" sheetId="5" r:id="rId5"/>
    <sheet name="合成表成本" sheetId="11" r:id="rId6"/>
    <sheet name="副本收益" sheetId="13" r:id="rId7"/>
    <sheet name="怪物大致面板" sheetId="14" r:id="rId8"/>
    <sheet name="经验辅助计算" sheetId="6" r:id="rId9"/>
    <sheet name="技能格式" sheetId="4" r:id="rId10"/>
    <sheet name="等级计算怪物属性" sheetId="7" r:id="rId11"/>
    <sheet name="伤害公式" sheetId="8" r:id="rId12"/>
    <sheet name="其余计算" sheetId="9" r:id="rId13"/>
    <sheet name="旧版-枪械" sheetId="1" r:id="rId1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8" i="2" l="1"/>
  <c r="S26" i="12"/>
  <c r="AA5" i="12"/>
  <c r="AA12" i="12"/>
  <c r="AA13" i="12"/>
  <c r="P5" i="9"/>
  <c r="P6" i="9"/>
  <c r="P7" i="9"/>
  <c r="P8" i="9"/>
  <c r="P9" i="9"/>
  <c r="P10" i="9"/>
  <c r="P11" i="9"/>
  <c r="P12" i="9"/>
  <c r="P13" i="9"/>
  <c r="P14" i="9"/>
  <c r="P15" i="9"/>
  <c r="P16" i="9"/>
  <c r="P4" i="9"/>
  <c r="O4" i="9"/>
  <c r="R5" i="9"/>
  <c r="R6" i="9"/>
  <c r="R7" i="9"/>
  <c r="R8" i="9"/>
  <c r="R9" i="9"/>
  <c r="R10" i="9"/>
  <c r="R11" i="9"/>
  <c r="R12" i="9"/>
  <c r="R13" i="9"/>
  <c r="R14" i="9"/>
  <c r="R15" i="9"/>
  <c r="R16" i="9"/>
  <c r="R4" i="9"/>
  <c r="M4" i="13"/>
  <c r="M5" i="13"/>
  <c r="M6" i="13"/>
  <c r="M3" i="13"/>
  <c r="O60" i="9"/>
  <c r="M60" i="9"/>
  <c r="K60" i="9"/>
  <c r="O59" i="9"/>
  <c r="M59" i="9"/>
  <c r="K59" i="9"/>
  <c r="O58" i="9"/>
  <c r="M58" i="9"/>
  <c r="K58" i="9"/>
  <c r="O57" i="9"/>
  <c r="M57" i="9"/>
  <c r="K57" i="9"/>
  <c r="O56" i="9"/>
  <c r="M56" i="9"/>
  <c r="K56" i="9"/>
  <c r="O54" i="9"/>
  <c r="M54" i="9"/>
  <c r="K54" i="9"/>
  <c r="O53" i="9"/>
  <c r="M53" i="9"/>
  <c r="K53" i="9"/>
  <c r="O52" i="9"/>
  <c r="M52" i="9"/>
  <c r="K52" i="9"/>
  <c r="O51" i="9"/>
  <c r="M51" i="9"/>
  <c r="K51" i="9"/>
  <c r="O50" i="9"/>
  <c r="M50" i="9"/>
  <c r="K50" i="9"/>
  <c r="O48" i="9"/>
  <c r="M48" i="9"/>
  <c r="K48" i="9"/>
  <c r="O47" i="9"/>
  <c r="M47" i="9"/>
  <c r="K47" i="9"/>
  <c r="O46" i="9"/>
  <c r="M46" i="9"/>
  <c r="K46" i="9"/>
  <c r="O45" i="9"/>
  <c r="M45" i="9"/>
  <c r="K45" i="9"/>
  <c r="O44" i="9"/>
  <c r="M44" i="9"/>
  <c r="K44" i="9"/>
  <c r="O42" i="9"/>
  <c r="M42" i="9"/>
  <c r="K42" i="9"/>
  <c r="O41" i="9"/>
  <c r="M41" i="9"/>
  <c r="K41" i="9"/>
  <c r="O40" i="9"/>
  <c r="M40" i="9"/>
  <c r="K40" i="9"/>
  <c r="O39" i="9"/>
  <c r="M39" i="9"/>
  <c r="K39" i="9"/>
  <c r="O38" i="9"/>
  <c r="M38" i="9"/>
  <c r="K38" i="9"/>
  <c r="O36" i="9"/>
  <c r="M36" i="9"/>
  <c r="K36" i="9"/>
  <c r="O35" i="9"/>
  <c r="M35" i="9"/>
  <c r="K35" i="9"/>
  <c r="O34" i="9"/>
  <c r="M34" i="9"/>
  <c r="K34" i="9"/>
  <c r="O33" i="9"/>
  <c r="M33" i="9"/>
  <c r="K33" i="9"/>
  <c r="O32" i="9"/>
  <c r="M32" i="9"/>
  <c r="K32" i="9"/>
  <c r="O30" i="9"/>
  <c r="O29" i="9"/>
  <c r="M30" i="9"/>
  <c r="M29" i="9"/>
  <c r="K30" i="9"/>
  <c r="K29" i="9"/>
  <c r="O28" i="9"/>
  <c r="O27" i="9"/>
  <c r="O26" i="9"/>
  <c r="M28" i="9"/>
  <c r="M27" i="9"/>
  <c r="M26" i="9"/>
  <c r="K28" i="9"/>
  <c r="K27" i="9"/>
  <c r="K26" i="9"/>
  <c r="Q8" i="14"/>
  <c r="Q4" i="14"/>
  <c r="Q5" i="14"/>
  <c r="Q6" i="14"/>
  <c r="Q7" i="14"/>
  <c r="Q3" i="14"/>
  <c r="P4" i="14"/>
  <c r="P5" i="14"/>
  <c r="P6" i="14"/>
  <c r="P7" i="14"/>
  <c r="P8" i="14"/>
  <c r="P3" i="14"/>
  <c r="T15" i="10" l="1"/>
  <c r="S15" i="10"/>
  <c r="P15" i="10"/>
  <c r="Q15" i="10" s="1"/>
  <c r="O15" i="10" s="1"/>
  <c r="T14" i="10"/>
  <c r="S14" i="10"/>
  <c r="U4" i="14"/>
  <c r="U5" i="14"/>
  <c r="U6" i="14"/>
  <c r="U7" i="14"/>
  <c r="U8" i="14"/>
  <c r="U3" i="14"/>
  <c r="T4" i="14"/>
  <c r="T5" i="14"/>
  <c r="T6" i="14"/>
  <c r="T7" i="14"/>
  <c r="T8" i="14"/>
  <c r="T3" i="14"/>
  <c r="V4" i="14"/>
  <c r="W4" i="14" s="1"/>
  <c r="V5" i="14"/>
  <c r="W5" i="14" s="1"/>
  <c r="V6" i="14"/>
  <c r="W6" i="14" s="1"/>
  <c r="V7" i="14"/>
  <c r="W7" i="14" s="1"/>
  <c r="V8" i="14"/>
  <c r="W8" i="14" s="1"/>
  <c r="V3" i="14"/>
  <c r="W3" i="14" s="1"/>
  <c r="N3" i="14"/>
  <c r="O3" i="14"/>
  <c r="R3" i="14"/>
  <c r="S3" i="14"/>
  <c r="N4" i="14"/>
  <c r="O4" i="14"/>
  <c r="R4" i="14"/>
  <c r="S4" i="14"/>
  <c r="N5" i="14"/>
  <c r="O5" i="14"/>
  <c r="R5" i="14"/>
  <c r="S5" i="14"/>
  <c r="N6" i="14"/>
  <c r="O6" i="14"/>
  <c r="R6" i="14"/>
  <c r="S6" i="14"/>
  <c r="N7" i="14"/>
  <c r="O7" i="14"/>
  <c r="R7" i="14"/>
  <c r="S7" i="14"/>
  <c r="O8" i="14"/>
  <c r="S8" i="14"/>
  <c r="R8" i="14"/>
  <c r="N8" i="14"/>
  <c r="F110" i="7"/>
  <c r="F111" i="7"/>
  <c r="F112" i="7"/>
  <c r="L14" i="13"/>
  <c r="L15" i="13"/>
  <c r="L22" i="13"/>
  <c r="L19" i="13"/>
  <c r="O32" i="13"/>
  <c r="K13" i="3"/>
  <c r="K12" i="3"/>
  <c r="P10" i="10" l="1"/>
  <c r="O30" i="13"/>
  <c r="O31" i="13"/>
  <c r="O27" i="13"/>
  <c r="O28" i="13"/>
  <c r="O29" i="13"/>
  <c r="O5" i="9"/>
  <c r="O6" i="9"/>
  <c r="O7" i="9"/>
  <c r="O8" i="9"/>
  <c r="O9" i="9"/>
  <c r="O10" i="9"/>
  <c r="O11" i="9"/>
  <c r="O12" i="9"/>
  <c r="O13" i="9"/>
  <c r="O14" i="9"/>
  <c r="O15" i="9"/>
  <c r="O16" i="9"/>
  <c r="S5" i="9"/>
  <c r="S4" i="9"/>
  <c r="L5" i="9"/>
  <c r="L6" i="9"/>
  <c r="L7" i="9"/>
  <c r="L8" i="9"/>
  <c r="L9" i="9"/>
  <c r="L10" i="9"/>
  <c r="L11" i="9"/>
  <c r="L12" i="9"/>
  <c r="L13" i="9"/>
  <c r="L14" i="9"/>
  <c r="L15" i="9"/>
  <c r="L4" i="9"/>
  <c r="N5" i="9" s="1"/>
  <c r="K5" i="9"/>
  <c r="K6" i="9"/>
  <c r="K7" i="9"/>
  <c r="K8" i="9"/>
  <c r="K9" i="9"/>
  <c r="K10" i="9"/>
  <c r="K11" i="9"/>
  <c r="K12" i="9"/>
  <c r="K13" i="9"/>
  <c r="K14" i="9"/>
  <c r="K15" i="9"/>
  <c r="K4" i="9"/>
  <c r="M5" i="9" s="1"/>
  <c r="AC13" i="12"/>
  <c r="AC5" i="12"/>
  <c r="AF4" i="12"/>
  <c r="AF5" i="12"/>
  <c r="AF10" i="12"/>
  <c r="AF11" i="12"/>
  <c r="AF13" i="12"/>
  <c r="AD3" i="12"/>
  <c r="AD4" i="12"/>
  <c r="AD5" i="12"/>
  <c r="AD6" i="12"/>
  <c r="AD7" i="12"/>
  <c r="AD8" i="12"/>
  <c r="AD10" i="12"/>
  <c r="AD11" i="12"/>
  <c r="AD12" i="12"/>
  <c r="AD13" i="12"/>
  <c r="AD14" i="12"/>
  <c r="AD15" i="12"/>
  <c r="AE4" i="12"/>
  <c r="AE5" i="12"/>
  <c r="AE6" i="12"/>
  <c r="AF6" i="12" s="1"/>
  <c r="AE7" i="12"/>
  <c r="AF7" i="12" s="1"/>
  <c r="AE8" i="12"/>
  <c r="AF8" i="12" s="1"/>
  <c r="AE10" i="12"/>
  <c r="AE11" i="12"/>
  <c r="AE12" i="12"/>
  <c r="AF12" i="12" s="1"/>
  <c r="AE13" i="12"/>
  <c r="AE14" i="12"/>
  <c r="AF14" i="12" s="1"/>
  <c r="AE15" i="12"/>
  <c r="AF15" i="12" s="1"/>
  <c r="AE3" i="12"/>
  <c r="AF3" i="12" s="1"/>
  <c r="AI4" i="12"/>
  <c r="AI5" i="12"/>
  <c r="AI6" i="12"/>
  <c r="AI7" i="12"/>
  <c r="AI8" i="12"/>
  <c r="AI10" i="12"/>
  <c r="AI11" i="12"/>
  <c r="AI12" i="12"/>
  <c r="AI13" i="12"/>
  <c r="AI14" i="12"/>
  <c r="AI15" i="12"/>
  <c r="AI3" i="12"/>
  <c r="AN26" i="12"/>
  <c r="AN27" i="12"/>
  <c r="AN28" i="12"/>
  <c r="AN29" i="12"/>
  <c r="AN30" i="12"/>
  <c r="AM32" i="12"/>
  <c r="AM31" i="12"/>
  <c r="AN31" i="12" s="1"/>
  <c r="Z3" i="12"/>
  <c r="Z11" i="12"/>
  <c r="Z12" i="12"/>
  <c r="Z13" i="12"/>
  <c r="Z14" i="12"/>
  <c r="Z15" i="12"/>
  <c r="Z10" i="12"/>
  <c r="Z4" i="12"/>
  <c r="Z5" i="12"/>
  <c r="Z6" i="12"/>
  <c r="Z7" i="12"/>
  <c r="Z8" i="12"/>
  <c r="F17" i="12" l="1"/>
  <c r="P27" i="13"/>
  <c r="T5" i="9"/>
  <c r="M16" i="9"/>
  <c r="M7" i="9"/>
  <c r="M6" i="9"/>
  <c r="V5" i="9"/>
  <c r="M14" i="9"/>
  <c r="U5" i="9"/>
  <c r="T6" i="9"/>
  <c r="Q5" i="9"/>
  <c r="M9" i="9"/>
  <c r="N15" i="9"/>
  <c r="V15" i="9" s="1"/>
  <c r="M15" i="9"/>
  <c r="M13" i="9"/>
  <c r="N16" i="9"/>
  <c r="V16" i="9" s="1"/>
  <c r="N12" i="9"/>
  <c r="V12" i="9" s="1"/>
  <c r="N11" i="9"/>
  <c r="V11" i="9" s="1"/>
  <c r="N10" i="9"/>
  <c r="V10" i="9" s="1"/>
  <c r="N9" i="9"/>
  <c r="V9" i="9" s="1"/>
  <c r="M10" i="9"/>
  <c r="N7" i="9"/>
  <c r="V7" i="9" s="1"/>
  <c r="M12" i="9"/>
  <c r="N6" i="9"/>
  <c r="V6" i="9" s="1"/>
  <c r="M8" i="9"/>
  <c r="N14" i="9"/>
  <c r="V14" i="9" s="1"/>
  <c r="N13" i="9"/>
  <c r="V13" i="9" s="1"/>
  <c r="N8" i="9"/>
  <c r="V8" i="9" s="1"/>
  <c r="M11" i="9"/>
  <c r="P24" i="11"/>
  <c r="P25" i="11"/>
  <c r="P26" i="11"/>
  <c r="P23" i="11"/>
  <c r="O4" i="13"/>
  <c r="O5" i="13"/>
  <c r="O6" i="13"/>
  <c r="O3" i="13"/>
  <c r="O26" i="13"/>
  <c r="P26" i="13" s="1"/>
  <c r="L16" i="13"/>
  <c r="L17" i="13"/>
  <c r="L18" i="13"/>
  <c r="L20" i="13"/>
  <c r="L21" i="13"/>
  <c r="L13" i="13"/>
  <c r="M13" i="13" s="1"/>
  <c r="Q25" i="11"/>
  <c r="Q26" i="11"/>
  <c r="Q24" i="11"/>
  <c r="Q23" i="11"/>
  <c r="Q7" i="9" l="1"/>
  <c r="S7" i="9"/>
  <c r="U15" i="9"/>
  <c r="S15" i="9"/>
  <c r="Q6" i="9"/>
  <c r="S6" i="9"/>
  <c r="U13" i="9"/>
  <c r="S13" i="9"/>
  <c r="Q9" i="9"/>
  <c r="S9" i="9"/>
  <c r="U11" i="9"/>
  <c r="S11" i="9"/>
  <c r="U14" i="9"/>
  <c r="S14" i="9"/>
  <c r="Q8" i="9"/>
  <c r="S8" i="9"/>
  <c r="Q16" i="9"/>
  <c r="S16" i="9"/>
  <c r="Q12" i="9"/>
  <c r="S12" i="9"/>
  <c r="Q10" i="9"/>
  <c r="S10" i="9"/>
  <c r="M14" i="13"/>
  <c r="T7" i="9"/>
  <c r="T9" i="9"/>
  <c r="T10" i="9"/>
  <c r="T11" i="9"/>
  <c r="T16" i="9"/>
  <c r="Q13" i="9"/>
  <c r="U7" i="9"/>
  <c r="T13" i="9"/>
  <c r="T14" i="9"/>
  <c r="U12" i="9"/>
  <c r="U16" i="9"/>
  <c r="Q14" i="9"/>
  <c r="T15" i="9"/>
  <c r="U8" i="9"/>
  <c r="U9" i="9"/>
  <c r="U10" i="9"/>
  <c r="Q11" i="9"/>
  <c r="Q15" i="9"/>
  <c r="T8" i="9"/>
  <c r="U6" i="9"/>
  <c r="T12" i="9"/>
  <c r="N24" i="11"/>
  <c r="P3" i="11"/>
  <c r="J22" i="2"/>
  <c r="J4" i="2"/>
  <c r="J3" i="2"/>
  <c r="J16" i="5"/>
  <c r="K17" i="5"/>
  <c r="K18" i="5"/>
  <c r="K19" i="5"/>
  <c r="K16" i="5"/>
  <c r="J17" i="5"/>
  <c r="J18" i="5"/>
  <c r="J19" i="5"/>
  <c r="K6" i="5"/>
  <c r="K7" i="5"/>
  <c r="N7" i="5" s="1"/>
  <c r="K8" i="5"/>
  <c r="K5" i="5"/>
  <c r="J6" i="5"/>
  <c r="J7" i="5"/>
  <c r="J8" i="5"/>
  <c r="J5" i="5"/>
  <c r="P5" i="1"/>
  <c r="AK4" i="12"/>
  <c r="AK5" i="12"/>
  <c r="AK6" i="12"/>
  <c r="AK7" i="12"/>
  <c r="AK8" i="12"/>
  <c r="AK10" i="12"/>
  <c r="AK11" i="12"/>
  <c r="AK12" i="12"/>
  <c r="AK13" i="12"/>
  <c r="AK14" i="12"/>
  <c r="AK15" i="12"/>
  <c r="AK3" i="12"/>
  <c r="AJ8" i="12"/>
  <c r="AB8" i="12" s="1"/>
  <c r="T5" i="1"/>
  <c r="V5" i="1" s="1"/>
  <c r="AJ3" i="12"/>
  <c r="AB3" i="12" s="1"/>
  <c r="AJ4" i="12"/>
  <c r="AB4" i="12" s="1"/>
  <c r="AJ5" i="12"/>
  <c r="AB5" i="12" s="1"/>
  <c r="AJ10" i="12"/>
  <c r="AB10" i="12" s="1"/>
  <c r="AJ11" i="12"/>
  <c r="AB11" i="12" s="1"/>
  <c r="AJ12" i="12"/>
  <c r="AB12" i="12" s="1"/>
  <c r="AJ6" i="12"/>
  <c r="AB6" i="12" s="1"/>
  <c r="AJ13" i="12"/>
  <c r="AB13" i="12" s="1"/>
  <c r="AJ7" i="12"/>
  <c r="AB7" i="12" s="1"/>
  <c r="AJ14" i="12"/>
  <c r="AB14" i="12" s="1"/>
  <c r="AJ15" i="12"/>
  <c r="AB15" i="12" s="1"/>
  <c r="AO31" i="12"/>
  <c r="J17" i="8"/>
  <c r="J18" i="8"/>
  <c r="P3" i="10"/>
  <c r="Q3" i="10" s="1"/>
  <c r="O3" i="10" s="1"/>
  <c r="P9" i="10"/>
  <c r="Q9" i="10" s="1"/>
  <c r="O9" i="10" s="1"/>
  <c r="P4" i="10"/>
  <c r="Q4" i="10" s="1"/>
  <c r="O4" i="10" s="1"/>
  <c r="P5" i="10"/>
  <c r="Q5" i="10" s="1"/>
  <c r="O5" i="10" s="1"/>
  <c r="P6" i="10"/>
  <c r="Q6" i="10" s="1"/>
  <c r="O6" i="10" s="1"/>
  <c r="P7" i="10"/>
  <c r="Q7" i="10" s="1"/>
  <c r="O7" i="10" s="1"/>
  <c r="P8" i="10"/>
  <c r="Q8" i="10" s="1"/>
  <c r="O8" i="10" s="1"/>
  <c r="N4" i="11"/>
  <c r="O4" i="11"/>
  <c r="P4" i="11" s="1"/>
  <c r="O3" i="11"/>
  <c r="J14" i="11"/>
  <c r="J15" i="11"/>
  <c r="J16" i="11"/>
  <c r="J17" i="11"/>
  <c r="J18" i="11"/>
  <c r="J13" i="11"/>
  <c r="N3" i="11"/>
  <c r="N9" i="11"/>
  <c r="N10" i="11"/>
  <c r="D18" i="8"/>
  <c r="D21" i="8"/>
  <c r="F21" i="8" s="1"/>
  <c r="G21" i="8" s="1"/>
  <c r="P18" i="10"/>
  <c r="Q18" i="10" s="1"/>
  <c r="O18" i="10" s="1"/>
  <c r="P17" i="10"/>
  <c r="Q17" i="10" s="1"/>
  <c r="O17" i="10" s="1"/>
  <c r="T9" i="10"/>
  <c r="S9" i="10"/>
  <c r="T3" i="10"/>
  <c r="T4" i="10"/>
  <c r="T5" i="10"/>
  <c r="T6" i="10"/>
  <c r="T7" i="10"/>
  <c r="T8" i="10"/>
  <c r="T10" i="10"/>
  <c r="S3" i="10"/>
  <c r="S4" i="10"/>
  <c r="S5" i="10"/>
  <c r="S6" i="10"/>
  <c r="S7" i="10"/>
  <c r="S8" i="10"/>
  <c r="S10" i="10"/>
  <c r="Q10" i="10"/>
  <c r="O10" i="10" s="1"/>
  <c r="N16" i="5"/>
  <c r="U8" i="8"/>
  <c r="W8" i="8"/>
  <c r="U7" i="8"/>
  <c r="U6" i="8"/>
  <c r="W7" i="8"/>
  <c r="W6" i="8"/>
  <c r="C32" i="8"/>
  <c r="C31" i="8"/>
  <c r="S30" i="8"/>
  <c r="S29" i="8"/>
  <c r="O8" i="8"/>
  <c r="O23" i="8"/>
  <c r="O25" i="8"/>
  <c r="O26" i="8"/>
  <c r="O27" i="8"/>
  <c r="O28" i="8"/>
  <c r="O35" i="8"/>
  <c r="O39" i="8"/>
  <c r="O40" i="8"/>
  <c r="O6" i="8"/>
  <c r="F44" i="8"/>
  <c r="M44" i="8" s="1"/>
  <c r="N44" i="8" s="1"/>
  <c r="F43" i="8"/>
  <c r="M43" i="8" s="1"/>
  <c r="N43" i="8" s="1"/>
  <c r="L14" i="4"/>
  <c r="L13" i="4"/>
  <c r="L12" i="4"/>
  <c r="D59"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65" i="9"/>
  <c r="D66" i="9"/>
  <c r="D67" i="9"/>
  <c r="D68" i="9"/>
  <c r="D69" i="9"/>
  <c r="D70" i="9"/>
  <c r="D71" i="9"/>
  <c r="D72" i="9"/>
  <c r="D73" i="9"/>
  <c r="D74" i="9"/>
  <c r="D75" i="9"/>
  <c r="D76" i="9"/>
  <c r="D77" i="9"/>
  <c r="D78" i="9"/>
  <c r="D64" i="9"/>
  <c r="D62" i="9"/>
  <c r="D63" i="9"/>
  <c r="D61" i="9"/>
  <c r="D60" i="9"/>
  <c r="D43" i="9"/>
  <c r="D44" i="9"/>
  <c r="D45" i="9"/>
  <c r="D46" i="9"/>
  <c r="D47" i="9"/>
  <c r="D48" i="9"/>
  <c r="D49" i="9"/>
  <c r="D50" i="9"/>
  <c r="D51" i="9"/>
  <c r="D52" i="9"/>
  <c r="D53" i="9"/>
  <c r="D54" i="9"/>
  <c r="D55" i="9"/>
  <c r="D56" i="9"/>
  <c r="D57" i="9"/>
  <c r="D58" i="9"/>
  <c r="D29" i="9"/>
  <c r="D30" i="9"/>
  <c r="D31" i="9"/>
  <c r="D32" i="9"/>
  <c r="D33" i="9"/>
  <c r="D34" i="9"/>
  <c r="D35" i="9"/>
  <c r="D36" i="9"/>
  <c r="D37" i="9"/>
  <c r="D38" i="9"/>
  <c r="D39" i="9"/>
  <c r="D40" i="9"/>
  <c r="D41" i="9"/>
  <c r="D42" i="9"/>
  <c r="D20" i="9"/>
  <c r="D21" i="9"/>
  <c r="D22" i="9"/>
  <c r="D23" i="9"/>
  <c r="D24" i="9"/>
  <c r="D25" i="9"/>
  <c r="D26" i="9"/>
  <c r="D27" i="9"/>
  <c r="D28" i="9"/>
  <c r="D19" i="9"/>
  <c r="D12" i="9"/>
  <c r="D13" i="9"/>
  <c r="D14" i="9"/>
  <c r="D15" i="9"/>
  <c r="D16" i="9"/>
  <c r="D17" i="9"/>
  <c r="D18" i="9"/>
  <c r="D11" i="9"/>
  <c r="D10" i="9"/>
  <c r="D5" i="9"/>
  <c r="E5" i="9" s="1"/>
  <c r="D4" i="9"/>
  <c r="W66" i="7"/>
  <c r="W76" i="7"/>
  <c r="V86" i="7"/>
  <c r="V76" i="7"/>
  <c r="V87" i="7"/>
  <c r="V88" i="7"/>
  <c r="V89" i="7"/>
  <c r="V90" i="7"/>
  <c r="V91" i="7"/>
  <c r="V92" i="7"/>
  <c r="V93" i="7"/>
  <c r="V94" i="7"/>
  <c r="V95" i="7"/>
  <c r="V96" i="7"/>
  <c r="V97" i="7"/>
  <c r="V98" i="7"/>
  <c r="V99" i="7"/>
  <c r="V100" i="7"/>
  <c r="V101" i="7"/>
  <c r="V102" i="7"/>
  <c r="V103" i="7"/>
  <c r="V104" i="7"/>
  <c r="V105" i="7"/>
  <c r="V106" i="7"/>
  <c r="W36" i="7"/>
  <c r="W16" i="7"/>
  <c r="W26" i="7"/>
  <c r="W57" i="7"/>
  <c r="V66" i="7"/>
  <c r="V56" i="7"/>
  <c r="V16" i="7"/>
  <c r="V46" i="7"/>
  <c r="V36" i="7"/>
  <c r="AG16" i="7"/>
  <c r="AG26" i="7"/>
  <c r="AD108" i="7"/>
  <c r="AD107" i="7"/>
  <c r="AD106" i="7"/>
  <c r="AF106" i="7" s="1"/>
  <c r="AD105" i="7"/>
  <c r="AF105" i="7" s="1"/>
  <c r="AD104" i="7"/>
  <c r="AF104" i="7" s="1"/>
  <c r="AD103" i="7"/>
  <c r="AF103" i="7" s="1"/>
  <c r="AD102" i="7"/>
  <c r="AF102" i="7" s="1"/>
  <c r="AD101" i="7"/>
  <c r="AF101" i="7" s="1"/>
  <c r="AD100" i="7"/>
  <c r="AF100" i="7" s="1"/>
  <c r="AD99" i="7"/>
  <c r="AF99" i="7" s="1"/>
  <c r="AD98" i="7"/>
  <c r="AF98" i="7" s="1"/>
  <c r="AD97" i="7"/>
  <c r="AF97" i="7" s="1"/>
  <c r="AD96" i="7"/>
  <c r="AF96" i="7" s="1"/>
  <c r="AD95" i="7"/>
  <c r="AF95" i="7" s="1"/>
  <c r="AD94" i="7"/>
  <c r="AF94" i="7" s="1"/>
  <c r="AD93" i="7"/>
  <c r="AF93" i="7" s="1"/>
  <c r="AD92" i="7"/>
  <c r="AF92" i="7" s="1"/>
  <c r="AD91" i="7"/>
  <c r="AF91" i="7" s="1"/>
  <c r="AD90" i="7"/>
  <c r="AF90" i="7" s="1"/>
  <c r="AD89" i="7"/>
  <c r="AF89" i="7" s="1"/>
  <c r="AD88" i="7"/>
  <c r="AF88" i="7" s="1"/>
  <c r="AD87" i="7"/>
  <c r="AF87" i="7" s="1"/>
  <c r="AD86" i="7"/>
  <c r="AF86" i="7" s="1"/>
  <c r="AD85" i="7"/>
  <c r="AF85" i="7" s="1"/>
  <c r="AD84" i="7"/>
  <c r="AF84" i="7" s="1"/>
  <c r="AD83" i="7"/>
  <c r="AF83" i="7" s="1"/>
  <c r="AD82" i="7"/>
  <c r="AF82" i="7" s="1"/>
  <c r="AD81" i="7"/>
  <c r="AF81" i="7" s="1"/>
  <c r="AD80" i="7"/>
  <c r="AF80" i="7" s="1"/>
  <c r="AD79" i="7"/>
  <c r="AF79" i="7" s="1"/>
  <c r="AD78" i="7"/>
  <c r="AF78" i="7" s="1"/>
  <c r="AD77" i="7"/>
  <c r="AF77" i="7" s="1"/>
  <c r="AD76" i="7"/>
  <c r="AF76" i="7" s="1"/>
  <c r="AD75" i="7"/>
  <c r="AF75" i="7" s="1"/>
  <c r="AD74" i="7"/>
  <c r="AF74" i="7" s="1"/>
  <c r="AD73" i="7"/>
  <c r="AF73" i="7" s="1"/>
  <c r="AD72" i="7"/>
  <c r="AF72" i="7" s="1"/>
  <c r="AD71" i="7"/>
  <c r="AF71" i="7" s="1"/>
  <c r="AD70" i="7"/>
  <c r="AF70" i="7" s="1"/>
  <c r="AD69" i="7"/>
  <c r="AF69" i="7" s="1"/>
  <c r="AD68" i="7"/>
  <c r="AF68" i="7" s="1"/>
  <c r="AD67" i="7"/>
  <c r="AF67" i="7" s="1"/>
  <c r="AD66" i="7"/>
  <c r="AF66" i="7" s="1"/>
  <c r="AD65" i="7"/>
  <c r="AF65" i="7" s="1"/>
  <c r="AD64" i="7"/>
  <c r="AF64" i="7" s="1"/>
  <c r="AD63" i="7"/>
  <c r="AF63" i="7" s="1"/>
  <c r="AD62" i="7"/>
  <c r="AF62" i="7" s="1"/>
  <c r="AD61" i="7"/>
  <c r="AF61" i="7" s="1"/>
  <c r="AD60" i="7"/>
  <c r="AF60" i="7" s="1"/>
  <c r="AD59" i="7"/>
  <c r="AF59" i="7" s="1"/>
  <c r="AD58" i="7"/>
  <c r="AF58" i="7" s="1"/>
  <c r="AD57" i="7"/>
  <c r="AF57" i="7" s="1"/>
  <c r="AD56" i="7"/>
  <c r="AF56" i="7" s="1"/>
  <c r="AD55" i="7"/>
  <c r="AF55" i="7" s="1"/>
  <c r="AD54" i="7"/>
  <c r="AF54" i="7" s="1"/>
  <c r="AD53" i="7"/>
  <c r="AF53" i="7" s="1"/>
  <c r="AD52" i="7"/>
  <c r="AF52" i="7" s="1"/>
  <c r="AD51" i="7"/>
  <c r="AF51" i="7" s="1"/>
  <c r="AD50" i="7"/>
  <c r="AF50" i="7" s="1"/>
  <c r="AD49" i="7"/>
  <c r="AF49" i="7" s="1"/>
  <c r="AD48" i="7"/>
  <c r="AF48" i="7" s="1"/>
  <c r="AD47" i="7"/>
  <c r="AF47" i="7" s="1"/>
  <c r="AD46" i="7"/>
  <c r="AF46" i="7" s="1"/>
  <c r="AD45" i="7"/>
  <c r="AF45" i="7" s="1"/>
  <c r="AD44" i="7"/>
  <c r="AF44" i="7" s="1"/>
  <c r="AD43" i="7"/>
  <c r="AF43" i="7" s="1"/>
  <c r="AD42" i="7"/>
  <c r="AF42" i="7" s="1"/>
  <c r="AD41" i="7"/>
  <c r="AF41" i="7" s="1"/>
  <c r="AD40" i="7"/>
  <c r="AF40" i="7" s="1"/>
  <c r="AF39" i="7"/>
  <c r="AD39" i="7"/>
  <c r="AD38" i="7"/>
  <c r="AF38" i="7" s="1"/>
  <c r="AD37" i="7"/>
  <c r="AF37" i="7" s="1"/>
  <c r="AD36" i="7"/>
  <c r="AF36" i="7" s="1"/>
  <c r="AD35" i="7"/>
  <c r="AF35" i="7" s="1"/>
  <c r="AD34" i="7"/>
  <c r="AF34" i="7" s="1"/>
  <c r="AD33" i="7"/>
  <c r="AF33" i="7" s="1"/>
  <c r="AD32" i="7"/>
  <c r="AF32" i="7" s="1"/>
  <c r="AD31" i="7"/>
  <c r="AF31" i="7" s="1"/>
  <c r="AD30" i="7"/>
  <c r="AF30" i="7" s="1"/>
  <c r="AD29" i="7"/>
  <c r="AF29" i="7" s="1"/>
  <c r="AD28" i="7"/>
  <c r="AF28" i="7" s="1"/>
  <c r="AD27" i="7"/>
  <c r="AF27" i="7" s="1"/>
  <c r="AD26" i="7"/>
  <c r="AF26" i="7" s="1"/>
  <c r="AD25" i="7"/>
  <c r="AF25" i="7" s="1"/>
  <c r="AD24" i="7"/>
  <c r="AF24" i="7" s="1"/>
  <c r="AD23" i="7"/>
  <c r="AF23" i="7" s="1"/>
  <c r="AD22" i="7"/>
  <c r="AF22" i="7" s="1"/>
  <c r="AD21" i="7"/>
  <c r="AF21" i="7" s="1"/>
  <c r="AD20" i="7"/>
  <c r="AF20" i="7" s="1"/>
  <c r="AD19" i="7"/>
  <c r="AF19" i="7" s="1"/>
  <c r="AD18" i="7"/>
  <c r="AF18" i="7" s="1"/>
  <c r="AD17" i="7"/>
  <c r="AF17" i="7" s="1"/>
  <c r="AD16" i="7"/>
  <c r="AF16" i="7" s="1"/>
  <c r="AD15" i="7"/>
  <c r="AF15" i="7" s="1"/>
  <c r="AD14" i="7"/>
  <c r="AF14" i="7" s="1"/>
  <c r="AD13" i="7"/>
  <c r="AF13" i="7" s="1"/>
  <c r="AD12" i="7"/>
  <c r="AF12" i="7" s="1"/>
  <c r="AF11" i="7"/>
  <c r="AD11" i="7"/>
  <c r="AD10" i="7"/>
  <c r="AF10" i="7" s="1"/>
  <c r="AD9" i="7"/>
  <c r="AF9" i="7" s="1"/>
  <c r="AD8" i="7"/>
  <c r="AF8" i="7" s="1"/>
  <c r="AD7" i="7"/>
  <c r="AF7" i="7" s="1"/>
  <c r="S57" i="7"/>
  <c r="U57" i="7" s="1"/>
  <c r="S29" i="7"/>
  <c r="U29" i="7" s="1"/>
  <c r="S30" i="7"/>
  <c r="U30" i="7" s="1"/>
  <c r="S31" i="7"/>
  <c r="U31" i="7" s="1"/>
  <c r="S32" i="7"/>
  <c r="U32" i="7" s="1"/>
  <c r="S33" i="7"/>
  <c r="U33" i="7" s="1"/>
  <c r="S34" i="7"/>
  <c r="U34" i="7" s="1"/>
  <c r="S35" i="7"/>
  <c r="U35" i="7" s="1"/>
  <c r="S36" i="7"/>
  <c r="U36" i="7" s="1"/>
  <c r="S37" i="7"/>
  <c r="U37" i="7" s="1"/>
  <c r="S38" i="7"/>
  <c r="U38" i="7" s="1"/>
  <c r="S39" i="7"/>
  <c r="U39" i="7" s="1"/>
  <c r="S40" i="7"/>
  <c r="U40" i="7" s="1"/>
  <c r="S41" i="7"/>
  <c r="U41" i="7" s="1"/>
  <c r="S42" i="7"/>
  <c r="U42" i="7" s="1"/>
  <c r="S43" i="7"/>
  <c r="S44" i="7"/>
  <c r="S45" i="7"/>
  <c r="U45" i="7" s="1"/>
  <c r="S46" i="7"/>
  <c r="U46" i="7" s="1"/>
  <c r="S47" i="7"/>
  <c r="U47" i="7" s="1"/>
  <c r="S48" i="7"/>
  <c r="U48" i="7" s="1"/>
  <c r="S49" i="7"/>
  <c r="U49" i="7" s="1"/>
  <c r="S50" i="7"/>
  <c r="U50" i="7" s="1"/>
  <c r="S51" i="7"/>
  <c r="U51" i="7" s="1"/>
  <c r="S52" i="7"/>
  <c r="U52" i="7" s="1"/>
  <c r="S53" i="7"/>
  <c r="U53" i="7" s="1"/>
  <c r="S54" i="7"/>
  <c r="U54" i="7" s="1"/>
  <c r="S55" i="7"/>
  <c r="U55" i="7" s="1"/>
  <c r="S56" i="7"/>
  <c r="U56" i="7" s="1"/>
  <c r="S58" i="7"/>
  <c r="U58" i="7" s="1"/>
  <c r="S59" i="7"/>
  <c r="S60" i="7"/>
  <c r="S61" i="7"/>
  <c r="S62" i="7"/>
  <c r="S63" i="7"/>
  <c r="S64" i="7"/>
  <c r="S65" i="7"/>
  <c r="S66" i="7"/>
  <c r="U66" i="7" s="1"/>
  <c r="S67" i="7"/>
  <c r="S68" i="7"/>
  <c r="S69" i="7"/>
  <c r="S70" i="7"/>
  <c r="S71" i="7"/>
  <c r="S72" i="7"/>
  <c r="U72" i="7" s="1"/>
  <c r="S73" i="7"/>
  <c r="S74" i="7"/>
  <c r="U74" i="7" s="1"/>
  <c r="S75" i="7"/>
  <c r="U75" i="7" s="1"/>
  <c r="S76" i="7"/>
  <c r="U76" i="7" s="1"/>
  <c r="S77" i="7"/>
  <c r="U77" i="7" s="1"/>
  <c r="S78" i="7"/>
  <c r="U78" i="7" s="1"/>
  <c r="S79" i="7"/>
  <c r="S80" i="7"/>
  <c r="S81" i="7"/>
  <c r="U81" i="7" s="1"/>
  <c r="S82" i="7"/>
  <c r="S83" i="7"/>
  <c r="S84" i="7"/>
  <c r="S85" i="7"/>
  <c r="S86" i="7"/>
  <c r="S87" i="7"/>
  <c r="S88" i="7"/>
  <c r="S89" i="7"/>
  <c r="U89" i="7" s="1"/>
  <c r="S90" i="7"/>
  <c r="S91" i="7"/>
  <c r="S92" i="7"/>
  <c r="S93" i="7"/>
  <c r="S94" i="7"/>
  <c r="S95" i="7"/>
  <c r="U95" i="7" s="1"/>
  <c r="S96" i="7"/>
  <c r="U96" i="7" s="1"/>
  <c r="S97" i="7"/>
  <c r="U97" i="7" s="1"/>
  <c r="S98" i="7"/>
  <c r="U98" i="7" s="1"/>
  <c r="S99" i="7"/>
  <c r="S100" i="7"/>
  <c r="S101" i="7"/>
  <c r="S102" i="7"/>
  <c r="U102" i="7" s="1"/>
  <c r="S103" i="7"/>
  <c r="S104" i="7"/>
  <c r="U104" i="7" s="1"/>
  <c r="S105" i="7"/>
  <c r="U105" i="7" s="1"/>
  <c r="S106" i="7"/>
  <c r="U106" i="7" s="1"/>
  <c r="S107" i="7"/>
  <c r="S10" i="7"/>
  <c r="U10" i="7" s="1"/>
  <c r="S11" i="7"/>
  <c r="U11" i="7" s="1"/>
  <c r="S12" i="7"/>
  <c r="U12" i="7" s="1"/>
  <c r="S13" i="7"/>
  <c r="U13" i="7" s="1"/>
  <c r="S14" i="7"/>
  <c r="U14" i="7" s="1"/>
  <c r="S15" i="7"/>
  <c r="U15" i="7" s="1"/>
  <c r="S16" i="7"/>
  <c r="U16" i="7" s="1"/>
  <c r="S17" i="7"/>
  <c r="U17" i="7" s="1"/>
  <c r="S18" i="7"/>
  <c r="U18" i="7" s="1"/>
  <c r="S19" i="7"/>
  <c r="U19" i="7" s="1"/>
  <c r="S20" i="7"/>
  <c r="U20" i="7" s="1"/>
  <c r="S21" i="7"/>
  <c r="U21" i="7" s="1"/>
  <c r="S22" i="7"/>
  <c r="U22" i="7" s="1"/>
  <c r="S23" i="7"/>
  <c r="U23" i="7" s="1"/>
  <c r="S24" i="7"/>
  <c r="U24" i="7" s="1"/>
  <c r="S25" i="7"/>
  <c r="U25" i="7" s="1"/>
  <c r="S26" i="7"/>
  <c r="S27" i="7"/>
  <c r="U27" i="7" s="1"/>
  <c r="S28" i="7"/>
  <c r="U28" i="7" s="1"/>
  <c r="S8" i="7"/>
  <c r="U8" i="7" s="1"/>
  <c r="S9" i="7"/>
  <c r="U9" i="7" s="1"/>
  <c r="S7" i="7"/>
  <c r="U7" i="7" s="1"/>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6" i="7"/>
  <c r="F17" i="7"/>
  <c r="F18" i="7"/>
  <c r="F19" i="7"/>
  <c r="F20" i="7"/>
  <c r="F21" i="7"/>
  <c r="F22" i="7"/>
  <c r="F23" i="7"/>
  <c r="F15" i="7"/>
  <c r="F8" i="7"/>
  <c r="F9" i="7"/>
  <c r="F10" i="7"/>
  <c r="F11" i="7"/>
  <c r="F12" i="7"/>
  <c r="F13" i="7"/>
  <c r="F14" i="7"/>
  <c r="F7" i="7"/>
  <c r="U26" i="7"/>
  <c r="U43" i="7"/>
  <c r="U44" i="7"/>
  <c r="U62" i="7"/>
  <c r="U63" i="7"/>
  <c r="U64" i="7"/>
  <c r="U82" i="7"/>
  <c r="U83" i="7"/>
  <c r="U84" i="7"/>
  <c r="U86" i="7"/>
  <c r="U94" i="7"/>
  <c r="U103" i="7"/>
  <c r="U59" i="7"/>
  <c r="U60" i="7"/>
  <c r="U61" i="7"/>
  <c r="U65" i="7"/>
  <c r="U67" i="7"/>
  <c r="U68" i="7"/>
  <c r="U69" i="7"/>
  <c r="U70" i="7"/>
  <c r="U71" i="7"/>
  <c r="U73" i="7"/>
  <c r="U79" i="7"/>
  <c r="U80" i="7"/>
  <c r="U85" i="7"/>
  <c r="U87" i="7"/>
  <c r="U88" i="7"/>
  <c r="U90" i="7"/>
  <c r="U91" i="7"/>
  <c r="U92" i="7"/>
  <c r="U93" i="7"/>
  <c r="U99" i="7"/>
  <c r="U100" i="7"/>
  <c r="U101" i="7"/>
  <c r="N39" i="8"/>
  <c r="F40" i="8"/>
  <c r="M40" i="8" s="1"/>
  <c r="F39" i="8"/>
  <c r="M39" i="8" s="1"/>
  <c r="C35" i="8"/>
  <c r="F35" i="8"/>
  <c r="G35" i="8" s="1"/>
  <c r="F32" i="8"/>
  <c r="H32" i="8" s="1"/>
  <c r="K32" i="8" s="1"/>
  <c r="F31" i="8"/>
  <c r="H31" i="8" s="1"/>
  <c r="K31" i="8" s="1"/>
  <c r="O31" i="8" s="1"/>
  <c r="C29" i="8"/>
  <c r="F29" i="8"/>
  <c r="G29" i="8" s="1"/>
  <c r="N28" i="8"/>
  <c r="F26" i="8"/>
  <c r="M26" i="8" s="1"/>
  <c r="N26" i="8" s="1"/>
  <c r="F28" i="8"/>
  <c r="M28" i="8" s="1"/>
  <c r="F27" i="8"/>
  <c r="H27" i="8" s="1"/>
  <c r="K27" i="8" s="1"/>
  <c r="M25" i="8"/>
  <c r="F25" i="8"/>
  <c r="H25" i="8" s="1"/>
  <c r="K25" i="8" s="1"/>
  <c r="F13" i="8"/>
  <c r="H13" i="8" s="1"/>
  <c r="K13" i="8" s="1"/>
  <c r="O13" i="8" s="1"/>
  <c r="F14" i="8"/>
  <c r="G14" i="8" s="1"/>
  <c r="T6" i="1"/>
  <c r="V6" i="1" s="1"/>
  <c r="T8" i="1"/>
  <c r="V8" i="1" s="1"/>
  <c r="T9" i="1"/>
  <c r="V9" i="1" s="1"/>
  <c r="T10" i="1"/>
  <c r="V10" i="1" s="1"/>
  <c r="T14" i="1"/>
  <c r="V14" i="1" s="1"/>
  <c r="T15" i="1"/>
  <c r="V15" i="1" s="1"/>
  <c r="T16" i="1"/>
  <c r="V16" i="1" s="1"/>
  <c r="T21" i="1"/>
  <c r="V21" i="1" s="1"/>
  <c r="T22" i="1"/>
  <c r="V22" i="1" s="1"/>
  <c r="U6" i="1"/>
  <c r="W6" i="1" s="1"/>
  <c r="U8" i="1"/>
  <c r="P8" i="1" s="1"/>
  <c r="U9" i="1"/>
  <c r="P9" i="1" s="1"/>
  <c r="U10" i="1"/>
  <c r="P10" i="1" s="1"/>
  <c r="U14" i="1"/>
  <c r="W14" i="1" s="1"/>
  <c r="U15" i="1"/>
  <c r="W15" i="1" s="1"/>
  <c r="U16" i="1"/>
  <c r="P16" i="1" s="1"/>
  <c r="U21" i="1"/>
  <c r="W21" i="1" s="1"/>
  <c r="U22" i="1"/>
  <c r="W22" i="1" s="1"/>
  <c r="U5" i="1"/>
  <c r="W5" i="1" s="1"/>
  <c r="O14" i="1"/>
  <c r="O15" i="1"/>
  <c r="O16" i="1"/>
  <c r="O21" i="1"/>
  <c r="O22" i="1"/>
  <c r="O6" i="1"/>
  <c r="O8" i="1"/>
  <c r="O9" i="1"/>
  <c r="O10" i="1"/>
  <c r="O5" i="1"/>
  <c r="F23" i="8"/>
  <c r="G23" i="8" s="1"/>
  <c r="F22" i="8"/>
  <c r="M22" i="8" s="1"/>
  <c r="F20" i="8"/>
  <c r="H20" i="8" s="1"/>
  <c r="K20" i="8" s="1"/>
  <c r="O20" i="8" s="1"/>
  <c r="F19" i="8"/>
  <c r="G19" i="8" s="1"/>
  <c r="M18" i="8"/>
  <c r="M17" i="8"/>
  <c r="L109" i="7"/>
  <c r="F12" i="8"/>
  <c r="M12" i="8" s="1"/>
  <c r="M10" i="8"/>
  <c r="F10" i="8"/>
  <c r="G10" i="8" s="1"/>
  <c r="F11" i="8"/>
  <c r="M11" i="8" s="1"/>
  <c r="F7" i="8"/>
  <c r="M7" i="8" s="1"/>
  <c r="F8" i="8"/>
  <c r="H8" i="8" s="1"/>
  <c r="K8" i="8" s="1"/>
  <c r="F9" i="8"/>
  <c r="H9" i="8" s="1"/>
  <c r="K9" i="8" s="1"/>
  <c r="O9" i="8" s="1"/>
  <c r="F6" i="8"/>
  <c r="H6" i="8" s="1"/>
  <c r="K6" i="8" s="1"/>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M111" i="7" s="1"/>
  <c r="L107" i="7"/>
  <c r="L108" i="7"/>
  <c r="L7" i="7"/>
  <c r="S108" i="7"/>
  <c r="Q27" i="6"/>
  <c r="H68" i="6"/>
  <c r="O10" i="6"/>
  <c r="O9" i="6"/>
  <c r="O8"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H59" i="6" s="1"/>
  <c r="F17" i="6"/>
  <c r="F16" i="6"/>
  <c r="F15" i="6"/>
  <c r="F14" i="6"/>
  <c r="F13" i="6"/>
  <c r="F12" i="6"/>
  <c r="F11" i="6"/>
  <c r="F10" i="6"/>
  <c r="F9" i="6"/>
  <c r="F8" i="6"/>
  <c r="K5" i="3"/>
  <c r="K4" i="3"/>
  <c r="K3" i="3"/>
  <c r="L21" i="4"/>
  <c r="L22" i="4"/>
  <c r="L20" i="4"/>
  <c r="L3" i="4"/>
  <c r="L4" i="4"/>
  <c r="L5" i="4"/>
  <c r="O32" i="8" l="1"/>
  <c r="AM15" i="12"/>
  <c r="AM13" i="12"/>
  <c r="AM11" i="12"/>
  <c r="AM12" i="12"/>
  <c r="AM8" i="12"/>
  <c r="AM10" i="12"/>
  <c r="AM5" i="12"/>
  <c r="AM14" i="12"/>
  <c r="AM6" i="12"/>
  <c r="AM7" i="12"/>
  <c r="X10" i="12"/>
  <c r="Y10" i="12" s="1"/>
  <c r="AM4" i="12"/>
  <c r="X11" i="12"/>
  <c r="Y11" i="12" s="1"/>
  <c r="X8" i="12"/>
  <c r="Y8" i="12" s="1"/>
  <c r="AM3" i="12"/>
  <c r="X6" i="12"/>
  <c r="Y6" i="12" s="1"/>
  <c r="X5" i="12"/>
  <c r="Y5" i="12" s="1"/>
  <c r="X12" i="12"/>
  <c r="Y12" i="12" s="1"/>
  <c r="X4" i="12"/>
  <c r="Y4" i="12" s="1"/>
  <c r="X7" i="12"/>
  <c r="Y7" i="12" s="1"/>
  <c r="X3" i="12"/>
  <c r="Y3" i="12" s="1"/>
  <c r="X15" i="12"/>
  <c r="Y15" i="12" s="1"/>
  <c r="X14" i="12"/>
  <c r="Y14" i="12" s="1"/>
  <c r="X13" i="12"/>
  <c r="Y13" i="12" s="1"/>
  <c r="N6" i="5"/>
  <c r="W6" i="12"/>
  <c r="AN6" i="12" s="1"/>
  <c r="N17" i="5"/>
  <c r="N5" i="5"/>
  <c r="W8" i="12"/>
  <c r="AN8" i="12" s="1"/>
  <c r="W3" i="12"/>
  <c r="AN3" i="12" s="1"/>
  <c r="W7" i="12"/>
  <c r="AN7" i="12" s="1"/>
  <c r="W4" i="12"/>
  <c r="AN4" i="12" s="1"/>
  <c r="W5" i="12"/>
  <c r="AN5" i="12" s="1"/>
  <c r="W14" i="12"/>
  <c r="AN14" i="12" s="1"/>
  <c r="W11" i="12"/>
  <c r="W12" i="12"/>
  <c r="AN12" i="12" s="1"/>
  <c r="W10" i="12"/>
  <c r="AN10" i="12" s="1"/>
  <c r="W13" i="12"/>
  <c r="AN13" i="12" s="1"/>
  <c r="W15" i="12"/>
  <c r="AH8" i="12"/>
  <c r="AH14" i="12"/>
  <c r="AH13" i="12"/>
  <c r="AH6" i="12"/>
  <c r="AH10" i="12"/>
  <c r="AH15" i="12"/>
  <c r="AH12" i="12"/>
  <c r="AH11" i="12"/>
  <c r="AH3" i="12"/>
  <c r="AH4" i="12"/>
  <c r="AH7" i="12"/>
  <c r="AH5" i="12"/>
  <c r="M109" i="7"/>
  <c r="M110" i="7"/>
  <c r="N18" i="5"/>
  <c r="N23" i="11"/>
  <c r="N13" i="11"/>
  <c r="N15" i="11"/>
  <c r="N19" i="5"/>
  <c r="M32" i="8"/>
  <c r="M31" i="8"/>
  <c r="G44" i="8"/>
  <c r="H44" i="8"/>
  <c r="K44" i="8" s="1"/>
  <c r="O44" i="8" s="1"/>
  <c r="G43" i="8"/>
  <c r="H43" i="8"/>
  <c r="K43" i="8" s="1"/>
  <c r="N8" i="5"/>
  <c r="V26" i="7"/>
  <c r="G40" i="8"/>
  <c r="H40" i="8"/>
  <c r="K40" i="8" s="1"/>
  <c r="H39" i="8"/>
  <c r="K39" i="8" s="1"/>
  <c r="G39" i="8"/>
  <c r="M35" i="8"/>
  <c r="H35" i="8"/>
  <c r="K35" i="8" s="1"/>
  <c r="G32" i="8"/>
  <c r="G31" i="8"/>
  <c r="M29" i="8"/>
  <c r="N29" i="8" s="1"/>
  <c r="H29" i="8"/>
  <c r="K29" i="8" s="1"/>
  <c r="O29" i="8" s="1"/>
  <c r="G26" i="8"/>
  <c r="H26" i="8"/>
  <c r="K26" i="8" s="1"/>
  <c r="G28" i="8"/>
  <c r="H28" i="8"/>
  <c r="K28" i="8" s="1"/>
  <c r="M27" i="8"/>
  <c r="G27" i="8"/>
  <c r="G25" i="8"/>
  <c r="H14" i="8"/>
  <c r="K14" i="8" s="1"/>
  <c r="O14" i="8" s="1"/>
  <c r="M6" i="8"/>
  <c r="M9" i="8"/>
  <c r="M8" i="8"/>
  <c r="G6" i="8"/>
  <c r="G9" i="8"/>
  <c r="G8" i="8"/>
  <c r="G7" i="8"/>
  <c r="H7" i="8"/>
  <c r="K7" i="8" s="1"/>
  <c r="O7" i="8" s="1"/>
  <c r="G13" i="8"/>
  <c r="M13" i="8"/>
  <c r="G12" i="8"/>
  <c r="M14" i="8"/>
  <c r="P14" i="1"/>
  <c r="Q14" i="1" s="1"/>
  <c r="P15" i="1"/>
  <c r="Q15" i="1" s="1"/>
  <c r="W9" i="1"/>
  <c r="M23" i="8"/>
  <c r="H23" i="8"/>
  <c r="K23" i="8" s="1"/>
  <c r="H21" i="8"/>
  <c r="K21" i="8" s="1"/>
  <c r="M21" i="8"/>
  <c r="G22" i="8"/>
  <c r="H22" i="8"/>
  <c r="K22" i="8" s="1"/>
  <c r="O22" i="8" s="1"/>
  <c r="G18" i="8"/>
  <c r="H18" i="8"/>
  <c r="K18" i="8" s="1"/>
  <c r="M19" i="8"/>
  <c r="G20" i="8"/>
  <c r="M20" i="8"/>
  <c r="G17" i="8"/>
  <c r="H17" i="8"/>
  <c r="K17" i="8" s="1"/>
  <c r="H19" i="8"/>
  <c r="K19" i="8" s="1"/>
  <c r="O19" i="8" s="1"/>
  <c r="H11" i="8"/>
  <c r="K11" i="8" s="1"/>
  <c r="O11" i="8" s="1"/>
  <c r="G11" i="8"/>
  <c r="H12" i="8"/>
  <c r="K12" i="8" s="1"/>
  <c r="O12" i="8" s="1"/>
  <c r="H10" i="8"/>
  <c r="K10" i="8" s="1"/>
  <c r="H49" i="6"/>
  <c r="W16" i="1"/>
  <c r="P21" i="1"/>
  <c r="Q21" i="1" s="1"/>
  <c r="P22" i="1"/>
  <c r="Q22" i="1" s="1"/>
  <c r="Q5" i="1"/>
  <c r="W10" i="1"/>
  <c r="W8" i="1"/>
  <c r="P6" i="1"/>
  <c r="Q6" i="1" s="1"/>
  <c r="Q10" i="1"/>
  <c r="Q9" i="1"/>
  <c r="Q16" i="1"/>
  <c r="Q8" i="1"/>
  <c r="AL12" i="12" l="1"/>
  <c r="AC12" i="12" s="1"/>
  <c r="Q15" i="12"/>
  <c r="AN15" i="12"/>
  <c r="AL11" i="12"/>
  <c r="Q11" i="12"/>
  <c r="AN11" i="12"/>
  <c r="Q5" i="12"/>
  <c r="AL4" i="12"/>
  <c r="AA4" i="12" s="1"/>
  <c r="AC4" i="12" s="1"/>
  <c r="AL5" i="12"/>
  <c r="AL10" i="12"/>
  <c r="AA10" i="12" s="1"/>
  <c r="AC10" i="12" s="1"/>
  <c r="Q10" i="12"/>
  <c r="AL14" i="12"/>
  <c r="Q6" i="12"/>
  <c r="AL6" i="12"/>
  <c r="AL3" i="12"/>
  <c r="Q13" i="12"/>
  <c r="AL13" i="12"/>
  <c r="AL15" i="12"/>
  <c r="AL7" i="12"/>
  <c r="AL8" i="12"/>
  <c r="Q3" i="12"/>
  <c r="Q7" i="12"/>
  <c r="Q8" i="12"/>
  <c r="Q14" i="12"/>
  <c r="Q12" i="12"/>
  <c r="Q4" i="12"/>
  <c r="O17" i="8"/>
  <c r="L19" i="8"/>
  <c r="L22" i="8"/>
  <c r="O21" i="8"/>
  <c r="L21" i="8"/>
  <c r="O18" i="8"/>
  <c r="L18" i="8"/>
  <c r="K46" i="8"/>
  <c r="O43" i="8"/>
  <c r="AA14" i="12" l="1"/>
  <c r="AC14" i="12" s="1"/>
  <c r="V14" i="12" s="1"/>
  <c r="AA15" i="12"/>
  <c r="AC15" i="12" s="1"/>
  <c r="V15" i="12" s="1"/>
  <c r="AA11" i="12"/>
  <c r="AC11" i="12" s="1"/>
  <c r="AA8" i="12"/>
  <c r="AC8" i="12" s="1"/>
  <c r="V8" i="12" s="1"/>
  <c r="AA7" i="12"/>
  <c r="AC7" i="12" s="1"/>
  <c r="AA6" i="12"/>
  <c r="AC6" i="12" s="1"/>
  <c r="AA3" i="12"/>
  <c r="AC3" i="12" s="1"/>
  <c r="V3" i="12" s="1"/>
  <c r="V5" i="12"/>
  <c r="V10" i="12"/>
  <c r="V13" i="12"/>
  <c r="V12" i="12"/>
  <c r="V4" i="12"/>
  <c r="AG14" i="12"/>
  <c r="AG12" i="12"/>
  <c r="AG13" i="12"/>
  <c r="AG5" i="12"/>
  <c r="AG7" i="12"/>
  <c r="AG10" i="12"/>
  <c r="AG8" i="12"/>
  <c r="AG15" i="12"/>
  <c r="AG6" i="12"/>
  <c r="AG4" i="12"/>
  <c r="AG11" i="12"/>
  <c r="AG3" i="12"/>
  <c r="V6" i="12" l="1"/>
  <c r="V11" i="12"/>
  <c r="V7" i="12"/>
  <c r="AO8" i="12"/>
  <c r="S8" i="12" s="1"/>
  <c r="AO13" i="12"/>
  <c r="S13" i="12" s="1"/>
  <c r="AO4" i="12"/>
  <c r="S4" i="12" s="1"/>
  <c r="AO15" i="12"/>
  <c r="S15" i="12" s="1"/>
  <c r="AO10" i="12"/>
  <c r="S10" i="12" s="1"/>
  <c r="AO5" i="12"/>
  <c r="S5" i="12" s="1"/>
  <c r="AO12" i="12"/>
  <c r="S12" i="12" s="1"/>
  <c r="AO3" i="12"/>
  <c r="S3" i="12" s="1"/>
  <c r="AO11" i="12" l="1"/>
  <c r="S11" i="12" s="1"/>
  <c r="AO6" i="12"/>
  <c r="S6" i="12" s="1"/>
  <c r="AO7" i="12"/>
  <c r="S7" i="12" s="1"/>
  <c r="AO14" i="12"/>
  <c r="S14" i="12" s="1"/>
</calcChain>
</file>

<file path=xl/sharedStrings.xml><?xml version="1.0" encoding="utf-8"?>
<sst xmlns="http://schemas.openxmlformats.org/spreadsheetml/2006/main" count="818" uniqueCount="537">
  <si>
    <t>非爆炸类枪械</t>
    <phoneticPr fontId="1" type="noConversion"/>
  </si>
  <si>
    <t>子弹威力</t>
    <phoneticPr fontId="1" type="noConversion"/>
  </si>
  <si>
    <t>射击间隔</t>
    <phoneticPr fontId="1" type="noConversion"/>
  </si>
  <si>
    <t>弹容量</t>
    <phoneticPr fontId="1" type="noConversion"/>
  </si>
  <si>
    <t>穿刺系数</t>
    <phoneticPr fontId="1" type="noConversion"/>
  </si>
  <si>
    <t>dps系数</t>
    <phoneticPr fontId="1" type="noConversion"/>
  </si>
  <si>
    <t>双枪系数</t>
    <phoneticPr fontId="1" type="noConversion"/>
  </si>
  <si>
    <t>当前总伤</t>
    <phoneticPr fontId="1" type="noConversion"/>
  </si>
  <si>
    <t>平衡总伤</t>
    <phoneticPr fontId="1" type="noConversion"/>
  </si>
  <si>
    <t>dps</t>
    <phoneticPr fontId="1" type="noConversion"/>
  </si>
  <si>
    <t>弹夹价格</t>
    <phoneticPr fontId="1" type="noConversion"/>
  </si>
  <si>
    <t>加权总伤</t>
    <phoneticPr fontId="1" type="noConversion"/>
  </si>
  <si>
    <t>额外加权层数</t>
    <phoneticPr fontId="1" type="noConversion"/>
  </si>
  <si>
    <t>长枪</t>
    <phoneticPr fontId="1" type="noConversion"/>
  </si>
  <si>
    <t>限制等级</t>
    <phoneticPr fontId="1" type="noConversion"/>
  </si>
  <si>
    <t>示例AK47</t>
    <phoneticPr fontId="1" type="noConversion"/>
  </si>
  <si>
    <t>短枪</t>
    <phoneticPr fontId="1" type="noConversion"/>
  </si>
  <si>
    <t>示例P90</t>
    <phoneticPr fontId="1" type="noConversion"/>
  </si>
  <si>
    <t>穿刺长枪</t>
    <phoneticPr fontId="1" type="noConversion"/>
  </si>
  <si>
    <t>(含喷火等)</t>
  </si>
  <si>
    <t>示例吉他</t>
    <phoneticPr fontId="1" type="noConversion"/>
  </si>
  <si>
    <t>穿刺短枪</t>
    <phoneticPr fontId="1" type="noConversion"/>
  </si>
  <si>
    <t>实战dps系数(计算其他加权)</t>
    <phoneticPr fontId="1" type="noConversion"/>
  </si>
  <si>
    <t>（适用于7级以上）</t>
    <phoneticPr fontId="1" type="noConversion"/>
  </si>
  <si>
    <t>示例M16战术版</t>
    <phoneticPr fontId="1" type="noConversion"/>
  </si>
  <si>
    <t>你的枪请填写：</t>
    <phoneticPr fontId="1" type="noConversion"/>
  </si>
  <si>
    <t>示例韦森改装</t>
    <phoneticPr fontId="1" type="noConversion"/>
  </si>
  <si>
    <t>实战dps估值</t>
    <phoneticPr fontId="1" type="noConversion"/>
  </si>
  <si>
    <t>（包含枪械/手雷）</t>
    <phoneticPr fontId="1" type="noConversion"/>
  </si>
  <si>
    <t>爆炸类公式暂定</t>
    <phoneticPr fontId="1" type="noConversion"/>
  </si>
  <si>
    <t>单发威力</t>
    <phoneticPr fontId="1" type="noConversion"/>
  </si>
  <si>
    <t>推荐单发威力</t>
    <phoneticPr fontId="1" type="noConversion"/>
  </si>
  <si>
    <t>手雷</t>
    <phoneticPr fontId="1" type="noConversion"/>
  </si>
  <si>
    <t>手雷价格</t>
    <phoneticPr fontId="1" type="noConversion"/>
  </si>
  <si>
    <t>枪类</t>
    <phoneticPr fontId="1" type="noConversion"/>
  </si>
  <si>
    <t>刀类基础公式</t>
    <phoneticPr fontId="1" type="noConversion"/>
  </si>
  <si>
    <t>加权层数</t>
    <phoneticPr fontId="1" type="noConversion"/>
  </si>
  <si>
    <t>推荐锋利度</t>
    <phoneticPr fontId="1" type="noConversion"/>
  </si>
  <si>
    <t>示例大剑</t>
    <phoneticPr fontId="1" type="noConversion"/>
  </si>
  <si>
    <t>参数解释：</t>
    <phoneticPr fontId="1" type="noConversion"/>
  </si>
  <si>
    <t>加权类型：</t>
    <phoneticPr fontId="1" type="noConversion"/>
  </si>
  <si>
    <t>split</t>
    <phoneticPr fontId="1" type="noConversion"/>
  </si>
  <si>
    <t>power</t>
    <phoneticPr fontId="1" type="noConversion"/>
  </si>
  <si>
    <t>interval</t>
    <phoneticPr fontId="1" type="noConversion"/>
  </si>
  <si>
    <t>capacity</t>
  </si>
  <si>
    <t>level</t>
    <phoneticPr fontId="1" type="noConversion"/>
  </si>
  <si>
    <t>示例Mossberg500</t>
    <phoneticPr fontId="1" type="noConversion"/>
  </si>
  <si>
    <t>全新玩法可获得版本红利期，期间可额外叠加1层。</t>
    <phoneticPr fontId="1" type="noConversion"/>
  </si>
  <si>
    <t>类型</t>
    <phoneticPr fontId="1" type="noConversion"/>
  </si>
  <si>
    <t>具体武器</t>
    <phoneticPr fontId="1" type="noConversion"/>
  </si>
  <si>
    <t>（此后为自动计算的参考值与系数）</t>
    <phoneticPr fontId="1" type="noConversion"/>
  </si>
  <si>
    <t>你的刀：</t>
    <phoneticPr fontId="1" type="noConversion"/>
  </si>
  <si>
    <t>你的枪：</t>
    <phoneticPr fontId="1" type="noConversion"/>
  </si>
  <si>
    <t>你的手雷：</t>
    <phoneticPr fontId="1" type="noConversion"/>
  </si>
  <si>
    <t>加权类型见前页，此外，无mp消耗的特效伤害可计为-1层负层级作为平衡，有mp消耗的特效则不影响。特效伤害过多时也可额外-1层。</t>
    <phoneticPr fontId="1" type="noConversion"/>
  </si>
  <si>
    <t>（请参照此处的总伤前后大致匹配从而填写前方数值）</t>
    <phoneticPr fontId="1" type="noConversion"/>
  </si>
  <si>
    <t>基底伤害</t>
    <phoneticPr fontId="1" type="noConversion"/>
  </si>
  <si>
    <t>每级基底伤害</t>
    <phoneticPr fontId="1" type="noConversion"/>
  </si>
  <si>
    <t>空手倍率</t>
    <phoneticPr fontId="1" type="noConversion"/>
  </si>
  <si>
    <t>等级成长倍率</t>
    <phoneticPr fontId="1" type="noConversion"/>
  </si>
  <si>
    <t>刀属性倍率</t>
    <phoneticPr fontId="1" type="noConversion"/>
  </si>
  <si>
    <t>500+</t>
    <phoneticPr fontId="1" type="noConversion"/>
  </si>
  <si>
    <t>*1</t>
    <phoneticPr fontId="1" type="noConversion"/>
  </si>
  <si>
    <t>+1*</t>
    <phoneticPr fontId="1" type="noConversion"/>
  </si>
  <si>
    <t>地震</t>
    <phoneticPr fontId="1" type="noConversion"/>
  </si>
  <si>
    <t>最终公式</t>
    <phoneticPr fontId="1" type="noConversion"/>
  </si>
  <si>
    <t>临时粘贴处：</t>
    <phoneticPr fontId="1" type="noConversion"/>
  </si>
  <si>
    <t>拔刀</t>
    <phoneticPr fontId="1" type="noConversion"/>
  </si>
  <si>
    <t>你的技能</t>
    <phoneticPr fontId="1" type="noConversion"/>
  </si>
  <si>
    <t>格式</t>
    <phoneticPr fontId="1" type="noConversion"/>
  </si>
  <si>
    <t>额外参数</t>
    <phoneticPr fontId="1" type="noConversion"/>
  </si>
  <si>
    <t>+_parent._parent.等级*10</t>
    <phoneticPr fontId="1" type="noConversion"/>
  </si>
  <si>
    <t>请在上一行中只粘贴值后再复制，否则复制的是原始拼接公式，而不是生成的最终公式</t>
    <phoneticPr fontId="1" type="noConversion"/>
  </si>
  <si>
    <t>刀属性额外基础</t>
    <phoneticPr fontId="1" type="noConversion"/>
  </si>
  <si>
    <t>+100</t>
    <phoneticPr fontId="1" type="noConversion"/>
  </si>
  <si>
    <t>技能通用伤害公式，以如下基本参数为准，请避免不可控参数的添加</t>
    <phoneticPr fontId="1" type="noConversion"/>
  </si>
  <si>
    <t>注：倍率类推荐数值为0.25-1.75，加值类推荐在50-500。第一项的"基底伤害"通常为空，最高不建议超过5000。请避免数量级不正确的数值。</t>
    <phoneticPr fontId="1" type="noConversion"/>
  </si>
  <si>
    <t>机枪的弹容量种族优势可额外换两层总伤，可叠加重量层级与武器价格层级。穿刺枪的种族优势为群攻，散弹的种族优势为吃拐率，不反映在总伤值上，所以无额外总伤加成。</t>
    <phoneticPr fontId="1" type="noConversion"/>
  </si>
  <si>
    <t>装备价格的参考公式。以对应等级的基础数值装备为基准，高额价格可在前页的装备数值计算中转化为伤害加成，每层加成对应的价格可在本页计算</t>
    <phoneticPr fontId="1" type="noConversion"/>
  </si>
  <si>
    <t>武器</t>
    <phoneticPr fontId="1" type="noConversion"/>
  </si>
  <si>
    <t>防具</t>
    <phoneticPr fontId="1" type="noConversion"/>
  </si>
  <si>
    <t>金币价格</t>
    <phoneticPr fontId="1" type="noConversion"/>
  </si>
  <si>
    <t>k点价格</t>
    <phoneticPr fontId="1" type="noConversion"/>
  </si>
  <si>
    <t>你的装备</t>
    <phoneticPr fontId="1" type="noConversion"/>
  </si>
  <si>
    <t>手枪</t>
    <phoneticPr fontId="1" type="noConversion"/>
  </si>
  <si>
    <t>长枪/刀</t>
    <phoneticPr fontId="1" type="noConversion"/>
  </si>
  <si>
    <t>示例</t>
    <phoneticPr fontId="1" type="noConversion"/>
  </si>
  <si>
    <t>种类系数</t>
    <phoneticPr fontId="1" type="noConversion"/>
  </si>
  <si>
    <t>加权层级</t>
    <phoneticPr fontId="1" type="noConversion"/>
  </si>
  <si>
    <t>等级</t>
    <phoneticPr fontId="1" type="noConversion"/>
  </si>
  <si>
    <t>最小经验值</t>
    <phoneticPr fontId="1" type="noConversion"/>
  </si>
  <si>
    <t>最大经验值</t>
    <phoneticPr fontId="1" type="noConversion"/>
  </si>
  <si>
    <t>怪物最大等级</t>
    <phoneticPr fontId="1" type="noConversion"/>
  </si>
  <si>
    <t>经验</t>
    <phoneticPr fontId="1" type="noConversion"/>
  </si>
  <si>
    <t>求和</t>
    <phoneticPr fontId="1" type="noConversion"/>
  </si>
  <si>
    <t>示例1</t>
    <phoneticPr fontId="1" type="noConversion"/>
  </si>
  <si>
    <t>示例2</t>
  </si>
  <si>
    <t>求总和</t>
  </si>
  <si>
    <t>求总和</t>
    <phoneticPr fontId="1" type="noConversion"/>
  </si>
  <si>
    <t>填写你的经验：</t>
    <phoneticPr fontId="1" type="noConversion"/>
  </si>
  <si>
    <t>金币k点换算比例</t>
    <phoneticPr fontId="1" type="noConversion"/>
  </si>
  <si>
    <t>(最小经验值 + (最大经验值 - 最小经验值) / (怪物最大等级 - 1) * 怪物等级) * _root.难度等级;</t>
    <phoneticPr fontId="1" type="noConversion"/>
  </si>
  <si>
    <t>经验 =(最小经验值 + (最大经验值 - 最小经验值) / (怪物最大等级 - 1) * 怪物等级) * _root.难度等级;</t>
    <phoneticPr fontId="1" type="noConversion"/>
  </si>
  <si>
    <t>最小值</t>
    <phoneticPr fontId="1" type="noConversion"/>
  </si>
  <si>
    <t>最大值</t>
    <phoneticPr fontId="1" type="noConversion"/>
  </si>
  <si>
    <t>该等级值 = 最小值 + (最大值 - 最小值) / (最大等级 - 1) * 目前等级;</t>
    <phoneticPr fontId="1" type="noConversion"/>
  </si>
  <si>
    <t>该等级值</t>
    <phoneticPr fontId="1" type="noConversion"/>
  </si>
  <si>
    <t>难度等级</t>
    <phoneticPr fontId="1" type="noConversion"/>
  </si>
  <si>
    <t>*</t>
    <phoneticPr fontId="1" type="noConversion"/>
  </si>
  <si>
    <t>伤害*(1 - (防御力 / (防御力 + 300))</t>
    <phoneticPr fontId="1" type="noConversion"/>
  </si>
  <si>
    <t>伤害</t>
    <phoneticPr fontId="1" type="noConversion"/>
  </si>
  <si>
    <t>防御</t>
    <phoneticPr fontId="1" type="noConversion"/>
  </si>
  <si>
    <t>血量</t>
    <phoneticPr fontId="1" type="noConversion"/>
  </si>
  <si>
    <t>防御穿透</t>
    <phoneticPr fontId="1" type="noConversion"/>
  </si>
  <si>
    <t>最终伤害</t>
    <phoneticPr fontId="1" type="noConversion"/>
  </si>
  <si>
    <t>最终防御</t>
    <phoneticPr fontId="1" type="noConversion"/>
  </si>
  <si>
    <t>减伤比例</t>
    <phoneticPr fontId="1" type="noConversion"/>
  </si>
  <si>
    <t>剩余比例</t>
    <phoneticPr fontId="1" type="noConversion"/>
  </si>
  <si>
    <t>等效血量</t>
    <phoneticPr fontId="1" type="noConversion"/>
  </si>
  <si>
    <t>宠物升级经验</t>
    <phoneticPr fontId="1" type="noConversion"/>
  </si>
  <si>
    <t>求和</t>
    <phoneticPr fontId="1" type="noConversion"/>
  </si>
  <si>
    <t>直至黑铁的主线怪物经验的约数（旧）</t>
    <phoneticPr fontId="1" type="noConversion"/>
  </si>
  <si>
    <t>等级</t>
    <phoneticPr fontId="1" type="noConversion"/>
  </si>
  <si>
    <t>掉落上限</t>
    <phoneticPr fontId="1" type="noConversion"/>
  </si>
  <si>
    <t>原有数值加权后</t>
    <phoneticPr fontId="1" type="noConversion"/>
  </si>
  <si>
    <t>掉落物加权</t>
    <phoneticPr fontId="1" type="noConversion"/>
  </si>
  <si>
    <t>佣兵等级计算</t>
    <phoneticPr fontId="1" type="noConversion"/>
  </si>
  <si>
    <t>价格</t>
    <phoneticPr fontId="1" type="noConversion"/>
  </si>
  <si>
    <t>属性有削弱的廉价物品可计算为-1层加权层级，同样需要与前页数值计算的【由装备价格产生的】层级对应。</t>
    <phoneticPr fontId="1" type="noConversion"/>
  </si>
  <si>
    <t>拥有购买以外获取方式的武器请勿添加由装备价格获取的正向加权层数。</t>
    <phoneticPr fontId="1" type="noConversion"/>
  </si>
  <si>
    <t>加权层数：此处的加权层数与前页的数值计算的【由额外的装备价格而获取的加权层级】对应，不计算其他类型的加权层数。金币装备的加层层数通常为最大一层，k点装备的加层层数通常为最大两层，不可叠加。</t>
    <phoneticPr fontId="1" type="noConversion"/>
  </si>
  <si>
    <t>/5</t>
    <phoneticPr fontId="1" type="noConversion"/>
  </si>
  <si>
    <t>气宗类</t>
    <phoneticPr fontId="1" type="noConversion"/>
  </si>
  <si>
    <t>剑宗类</t>
    <phoneticPr fontId="1" type="noConversion"/>
  </si>
  <si>
    <t>拳击类</t>
    <phoneticPr fontId="1" type="noConversion"/>
  </si>
  <si>
    <t>寸拳</t>
    <phoneticPr fontId="1" type="noConversion"/>
  </si>
  <si>
    <t>100+</t>
    <phoneticPr fontId="1" type="noConversion"/>
  </si>
  <si>
    <t>/3</t>
    <phoneticPr fontId="1" type="noConversion"/>
  </si>
  <si>
    <t>/3</t>
    <phoneticPr fontId="1" type="noConversion"/>
  </si>
  <si>
    <t>榴弹类子弹抛物线难以瞄准，可以以3倍弹药价格填入作为强度补正</t>
    <phoneticPr fontId="1" type="noConversion"/>
  </si>
  <si>
    <t>魔法伤害加权层数-1，真伤伤害加权层数-2。真伤为稀缺属性，请谨慎给予，非物理伤害尽量使用不同类型的魔法伤害。</t>
    <phoneticPr fontId="1" type="noConversion"/>
  </si>
  <si>
    <t>承伤次数</t>
    <phoneticPr fontId="1" type="noConversion"/>
  </si>
  <si>
    <t>40级以上武器可以有额外一层加权作为浮动</t>
    <phoneticPr fontId="1" type="noConversion"/>
  </si>
  <si>
    <t>魔法伤害：</t>
    <phoneticPr fontId="1" type="noConversion"/>
  </si>
  <si>
    <t>物理伤害</t>
    <phoneticPr fontId="1" type="noConversion"/>
  </si>
  <si>
    <t>伤害 *(100-对应魔抗)/100</t>
    <phoneticPr fontId="1" type="noConversion"/>
  </si>
  <si>
    <t>魔抗</t>
    <phoneticPr fontId="1" type="noConversion"/>
  </si>
  <si>
    <t>颜色标注如下：</t>
    <phoneticPr fontId="1" type="noConversion"/>
  </si>
  <si>
    <t>自动计算的栏位</t>
    <phoneticPr fontId="1" type="noConversion"/>
  </si>
  <si>
    <t>你要修改的栏位</t>
    <phoneticPr fontId="1" type="noConversion"/>
  </si>
  <si>
    <t>根据物品文档填写</t>
    <phoneticPr fontId="1" type="noConversion"/>
  </si>
  <si>
    <t>列1</t>
  </si>
  <si>
    <t>列3</t>
  </si>
  <si>
    <t>列2</t>
    <phoneticPr fontId="1" type="noConversion"/>
  </si>
  <si>
    <t>武器类型决定的栏位</t>
    <phoneticPr fontId="1" type="noConversion"/>
  </si>
  <si>
    <t>已给出四种常见类型</t>
    <phoneticPr fontId="1" type="noConversion"/>
  </si>
  <si>
    <t>多数情况下不需修改</t>
    <phoneticPr fontId="1" type="noConversion"/>
  </si>
  <si>
    <t>上方有对应标注</t>
    <phoneticPr fontId="1" type="noConversion"/>
  </si>
  <si>
    <t>无需修改。结果应为</t>
    <phoneticPr fontId="1" type="noConversion"/>
  </si>
  <si>
    <t>当前总伤≈加权总伤</t>
    <phoneticPr fontId="1" type="noConversion"/>
  </si>
  <si>
    <t>请以当前总伤≈加权总伤为平衡标准，对前方可填写数值进行调整。 选择对应类型的一行填写即可。</t>
    <phoneticPr fontId="1" type="noConversion"/>
  </si>
  <si>
    <t>霰弹值</t>
    <phoneticPr fontId="1" type="noConversion"/>
  </si>
  <si>
    <t>注释：喷火的穿刺系数为1.5，狙击枪穿刺系数为1.5，普通穿刺为2，非穿刺为1。子弹范围大且段数极多时请填写3或更高的穿刺系数。</t>
    <phoneticPr fontId="1" type="noConversion"/>
  </si>
  <si>
    <t>注释：短枪的双枪系数为2，长枪为1。有霰弹值的霰弹类需填入对应数量的霰弹值（若每消耗1发弹容会产生多个子弹判定，则填入对应数量）。</t>
    <phoneticPr fontId="1" type="noConversion"/>
  </si>
  <si>
    <t>参考下方加权类型</t>
    <phoneticPr fontId="1" type="noConversion"/>
  </si>
  <si>
    <t>HP</t>
    <phoneticPr fontId="1" type="noConversion"/>
  </si>
  <si>
    <t>MP</t>
    <phoneticPr fontId="1" type="noConversion"/>
  </si>
  <si>
    <t>伤害加成</t>
    <phoneticPr fontId="1" type="noConversion"/>
  </si>
  <si>
    <t>重量</t>
    <phoneticPr fontId="1" type="noConversion"/>
  </si>
  <si>
    <t>空手加成</t>
    <phoneticPr fontId="1" type="noConversion"/>
  </si>
  <si>
    <t>法抗</t>
    <phoneticPr fontId="1" type="noConversion"/>
  </si>
  <si>
    <t>当前总分</t>
    <phoneticPr fontId="1" type="noConversion"/>
  </si>
  <si>
    <t>平衡总分</t>
    <phoneticPr fontId="1" type="noConversion"/>
  </si>
  <si>
    <t>加权总分</t>
    <phoneticPr fontId="1" type="noConversion"/>
  </si>
  <si>
    <t>常规装备</t>
    <phoneticPr fontId="1" type="noConversion"/>
  </si>
  <si>
    <t>你的装备请填写：</t>
    <phoneticPr fontId="1" type="noConversion"/>
  </si>
  <si>
    <t>军阀重装上身</t>
    <phoneticPr fontId="1" type="noConversion"/>
  </si>
  <si>
    <t>A兵团上身</t>
    <phoneticPr fontId="1" type="noConversion"/>
  </si>
  <si>
    <t>过高的重量、价格、过低的射速或者其他减益效果可交换为1层的加权层级（可叠加）。价格加权仅限只可购买获得的装备，参考后续的装备价格计算。</t>
    <phoneticPr fontId="1" type="noConversion"/>
  </si>
  <si>
    <t>金币购买物品默认为0层。支持负层级，如有必要，免费赠送的物品可计算-1层。</t>
  </si>
  <si>
    <t>金币购买物品默认为0层。支持负层级，如有必要，免费赠送的物品可计算-1层。</t>
    <phoneticPr fontId="1" type="noConversion"/>
  </si>
  <si>
    <t>（适用于10级以上）</t>
    <phoneticPr fontId="1" type="noConversion"/>
  </si>
  <si>
    <t>装备面板</t>
    <phoneticPr fontId="1" type="noConversion"/>
  </si>
  <si>
    <t>92上身</t>
    <phoneticPr fontId="1" type="noConversion"/>
  </si>
  <si>
    <t>幻影头盔</t>
    <phoneticPr fontId="1" type="noConversion"/>
  </si>
  <si>
    <t>defence</t>
  </si>
  <si>
    <t>damage</t>
  </si>
  <si>
    <t>weight</t>
  </si>
  <si>
    <t>punch</t>
    <phoneticPr fontId="1" type="noConversion"/>
  </si>
  <si>
    <t>magicdefence</t>
  </si>
  <si>
    <t>请以当前总分≈加权总分为平衡标准，对前方可填写数值进行调整。 选择对应类型的一行填写即可。</t>
    <phoneticPr fontId="1" type="noConversion"/>
  </si>
  <si>
    <t>40级以上装备可以有额外一层加权作为浮动</t>
    <phoneticPr fontId="1" type="noConversion"/>
  </si>
  <si>
    <t>项链</t>
    <phoneticPr fontId="1" type="noConversion"/>
  </si>
  <si>
    <t>示例A兵团项链</t>
    <phoneticPr fontId="1" type="noConversion"/>
  </si>
  <si>
    <t>当前总分≈加权总分</t>
    <phoneticPr fontId="1" type="noConversion"/>
  </si>
  <si>
    <t>具体装备</t>
    <phoneticPr fontId="1" type="noConversion"/>
  </si>
  <si>
    <t>k点购买计1层，合成计1层，高价计一层，K点、合成、高价叠加后可计3层。</t>
  </si>
  <si>
    <t>高难度副本/boss掉落可为1-2层，不与上一条叠加，二者取最高。如果有额外的合成成本，可叠加1层。</t>
    <phoneticPr fontId="1" type="noConversion"/>
  </si>
  <si>
    <t>精致A兵团</t>
    <phoneticPr fontId="1" type="noConversion"/>
  </si>
  <si>
    <t>装备合成成本</t>
    <phoneticPr fontId="1" type="noConversion"/>
  </si>
  <si>
    <t>参考下方</t>
    <phoneticPr fontId="1" type="noConversion"/>
  </si>
  <si>
    <t>当前成本</t>
    <phoneticPr fontId="1" type="noConversion"/>
  </si>
  <si>
    <t>平衡成本</t>
    <phoneticPr fontId="1" type="noConversion"/>
  </si>
  <si>
    <t>加权成本</t>
    <phoneticPr fontId="1" type="noConversion"/>
  </si>
  <si>
    <t>请以当前成本≈加权成本为平衡标准，对前方可填写数值进行调整。 选择对应类型的一行填写即可。</t>
    <phoneticPr fontId="1" type="noConversion"/>
  </si>
  <si>
    <t>加权总分由平衡总分和加权层数自动计算，为加权后推荐的总分。平衡总分由等级和各项系数自动计算，为当前等级基础武器的推荐总分。</t>
    <phoneticPr fontId="1" type="noConversion"/>
  </si>
  <si>
    <t>加权总伤由平衡总伤和加权层数自动计算，为加权后推荐的总伤值。平衡总伤由等级和各项系数自动计算，为当前等级基础武器的推荐总伤值。</t>
    <phoneticPr fontId="1" type="noConversion"/>
  </si>
  <si>
    <t>加权成本由平衡成本和加权层数自动计算，为加权后推荐的成本值。平衡成本由等级和各项系数自动计算，为当前等级普通合成装备的推荐成本值。</t>
    <phoneticPr fontId="1" type="noConversion"/>
  </si>
  <si>
    <t>材料价格</t>
    <phoneticPr fontId="1" type="noConversion"/>
  </si>
  <si>
    <t>装备折算价格</t>
    <phoneticPr fontId="1" type="noConversion"/>
  </si>
  <si>
    <t>金币需求</t>
    <phoneticPr fontId="1" type="noConversion"/>
  </si>
  <si>
    <t>K点需求</t>
    <phoneticPr fontId="1" type="noConversion"/>
  </si>
  <si>
    <t>绿色材料</t>
    <phoneticPr fontId="1" type="noConversion"/>
  </si>
  <si>
    <t>橙色材料</t>
    <phoneticPr fontId="1" type="noConversion"/>
  </si>
  <si>
    <t>蓝色材料</t>
    <phoneticPr fontId="1" type="noConversion"/>
  </si>
  <si>
    <t>材料价格计算</t>
    <phoneticPr fontId="1" type="noConversion"/>
  </si>
  <si>
    <t>（请参照此处的总分前后大致匹配从而填写前方数值）</t>
    <phoneticPr fontId="1" type="noConversion"/>
  </si>
  <si>
    <t>（请参照此处的成本前后大致匹配从而填写前方数值）</t>
    <phoneticPr fontId="1" type="noConversion"/>
  </si>
  <si>
    <t>列3</t>
    <phoneticPr fontId="1" type="noConversion"/>
  </si>
  <si>
    <t>列1</t>
    <phoneticPr fontId="1" type="noConversion"/>
  </si>
  <si>
    <t>列4</t>
    <phoneticPr fontId="1" type="noConversion"/>
  </si>
  <si>
    <t>装备折算价格计算</t>
    <phoneticPr fontId="1" type="noConversion"/>
  </si>
  <si>
    <t>数量</t>
    <phoneticPr fontId="1" type="noConversion"/>
  </si>
  <si>
    <t>物品种类</t>
    <phoneticPr fontId="1" type="noConversion"/>
  </si>
  <si>
    <t>A兵团背心</t>
    <phoneticPr fontId="1" type="noConversion"/>
  </si>
  <si>
    <t>精致A兵团背心</t>
    <phoneticPr fontId="1" type="noConversion"/>
  </si>
  <si>
    <t>无</t>
    <phoneticPr fontId="1" type="noConversion"/>
  </si>
  <si>
    <t>双枪/防具系数</t>
    <phoneticPr fontId="1" type="noConversion"/>
  </si>
  <si>
    <t>单件折算价格</t>
    <phoneticPr fontId="1" type="noConversion"/>
  </si>
  <si>
    <t>素材装备1</t>
    <phoneticPr fontId="1" type="noConversion"/>
  </si>
  <si>
    <t>素材装备2</t>
  </si>
  <si>
    <t>素材装备3</t>
  </si>
  <si>
    <t>素材装备4</t>
  </si>
  <si>
    <t>种族系数和加权层数的详情请参考前页的装备价格页。目前支持最多四种装备的折算价格之和的计算，如有更多合成需求装备，请自行计算。</t>
    <phoneticPr fontId="1" type="noConversion"/>
  </si>
  <si>
    <t>注释：</t>
    <phoneticPr fontId="1" type="noConversion"/>
  </si>
  <si>
    <t>防具的双枪/防具系数系数为1.5，短枪的双枪/防具系数为1.5，其余武器的双枪/防具系数为1。</t>
  </si>
  <si>
    <t>对应阶段</t>
    <phoneticPr fontId="1" type="noConversion"/>
  </si>
  <si>
    <t>长度系数</t>
    <phoneticPr fontId="1" type="noConversion"/>
  </si>
  <si>
    <t>难度系数</t>
    <phoneticPr fontId="1" type="noConversion"/>
  </si>
  <si>
    <t>副本获取数量</t>
    <phoneticPr fontId="1" type="noConversion"/>
  </si>
  <si>
    <t>副本获取比例</t>
    <phoneticPr fontId="1" type="noConversion"/>
  </si>
  <si>
    <t>购买金币单价</t>
    <phoneticPr fontId="1" type="noConversion"/>
  </si>
  <si>
    <t>购买K点单价</t>
    <phoneticPr fontId="1" type="noConversion"/>
  </si>
  <si>
    <t>购买价格</t>
    <phoneticPr fontId="1" type="noConversion"/>
  </si>
  <si>
    <t>掉落物折算价格</t>
    <phoneticPr fontId="1" type="noConversion"/>
  </si>
  <si>
    <t>1.低价合成计1层，高价加成+1层，K点加成+1层。2.高价加成参考装备价格页面的计算。3.全新玩法可获得版本红利期，期间可额外叠加1层。</t>
    <phoneticPr fontId="1" type="noConversion"/>
  </si>
  <si>
    <t>需求数量</t>
    <phoneticPr fontId="1" type="noConversion"/>
  </si>
  <si>
    <t>长度系数/难度系数基础为1，上限为2，以同期副本为参考酌情填写。副本获取数量指单次副本可获得的平均数量，副本获取比例为当前物品占该副本所有奖励的大致比例，约数即可。</t>
    <phoneticPr fontId="1" type="noConversion"/>
  </si>
  <si>
    <t>刷副本折算价格</t>
    <phoneticPr fontId="1" type="noConversion"/>
  </si>
  <si>
    <t>如果该掉落物存在购买途径时，则填写购买单价，最终的掉落物折算价格为刷副本价格和购买价格的较低值。</t>
    <phoneticPr fontId="1" type="noConversion"/>
  </si>
  <si>
    <t>对应阶段废城/盗贼/军阀/黑铁会总堂/诺亚/雪山/主线后，分别为1/2/3/4/5/6/7。达到当前流程中后期时+0.5。</t>
    <phoneticPr fontId="1" type="noConversion"/>
  </si>
  <si>
    <t>背心图纸</t>
    <phoneticPr fontId="1" type="noConversion"/>
  </si>
  <si>
    <t>掉落素材1</t>
    <phoneticPr fontId="1" type="noConversion"/>
  </si>
  <si>
    <t>掉落素材2</t>
  </si>
  <si>
    <t>掉落素材3</t>
  </si>
  <si>
    <t>材料价格、装备折算价格、掉落物价格可参考下方计算。</t>
    <phoneticPr fontId="1" type="noConversion"/>
  </si>
  <si>
    <t>基本计算公式暂定为1攻=1.5防=3hp=3mp，1重量=3.3攻=5防=10hp=10mp，1攻=0.8空手加成=1伤害加成。</t>
    <phoneticPr fontId="1" type="noConversion"/>
  </si>
  <si>
    <t>61头盔</t>
    <phoneticPr fontId="1" type="noConversion"/>
  </si>
  <si>
    <t>你的项链请填写：</t>
    <phoneticPr fontId="1" type="noConversion"/>
  </si>
  <si>
    <t>旧版hp</t>
    <phoneticPr fontId="1" type="noConversion"/>
  </si>
  <si>
    <t>精致A兵团鞋</t>
    <phoneticPr fontId="1" type="noConversion"/>
  </si>
  <si>
    <t>旧版本的经验公式，已弃用</t>
    <phoneticPr fontId="1" type="noConversion"/>
  </si>
  <si>
    <t>如果有完全不适合新版公式的武器可以尝试用这个</t>
    <phoneticPr fontId="1" type="noConversion"/>
  </si>
  <si>
    <t>新版枪械公式</t>
    <phoneticPr fontId="1" type="noConversion"/>
  </si>
  <si>
    <t>(爆炸枪械见前页)</t>
    <phoneticPr fontId="1" type="noConversion"/>
  </si>
  <si>
    <t>人物基础增伤模型</t>
    <phoneticPr fontId="1" type="noConversion"/>
  </si>
  <si>
    <t>参考值</t>
    <phoneticPr fontId="1" type="noConversion"/>
  </si>
  <si>
    <t>计算值</t>
    <phoneticPr fontId="1" type="noConversion"/>
  </si>
  <si>
    <t>剧毒</t>
    <phoneticPr fontId="1" type="noConversion"/>
  </si>
  <si>
    <t>伤害类型系数</t>
    <phoneticPr fontId="1" type="noConversion"/>
  </si>
  <si>
    <t>damagetype</t>
    <phoneticPr fontId="1" type="noConversion"/>
  </si>
  <si>
    <t>(穿刺含喷火等)</t>
    <phoneticPr fontId="1" type="noConversion"/>
  </si>
  <si>
    <t>双枪系数：</t>
    <phoneticPr fontId="1" type="noConversion"/>
  </si>
  <si>
    <t>穿刺系数：</t>
  </si>
  <si>
    <t>伤害类型系数：</t>
    <phoneticPr fontId="1" type="noConversion"/>
  </si>
  <si>
    <t>霰弹值：</t>
    <phoneticPr fontId="1" type="noConversion"/>
  </si>
  <si>
    <t>短枪的双枪系数为2，长枪为1。</t>
    <phoneticPr fontId="1" type="noConversion"/>
  </si>
  <si>
    <t>（霰弹短枪）</t>
    <phoneticPr fontId="1" type="noConversion"/>
  </si>
  <si>
    <t>示例类型</t>
    <phoneticPr fontId="1" type="noConversion"/>
  </si>
  <si>
    <t>普通长枪类</t>
    <phoneticPr fontId="1" type="noConversion"/>
  </si>
  <si>
    <t>普通短枪类</t>
    <phoneticPr fontId="1" type="noConversion"/>
  </si>
  <si>
    <t>穿刺长枪类</t>
    <phoneticPr fontId="1" type="noConversion"/>
  </si>
  <si>
    <t>穿刺短枪类</t>
    <phoneticPr fontId="1" type="noConversion"/>
  </si>
  <si>
    <t>其他（自填系数）</t>
    <phoneticPr fontId="1" type="noConversion"/>
  </si>
  <si>
    <t>真伤为稀缺属性，请谨慎给予，非物理伤害尽量使用不同类型的魔法伤害。</t>
    <phoneticPr fontId="1" type="noConversion"/>
  </si>
  <si>
    <t>周期dps</t>
    <phoneticPr fontId="1" type="noConversion"/>
  </si>
  <si>
    <t>单段伤害</t>
    <phoneticPr fontId="1" type="noConversion"/>
  </si>
  <si>
    <t>平均dps</t>
    <phoneticPr fontId="1" type="noConversion"/>
  </si>
  <si>
    <t>周期伤害</t>
    <phoneticPr fontId="1" type="noConversion"/>
  </si>
  <si>
    <t>dps总公式</t>
    <phoneticPr fontId="1" type="noConversion"/>
  </si>
  <si>
    <t>平衡dps</t>
    <phoneticPr fontId="1" type="noConversion"/>
  </si>
  <si>
    <t>加权dps</t>
    <phoneticPr fontId="1" type="noConversion"/>
  </si>
  <si>
    <t>冲击力</t>
    <phoneticPr fontId="1" type="noConversion"/>
  </si>
  <si>
    <t>impact</t>
    <phoneticPr fontId="1" type="noConversion"/>
  </si>
  <si>
    <t>冲击力系数</t>
    <phoneticPr fontId="1" type="noConversion"/>
  </si>
  <si>
    <t>weight</t>
    <phoneticPr fontId="1" type="noConversion"/>
  </si>
  <si>
    <t>平衡周期伤害</t>
    <phoneticPr fontId="1" type="noConversion"/>
  </si>
  <si>
    <t>物理伤害为1，魔法伤害为2，真实伤害为3。混杂类可填中间值，例如喷火器子弹含有部分魔法伤害， 可填1.5。</t>
    <phoneticPr fontId="1" type="noConversion"/>
  </si>
  <si>
    <t>k点购买计1层，合成计1层，高价计一层，K点、合成、高价叠加后可计3层。高价可获得的层级仅限只可购买获得的装备，参考后续的装备价格计算。</t>
    <phoneticPr fontId="1" type="noConversion"/>
  </si>
  <si>
    <t>高难度副本/boss掉落可为1或2层，不与上方k点或高价层级叠加，二者取最高。如果有额外的合成成本，可叠加1层。</t>
    <phoneticPr fontId="1" type="noConversion"/>
  </si>
  <si>
    <t>属性的基本换算公式暂定为1攻=1.5防=3hp=3mp，1重量=3.3攻=5防=10hp=10mp，1攻=0.8空手加成=1伤害加成。其他类型的伤害加成均视为伤害加成。</t>
    <phoneticPr fontId="1" type="noConversion"/>
  </si>
  <si>
    <t>请以平均dps≈加权dps为平衡标准，对前方可填写数值进行调整。 选择对应类型的一行填写即可。</t>
    <phoneticPr fontId="1" type="noConversion"/>
  </si>
  <si>
    <t>当前dps≈加权dps</t>
    <phoneticPr fontId="1" type="noConversion"/>
  </si>
  <si>
    <t>列5</t>
  </si>
  <si>
    <t>加权周期伤害</t>
    <phoneticPr fontId="1" type="noConversion"/>
  </si>
  <si>
    <t>周期伤害系数</t>
    <phoneticPr fontId="1" type="noConversion"/>
  </si>
  <si>
    <t>（此后为自动计算的参考值与系数，数值填写参考前方两个dps即可）</t>
    <phoneticPr fontId="1" type="noConversion"/>
  </si>
  <si>
    <t>（适用于5级以上）</t>
    <phoneticPr fontId="1" type="noConversion"/>
  </si>
  <si>
    <t>加权dps由平衡dps和加权层数自动计算，为加权后推荐的dps。平衡dps由等级和各项系数自动计算，为当前等级基础武器的推荐dps。</t>
    <phoneticPr fontId="1" type="noConversion"/>
  </si>
  <si>
    <t>强度远超等级限制的彩蛋装备：可以解锁超过2层的价格系数，但大于2层时【种族系数】额外+1，即最低为2，高种姓装备或强力特效装备的种族系数填2.5-3</t>
    <phoneticPr fontId="1" type="noConversion"/>
  </si>
  <si>
    <t>如果已经完全理解公式的运作原理，并有特殊需求，为方便数值计算和价格微调，此处价格与其他页所关联的对应加权层数可同步填带有小数的值，如1.5、-0.3</t>
    <phoneticPr fontId="1" type="noConversion"/>
  </si>
  <si>
    <t>种类系数：</t>
    <phoneticPr fontId="1" type="noConversion"/>
  </si>
  <si>
    <t>双枪类填1.5</t>
    <phoneticPr fontId="1" type="noConversion"/>
  </si>
  <si>
    <t>伤害类型系数：物理伤害为1，魔法伤害为2，真实伤害为3。混杂类可填中间值，例如喷火器子弹含有部分魔法伤害， 可填1.5。</t>
    <phoneticPr fontId="1" type="noConversion"/>
  </si>
  <si>
    <t>伤害类型系数：物理伤害为1，魔法伤害为2，真实伤害为3。混杂类可填中间值，例如喷火器子弹含有部分魔法伤害， 可填1.5。真伤为稀缺属性，请谨慎给予，非物理伤害尽量使用不同类型的魔法伤害。</t>
    <phoneticPr fontId="1" type="noConversion"/>
  </si>
  <si>
    <t>（枪类的攻速等属性参考枪械页）</t>
    <phoneticPr fontId="1" type="noConversion"/>
  </si>
  <si>
    <t>目前的平衡考虑中认为刀不能给予武器的真伤属性，如有真伤需求，可考虑触发频率不高的特效，或者比例不高的剧毒属性，并根据比例高低填入2-2.5的伤害类型系数。</t>
    <phoneticPr fontId="1" type="noConversion"/>
  </si>
  <si>
    <t>减益效果可交换为1层的加权层级（可叠加）。</t>
    <phoneticPr fontId="1" type="noConversion"/>
  </si>
  <si>
    <t>k点购买计1层，合成计1层，高价计一层，K点、合成、高价叠加后可计3层。高价的价格加权仅限只可购买/合成获得的装备，参考后续的装备价格计算。</t>
    <phoneticPr fontId="1" type="noConversion"/>
  </si>
  <si>
    <t>最低获取等级比所填写限制等级更高的装备，以最低获取等级为准。如果最低获取门槛为高难度副本，则以副本难度大致对应的玩家等级为准。</t>
    <phoneticPr fontId="1" type="noConversion"/>
  </si>
  <si>
    <t>剧毒/锋利度转换：</t>
    <phoneticPr fontId="1" type="noConversion"/>
  </si>
  <si>
    <t>转换得到的剧毒</t>
    <phoneticPr fontId="1" type="noConversion"/>
  </si>
  <si>
    <t>用于转换的锋利度/伤害加成</t>
    <phoneticPr fontId="1" type="noConversion"/>
  </si>
  <si>
    <t>减少刀/拳套的伤害转换为剧毒</t>
    <phoneticPr fontId="1" type="noConversion"/>
  </si>
  <si>
    <t>限制等级低于40级的属性伤害武器视为超前武器，需减少一层加权等级，可减到负数。</t>
    <phoneticPr fontId="1" type="noConversion"/>
  </si>
  <si>
    <t>周期dps系数</t>
    <phoneticPr fontId="1" type="noConversion"/>
  </si>
  <si>
    <t>你的副本：</t>
    <phoneticPr fontId="1" type="noConversion"/>
  </si>
  <si>
    <t>示例爱国青年</t>
    <phoneticPr fontId="1" type="noConversion"/>
  </si>
  <si>
    <t>期望收益</t>
    <phoneticPr fontId="1" type="noConversion"/>
  </si>
  <si>
    <t>当前收益</t>
    <phoneticPr fontId="1" type="noConversion"/>
  </si>
  <si>
    <t>金币奖励</t>
    <phoneticPr fontId="1" type="noConversion"/>
  </si>
  <si>
    <t>强化石</t>
    <phoneticPr fontId="1" type="noConversion"/>
  </si>
  <si>
    <t>素材</t>
    <phoneticPr fontId="1" type="noConversion"/>
  </si>
  <si>
    <t>总价值</t>
  </si>
  <si>
    <t>总价值</t>
    <phoneticPr fontId="1" type="noConversion"/>
  </si>
  <si>
    <t>复活币</t>
    <phoneticPr fontId="1" type="noConversion"/>
  </si>
  <si>
    <t>素材1</t>
    <phoneticPr fontId="1" type="noConversion"/>
  </si>
  <si>
    <t>素材2</t>
  </si>
  <si>
    <t>素材3</t>
  </si>
  <si>
    <t>素材4</t>
  </si>
  <si>
    <t>素材5</t>
  </si>
  <si>
    <t>素材6</t>
  </si>
  <si>
    <t>素材7</t>
  </si>
  <si>
    <t>素材8</t>
  </si>
  <si>
    <t>素材9</t>
  </si>
  <si>
    <t>单价</t>
    <phoneticPr fontId="1" type="noConversion"/>
  </si>
  <si>
    <t>单件价值</t>
    <phoneticPr fontId="1" type="noConversion"/>
  </si>
  <si>
    <t>示例宝石线人</t>
    <phoneticPr fontId="1" type="noConversion"/>
  </si>
  <si>
    <t>消耗品等效价值</t>
    <phoneticPr fontId="1" type="noConversion"/>
  </si>
  <si>
    <t>装备等效价值</t>
    <phoneticPr fontId="1" type="noConversion"/>
  </si>
  <si>
    <t>复活币暂定认为单价500，计入消耗品</t>
    <phoneticPr fontId="1" type="noConversion"/>
  </si>
  <si>
    <t>示例剑圣</t>
    <phoneticPr fontId="1" type="noConversion"/>
  </si>
  <si>
    <t>消耗品等效价值辅助计算（取总价值填入上方）</t>
    <phoneticPr fontId="1" type="noConversion"/>
  </si>
  <si>
    <t>剑圣单件</t>
    <phoneticPr fontId="1" type="noConversion"/>
  </si>
  <si>
    <t>折算价格</t>
    <phoneticPr fontId="1" type="noConversion"/>
  </si>
  <si>
    <t>你的材料填写：</t>
    <phoneticPr fontId="1" type="noConversion"/>
  </si>
  <si>
    <t>你的装备填写：</t>
    <phoneticPr fontId="1" type="noConversion"/>
  </si>
  <si>
    <t>装备1</t>
    <phoneticPr fontId="1" type="noConversion"/>
  </si>
  <si>
    <t>装备2</t>
  </si>
  <si>
    <t>装备3</t>
  </si>
  <si>
    <t>装备4</t>
  </si>
  <si>
    <t>装备5</t>
  </si>
  <si>
    <t>装备等效价值辅助计算（取总价值填入上方，如果赠送的是装备合成材料则根据可合成装备等级、类型与数量以0层加权填入）</t>
    <phoneticPr fontId="1" type="noConversion"/>
  </si>
  <si>
    <t>（为素材定价时，购买价格最好大于刷副本折算价格的1.5倍）</t>
    <phoneticPr fontId="1" type="noConversion"/>
  </si>
  <si>
    <t>长度系数/难度系数基础为1，上限为2，以同期主线关卡与副本为参考酌情填写。长度显著超出常规范围（如生存战）的副本可以根据大约的量化程度填更高的长度系数。</t>
    <phoneticPr fontId="1" type="noConversion"/>
  </si>
  <si>
    <t>掉落物折算价格计算</t>
    <phoneticPr fontId="1" type="noConversion"/>
  </si>
  <si>
    <t>当前成本≈加权成本</t>
    <phoneticPr fontId="1" type="noConversion"/>
  </si>
  <si>
    <t>有霰弹值的霰弹类需填入对应数量的霰弹值，爆炸类填4（若每消耗1发弹容产生多个子弹判定，或者每个子弹产生多段伤害判定，则填入最大段数数量。不包括穿刺类段数，穿刺类段数参考穿刺系数）。</t>
    <phoneticPr fontId="1" type="noConversion"/>
  </si>
  <si>
    <t>（填写前方数值使得平均dps≈加权dps）</t>
    <phoneticPr fontId="1" type="noConversion"/>
  </si>
  <si>
    <t>裸伤dps</t>
    <phoneticPr fontId="1" type="noConversion"/>
  </si>
  <si>
    <t>平衡裸伤dps</t>
    <phoneticPr fontId="1" type="noConversion"/>
  </si>
  <si>
    <t>增益dps</t>
    <phoneticPr fontId="1" type="noConversion"/>
  </si>
  <si>
    <t>平衡增益dps</t>
    <phoneticPr fontId="1" type="noConversion"/>
  </si>
  <si>
    <t>旧平衡dps</t>
    <phoneticPr fontId="1" type="noConversion"/>
  </si>
  <si>
    <t>强化</t>
    <phoneticPr fontId="1" type="noConversion"/>
  </si>
  <si>
    <t>伤害加成合计</t>
    <phoneticPr fontId="1" type="noConversion"/>
  </si>
  <si>
    <t>吃拐率</t>
    <phoneticPr fontId="1" type="noConversion"/>
  </si>
  <si>
    <t>平均射速</t>
    <phoneticPr fontId="1" type="noConversion"/>
  </si>
  <si>
    <t>吃拐系数</t>
    <phoneticPr fontId="1" type="noConversion"/>
  </si>
  <si>
    <t>强化收益</t>
    <phoneticPr fontId="1" type="noConversion"/>
  </si>
  <si>
    <t>强化等级</t>
    <phoneticPr fontId="1" type="noConversion"/>
  </si>
  <si>
    <t>强化石个数</t>
    <phoneticPr fontId="1" type="noConversion"/>
  </si>
  <si>
    <t>铁匠强化石数</t>
    <phoneticPr fontId="1" type="noConversion"/>
  </si>
  <si>
    <t>每石收益</t>
    <phoneticPr fontId="1" type="noConversion"/>
  </si>
  <si>
    <t>铁匠每石收益</t>
    <phoneticPr fontId="1" type="noConversion"/>
  </si>
  <si>
    <t>收益率</t>
    <phoneticPr fontId="1" type="noConversion"/>
  </si>
  <si>
    <t>累计石数</t>
    <phoneticPr fontId="1" type="noConversion"/>
  </si>
  <si>
    <t>铁匠累计石数</t>
    <phoneticPr fontId="1" type="noConversion"/>
  </si>
  <si>
    <t>口才收益率</t>
    <phoneticPr fontId="1" type="noConversion"/>
  </si>
  <si>
    <t>口才每石收益</t>
    <phoneticPr fontId="1" type="noConversion"/>
  </si>
  <si>
    <t>铁匠口才每石收益</t>
    <phoneticPr fontId="1" type="noConversion"/>
  </si>
  <si>
    <t>每石最大收益</t>
    <phoneticPr fontId="1" type="noConversion"/>
  </si>
  <si>
    <t>最大收益</t>
    <phoneticPr fontId="1" type="noConversion"/>
  </si>
  <si>
    <t>刀/枪总加成</t>
    <phoneticPr fontId="1" type="noConversion"/>
  </si>
  <si>
    <t>法抗均值上限</t>
    <phoneticPr fontId="1" type="noConversion"/>
  </si>
  <si>
    <t>法抗最高上限</t>
    <phoneticPr fontId="1" type="noConversion"/>
  </si>
  <si>
    <t>魔法抗性单件不要过高。全属性抗性目前仅供参考，上下身各15点封顶，请尽可能避免在无作弊可得的物品内实装。特定法抗套装可有多种属性抗性，每种独立计算上限，但分数合并计算。</t>
    <phoneticPr fontId="1" type="noConversion"/>
  </si>
  <si>
    <t>由于项链通常限制等级填写不规范，可以获取时对应的玩家等级作为参考。</t>
    <phoneticPr fontId="1" type="noConversion"/>
  </si>
  <si>
    <t>钢铁小熊鞋</t>
    <phoneticPr fontId="1" type="noConversion"/>
  </si>
  <si>
    <t>伤害类型系数</t>
  </si>
  <si>
    <t>物理伤害为1，魔法伤害为2，真实伤害为3。混杂类可填中间值。</t>
    <phoneticPr fontId="1" type="noConversion"/>
  </si>
  <si>
    <t>废城</t>
  </si>
  <si>
    <t>阶段</t>
    <phoneticPr fontId="1" type="noConversion"/>
  </si>
  <si>
    <t>系数</t>
    <phoneticPr fontId="1" type="noConversion"/>
  </si>
  <si>
    <t>盗贼</t>
  </si>
  <si>
    <t>军阀</t>
  </si>
  <si>
    <t>注释</t>
    <phoneticPr fontId="1" type="noConversion"/>
  </si>
  <si>
    <t>总堂前期</t>
    <phoneticPr fontId="1" type="noConversion"/>
  </si>
  <si>
    <t>总堂后期</t>
    <phoneticPr fontId="1" type="noConversion"/>
  </si>
  <si>
    <t>诺亚前期</t>
    <phoneticPr fontId="1" type="noConversion"/>
  </si>
  <si>
    <t>诺亚后期</t>
    <phoneticPr fontId="1" type="noConversion"/>
  </si>
  <si>
    <t>雪山</t>
    <phoneticPr fontId="1" type="noConversion"/>
  </si>
  <si>
    <t>主线完结</t>
    <phoneticPr fontId="1" type="noConversion"/>
  </si>
  <si>
    <t>主线后</t>
    <phoneticPr fontId="1" type="noConversion"/>
  </si>
  <si>
    <t>10~15</t>
    <phoneticPr fontId="1" type="noConversion"/>
  </si>
  <si>
    <t>黑龙~深入禁区</t>
    <phoneticPr fontId="1" type="noConversion"/>
  </si>
  <si>
    <t>爪豪之后</t>
    <phoneticPr fontId="1" type="noConversion"/>
  </si>
  <si>
    <t>包括初见爪豪</t>
    <phoneticPr fontId="1" type="noConversion"/>
  </si>
  <si>
    <t>包括通缉犯，不包括黑龙</t>
    <phoneticPr fontId="1" type="noConversion"/>
  </si>
  <si>
    <t>装备6</t>
  </si>
  <si>
    <t>主线末尾</t>
    <phoneticPr fontId="1" type="noConversion"/>
  </si>
  <si>
    <t>阶段系数</t>
  </si>
  <si>
    <t>阶段系数</t>
    <phoneticPr fontId="1" type="noConversion"/>
  </si>
  <si>
    <t>对应阶段系数参考下方表格。达到当前流程中后期时可+0.5。</t>
    <phoneticPr fontId="1" type="noConversion"/>
  </si>
  <si>
    <t>档次系数</t>
    <phoneticPr fontId="1" type="noConversion"/>
  </si>
  <si>
    <t>档次</t>
    <phoneticPr fontId="1" type="noConversion"/>
  </si>
  <si>
    <t>小型小怪</t>
    <phoneticPr fontId="1" type="noConversion"/>
  </si>
  <si>
    <t>中型小怪</t>
    <phoneticPr fontId="1" type="noConversion"/>
  </si>
  <si>
    <t>大型小怪</t>
    <phoneticPr fontId="1" type="noConversion"/>
  </si>
  <si>
    <t>低级精英</t>
    <phoneticPr fontId="1" type="noConversion"/>
  </si>
  <si>
    <t>中级精英</t>
    <phoneticPr fontId="1" type="noConversion"/>
  </si>
  <si>
    <t>高级精英</t>
    <phoneticPr fontId="1" type="noConversion"/>
  </si>
  <si>
    <t>低级boss</t>
    <phoneticPr fontId="1" type="noConversion"/>
  </si>
  <si>
    <t>中级boss</t>
    <phoneticPr fontId="1" type="noConversion"/>
  </si>
  <si>
    <t>高级boss</t>
    <phoneticPr fontId="1" type="noConversion"/>
  </si>
  <si>
    <t>顶级boss</t>
    <phoneticPr fontId="1" type="noConversion"/>
  </si>
  <si>
    <t>举例和注释</t>
    <phoneticPr fontId="1" type="noConversion"/>
  </si>
  <si>
    <t>不同档次之间的系数有间隔，根据具体情况可插空或上下浮动</t>
    <phoneticPr fontId="1" type="noConversion"/>
  </si>
  <si>
    <t>例子：小僵尸（废城）。注释：毫无威胁的杂毛，凑数的。</t>
    <phoneticPr fontId="1" type="noConversion"/>
  </si>
  <si>
    <t>例子：普通重装兵（军阀）重装改造僵尸（诺亚前期）。注释：整体较强/偏科强其他中等的小怪，大量出现</t>
    <phoneticPr fontId="1" type="noConversion"/>
  </si>
  <si>
    <t>例子：军阀精英突击（军阀）黑铁武士（总堂后期）。注释：有威胁的精英怪，有时复数出现</t>
    <phoneticPr fontId="1" type="noConversion"/>
  </si>
  <si>
    <t>例子：军阀精英重装（军阀）黑铁重锤（总堂后期）。注释：数值接近小boss，出场数量需要控制</t>
    <phoneticPr fontId="1" type="noConversion"/>
  </si>
  <si>
    <t>档次定位仅相对于当前阶段，所举的例子也是仅相对于同阶段的档次，不代表具体数值强度。后期阶段的低档次怪物可比前期阶段的高档次怪物更强</t>
    <phoneticPr fontId="1" type="noConversion"/>
  </si>
  <si>
    <t>例子：黑铁（总堂后期）兽王（诺亚后期）。注释：同期阶段下极强的boss，预计将给玩家的存在感极高</t>
    <phoneticPr fontId="1" type="noConversion"/>
  </si>
  <si>
    <t>例子：单体摇滚公园（盗贼）半人马（诺亚前期）。注释：数值和高级精英差别不大，但基本性能强（通常表现在霸体或破韧），可能复数出现</t>
    <phoneticPr fontId="1" type="noConversion"/>
  </si>
  <si>
    <t>例子：巨斧僵尸（废城）方舟武士（军阀）大部分通缉犯（总堂前期）。注释：最常规的单体boss，在诺亚后期之前的流程不会同时出现超过1个</t>
    <phoneticPr fontId="1" type="noConversion"/>
  </si>
  <si>
    <t>高防低血系数</t>
    <phoneticPr fontId="1" type="noConversion"/>
  </si>
  <si>
    <t>速度系数</t>
    <phoneticPr fontId="1" type="noConversion"/>
  </si>
  <si>
    <t>攻速系数</t>
    <phoneticPr fontId="1" type="noConversion"/>
  </si>
  <si>
    <t>攻击倍率</t>
    <phoneticPr fontId="1" type="noConversion"/>
  </si>
  <si>
    <t>高攻低血防系数</t>
    <phoneticPr fontId="1" type="noConversion"/>
  </si>
  <si>
    <t>段数系数</t>
    <phoneticPr fontId="1" type="noConversion"/>
  </si>
  <si>
    <t>高攻低血防系数代表这个单位是否有更偏向攻击或防御的数值倾向，默认为1，范围为0.5~2。2代表攻击力明显更高，但血防明显更低，0.5代表血防明显更高，攻击力更低。</t>
    <phoneticPr fontId="1" type="noConversion"/>
  </si>
  <si>
    <t>注意，以上数值以物理伤害为标准值，如果有法伤、真伤招式，应进一步控制攻击倍率。目前不再据此对面板进行调整。怪物魔抗属性目前没有硬性限制，根据情况配置即可。</t>
    <phoneticPr fontId="1" type="noConversion"/>
  </si>
  <si>
    <t>HP最大值</t>
    <phoneticPr fontId="1" type="noConversion"/>
  </si>
  <si>
    <t>空手攻击MAX</t>
    <phoneticPr fontId="1" type="noConversion"/>
  </si>
  <si>
    <t>空手攻击MIN</t>
    <phoneticPr fontId="1" type="noConversion"/>
  </si>
  <si>
    <t>HP最小值</t>
    <phoneticPr fontId="1" type="noConversion"/>
  </si>
  <si>
    <t>防御力MAX</t>
    <phoneticPr fontId="1" type="noConversion"/>
  </si>
  <si>
    <t>防御力MIX</t>
    <phoneticPr fontId="1" type="noConversion"/>
  </si>
  <si>
    <t>经验MIN</t>
    <phoneticPr fontId="1" type="noConversion"/>
  </si>
  <si>
    <t>经验MAX</t>
    <phoneticPr fontId="1" type="noConversion"/>
  </si>
  <si>
    <t>速度系数为移动速度，分为1~3三个档次，分别为慢、中、快。慢速度大约在10-40区间，中速度大约在40-60区间，快速度大约在60-90区间。</t>
    <phoneticPr fontId="1" type="noConversion"/>
  </si>
  <si>
    <t>例子：高级通缉犯（总堂前期）黑龙两阶段之和（总堂后期）方舟爪豪（诺亚前期）。注释：较强的boss</t>
    <phoneticPr fontId="1" type="noConversion"/>
  </si>
  <si>
    <t>你的怪物：</t>
    <phoneticPr fontId="1" type="noConversion"/>
  </si>
  <si>
    <t>例子：胖僵尸（废城）左轮（盗贼）。注释：常规水平/偏科较强其他较弱的小怪，大量出现</t>
    <phoneticPr fontId="1" type="noConversion"/>
  </si>
  <si>
    <t>支线</t>
    <phoneticPr fontId="1" type="noConversion"/>
  </si>
  <si>
    <t>根据对应主线进度+1</t>
    <phoneticPr fontId="1" type="noConversion"/>
  </si>
  <si>
    <t>成长系数</t>
    <phoneticPr fontId="1" type="noConversion"/>
  </si>
  <si>
    <t>成长系数代表战宠跟随等级的面板与经验成长率，范围为0.5-2，默认为1。系数高代表低级时更弱但高等级时更强。其他参数不变时攻击、HP、防御力可以分别用不同的成长系数，经验则取以上成长系数的均值。</t>
    <phoneticPr fontId="1" type="noConversion"/>
  </si>
  <si>
    <t>K点价格</t>
    <phoneticPr fontId="1" type="noConversion"/>
  </si>
  <si>
    <t>大致约等于推荐参考值即可</t>
    <phoneticPr fontId="1" type="noConversion"/>
  </si>
  <si>
    <t>胖僵尸</t>
    <phoneticPr fontId="1" type="noConversion"/>
  </si>
  <si>
    <t>黑铁</t>
    <phoneticPr fontId="1" type="noConversion"/>
  </si>
  <si>
    <t>方舟武士</t>
    <phoneticPr fontId="1" type="noConversion"/>
  </si>
  <si>
    <t>颜色标注：</t>
    <phoneticPr fontId="1" type="noConversion"/>
  </si>
  <si>
    <t>黑铁流锤</t>
    <phoneticPr fontId="1" type="noConversion"/>
  </si>
  <si>
    <t>例子：精英战术少女（盗贼）黑铁流锤（总堂前期）。可经常复数出现的低级精英</t>
  </si>
  <si>
    <t>3~4</t>
    <phoneticPr fontId="1" type="noConversion"/>
  </si>
  <si>
    <t>5~6</t>
    <phoneticPr fontId="1" type="noConversion"/>
  </si>
  <si>
    <t>8~9</t>
    <phoneticPr fontId="1" type="noConversion"/>
  </si>
  <si>
    <t>高防低血系数代表这个单位是否有防御和血量的比例倾向，默认为1，通常范围为0.2~5，最大范围为0.1~10。数值越高代表防御越高，血量越低。视觉和设定上更硬的单位应该给更高的高防低血系数。</t>
    <phoneticPr fontId="1" type="noConversion"/>
  </si>
  <si>
    <t>攻击倍率、段数系数均为大致平均值即可，攻击倍率默认为1~2，通常为1~3。段数系数默认为3，大致区间为1~10。攻击倍率为平均每次攻击的平均倍率，同理段数系数为每次平均段数。固定值伤害根据大致比例进行平均。</t>
    <phoneticPr fontId="1" type="noConversion"/>
  </si>
  <si>
    <t>攻速系数只看单次攻击动作的总时长和前后摇的长度，实际代表攻击节奏快慢，默认为3，范围为1~5，代表极慢、慢、中等、快、极快。</t>
    <phoneticPr fontId="1" type="noConversion"/>
  </si>
  <si>
    <t>攻击类手套</t>
    <phoneticPr fontId="1" type="noConversion"/>
  </si>
  <si>
    <t>防御以外的单项属性占比过高时会占用更多数值模型，通常不要超过总分的一半。攻击类手套则是例外，对于空手加成相当于刀位，其他流派的手套的伤害加成也可以相对更高，参考下方。</t>
    <phoneticPr fontId="1" type="noConversion"/>
  </si>
  <si>
    <t>同一套装不同部件之间不要偏差过大，否则可能导致混装的强度较高。</t>
    <phoneticPr fontId="1" type="noConversion"/>
  </si>
  <si>
    <t>大僵尸</t>
    <phoneticPr fontId="1" type="noConversion"/>
  </si>
  <si>
    <t>短击退可击飞</t>
    <phoneticPr fontId="1" type="noConversion"/>
  </si>
  <si>
    <t>长击退可击飞</t>
    <phoneticPr fontId="1" type="noConversion"/>
  </si>
  <si>
    <t>长击退不可击飞</t>
    <phoneticPr fontId="1" type="noConversion"/>
  </si>
  <si>
    <t>短击退不可击飞</t>
    <phoneticPr fontId="1" type="noConversion"/>
  </si>
  <si>
    <t>不可击退不可击飞</t>
    <phoneticPr fontId="1" type="noConversion"/>
  </si>
  <si>
    <t>套装类型</t>
    <phoneticPr fontId="1" type="noConversion"/>
  </si>
  <si>
    <t>重甲</t>
    <phoneticPr fontId="1" type="noConversion"/>
  </si>
  <si>
    <t>中甲</t>
    <phoneticPr fontId="1" type="noConversion"/>
  </si>
  <si>
    <t>轻甲</t>
    <phoneticPr fontId="1" type="noConversion"/>
  </si>
  <si>
    <t>攻击套</t>
    <phoneticPr fontId="1" type="noConversion"/>
  </si>
  <si>
    <t>一般套</t>
    <phoneticPr fontId="1" type="noConversion"/>
  </si>
  <si>
    <t>流派类型</t>
    <phoneticPr fontId="1" type="noConversion"/>
  </si>
  <si>
    <t>刀剑</t>
    <phoneticPr fontId="1" type="noConversion"/>
  </si>
  <si>
    <t>套装大全</t>
    <phoneticPr fontId="1" type="noConversion"/>
  </si>
  <si>
    <t>通用</t>
    <phoneticPr fontId="1" type="noConversion"/>
  </si>
  <si>
    <t>枪械</t>
    <phoneticPr fontId="1" type="noConversion"/>
  </si>
  <si>
    <t>拳皇</t>
    <phoneticPr fontId="1" type="noConversion"/>
  </si>
  <si>
    <t>刀内力</t>
    <phoneticPr fontId="1" type="noConversion"/>
  </si>
  <si>
    <t>拳内力</t>
    <phoneticPr fontId="1" type="noConversion"/>
  </si>
  <si>
    <t>物防套</t>
    <phoneticPr fontId="1" type="noConversion"/>
  </si>
  <si>
    <t>魔抗套</t>
    <phoneticPr fontId="1" type="noConversion"/>
  </si>
  <si>
    <t>血防套</t>
    <phoneticPr fontId="1" type="noConversion"/>
  </si>
  <si>
    <t>档次系数注释：</t>
    <phoneticPr fontId="1" type="noConversion"/>
  </si>
  <si>
    <t>霸体系数</t>
    <phoneticPr fontId="1" type="noConversion"/>
  </si>
  <si>
    <t>阶段、档次系数、霸体系数参考下方表格。阶段和档次系数将决定整体数值大致水平。对于拥有暖机、强力buff、多阶段等显著影响面板的特殊机制单位可能不适用。</t>
    <phoneticPr fontId="1" type="noConversion"/>
  </si>
  <si>
    <t>霸体系数注释：</t>
    <phoneticPr fontId="1" type="noConversion"/>
  </si>
  <si>
    <t>以击退/击飞动画决定霸体系数的整数位。当怪物的韧性系数值高于20时则添加小数位，每20点韧性增加0.1的霸体系数，最高0.5</t>
    <phoneticPr fontId="1" type="noConversion"/>
  </si>
  <si>
    <t>武器类型解锁等级:10级:特效刀/次级穿刺枪/普通霰弹枪;20级:慢射速穿刺枪;30级:属性刀/高射速穿刺枪/慢射速属性枪;35级:穿刺霰弹枪;40级:普通属性枪/慢射速穿刺属性枪;45级:高射速穿刺属性枪。</t>
    <phoneticPr fontId="1" type="noConversion"/>
  </si>
  <si>
    <t>短刀为0.5，常规刀为1，长武器为1.5，特效+0.5（强力特效则+1），强力战技+0.5（战技不强时可不加）。</t>
    <phoneticPr fontId="1" type="noConversion"/>
  </si>
  <si>
    <t>种类系数：有主动战技/特效的可为1.5，效果极其强力时为2。无购买途径或非购买途径早于购买途径的为0.5，逻辑同上。</t>
    <phoneticPr fontId="1" type="noConversion"/>
  </si>
  <si>
    <t>喷火/次级穿刺子弹/高弹速穿刺狙击枪的穿刺系数为1.5，普通穿刺为2，非穿刺为1（其他拥有穿刺效果根据单体段数数量填入穿刺系数，段数较多时可填3或更高的穿刺系数）。</t>
    <phoneticPr fontId="1" type="noConversion"/>
  </si>
  <si>
    <t>超前武器需要减少一层加权，可减为负数。具体可查看下方的解锁等级。</t>
    <phoneticPr fontId="1" type="noConversion"/>
  </si>
  <si>
    <t>纵向联弹填入霰弹值计算见右下方</t>
    <phoneticPr fontId="1" type="noConversion"/>
  </si>
  <si>
    <t>穿刺系数</t>
  </si>
  <si>
    <t>填入霰弹值</t>
    <phoneticPr fontId="1" type="noConversion"/>
  </si>
  <si>
    <t>split值</t>
    <phoneticPr fontId="1" type="noConversion"/>
  </si>
  <si>
    <t>(xml数据)</t>
    <phoneticPr fontId="1" type="noConversion"/>
  </si>
  <si>
    <t>纵向联弹填入公式霰弹值计算</t>
    <phoneticPr fontId="1" type="noConversion"/>
  </si>
  <si>
    <t>横向联弹则直接填split原始值即可</t>
    <phoneticPr fontId="1" type="noConversion"/>
  </si>
  <si>
    <t>大容量机枪（弹容≥125）的弹容量种族优势可额外换2-3层级，对应种族价格系数，可叠加武器价格层级。穿刺枪的种族优势为群攻，散弹的种族优势为吃拐率，不反映在面板上，所以无额外加权层级。</t>
    <phoneticPr fontId="1" type="noConversion"/>
  </si>
  <si>
    <t>大容量机枪（弹容≥125）为1.5，喷火器类为1.5，散弹枪为1.5，轰炸类为1.5，次级穿刺为1.5，穿刺类为2。只掉落、无法金币或k点购买的武器为0.5，非购买途径明显早于购买途径的物品也为0.5。</t>
    <phoneticPr fontId="1" type="noConversion"/>
  </si>
  <si>
    <t>面板转换的基本计算参考下方，公式暂定为1攻=1.5防=3hp=3mp，1重量=3.3攻=5防=10hp=10mp，1攻=0.8空手加成=1伤害加成。以此为依据可进行面板转换。</t>
    <phoneticPr fontId="1" type="noConversion"/>
  </si>
  <si>
    <t>面板转换</t>
    <phoneticPr fontId="1" type="noConversion"/>
  </si>
  <si>
    <t>hp</t>
    <phoneticPr fontId="1" type="noConversion"/>
  </si>
  <si>
    <t>mp</t>
    <phoneticPr fontId="1" type="noConversion"/>
  </si>
  <si>
    <t>攻击</t>
    <phoneticPr fontId="1" type="noConversion"/>
  </si>
  <si>
    <t>换算的总攻击</t>
    <phoneticPr fontId="1" type="noConversion"/>
  </si>
  <si>
    <t>换算的总攻击≈上方推荐锋利度</t>
    <phoneticPr fontId="1" type="noConversion"/>
  </si>
  <si>
    <t>无需修改。</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</si>
</sst>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_ "/>
  </numFmts>
  <fonts count="10" x14ac:knownFonts="1">
    <font>
      <sz val="11"/>
      <color theme="1"/>
      <name val="等线"/>
      <family val="2"/>
      <scheme val="minor"/>
    </font>
    <font>
      <sz val="9"/>
      <name val="等线"/>
      <family val="3"/>
      <charset val="134"/>
      <scheme val="minor"/>
    </font>
    <font>
      <sz val="11"/>
      <color rgb="FFFF0000"/>
      <name val="等线"/>
      <family val="2"/>
      <scheme val="minor"/>
    </font>
    <font>
      <b/>
      <sz val="11"/>
      <color theme="1"/>
      <name val="等线"/>
      <family val="3"/>
      <charset val="134"/>
      <scheme val="minor"/>
    </font>
    <font>
      <sz val="11"/>
      <color theme="1"/>
      <name val="等线"/>
      <family val="3"/>
      <charset val="134"/>
      <scheme val="minor"/>
    </font>
    <font>
      <sz val="11"/>
      <color rgb="FFFF0000"/>
      <name val="等线"/>
      <family val="3"/>
      <charset val="134"/>
      <scheme val="minor"/>
    </font>
    <font>
      <b/>
      <sz val="11"/>
      <color theme="0"/>
      <name val="等线"/>
      <family val="3"/>
      <charset val="134"/>
      <scheme val="minor"/>
    </font>
    <font>
      <b/>
      <sz val="11"/>
      <name val="等线"/>
      <family val="3"/>
      <charset val="134"/>
      <scheme val="minor"/>
    </font>
    <font>
      <sz val="11"/>
      <name val="等线"/>
      <family val="3"/>
      <charset val="134"/>
      <scheme val="minor"/>
    </font>
    <font>
      <b/>
      <sz val="11"/>
      <color rgb="FFFF0000"/>
      <name val="等线"/>
      <family val="3"/>
      <charset val="134"/>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3"/>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53">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0" fillId="0" borderId="0" xfId="0" quotePrefix="1"/>
    <xf numFmtId="0" fontId="3" fillId="2" borderId="0" xfId="0" applyFont="1" applyFill="1"/>
    <xf numFmtId="0" fontId="3" fillId="3" borderId="0" xfId="0" applyFont="1" applyFill="1"/>
    <xf numFmtId="0" fontId="7" fillId="2" borderId="0" xfId="0" applyFont="1" applyFill="1"/>
    <xf numFmtId="0" fontId="7" fillId="3" borderId="0" xfId="0" applyFont="1" applyFill="1"/>
    <xf numFmtId="0" fontId="7" fillId="4" borderId="0" xfId="0" applyFont="1" applyFill="1"/>
    <xf numFmtId="0" fontId="6" fillId="4" borderId="0" xfId="0" applyFont="1" applyFill="1"/>
    <xf numFmtId="0" fontId="8" fillId="2" borderId="0" xfId="0" applyFont="1" applyFill="1"/>
    <xf numFmtId="0" fontId="8" fillId="3" borderId="0" xfId="0" applyFont="1" applyFill="1"/>
    <xf numFmtId="0" fontId="7" fillId="5" borderId="0" xfId="0" applyFont="1" applyFill="1"/>
    <xf numFmtId="0" fontId="3" fillId="5" borderId="0" xfId="0" applyFont="1" applyFill="1"/>
    <xf numFmtId="0" fontId="0" fillId="5" borderId="0" xfId="0" applyFill="1"/>
    <xf numFmtId="0" fontId="8" fillId="5" borderId="0" xfId="0" applyFont="1" applyFill="1"/>
    <xf numFmtId="0" fontId="4" fillId="5" borderId="0" xfId="0" applyFont="1" applyFill="1"/>
    <xf numFmtId="0" fontId="0" fillId="0" borderId="0" xfId="0" applyAlignment="1">
      <alignment horizontal="left"/>
    </xf>
    <xf numFmtId="0" fontId="7" fillId="2" borderId="0" xfId="0" applyFont="1" applyFill="1" applyAlignment="1">
      <alignment horizontal="center"/>
    </xf>
    <xf numFmtId="0" fontId="0" fillId="0" borderId="0" xfId="0" applyAlignment="1">
      <alignment horizontal="center"/>
    </xf>
    <xf numFmtId="0" fontId="8" fillId="2" borderId="0" xfId="0" applyFont="1" applyFill="1" applyAlignment="1">
      <alignment horizontal="center"/>
    </xf>
    <xf numFmtId="0" fontId="4" fillId="0" borderId="0" xfId="0" applyFont="1" applyAlignment="1">
      <alignment horizontal="center"/>
    </xf>
    <xf numFmtId="0" fontId="3" fillId="0" borderId="0" xfId="0" applyFont="1" applyAlignment="1">
      <alignment horizontal="right"/>
    </xf>
    <xf numFmtId="0" fontId="7" fillId="2" borderId="0" xfId="0" applyFont="1" applyFill="1" applyAlignment="1">
      <alignment horizontal="left"/>
    </xf>
    <xf numFmtId="0" fontId="7" fillId="5" borderId="0" xfId="0" applyFont="1" applyFill="1" applyAlignment="1">
      <alignment horizontal="center"/>
    </xf>
    <xf numFmtId="0" fontId="0" fillId="0" borderId="2" xfId="0" applyBorder="1"/>
    <xf numFmtId="0" fontId="0" fillId="6" borderId="0" xfId="0" applyFill="1"/>
    <xf numFmtId="0" fontId="9" fillId="0" borderId="0" xfId="0" applyFont="1"/>
    <xf numFmtId="0" fontId="3" fillId="0" borderId="1" xfId="0" applyFont="1" applyBorder="1"/>
    <xf numFmtId="0" fontId="4" fillId="0" borderId="2" xfId="0" applyFont="1" applyBorder="1"/>
    <xf numFmtId="0" fontId="0" fillId="0" borderId="3" xfId="0" applyBorder="1"/>
    <xf numFmtId="0" fontId="7" fillId="2" borderId="2" xfId="0" applyFont="1" applyFill="1" applyBorder="1" applyAlignment="1">
      <alignment horizontal="center"/>
    </xf>
    <xf numFmtId="0" fontId="0" fillId="0" borderId="2" xfId="0" applyBorder="1" applyAlignment="1">
      <alignment horizontal="center"/>
    </xf>
    <xf numFmtId="0" fontId="7" fillId="5" borderId="2" xfId="0" applyFont="1" applyFill="1" applyBorder="1" applyAlignment="1">
      <alignment horizontal="center"/>
    </xf>
    <xf numFmtId="0" fontId="8" fillId="2" borderId="2" xfId="0" applyFont="1" applyFill="1" applyBorder="1" applyAlignment="1">
      <alignment horizontal="center"/>
    </xf>
    <xf numFmtId="0" fontId="8" fillId="2" borderId="2" xfId="0" applyFont="1" applyFill="1" applyBorder="1"/>
    <xf numFmtId="0" fontId="7" fillId="2" borderId="2" xfId="0" applyFont="1" applyFill="1" applyBorder="1"/>
    <xf numFmtId="0" fontId="7" fillId="5" borderId="2" xfId="0" applyFont="1" applyFill="1" applyBorder="1"/>
    <xf numFmtId="0" fontId="8" fillId="5" borderId="2" xfId="0" applyFont="1" applyFill="1" applyBorder="1"/>
    <xf numFmtId="10" fontId="0" fillId="0" borderId="0" xfId="0" applyNumberFormat="1"/>
    <xf numFmtId="0" fontId="0" fillId="0" borderId="0" xfId="0" applyAlignment="1">
      <alignment horizontal="right"/>
    </xf>
    <xf numFmtId="58" fontId="8" fillId="5" borderId="2" xfId="0" applyNumberFormat="1" applyFont="1" applyFill="1" applyBorder="1" applyAlignment="1">
      <alignment horizontal="right"/>
    </xf>
    <xf numFmtId="0" fontId="8" fillId="5" borderId="2" xfId="0" applyFont="1" applyFill="1" applyBorder="1" applyAlignment="1">
      <alignment horizontal="right"/>
    </xf>
    <xf numFmtId="0" fontId="0" fillId="0" borderId="2" xfId="0" applyBorder="1" applyAlignment="1">
      <alignment horizontal="right"/>
    </xf>
    <xf numFmtId="0" fontId="0" fillId="0" borderId="2" xfId="0" applyBorder="1" applyAlignment="1">
      <alignment horizontal="left"/>
    </xf>
    <xf numFmtId="0" fontId="8" fillId="5" borderId="2" xfId="0" applyFont="1" applyFill="1" applyBorder="1" applyAlignment="1">
      <alignment horizontal="left"/>
    </xf>
    <xf numFmtId="176" fontId="8" fillId="5" borderId="2" xfId="0" applyNumberFormat="1" applyFont="1" applyFill="1" applyBorder="1"/>
    <xf numFmtId="176" fontId="0" fillId="0" borderId="2" xfId="0" applyNumberFormat="1" applyBorder="1"/>
    <xf numFmtId="176" fontId="0" fillId="0" borderId="0" xfId="0" applyNumberFormat="1"/>
    <xf numFmtId="0" fontId="3" fillId="0" borderId="2" xfId="0" applyFont="1" applyBorder="1"/>
    <xf numFmtId="177" fontId="8" fillId="5" borderId="2" xfId="0" applyNumberFormat="1" applyFont="1" applyFill="1" applyBorder="1"/>
  </cellXfs>
  <cellStyles count="1">
    <cellStyle name="常规" xfId="0" builtinId="0"/>
  </cellStyles>
  <dxfs count="31">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fill>
        <patternFill patternType="solid">
          <fgColor indexed="64"/>
          <bgColor theme="3"/>
        </patternFill>
      </fill>
    </dxf>
    <dxf>
      <fill>
        <patternFill patternType="solid">
          <fgColor indexed="64"/>
          <bgColor theme="3"/>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349FA9-99DF-4B99-A6CD-F60E9AE426A8}" name="表2_5" displayName="表2_5" ref="B2:AO22" totalsRowShown="0" headerRowDxfId="30">
  <tableColumns count="40">
    <tableColumn id="1" xr3:uid="{9622EC47-0B3C-4F87-80A9-38E2551B5BEB}" name="示例类型" dataDxfId="29"/>
    <tableColumn id="2" xr3:uid="{8AE355BF-09CF-4C30-8D06-EF473D079208}" name="具体武器"/>
    <tableColumn id="3" xr3:uid="{89D3353E-1718-4388-AD7D-9F319AF13C8B}" name="限制等级"/>
    <tableColumn id="4" xr3:uid="{CF92ACFD-53F0-44F3-81DA-D8F395186FD9}" name="子弹威力"/>
    <tableColumn id="5" xr3:uid="{7C4A0678-5BE0-446A-B67C-A3319B384229}" name="射击间隔"/>
    <tableColumn id="6" xr3:uid="{6B5419C0-62D3-42C8-84AD-282DA25A0FAF}" name="弹容量"/>
    <tableColumn id="7" xr3:uid="{28ED5FD2-A0FF-4B9F-BF3F-F136E08AA5F7}" name="弹夹价格"/>
    <tableColumn id="31" xr3:uid="{57259170-A206-490E-9BEA-202E1E13DAE9}" name="重量"/>
    <tableColumn id="8" xr3:uid="{12C4113C-5078-4C46-BDE7-FF45A6AEA1A8}" name="双枪系数"/>
    <tableColumn id="9" xr3:uid="{6F256705-9D78-4E36-916A-5C40967BA0B1}" name="穿刺系数"/>
    <tableColumn id="24" xr3:uid="{036C99D6-CDD9-47EB-A8BF-2EE71F96F150}" name="伤害类型系数"/>
    <tableColumn id="10" xr3:uid="{6DD80E2D-4D45-4B8C-9E77-14138FE2CCEE}" name="霰弹值"/>
    <tableColumn id="30" xr3:uid="{3EE38D9F-BD7A-4582-A0A5-BBC7F3143660}" name="冲击力"/>
    <tableColumn id="11" xr3:uid="{8355C49A-2E45-443B-A2D0-F3FC8AD4E431}" name="额外加权层数"/>
    <tableColumn id="12" xr3:uid="{7592F6A0-142D-4511-BBAA-6506E3B7A0A9}" name="列1" dataDxfId="28">
      <calculatedColumnFormula>1000*(表2_5[[#This Row],[弹夹价格]]*2)/(表2_5[[#This Row],[射击间隔]]*表2_5[[#This Row],[弹容量]]+900*表2_5[[#This Row],[双枪系数]])</calculatedColumnFormula>
    </tableColumn>
    <tableColumn id="13" xr3:uid="{15C9C8D1-9A08-400A-8E77-55F28B54C749}" name="平均dps"/>
    <tableColumn id="26" xr3:uid="{1274C3C7-22C9-49B5-A875-F13E969A7BF0}" name="列4" dataDxfId="27">
      <calculatedColumnFormula>1000*((表2_5[[#This Row],[子弹威力]]*1.5+30)*表2_5[[#This Row],[穿刺系数]]*表2_5[[#This Row],[弹容量]]*(1+(表2_5[[#This Row],[霰弹值]]-1)*0.5)-200*3)/(表2_5[[#This Row],[射击间隔]]*(表2_5[[#This Row],[弹容量]]-1)+900*表2_5[[#This Row],[双枪系数]])</calculatedColumnFormula>
    </tableColumn>
    <tableColumn id="19" xr3:uid="{7F59743E-F0DB-4BA2-9BCC-B1CBDB7C38A0}" name="加权dps"/>
    <tableColumn id="20" xr3:uid="{16F55BA4-4DC2-4B1D-A013-655D2F1FFDE9}" name="列5"/>
    <tableColumn id="17" xr3:uid="{3AA822EC-85AB-4A55-8245-64CD79274F66}" name="列3" dataDxfId="26"/>
    <tableColumn id="14" xr3:uid="{4E0BF69B-7EA4-42AA-ACAB-4DD530D9863F}" name="平衡dps" dataDxfId="25">
      <calculatedColumnFormula>(表2_5[[#This Row],[子弹威力]]*1.5+30+表2_5[[#This Row],[子弹威力]]*2*表2_5[[#This Row],[限制等级]]/256+表2_5[[#This Row],[伤害加成]]+表2_5[[#This Row],[剧毒]]/表2_5[[#This Row],[霰弹值]])*表2_5[[#This Row],[穿刺系数]]*表2_5[[#This Row],[双枪系数]]*表2_5[[#This Row],[弹容量]]*(1+(表2_5[[#This Row],[霰弹值]]-1)*0.5)</calculatedColumnFormula>
    </tableColumn>
    <tableColumn id="32" xr3:uid="{50FB25B6-902E-4298-B745-8ECFB9F5C05F}" name="周期伤害" dataDxfId="24">
      <calculatedColumnFormula>表2_5[[#This Row],[限制等级]]*250*表2_5[[#This Row],[射击间隔]]*表2_5[[#This Row],[弹容量]]/1000</calculatedColumnFormula>
    </tableColumn>
    <tableColumn id="18" xr3:uid="{1D45EC77-0BCE-4784-8749-FF6132165C8B}" name="平衡周期伤害" dataDxfId="23">
      <calculatedColumnFormula xml:space="preserve"> 表2_5[[#This Row],[限制等级]] * 1000*表2_5[[#This Row],[冲击力系数]]/1.6^(表2_5[[#This Row],[伤害类型系数]]-1)+表2_5[[#This Row],[弹夹价格]]*3/表2_5[[#This Row],[伤害类型系数]]*(25+表2_5[[#This Row],[限制等级]])/25+表2_5[[#This Row],[重量]]*300*(25+表2_5[[#This Row],[限制等级]])/25</calculatedColumnFormula>
    </tableColumn>
    <tableColumn id="21" xr3:uid="{EF66C15A-74D6-4470-BF24-C3FA05561BF9}" name="加权周期伤害" dataDxfId="22">
      <calculatedColumnFormula>表2_5[[#This Row],[平衡周期伤害]]*1.25^表2_5[[#This Row],[额外加权层数]]</calculatedColumnFormula>
    </tableColumn>
    <tableColumn id="16" xr3:uid="{07F68A49-F531-49B9-BE7A-451B8108367A}" name="裸伤dps" dataDxfId="21">
      <calculatedColumnFormula>1000*(表2_5[[#This Row],[子弹威力]]*1.5+30+表2_5[[#This Row],[子弹威力]]*2*表2_5[[#This Row],[限制等级]]/256)*表2_5[[#This Row],[穿刺系数]]*表2_5[[#This Row],[弹容量]]*(1+(表2_5[[#This Row],[霰弹值]]-1)*0.5)/(表2_5[[#This Row],[射击间隔]]*(表2_5[[#This Row],[弹容量]]-1)+900*表2_5[[#This Row],[双枪系数]])</calculatedColumnFormula>
    </tableColumn>
    <tableColumn id="29" xr3:uid="{0DA80F6C-04BD-4561-86F2-E371C6BBA2BE}" name="平衡裸伤dps" dataDxfId="20">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5" xr3:uid="{A7C829CA-FEE7-40CC-919E-01492F2B4D40}" name="增益dps" dataDxfId="19">
      <calculatedColumnFormula>1000*(表2_5[[#This Row],[伤害加成]]+表2_5[[#This Row],[剧毒]]/(表2_5[[#This Row],[霰弹值]]*3^(表2_5[[#This Row],[穿刺系数]]-1)))*表2_5[[#This Row],[穿刺系数]]*表2_5[[#This Row],[弹容量]]*(1+(表2_5[[#This Row],[霰弹值]]-1)*0.5)/(表2_5[[#This Row],[射击间隔]]*(表2_5[[#This Row],[弹容量]]-1)+900*表2_5[[#This Row],[双枪系数]])</calculatedColumnFormula>
    </tableColumn>
    <tableColumn id="36" xr3:uid="{302DCEC6-40C3-4C69-868D-FF83CBA3CE87}" name="平衡增益dps" dataDxfId="18">
      <calculatedColumnFormula>表2_5[[#This Row],[平衡裸伤dps]]*表2_5[[#This Row],[限制等级]]/256</calculatedColumnFormula>
    </tableColumn>
    <tableColumn id="40" xr3:uid="{65AEAB94-1979-4261-8188-CC5371E916A0}" name="平均射速" dataDxfId="17">
      <calculatedColumnFormula>1000*表2_5[[#This Row],[弹容量]]/(表2_5[[#This Row],[射击间隔]]*(表2_5[[#This Row],[弹容量]]-1)+900*表2_5[[#This Row],[双枪系数]])</calculatedColumnFormula>
    </tableColumn>
    <tableColumn id="38" xr3:uid="{E8C79E21-6A3F-4317-A9E6-50D13C2E10C8}" name="吃拐率" dataDxfId="16">
      <calculatedColumnFormula>1/(表2_5[[#This Row],[穿刺系数]]*表2_5[[#This Row],[弹容量]]*(1+(表2_5[[#This Row],[霰弹值]]-1)*0.5)/(表2_5[[#This Row],[射击间隔]]*(表2_5[[#This Row],[弹容量]]-1)+900*表2_5[[#This Row],[双枪系数]]))</calculatedColumnFormula>
    </tableColumn>
    <tableColumn id="39" xr3:uid="{21004B0E-A0A8-4B75-8842-545880B08962}" name="吃拐系数" dataDxfId="15">
      <calculatedColumnFormula>IF(表2_5[[#This Row],[吃拐率]]&gt;表2_5[[#This Row],[限制等级]]*0.2+5.6,(表2_5[[#This Row],[限制等级]]*0.2+5.6)/表2_5[[#This Row],[吃拐率]],1)</calculatedColumnFormula>
    </tableColumn>
    <tableColumn id="37" xr3:uid="{C25ACC48-7B38-4A72-BE85-619F8159FC30}" name="旧平衡dps" dataDxfId="14">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4" xr3:uid="{A660A361-96CB-4007-A464-05DAF5157343}" name="单段伤害"/>
    <tableColumn id="22" xr3:uid="{71A1BBF9-42EA-4DF3-BAAF-CEF0752727B7}" name="伤害加成" dataDxfId="13">
      <calculatedColumnFormula>IF(AL31&gt;=35,15*AL31-300,5*AL31+25)</calculatedColumnFormula>
    </tableColumn>
    <tableColumn id="23" xr3:uid="{5F2CA67A-5513-480C-AC64-9D919C58AC3C}" name="剧毒" dataDxfId="12">
      <calculatedColumnFormula>IF(表2_5[[#This Row],[限制等级]]&gt;=30,120,30)</calculatedColumnFormula>
    </tableColumn>
    <tableColumn id="25" xr3:uid="{23C63379-C0B7-48B7-B787-5FCC30B24F9E}" name="冲击力系数"/>
    <tableColumn id="27" xr3:uid="{616D4DCA-D011-4F52-89E2-BBB666C710ED}" name="周期伤害系数" dataDxfId="11">
      <calculatedColumnFormula>0.7+0.6/(1+EXP(-(表2_5[[#This Row],[平衡周期伤害]]-表2_5[[#This Row],[周期伤害]])/表2_5[[#This Row],[平衡周期伤害]]))</calculatedColumnFormula>
    </tableColumn>
    <tableColumn id="28" xr3:uid="{AE888361-36C4-47E3-A20E-2CC76D97F347}" name="dps总公式"/>
    <tableColumn id="33" xr3:uid="{6D088B29-2EC9-4B8E-AC89-48B4C8166F7A}" name="周期dps"/>
    <tableColumn id="15" xr3:uid="{FB8538BC-EA8B-4DBF-A064-AFF9D228FB26}" name="周期dps系数"/>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FA9E23-8BFC-46D4-BAD9-82BF30D0709B}" name="表5" displayName="表5" ref="AM25:AO30" totalsRowShown="0">
  <autoFilter ref="AM25:AO30" xr:uid="{55FA9E23-8BFC-46D4-BAD9-82BF30D0709B}"/>
  <tableColumns count="3">
    <tableColumn id="1" xr3:uid="{175B7766-4B20-4B31-932D-D2FDAD403F44}" name="伤害加成" dataDxfId="10"/>
    <tableColumn id="2" xr3:uid="{E828ECFB-EC93-47F0-9A6F-7E5C622BFDC8}" name="强化" dataDxfId="9">
      <calculatedColumnFormula>表5[[#This Row],[伤害加成]]*IF(AL26&gt;=25, 1 + (MIN(13,(AL26-18)/3.5) - 1) * (MIN(13,(AL26-18)/3.5)  - 1) / 100 + 0.05 * (MIN(13,(AL26-18)/3.5)  - 1),1)-表5[[#This Row],[伤害加成]]</calculatedColumnFormula>
    </tableColumn>
    <tableColumn id="3" xr3:uid="{03C39990-725D-458F-A7CF-4E78ABD6F172}" name="剧毒"/>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986475-2ED4-459B-8875-CFCE36210C4F}" name="表2_2" displayName="表2_2" ref="B2:T21" totalsRowShown="0" headerRowDxfId="8">
  <tableColumns count="19">
    <tableColumn id="1" xr3:uid="{2647E847-1A87-468E-AC67-15776089B268}" name="类型" dataDxfId="7"/>
    <tableColumn id="2" xr3:uid="{8C4F1BC9-0719-4D06-910D-C32A022B3F84}" name="具体装备"/>
    <tableColumn id="3" xr3:uid="{10DE4A43-3155-4437-AAD9-C89D42BD8260}" name="限制等级"/>
    <tableColumn id="4" xr3:uid="{D4E1A796-FE6D-4C00-965F-335E130D2844}" name="防御"/>
    <tableColumn id="5" xr3:uid="{6AF448EE-2774-4637-AB35-F31ACE9BF3A8}" name="HP"/>
    <tableColumn id="6" xr3:uid="{26035CC6-D4F3-4F9F-8804-A4F09E0DCFB7}" name="MP"/>
    <tableColumn id="7" xr3:uid="{2720D73B-31C2-4C4E-A39C-F38374E106D1}" name="伤害加成"/>
    <tableColumn id="20" xr3:uid="{98FF735E-0C81-4B78-998C-277C7A2E9E95}" name="刀/枪总加成"/>
    <tableColumn id="8" xr3:uid="{B552614C-768D-47B3-8728-023F25DB082B}" name="重量"/>
    <tableColumn id="9" xr3:uid="{0272C720-4E7F-4F88-ADFF-3EBC66F27ABF}" name="空手加成"/>
    <tableColumn id="10" xr3:uid="{7C739359-B25B-4B47-892E-89763D9142F1}" name="法抗"/>
    <tableColumn id="11" xr3:uid="{41631C84-F8C0-4D28-8022-E1E07C42D557}" name="额外加权层数"/>
    <tableColumn id="12" xr3:uid="{DFD49B97-0B1E-4287-90D6-4E6F41A5322E}" name="列1"/>
    <tableColumn id="13" xr3:uid="{E6EEB2C6-0BAE-42D0-AEB6-B4EFF958EF70}" name="当前总分"/>
    <tableColumn id="14" xr3:uid="{DCE00B25-EE37-46EB-B890-0A53E8A2CF68}" name="平衡总分"/>
    <tableColumn id="15" xr3:uid="{D87510E8-97D9-4692-95FD-9798328A3FC4}" name="加权总分"/>
    <tableColumn id="16" xr3:uid="{F940B2A9-FAF9-4D2C-AD63-1D3A0BB809DE}" name="列2"/>
    <tableColumn id="19" xr3:uid="{18672C66-DEB8-45CE-A811-5B3388DD243B}" name="法抗均值上限" dataDxfId="6">
      <calculatedColumnFormula>10+表2_2[[#This Row],[限制等级]]*0.2</calculatedColumnFormula>
    </tableColumn>
    <tableColumn id="17" xr3:uid="{2A71EA5E-6A4C-44FD-9B0C-0AEFEAC81C2E}" name="法抗最高上限" dataDxfId="5">
      <calculatedColumnFormula>25+表2_2[[#This Row],[限制等级]]*0.2</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86A570-F232-4C71-B9BC-553A33184056}" name="表2_4" displayName="表2_4" ref="B2:Q29" totalsRowShown="0" headerRowDxfId="4">
  <tableColumns count="16">
    <tableColumn id="1" xr3:uid="{36ABDBD6-833D-48CA-A397-AD9EADCC6A9F}" name="类型" dataDxfId="3"/>
    <tableColumn id="2" xr3:uid="{38C83168-75A9-42D4-B880-FC4C4C7E3C7C}" name="具体装备"/>
    <tableColumn id="7" xr3:uid="{DECF0420-487B-464B-A146-D5284349B3BD}" name="限制等级"/>
    <tableColumn id="11" xr3:uid="{DA99A9C0-2613-4A06-AB4E-09D8270A7436}" name="加权层数" dataDxfId="2"/>
    <tableColumn id="3" xr3:uid="{EEE51630-F59A-4424-BF8A-9DCB8216F61C}" name="金币需求"/>
    <tableColumn id="4" xr3:uid="{2D1B6CA9-69B2-4514-8C8A-6903E1E6E5B4}" name="K点需求"/>
    <tableColumn id="5" xr3:uid="{082A6221-E42F-4A2B-A99C-A6FF346D4B68}" name="材料价格"/>
    <tableColumn id="6" xr3:uid="{782FEFA7-3376-4DF1-ACF6-09C6BA0C3D0A}" name="装备折算价格"/>
    <tableColumn id="8" xr3:uid="{08D7957F-427D-4716-92B4-8BAEB7939CD4}" name="掉落物折算价格"/>
    <tableColumn id="9" xr3:uid="{E466C456-790B-44B9-A7C4-75C77501A694}" name="列3"/>
    <tableColumn id="10" xr3:uid="{995A9B28-E84F-429E-BD2C-ED27E50A43E4}" name="列4"/>
    <tableColumn id="12" xr3:uid="{C7E6C8C3-F73C-4B0C-B077-0D53898223E1}" name="列1"/>
    <tableColumn id="13" xr3:uid="{AFD19477-D97A-4E08-876A-17DB63806F64}" name="当前成本"/>
    <tableColumn id="14" xr3:uid="{ECF55BDB-C4D1-47B2-9434-F1AD2276BF70}" name="平衡成本"/>
    <tableColumn id="15" xr3:uid="{83F51B4B-F7C3-4906-BF73-921F7ECF20F5}" name="加权成本"/>
    <tableColumn id="16" xr3:uid="{67565931-E015-4E73-B5D2-87E101ACF1E8}" name="列2"/>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5AB403-930A-4750-ABD7-61B92A34C3F3}" name="表2" displayName="表2" ref="C4:W23" totalsRowShown="0" headerRowDxfId="1">
  <tableColumns count="21">
    <tableColumn id="1" xr3:uid="{4D8E86E8-6E7C-48DF-95CC-A6888D597EF9}" name="类型" dataDxfId="0"/>
    <tableColumn id="2" xr3:uid="{49A7B4E0-61F5-4DF5-8D46-67B9A2A1DDF4}" name="具体武器"/>
    <tableColumn id="3" xr3:uid="{017C62AD-777C-4C1F-9523-BA0B91DF24D3}" name="子弹威力"/>
    <tableColumn id="4" xr3:uid="{C8DA9ED7-A4F5-454F-B95E-B6337C1033A7}" name="射击间隔"/>
    <tableColumn id="5" xr3:uid="{F78B688D-9FD8-44D9-90CB-8B12D922D73F}" name="弹容量"/>
    <tableColumn id="6" xr3:uid="{9A9B0598-7001-44E8-9BDE-B0CE7F046224}" name="弹夹价格"/>
    <tableColumn id="7" xr3:uid="{49267DD7-7E17-4E8C-8643-85CD800297A4}" name="限制等级"/>
    <tableColumn id="8" xr3:uid="{787ACDE5-1235-42E5-8E35-1696D06C2429}" name="双枪系数"/>
    <tableColumn id="9" xr3:uid="{5B7ED9C3-0F60-4DD1-B433-8FEC3E03F640}" name="穿刺系数"/>
    <tableColumn id="10" xr3:uid="{C1102FE7-68BB-46AC-8AD6-D862145A4641}" name="霰弹值"/>
    <tableColumn id="11" xr3:uid="{CB54FF39-EBA5-4C0E-B613-8A667EDD6B05}" name="额外加权层数"/>
    <tableColumn id="12" xr3:uid="{C6D3CFB5-BFC4-44EA-B47B-89F98AC5A077}" name="列1"/>
    <tableColumn id="13" xr3:uid="{C46634A4-3056-41C8-95E3-70709AA3F967}" name="当前总伤"/>
    <tableColumn id="14" xr3:uid="{C120D9C4-8864-41DD-9C14-11862EB3BA52}" name="平衡总伤"/>
    <tableColumn id="15" xr3:uid="{D9CB48C2-2508-45CE-8EF9-9A5E02CE93BB}" name="加权总伤"/>
    <tableColumn id="16" xr3:uid="{731B3F4A-6A08-4F88-AE83-7BD8E220C283}" name="列2"/>
    <tableColumn id="17" xr3:uid="{1A818FD9-5AF4-4A59-9BB4-2D130FDDBC99}" name="列3"/>
    <tableColumn id="18" xr3:uid="{191EAC31-84F1-47FB-B998-90799041A02E}" name="dps"/>
    <tableColumn id="19" xr3:uid="{F33BC76E-BFFC-4AB4-A711-7A4A44E195A7}" name="dps系数"/>
    <tableColumn id="20" xr3:uid="{3235D1C2-73FF-49C5-9AD0-C69F4D43689C}" name="实战dps估值"/>
    <tableColumn id="21" xr3:uid="{43884FE2-6057-4FAE-86F5-93AB696D5ADF}" name="实战dps系数(计算其他加权)"/>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195C9-74FB-4CBB-BB5D-941A31102B71}">
  <dimension ref="A1:AO33"/>
  <sheetViews>
    <sheetView zoomScaleNormal="100" workbookViewId="0">
      <selection activeCell="E1" sqref="E1"/>
    </sheetView>
  </sheetViews>
  <sheetFormatPr defaultRowHeight="14" x14ac:dyDescent="0.3"/>
  <cols>
    <col min="1" max="1" width="17.5" customWidth="1"/>
    <col min="2" max="2" width="13.1640625" customWidth="1"/>
    <col min="3" max="3" width="15.08203125" customWidth="1"/>
    <col min="4" max="4" width="8" customWidth="1"/>
    <col min="5" max="5" width="8.08203125" customWidth="1"/>
    <col min="6" max="6" width="8.83203125" customWidth="1"/>
    <col min="7" max="7" width="8.08203125" customWidth="1"/>
    <col min="8" max="9" width="7.83203125" customWidth="1"/>
    <col min="10" max="10" width="7.75" customWidth="1"/>
    <col min="11" max="11" width="7.6640625" customWidth="1"/>
    <col min="12" max="12" width="12.1640625" customWidth="1"/>
    <col min="13" max="13" width="7.58203125" customWidth="1"/>
    <col min="14" max="14" width="6.83203125" customWidth="1"/>
    <col min="15" max="15" width="12.1640625" customWidth="1"/>
    <col min="19" max="19" width="9.08203125" customWidth="1"/>
    <col min="20" max="20" width="12.1640625" customWidth="1"/>
    <col min="21" max="21" width="12.5" customWidth="1"/>
    <col min="23" max="23" width="9.6640625" customWidth="1"/>
    <col min="24" max="25" width="11.1640625" customWidth="1"/>
    <col min="26" max="26" width="7.33203125" customWidth="1"/>
    <col min="27" max="27" width="10.83203125" customWidth="1"/>
    <col min="28" max="28" width="7.6640625" customWidth="1"/>
    <col min="29" max="29" width="10.83203125" customWidth="1"/>
    <col min="30" max="30" width="8.08203125" customWidth="1"/>
    <col min="31" max="31" width="6.58203125" customWidth="1"/>
    <col min="32" max="32" width="7.75" customWidth="1"/>
    <col min="33" max="33" width="10.83203125" customWidth="1"/>
    <col min="34" max="35" width="8.08203125" customWidth="1"/>
    <col min="36" max="36" width="4.58203125" customWidth="1"/>
    <col min="37" max="37" width="9.83203125" customWidth="1"/>
    <col min="38" max="38" width="11.5" customWidth="1"/>
    <col min="39" max="39" width="9.5" customWidth="1"/>
    <col min="40" max="40" width="7.1640625" customWidth="1"/>
    <col min="41" max="41" width="11.33203125" customWidth="1"/>
  </cols>
  <sheetData>
    <row r="1" spans="1:41" x14ac:dyDescent="0.3">
      <c r="A1" t="s">
        <v>263</v>
      </c>
      <c r="D1" t="s">
        <v>45</v>
      </c>
      <c r="E1" t="s">
        <v>42</v>
      </c>
      <c r="F1" t="s">
        <v>43</v>
      </c>
      <c r="G1" t="s">
        <v>44</v>
      </c>
      <c r="I1" t="s">
        <v>295</v>
      </c>
      <c r="L1" t="s">
        <v>270</v>
      </c>
      <c r="M1" t="s">
        <v>41</v>
      </c>
      <c r="N1" t="s">
        <v>293</v>
      </c>
      <c r="O1" t="s">
        <v>164</v>
      </c>
      <c r="Q1" s="1" t="s">
        <v>368</v>
      </c>
      <c r="V1" t="s">
        <v>306</v>
      </c>
    </row>
    <row r="2" spans="1:41" x14ac:dyDescent="0.3">
      <c r="A2" t="s">
        <v>307</v>
      </c>
      <c r="B2" s="10" t="s">
        <v>278</v>
      </c>
      <c r="C2" s="10" t="s">
        <v>49</v>
      </c>
      <c r="D2" s="8" t="s">
        <v>14</v>
      </c>
      <c r="E2" s="8" t="s">
        <v>1</v>
      </c>
      <c r="F2" s="8" t="s">
        <v>2</v>
      </c>
      <c r="G2" s="8" t="s">
        <v>3</v>
      </c>
      <c r="H2" s="8" t="s">
        <v>10</v>
      </c>
      <c r="I2" s="8" t="s">
        <v>168</v>
      </c>
      <c r="J2" s="9" t="s">
        <v>6</v>
      </c>
      <c r="K2" s="9" t="s">
        <v>4</v>
      </c>
      <c r="L2" s="9" t="s">
        <v>269</v>
      </c>
      <c r="M2" s="8" t="s">
        <v>161</v>
      </c>
      <c r="N2" s="8" t="s">
        <v>292</v>
      </c>
      <c r="O2" s="8" t="s">
        <v>12</v>
      </c>
      <c r="P2" s="11" t="s">
        <v>219</v>
      </c>
      <c r="Q2" s="14" t="s">
        <v>287</v>
      </c>
      <c r="R2" s="11" t="s">
        <v>220</v>
      </c>
      <c r="S2" s="14" t="s">
        <v>291</v>
      </c>
      <c r="T2" s="11" t="s">
        <v>303</v>
      </c>
      <c r="U2" s="11" t="s">
        <v>218</v>
      </c>
      <c r="V2" s="14" t="s">
        <v>290</v>
      </c>
      <c r="W2" s="14" t="s">
        <v>288</v>
      </c>
      <c r="X2" s="14" t="s">
        <v>296</v>
      </c>
      <c r="Y2" s="14" t="s">
        <v>304</v>
      </c>
      <c r="Z2" s="14" t="s">
        <v>369</v>
      </c>
      <c r="AA2" s="14" t="s">
        <v>370</v>
      </c>
      <c r="AB2" s="14" t="s">
        <v>371</v>
      </c>
      <c r="AC2" s="14" t="s">
        <v>372</v>
      </c>
      <c r="AD2" s="14" t="s">
        <v>377</v>
      </c>
      <c r="AE2" s="14" t="s">
        <v>376</v>
      </c>
      <c r="AF2" s="14" t="s">
        <v>378</v>
      </c>
      <c r="AG2" s="14" t="s">
        <v>373</v>
      </c>
      <c r="AH2" s="14" t="s">
        <v>286</v>
      </c>
      <c r="AI2" s="14" t="s">
        <v>167</v>
      </c>
      <c r="AJ2" s="14" t="s">
        <v>268</v>
      </c>
      <c r="AK2" s="14" t="s">
        <v>294</v>
      </c>
      <c r="AL2" s="14" t="s">
        <v>305</v>
      </c>
      <c r="AM2" s="14" t="s">
        <v>289</v>
      </c>
      <c r="AN2" s="14" t="s">
        <v>285</v>
      </c>
      <c r="AO2" s="14" t="s">
        <v>325</v>
      </c>
    </row>
    <row r="3" spans="1:41" x14ac:dyDescent="0.3">
      <c r="B3" s="2" t="s">
        <v>13</v>
      </c>
      <c r="C3" t="s">
        <v>15</v>
      </c>
      <c r="D3">
        <v>7</v>
      </c>
      <c r="E3">
        <v>110</v>
      </c>
      <c r="F3">
        <v>120</v>
      </c>
      <c r="G3">
        <v>30</v>
      </c>
      <c r="H3">
        <v>200</v>
      </c>
      <c r="I3">
        <v>4</v>
      </c>
      <c r="J3">
        <v>1</v>
      </c>
      <c r="K3">
        <v>1</v>
      </c>
      <c r="L3">
        <v>1</v>
      </c>
      <c r="M3">
        <v>1</v>
      </c>
      <c r="N3">
        <v>30</v>
      </c>
      <c r="O3">
        <v>0</v>
      </c>
      <c r="Q3">
        <f>1000*表2_5[[#This Row],[周期伤害]]/(表2_5[[#This Row],[射击间隔]]*(表2_5[[#This Row],[弹容量]]-1)+900*表2_5[[#This Row],[双枪系数]])</f>
        <v>2020.6549657534247</v>
      </c>
      <c r="S3">
        <f>表2_5[[#This Row],[平衡dps]]*表2_5[[#This Row],[周期dps系数]]*表2_5[[#This Row],[吃拐系数]]*1.1^表2_5[[#This Row],[额外加权层数]]</f>
        <v>2032.7457162809235</v>
      </c>
      <c r="V3">
        <f>表2_5[[#This Row],[平衡裸伤dps]]+表2_5[[#This Row],[平衡增益dps]]</f>
        <v>2031.4614237768487</v>
      </c>
      <c r="W3">
        <f>(表2_5[[#This Row],[子弹威力]]*1.5+30+表2_5[[#This Row],[子弹威力]]*2*表2_5[[#This Row],[限制等级]]/256+表2_5[[#This Row],[伤害加成]]+表2_5[[#This Row],[剧毒]]/(表2_5[[#This Row],[霰弹值]]*3^(表2_5[[#This Row],[穿刺系数]]-1)))*表2_5[[#This Row],[穿刺系数]]*表2_5[[#This Row],[弹容量]]*(1+(表2_5[[#This Row],[霰弹值]]-1)*0.5)</f>
        <v>8850.46875</v>
      </c>
      <c r="X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8130.4000000000005</v>
      </c>
      <c r="Y3">
        <f>表2_5[[#This Row],[平衡周期伤害]]*1.25^表2_5[[#This Row],[额外加权层数]]</f>
        <v>8130.4000000000005</v>
      </c>
      <c r="Z3">
        <f>1000*(表2_5[[#This Row],[子弹威力]]*1.5+30)*表2_5[[#This Row],[穿刺系数]]*表2_5[[#This Row],[弹容量]]*(1+(表2_5[[#This Row],[霰弹值]]-1)*0.5)/(表2_5[[#This Row],[射击间隔]]*(表2_5[[#This Row],[弹容量]]-1)+900*表2_5[[#This Row],[双枪系数]])</f>
        <v>1335.6164383561643</v>
      </c>
      <c r="AA3">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1346.0995006284018</v>
      </c>
      <c r="AB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685.03852739726028</v>
      </c>
      <c r="AC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685.36192314844709</v>
      </c>
      <c r="AD3">
        <f>1000*表2_5[[#This Row],[弹容量]]/(表2_5[[#This Row],[射击间隔]]*(表2_5[[#This Row],[弹容量]]-1)+900*表2_5[[#This Row],[双枪系数]])</f>
        <v>6.8493150684931505</v>
      </c>
      <c r="AE3">
        <f>1000*(表2_5[[#This Row],[穿刺系数]]*表2_5[[#This Row],[弹容量]]*(1+(表2_5[[#This Row],[霰弹值]]-1)*0.5)/(表2_5[[#This Row],[射击间隔]]*(表2_5[[#This Row],[弹容量]]-1)+900*表2_5[[#This Row],[双枪系数]]))</f>
        <v>6.8493150684931505</v>
      </c>
      <c r="AF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1842.9896488815355</v>
      </c>
      <c r="AH3">
        <f>(表2_5[[#This Row],[子弹威力]]*1.5+30+表2_5[[#This Row],[子弹威力]]*2*表2_5[[#This Row],[限制等级]]/256+表2_5[[#This Row],[伤害加成]]+表2_5[[#This Row],[剧毒]]/表2_5[[#This Row],[霰弹值]])</f>
        <v>295.015625</v>
      </c>
      <c r="AI3">
        <f>IF(表2_5[[#This Row],[限制等级]]&gt;=35,17*表2_5[[#This Row],[限制等级]]-330,7*表2_5[[#This Row],[限制等级]]+15) * IF(表2_5[[#This Row],[限制等级]]&gt;=25, 1 + (MIN(13,(表2_5[[#This Row],[限制等级]]-18)/3.5) - 1) * (MIN(13,(表2_5[[#This Row],[限制等级]]-18)/3.5)  - 1) / 100 + 0.05 * (MIN(13,(表2_5[[#This Row],[限制等级]]-18)/3.5)  - 1),1)</f>
        <v>64</v>
      </c>
      <c r="AJ3">
        <f>IF(表2_5[[#This Row],[限制等级]]&gt;=30,120,30)</f>
        <v>30</v>
      </c>
      <c r="AK3">
        <f>0.9+(1.1-0.9)*表2_5[[#This Row],[冲击力]]/(表2_5[[#This Row],[冲击力]]+50)</f>
        <v>0.97500000000000009</v>
      </c>
      <c r="AL3">
        <f>IF(表2_5[[#This Row],[周期伤害]] &lt;=表2_5[[#This Row],[加权周期伤害]]* 5,0.7+0.6/(1+EXP(-(表2_5[[#This Row],[加权周期伤害]]-表2_5[[#This Row],[周期伤害]])/(表2_5[[#This Row],[加权周期伤害]]))),0.1+1.5/(1+EXP(-(表2_5[[#This Row],[加权周期伤害]]-表2_5[[#This Row],[周期伤害]])/(表2_5[[#This Row],[加权周期伤害]]*10))))</f>
        <v>0.98672392904600204</v>
      </c>
      <c r="AM3">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2020.6549657534247</v>
      </c>
      <c r="AN3">
        <f>1000*表2_5[[#This Row],[周期伤害]]/(表2_5[[#This Row],[射击间隔]]*表2_5[[#This Row],[弹容量]])</f>
        <v>2458.4635416666665</v>
      </c>
      <c r="AO3">
        <f>IF(表2_5[[#This Row],[周期dps]]&lt;=表2_5[[#This Row],[平衡dps]] * 2,0.85+0.3365/(1+EXP(-(表2_5[[#This Row],[平衡dps]]-表2_5[[#This Row],[周期dps]])/(表2_5[[#This Row],[平衡dps]]))),0.37+1.68/(1+EXP(-(表2_5[[#This Row],[平衡dps]]-表2_5[[#This Row],[周期dps]])/(表2_5[[#This Row],[平衡dps]]*1.5))))</f>
        <v>1.0006322012759106</v>
      </c>
    </row>
    <row r="4" spans="1:41" x14ac:dyDescent="0.3">
      <c r="B4" s="2" t="s">
        <v>18</v>
      </c>
      <c r="C4" t="s">
        <v>24</v>
      </c>
      <c r="D4" s="3">
        <v>22</v>
      </c>
      <c r="E4" s="3">
        <v>130</v>
      </c>
      <c r="F4" s="3">
        <v>150</v>
      </c>
      <c r="G4" s="3">
        <v>40</v>
      </c>
      <c r="H4" s="3">
        <v>200</v>
      </c>
      <c r="I4" s="3">
        <v>5</v>
      </c>
      <c r="J4" s="3">
        <v>1</v>
      </c>
      <c r="K4" s="3">
        <v>2</v>
      </c>
      <c r="L4">
        <v>1</v>
      </c>
      <c r="M4" s="3">
        <v>1</v>
      </c>
      <c r="N4" s="3">
        <v>45</v>
      </c>
      <c r="O4" s="3">
        <v>0.3</v>
      </c>
      <c r="Q4">
        <f>1000*表2_5[[#This Row],[周期伤害]]/(表2_5[[#This Row],[射击间隔]]*(表2_5[[#This Row],[弹容量]]-1)+900*表2_5[[#This Row],[双枪系数]])</f>
        <v>5052.9629629629626</v>
      </c>
      <c r="S4">
        <f>表2_5[[#This Row],[平衡dps]]*表2_5[[#This Row],[周期dps系数]]*表2_5[[#This Row],[吃拐系数]]*1.1^表2_5[[#This Row],[额外加权层数]]</f>
        <v>5012.9154416429456</v>
      </c>
      <c r="V4">
        <f>表2_5[[#This Row],[平衡裸伤dps]]+表2_5[[#This Row],[平衡增益dps]]</f>
        <v>4929.3345282010032</v>
      </c>
      <c r="W4">
        <f>(表2_5[[#This Row],[子弹威力]]*1.5+30+表2_5[[#This Row],[子弹威力]]*2*表2_5[[#This Row],[限制等级]]/256+表2_5[[#This Row],[伤害加成]]+表2_5[[#This Row],[剧毒]]/(表2_5[[#This Row],[霰弹值]]*3^(表2_5[[#This Row],[穿刺系数]]-1)))*表2_5[[#This Row],[穿刺系数]]*表2_5[[#This Row],[弹容量]]*(1+(表2_5[[#This Row],[霰弹值]]-1)*0.5)</f>
        <v>34107.5</v>
      </c>
      <c r="X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28695.368421052633</v>
      </c>
      <c r="Y4">
        <f>表2_5[[#This Row],[平衡周期伤害]]*1.25^表2_5[[#This Row],[额外加权层数]]</f>
        <v>30682.080775283983</v>
      </c>
      <c r="Z4">
        <f>1000*(表2_5[[#This Row],[子弹威力]]*1.5+30)*表2_5[[#This Row],[穿刺系数]]*表2_5[[#This Row],[弹容量]]*(1+(表2_5[[#This Row],[霰弹值]]-1)*0.5)/(表2_5[[#This Row],[射击间隔]]*(表2_5[[#This Row],[弹容量]]-1)+900*表2_5[[#This Row],[双枪系数]])</f>
        <v>2666.6666666666665</v>
      </c>
      <c r="AA4">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3089.950982653791</v>
      </c>
      <c r="AB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2386.2962962962961</v>
      </c>
      <c r="AC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1839.383545547212</v>
      </c>
      <c r="AD4">
        <f>1000*表2_5[[#This Row],[弹容量]]/(表2_5[[#This Row],[射击间隔]]*(表2_5[[#This Row],[弹容量]]-1)+900*表2_5[[#This Row],[双枪系数]])</f>
        <v>5.9259259259259256</v>
      </c>
      <c r="AE4">
        <f>1000*(表2_5[[#This Row],[穿刺系数]]*表2_5[[#This Row],[弹容量]]*(1+(表2_5[[#This Row],[霰弹值]]-1)*0.5)/(表2_5[[#This Row],[射击间隔]]*(表2_5[[#This Row],[弹容量]]-1)+900*表2_5[[#This Row],[双枪系数]]))</f>
        <v>11.851851851851851</v>
      </c>
      <c r="AF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0.98299538293448663</v>
      </c>
      <c r="AG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5140.6079276294104</v>
      </c>
      <c r="AH4">
        <f>(表2_5[[#This Row],[子弹威力]]*1.5+30+表2_5[[#This Row],[子弹威力]]*2*表2_5[[#This Row],[限制等级]]/256+表2_5[[#This Row],[伤害加成]]+表2_5[[#This Row],[剧毒]]/表2_5[[#This Row],[霰弹值]])</f>
        <v>446.34375</v>
      </c>
      <c r="AI4">
        <f>IF(表2_5[[#This Row],[限制等级]]&gt;=35,17*表2_5[[#This Row],[限制等级]]-330,7*表2_5[[#This Row],[限制等级]]+15) * IF(表2_5[[#This Row],[限制等级]]&gt;=25, 1 + (MIN(13,(表2_5[[#This Row],[限制等级]]-18)/3.5) - 1) * (MIN(13,(表2_5[[#This Row],[限制等级]]-18)/3.5)  - 1) / 100 + 0.05 * (MIN(13,(表2_5[[#This Row],[限制等级]]-18)/3.5)  - 1),1)</f>
        <v>169</v>
      </c>
      <c r="AJ4">
        <f>IF(表2_5[[#This Row],[限制等级]]&gt;=30,120,30)</f>
        <v>30</v>
      </c>
      <c r="AK4">
        <f>0.9+(1.1-0.9)*表2_5[[#This Row],[冲击力]]/(表2_5[[#This Row],[冲击力]]+50)</f>
        <v>0.99473684210526325</v>
      </c>
      <c r="AL4">
        <f>IF(表2_5[[#This Row],[周期伤害]] &lt;=表2_5[[#This Row],[加权周期伤害]]* 5,0.7+0.6/(1+EXP(-(表2_5[[#This Row],[加权周期伤害]]-表2_5[[#This Row],[周期伤害]])/(表2_5[[#This Row],[加权周期伤害]]))),0.1+1.5/(1+EXP(-(表2_5[[#This Row],[加权周期伤害]]-表2_5[[#This Row],[周期伤害]])/(表2_5[[#This Row],[加权周期伤害]]*10))))</f>
        <v>0.98327102157776669</v>
      </c>
      <c r="AM4">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5052.9629629629626</v>
      </c>
      <c r="AN4">
        <f>1000*表2_5[[#This Row],[周期伤害]]/(表2_5[[#This Row],[射击间隔]]*表2_5[[#This Row],[弹容量]])</f>
        <v>5684.583333333333</v>
      </c>
      <c r="AO4">
        <f>IF(表2_5[[#This Row],[周期dps]]&lt;=表2_5[[#This Row],[平衡dps]] * 2,0.85+0.3365/(1+EXP(-(表2_5[[#This Row],[平衡dps]]-表2_5[[#This Row],[周期dps]])/(表2_5[[#This Row],[平衡dps]]))),0.37+1.68/(1+EXP(-(表2_5[[#This Row],[平衡dps]]-表2_5[[#This Row],[周期dps]])/(表2_5[[#This Row],[平衡dps]]*1.5))))</f>
        <v>1.0053859295854997</v>
      </c>
    </row>
    <row r="5" spans="1:41" x14ac:dyDescent="0.3">
      <c r="A5" s="2" t="s">
        <v>147</v>
      </c>
      <c r="B5" s="2" t="s">
        <v>271</v>
      </c>
      <c r="C5" t="s">
        <v>20</v>
      </c>
      <c r="D5" s="3">
        <v>13</v>
      </c>
      <c r="E5" s="3">
        <v>100</v>
      </c>
      <c r="F5" s="3">
        <v>110</v>
      </c>
      <c r="G5" s="3">
        <v>80</v>
      </c>
      <c r="H5" s="3">
        <v>2000</v>
      </c>
      <c r="I5" s="3">
        <v>19</v>
      </c>
      <c r="J5" s="3">
        <v>1</v>
      </c>
      <c r="K5" s="3">
        <v>1.5</v>
      </c>
      <c r="L5">
        <v>1.5</v>
      </c>
      <c r="M5" s="3">
        <v>1</v>
      </c>
      <c r="N5" s="3">
        <v>10000</v>
      </c>
      <c r="O5" s="3">
        <v>1</v>
      </c>
      <c r="Q5">
        <f>1000*表2_5[[#This Row],[周期伤害]]/(表2_5[[#This Row],[射击间隔]]*(表2_5[[#This Row],[弹容量]]-1)+900*表2_5[[#This Row],[双枪系数]])</f>
        <v>3922.5454608011109</v>
      </c>
      <c r="S5">
        <f>表2_5[[#This Row],[平衡dps]]*表2_5[[#This Row],[周期dps系数]]*表2_5[[#This Row],[吃拐系数]]*1.1^表2_5[[#This Row],[额外加权层数]]</f>
        <v>4091.3816335602987</v>
      </c>
      <c r="V5">
        <f>表2_5[[#This Row],[平衡裸伤dps]]+表2_5[[#This Row],[平衡增益dps]]</f>
        <v>3700.1462170438035</v>
      </c>
      <c r="W5">
        <f>(表2_5[[#This Row],[子弹威力]]*1.5+30+表2_5[[#This Row],[子弹威力]]*2*表2_5[[#This Row],[限制等级]]/256+表2_5[[#This Row],[伤害加成]]+表2_5[[#This Row],[剧毒]]/(表2_5[[#This Row],[霰弹值]]*3^(表2_5[[#This Row],[穿刺系数]]-1)))*表2_5[[#This Row],[穿刺系数]]*表2_5[[#This Row],[弹容量]]*(1+(表2_5[[#This Row],[霰弹值]]-1)*0.5)</f>
        <v>37617.210969082655</v>
      </c>
      <c r="X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19393.958639165681</v>
      </c>
      <c r="Y5">
        <f>表2_5[[#This Row],[平衡周期伤害]]*1.25^表2_5[[#This Row],[额外加权层数]]</f>
        <v>24242.448298957101</v>
      </c>
      <c r="Z5">
        <f>1000*(表2_5[[#This Row],[子弹威力]]*1.5+30)*表2_5[[#This Row],[穿刺系数]]*表2_5[[#This Row],[弹容量]]*(1+(表2_5[[#This Row],[霰弹值]]-1)*0.5)/(表2_5[[#This Row],[射击间隔]]*(表2_5[[#This Row],[弹容量]]-1)+900*表2_5[[#This Row],[双枪系数]])</f>
        <v>2252.3461939520334</v>
      </c>
      <c r="AA5">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2916.1863740541503</v>
      </c>
      <c r="AB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1670.1992668490775</v>
      </c>
      <c r="AC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783.95984298965334</v>
      </c>
      <c r="AD5">
        <f>1000*表2_5[[#This Row],[弹容量]]/(表2_5[[#This Row],[射击间隔]]*(表2_5[[#This Row],[弹容量]]-1)+900*表2_5[[#This Row],[双枪系数]])</f>
        <v>8.342022940563087</v>
      </c>
      <c r="AE5">
        <f>1000*(表2_5[[#This Row],[穿刺系数]]*表2_5[[#This Row],[弹容量]]*(1+(表2_5[[#This Row],[霰弹值]]-1)*0.5)/(表2_5[[#This Row],[射击间隔]]*(表2_5[[#This Row],[弹容量]]-1)+900*表2_5[[#This Row],[双枪系数]]))</f>
        <v>12.513034410844631</v>
      </c>
      <c r="AF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3782.4883935501043</v>
      </c>
      <c r="AH5">
        <f>(表2_5[[#This Row],[子弹威力]]*1.5+30+表2_5[[#This Row],[子弹威力]]*2*表2_5[[#This Row],[限制等级]]/256+表2_5[[#This Row],[伤害加成]]+表2_5[[#This Row],[剧毒]]/表2_5[[#This Row],[霰弹值]])</f>
        <v>326.15625</v>
      </c>
      <c r="AI5">
        <f>IF(表2_5[[#This Row],[限制等级]]&gt;=35,17*表2_5[[#This Row],[限制等级]]-330,7*表2_5[[#This Row],[限制等级]]+15) * IF(表2_5[[#This Row],[限制等级]]&gt;=25, 1 + (MIN(13,(表2_5[[#This Row],[限制等级]]-18)/3.5) - 1) * (MIN(13,(表2_5[[#This Row],[限制等级]]-18)/3.5)  - 1) / 100 + 0.05 * (MIN(13,(表2_5[[#This Row],[限制等级]]-18)/3.5)  - 1),1)</f>
        <v>106</v>
      </c>
      <c r="AJ5">
        <f>IF(表2_5[[#This Row],[限制等级]]&gt;=30,120,30)</f>
        <v>30</v>
      </c>
      <c r="AK5">
        <f>0.9+(1.1-0.9)*表2_5[[#This Row],[冲击力]]/(表2_5[[#This Row],[冲击力]]+50)</f>
        <v>1.0990049751243782</v>
      </c>
      <c r="AL5">
        <f>IF(表2_5[[#This Row],[周期伤害]] &lt;=表2_5[[#This Row],[加权周期伤害]]* 5,0.7+0.6/(1+EXP(-(表2_5[[#This Row],[加权周期伤害]]-表2_5[[#This Row],[周期伤害]])/(表2_5[[#This Row],[加权周期伤害]]))),0.1+1.5/(1+EXP(-(表2_5[[#This Row],[加权周期伤害]]-表2_5[[#This Row],[周期伤害]])/(表2_5[[#This Row],[加权周期伤害]]*10))))</f>
        <v>0.91928088105956696</v>
      </c>
      <c r="AM5">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3922.5454608011109</v>
      </c>
      <c r="AN5">
        <f>1000*表2_5[[#This Row],[周期伤害]]/(表2_5[[#This Row],[射击间隔]]*表2_5[[#This Row],[弹容量]])</f>
        <v>4274.683064668483</v>
      </c>
      <c r="AO5">
        <f>IF(表2_5[[#This Row],[周期dps]]&lt;=表2_5[[#This Row],[平衡dps]] * 2,0.85+0.3365/(1+EXP(-(表2_5[[#This Row],[平衡dps]]-表2_5[[#This Row],[周期dps]])/(表2_5[[#This Row],[平衡dps]]))),0.37+1.68/(1+EXP(-(表2_5[[#This Row],[平衡dps]]-表2_5[[#This Row],[周期dps]])/(表2_5[[#This Row],[平衡dps]]*1.5))))</f>
        <v>1.005213748461754</v>
      </c>
    </row>
    <row r="6" spans="1:41" x14ac:dyDescent="0.3">
      <c r="A6" s="2"/>
      <c r="B6" s="1" t="s">
        <v>25</v>
      </c>
      <c r="C6" t="s">
        <v>279</v>
      </c>
      <c r="D6" s="12">
        <v>30</v>
      </c>
      <c r="E6" s="12">
        <v>260</v>
      </c>
      <c r="F6" s="12">
        <v>90</v>
      </c>
      <c r="G6" s="12">
        <v>50</v>
      </c>
      <c r="H6" s="12">
        <v>200</v>
      </c>
      <c r="I6" s="12">
        <v>3</v>
      </c>
      <c r="J6" s="13">
        <v>1</v>
      </c>
      <c r="K6" s="13">
        <v>1</v>
      </c>
      <c r="L6" s="12">
        <v>1</v>
      </c>
      <c r="M6" s="12">
        <v>1</v>
      </c>
      <c r="N6" s="12">
        <v>35</v>
      </c>
      <c r="O6" s="12">
        <v>0</v>
      </c>
      <c r="Q6" s="17">
        <f>1000*表2_5[[#This Row],[周期伤害]]/(表2_5[[#This Row],[射击间隔]]*(表2_5[[#This Row],[弹容量]]-1)+900*表2_5[[#This Row],[双枪系数]])</f>
        <v>8159.4099504208452</v>
      </c>
      <c r="S6" s="17">
        <f>表2_5[[#This Row],[平衡dps]]*表2_5[[#This Row],[周期dps系数]]*表2_5[[#This Row],[吃拐系数]]*1.1^表2_5[[#This Row],[额外加权层数]]</f>
        <v>8110.1198780917202</v>
      </c>
      <c r="V6">
        <f>表2_5[[#This Row],[平衡裸伤dps]]+表2_5[[#This Row],[平衡增益dps]]</f>
        <v>8091.3454019548099</v>
      </c>
      <c r="W6">
        <f>(表2_5[[#This Row],[子弹威力]]*1.5+30+表2_5[[#This Row],[子弹威力]]*2*表2_5[[#This Row],[限制等级]]/256+表2_5[[#This Row],[伤害加成]]+表2_5[[#This Row],[剧毒]]/(表2_5[[#This Row],[霰弹值]]*3^(表2_5[[#This Row],[穿刺系数]]-1)))*表2_5[[#This Row],[穿刺系数]]*表2_5[[#This Row],[弹容量]]*(1+(表2_5[[#This Row],[霰弹值]]-1)*0.5)</f>
        <v>43326.466836734689</v>
      </c>
      <c r="X6">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37340.282352941183</v>
      </c>
      <c r="Y6">
        <f>表2_5[[#This Row],[平衡周期伤害]]*1.25^表2_5[[#This Row],[额外加权层数]]</f>
        <v>37340.282352941183</v>
      </c>
      <c r="Z6">
        <f>1000*(表2_5[[#This Row],[子弹威力]]*1.5+30)*表2_5[[#This Row],[穿刺系数]]*表2_5[[#This Row],[弹容量]]*(1+(表2_5[[#This Row],[霰弹值]]-1)*0.5)/(表2_5[[#This Row],[射击间隔]]*(表2_5[[#This Row],[弹容量]]-1)+900*表2_5[[#This Row],[双枪系数]])</f>
        <v>3954.8022598870057</v>
      </c>
      <c r="AA6">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3875.5988913635333</v>
      </c>
      <c r="AB6">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4204.6076905338405</v>
      </c>
      <c r="AC6">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4215.7465105912761</v>
      </c>
      <c r="AD6">
        <f>1000*表2_5[[#This Row],[弹容量]]/(表2_5[[#This Row],[射击间隔]]*(表2_5[[#This Row],[弹容量]]-1)+900*表2_5[[#This Row],[双枪系数]])</f>
        <v>9.4161958568738235</v>
      </c>
      <c r="AE6">
        <f>1000*(表2_5[[#This Row],[穿刺系数]]*表2_5[[#This Row],[弹容量]]*(1+(表2_5[[#This Row],[霰弹值]]-1)*0.5)/(表2_5[[#This Row],[射击间隔]]*(表2_5[[#This Row],[弹容量]]-1)+900*表2_5[[#This Row],[双枪系数]]))</f>
        <v>9.4161958568738218</v>
      </c>
      <c r="AF6">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6">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6533.639561076945</v>
      </c>
      <c r="AH6">
        <f>(表2_5[[#This Row],[子弹威力]]*1.5+30+表2_5[[#This Row],[子弹威力]]*2*表2_5[[#This Row],[限制等级]]/256+表2_5[[#This Row],[伤害加成]]+表2_5[[#This Row],[剧毒]]/表2_5[[#This Row],[霰弹值]])</f>
        <v>866.52933673469386</v>
      </c>
      <c r="AI6">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6">
        <f>IF(表2_5[[#This Row],[限制等级]]&gt;=30,120,30)</f>
        <v>120</v>
      </c>
      <c r="AK6">
        <f>0.9+(1.1-0.9)*表2_5[[#This Row],[冲击力]]/(表2_5[[#This Row],[冲击力]]+50)</f>
        <v>0.98235294117647065</v>
      </c>
      <c r="AL6">
        <f>IF(表2_5[[#This Row],[周期伤害]] &lt;=表2_5[[#This Row],[加权周期伤害]]* 5,0.7+0.6/(1+EXP(-(表2_5[[#This Row],[加权周期伤害]]-表2_5[[#This Row],[周期伤害]])/(表2_5[[#This Row],[加权周期伤害]]))),0.1+1.5/(1+EXP(-(表2_5[[#This Row],[加权周期伤害]]-表2_5[[#This Row],[周期伤害]])/(表2_5[[#This Row],[加权周期伤害]]*10))))</f>
        <v>0.97600421230165579</v>
      </c>
      <c r="AM6">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8159.4099504208452</v>
      </c>
      <c r="AN6">
        <f>1000*表2_5[[#This Row],[周期伤害]]/(表2_5[[#This Row],[射击间隔]]*表2_5[[#This Row],[弹容量]])</f>
        <v>9628.1037414965976</v>
      </c>
      <c r="AO6">
        <f>IF(表2_5[[#This Row],[周期dps]]&lt;=表2_5[[#This Row],[平衡dps]] * 2,0.85+0.3365/(1+EXP(-(表2_5[[#This Row],[平衡dps]]-表2_5[[#This Row],[周期dps]])/(表2_5[[#This Row],[平衡dps]]))),0.37+1.68/(1+EXP(-(表2_5[[#This Row],[平衡dps]]-表2_5[[#This Row],[周期dps]])/(表2_5[[#This Row],[平衡dps]]*1.5))))</f>
        <v>1.0023203157453116</v>
      </c>
    </row>
    <row r="7" spans="1:41" x14ac:dyDescent="0.3">
      <c r="A7" s="6" t="s">
        <v>149</v>
      </c>
      <c r="B7" s="3"/>
      <c r="C7" t="s">
        <v>281</v>
      </c>
      <c r="D7" s="12">
        <v>28</v>
      </c>
      <c r="E7" s="12">
        <v>1300</v>
      </c>
      <c r="F7" s="12">
        <v>650</v>
      </c>
      <c r="G7" s="12">
        <v>9</v>
      </c>
      <c r="H7" s="12">
        <v>1000</v>
      </c>
      <c r="I7" s="12">
        <v>8</v>
      </c>
      <c r="J7" s="13">
        <v>1</v>
      </c>
      <c r="K7" s="12">
        <v>2</v>
      </c>
      <c r="L7" s="12">
        <v>1</v>
      </c>
      <c r="M7" s="12">
        <v>1</v>
      </c>
      <c r="N7" s="12">
        <v>3</v>
      </c>
      <c r="O7" s="12">
        <v>0</v>
      </c>
      <c r="Q7" s="17">
        <f>1000*表2_5[[#This Row],[周期伤害]]/(表2_5[[#This Row],[射击间隔]]*(表2_5[[#This Row],[弹容量]]-1)+900*表2_5[[#This Row],[双枪系数]])</f>
        <v>7413.1825694212112</v>
      </c>
      <c r="S7" s="17">
        <f>表2_5[[#This Row],[平衡dps]]*表2_5[[#This Row],[周期dps系数]]*表2_5[[#This Row],[吃拐系数]]*1.1^表2_5[[#This Row],[额外加权层数]]</f>
        <v>7546.0677228024406</v>
      </c>
      <c r="V7">
        <f>表2_5[[#This Row],[平衡裸伤dps]]+表2_5[[#This Row],[平衡增益dps]]</f>
        <v>7435.1735866335648</v>
      </c>
      <c r="W7">
        <f>(表2_5[[#This Row],[子弹威力]]*1.5+30+表2_5[[#This Row],[子弹威力]]*2*表2_5[[#This Row],[限制等级]]/256+表2_5[[#This Row],[伤害加成]]+表2_5[[#This Row],[剧毒]]/(表2_5[[#This Row],[霰弹值]]*3^(表2_5[[#This Row],[穿刺系数]]-1)))*表2_5[[#This Row],[穿刺系数]]*表2_5[[#This Row],[弹容量]]*(1+(表2_5[[#This Row],[霰弹值]]-1)*0.5)</f>
        <v>45220.413673469389</v>
      </c>
      <c r="X7">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38762.792452830188</v>
      </c>
      <c r="Y7">
        <f>表2_5[[#This Row],[平衡周期伤害]]*1.25^表2_5[[#This Row],[额外加权层数]]</f>
        <v>38762.792452830188</v>
      </c>
      <c r="Z7">
        <f>1000*(表2_5[[#This Row],[子弹威力]]*1.5+30)*表2_5[[#This Row],[穿刺系数]]*表2_5[[#This Row],[弹容量]]*(1+(表2_5[[#This Row],[霰弹值]]-1)*0.5)/(表2_5[[#This Row],[射击间隔]]*(表2_5[[#This Row],[弹容量]]-1)+900*表2_5[[#This Row],[双枪系数]])</f>
        <v>5842.622950819672</v>
      </c>
      <c r="AA7">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4497.3035285639362</v>
      </c>
      <c r="AB7">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1570.5596186015389</v>
      </c>
      <c r="AC7">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2937.8700580696286</v>
      </c>
      <c r="AD7">
        <f>1000*表2_5[[#This Row],[弹容量]]/(表2_5[[#This Row],[射击间隔]]*(表2_5[[#This Row],[弹容量]]-1)+900*表2_5[[#This Row],[双枪系数]])</f>
        <v>1.4754098360655739</v>
      </c>
      <c r="AE7">
        <f>1000*(表2_5[[#This Row],[穿刺系数]]*表2_5[[#This Row],[弹容量]]*(1+(表2_5[[#This Row],[霰弹值]]-1)*0.5)/(表2_5[[#This Row],[射击间隔]]*(表2_5[[#This Row],[弹容量]]-1)+900*表2_5[[#This Row],[双枪系数]]))</f>
        <v>2.9508196721311477</v>
      </c>
      <c r="AF7">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7">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7004.0280678948675</v>
      </c>
      <c r="AH7">
        <f>(表2_5[[#This Row],[子弹威力]]*1.5+30+表2_5[[#This Row],[子弹威力]]*2*表2_5[[#This Row],[限制等级]]/256+表2_5[[#This Row],[伤害加成]]+表2_5[[#This Row],[剧毒]]/表2_5[[#This Row],[霰弹值]])</f>
        <v>2532.2452040816329</v>
      </c>
      <c r="AI7">
        <f>IF(表2_5[[#This Row],[限制等级]]&gt;=35,17*表2_5[[#This Row],[限制等级]]-330,7*表2_5[[#This Row],[限制等级]]+15) * IF(表2_5[[#This Row],[限制等级]]&gt;=25, 1 + (MIN(13,(表2_5[[#This Row],[限制等级]]-18)/3.5) - 1) * (MIN(13,(表2_5[[#This Row],[限制等级]]-18)/3.5)  - 1) / 100 + 0.05 * (MIN(13,(表2_5[[#This Row],[限制等级]]-18)/3.5)  - 1),1)</f>
        <v>237.87020408163269</v>
      </c>
      <c r="AJ7">
        <f>IF(表2_5[[#This Row],[限制等级]]&gt;=30,120,30)</f>
        <v>30</v>
      </c>
      <c r="AK7">
        <f>0.9+(1.1-0.9)*表2_5[[#This Row],[冲击力]]/(表2_5[[#This Row],[冲击力]]+50)</f>
        <v>0.91132075471698115</v>
      </c>
      <c r="AL7">
        <f>IF(表2_5[[#This Row],[周期伤害]] &lt;=表2_5[[#This Row],[加权周期伤害]]* 5,0.7+0.6/(1+EXP(-(表2_5[[#This Row],[加权周期伤害]]-表2_5[[#This Row],[周期伤害]])/(表2_5[[#This Row],[加权周期伤害]]))),0.1+1.5/(1+EXP(-(表2_5[[#This Row],[加权周期伤害]]-表2_5[[#This Row],[周期伤害]])/(表2_5[[#This Row],[加权周期伤害]]*10))))</f>
        <v>0.97506864015149008</v>
      </c>
      <c r="AM7">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7413.1825694212112</v>
      </c>
      <c r="AN7">
        <f>1000*表2_5[[#This Row],[周期伤害]]/(表2_5[[#This Row],[射击间隔]]*表2_5[[#This Row],[弹容量]])</f>
        <v>7729.9852433281003</v>
      </c>
      <c r="AO7">
        <f>IF(表2_5[[#This Row],[周期dps]]&lt;=表2_5[[#This Row],[平衡dps]] * 2,0.85+0.3365/(1+EXP(-(表2_5[[#This Row],[平衡dps]]-表2_5[[#This Row],[周期dps]])/(表2_5[[#This Row],[平衡dps]]))),0.37+1.68/(1+EXP(-(表2_5[[#This Row],[平衡dps]]-表2_5[[#This Row],[周期dps]])/(表2_5[[#This Row],[平衡dps]]*1.5))))</f>
        <v>1.0149148012318412</v>
      </c>
    </row>
    <row r="8" spans="1:41" x14ac:dyDescent="0.3">
      <c r="A8" s="6" t="s">
        <v>150</v>
      </c>
      <c r="B8" s="3"/>
      <c r="C8" t="s">
        <v>283</v>
      </c>
      <c r="D8" s="12">
        <v>35</v>
      </c>
      <c r="E8" s="12">
        <v>900</v>
      </c>
      <c r="F8" s="12">
        <v>100</v>
      </c>
      <c r="G8" s="12">
        <v>10</v>
      </c>
      <c r="H8" s="12">
        <v>500</v>
      </c>
      <c r="I8" s="12">
        <v>3</v>
      </c>
      <c r="J8" s="13">
        <v>1</v>
      </c>
      <c r="K8" s="12">
        <v>1</v>
      </c>
      <c r="L8" s="12">
        <v>1</v>
      </c>
      <c r="M8" s="12">
        <v>1</v>
      </c>
      <c r="N8" s="12">
        <v>10</v>
      </c>
      <c r="O8" s="12">
        <v>0</v>
      </c>
      <c r="Q8" s="17">
        <f>1000*表2_5[[#This Row],[周期伤害]]/(表2_5[[#This Row],[射击间隔]]*(表2_5[[#This Row],[弹容量]]-1)+900*表2_5[[#This Row],[双枪系数]])</f>
        <v>11675.702239229027</v>
      </c>
      <c r="S8" s="17">
        <f>表2_5[[#This Row],[平衡dps]]*表2_5[[#This Row],[周期dps系数]]*表2_5[[#This Row],[吃拐系数]]*1.1^表2_5[[#This Row],[额外加权层数]]</f>
        <v>11427.579493597848</v>
      </c>
      <c r="V8">
        <f>表2_5[[#This Row],[平衡裸伤dps]]+表2_5[[#This Row],[平衡增益dps]]</f>
        <v>11938.57755418683</v>
      </c>
      <c r="W8">
        <f>(表2_5[[#This Row],[子弹威力]]*1.5+30+表2_5[[#This Row],[子弹威力]]*2*表2_5[[#This Row],[限制等级]]/256+表2_5[[#This Row],[伤害加成]]+表2_5[[#This Row],[剧毒]]/(表2_5[[#This Row],[霰弹值]]*3^(表2_5[[#This Row],[穿刺系数]]-1)))*表2_5[[#This Row],[穿刺系数]]*表2_5[[#This Row],[弹容量]]*(1+(表2_5[[#This Row],[霰弹值]]-1)*0.5)</f>
        <v>21016.264030612248</v>
      </c>
      <c r="X8">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42810.400000000001</v>
      </c>
      <c r="Y8">
        <f>表2_5[[#This Row],[平衡周期伤害]]*1.25^表2_5[[#This Row],[额外加权层数]]</f>
        <v>42810.400000000001</v>
      </c>
      <c r="Z8">
        <f>1000*(表2_5[[#This Row],[子弹威力]]*1.5+30)*表2_5[[#This Row],[穿刺系数]]*表2_5[[#This Row],[弹容量]]*(1+(表2_5[[#This Row],[霰弹值]]-1)*0.5)/(表2_5[[#This Row],[射击间隔]]*(表2_5[[#This Row],[弹容量]]-1)+900*表2_5[[#This Row],[双枪系数]])</f>
        <v>7666.666666666667</v>
      </c>
      <c r="AA8">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6077.7069841416824</v>
      </c>
      <c r="AB8">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4009.0355725623576</v>
      </c>
      <c r="AC8">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5860.8705700451474</v>
      </c>
      <c r="AD8">
        <f>1000*表2_5[[#This Row],[弹容量]]/(表2_5[[#This Row],[射击间隔]]*(表2_5[[#This Row],[弹容量]]-1)+900*表2_5[[#This Row],[双枪系数]])</f>
        <v>5.5555555555555554</v>
      </c>
      <c r="AE8">
        <f>1000*(表2_5[[#This Row],[穿刺系数]]*表2_5[[#This Row],[弹容量]]*(1+(表2_5[[#This Row],[霰弹值]]-1)*0.5)/(表2_5[[#This Row],[射击间隔]]*(表2_5[[#This Row],[弹容量]]-1)+900*表2_5[[#This Row],[双枪系数]]))</f>
        <v>5.5555555555555554</v>
      </c>
      <c r="AF8">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8">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9983.7464921642149</v>
      </c>
      <c r="AH8">
        <f>(表2_5[[#This Row],[子弹威力]]*1.5+30+表2_5[[#This Row],[子弹威力]]*2*表2_5[[#This Row],[限制等级]]/256+表2_5[[#This Row],[伤害加成]]+表2_5[[#This Row],[剧毒]]/表2_5[[#This Row],[霰弹值]])</f>
        <v>2101.6264030612247</v>
      </c>
      <c r="AI8">
        <f>IF(表2_5[[#This Row],[限制等级]]&gt;=35,17*表2_5[[#This Row],[限制等级]]-330,7*表2_5[[#This Row],[限制等级]]+15) * IF(表2_5[[#This Row],[限制等级]]&gt;=25, 1 + (MIN(13,(表2_5[[#This Row],[限制等级]]-18)/3.5) - 1) * (MIN(13,(表2_5[[#This Row],[限制等级]]-18)/3.5)  - 1) / 100 + 0.05 * (MIN(13,(表2_5[[#This Row],[限制等级]]-18)/3.5)  - 1),1)</f>
        <v>355.53265306122444</v>
      </c>
      <c r="AJ8">
        <f>IF(表2_5[[#This Row],[限制等级]]&gt;=30,120,30)</f>
        <v>120</v>
      </c>
      <c r="AK8">
        <f>0.9+(1.1-0.9)*表2_5[[#This Row],[冲击力]]/(表2_5[[#This Row],[冲击力]]+50)</f>
        <v>0.93333333333333335</v>
      </c>
      <c r="AL8">
        <f>IF(表2_5[[#This Row],[周期伤害]] &lt;=表2_5[[#This Row],[加权周期伤害]]* 5,0.7+0.6/(1+EXP(-(表2_5[[#This Row],[加权周期伤害]]-表2_5[[#This Row],[周期伤害]])/(表2_5[[#This Row],[加权周期伤害]]))),0.1+1.5/(1+EXP(-(表2_5[[#This Row],[加权周期伤害]]-表2_5[[#This Row],[周期伤害]])/(表2_5[[#This Row],[加权周期伤害]]*10))))</f>
        <v>1.0747551830293407</v>
      </c>
      <c r="AM8">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11675.702239229026</v>
      </c>
      <c r="AN8">
        <f>1000*表2_5[[#This Row],[周期伤害]]/(表2_5[[#This Row],[射击间隔]]*表2_5[[#This Row],[弹容量]])</f>
        <v>21016.264030612248</v>
      </c>
      <c r="AO8">
        <f>IF(表2_5[[#This Row],[周期dps]]&lt;=表2_5[[#This Row],[平衡dps]] * 2,0.85+0.3365/(1+EXP(-(表2_5[[#This Row],[平衡dps]]-表2_5[[#This Row],[周期dps]])/(表2_5[[#This Row],[平衡dps]]))),0.37+1.68/(1+EXP(-(表2_5[[#This Row],[平衡dps]]-表2_5[[#This Row],[周期dps]])/(表2_5[[#This Row],[平衡dps]]*1.5))))</f>
        <v>0.95719774334340391</v>
      </c>
    </row>
    <row r="9" spans="1:41" x14ac:dyDescent="0.3">
      <c r="A9" s="6" t="s">
        <v>157</v>
      </c>
      <c r="B9" s="3"/>
    </row>
    <row r="10" spans="1:41" x14ac:dyDescent="0.3">
      <c r="A10" s="7" t="s">
        <v>154</v>
      </c>
      <c r="B10" s="30" t="s">
        <v>16</v>
      </c>
      <c r="C10" s="27" t="s">
        <v>17</v>
      </c>
      <c r="D10" s="31">
        <v>13</v>
      </c>
      <c r="E10" s="31">
        <v>70</v>
      </c>
      <c r="F10" s="31">
        <v>70</v>
      </c>
      <c r="G10" s="31">
        <v>50</v>
      </c>
      <c r="H10" s="31">
        <v>150</v>
      </c>
      <c r="I10" s="31">
        <v>3.9</v>
      </c>
      <c r="J10" s="31">
        <v>2</v>
      </c>
      <c r="K10" s="31">
        <v>1</v>
      </c>
      <c r="L10" s="27">
        <v>1</v>
      </c>
      <c r="M10" s="31">
        <v>1</v>
      </c>
      <c r="N10" s="31">
        <v>50</v>
      </c>
      <c r="O10" s="31">
        <v>0</v>
      </c>
      <c r="P10" s="27"/>
      <c r="Q10">
        <f>1000*表2_5[[#This Row],[周期伤害]]/(表2_5[[#This Row],[射击间隔]]*(表2_5[[#This Row],[弹容量]]-1)+900*表2_5[[#This Row],[双枪系数]])</f>
        <v>2228.5791108986614</v>
      </c>
      <c r="S10">
        <f>表2_5[[#This Row],[平衡dps]]*表2_5[[#This Row],[周期dps系数]]*表2_5[[#This Row],[吃拐系数]]*1.1^表2_5[[#This Row],[额外加权层数]]</f>
        <v>2231.1009556651052</v>
      </c>
      <c r="T10" s="27"/>
      <c r="U10" s="27"/>
      <c r="V10">
        <f>表2_5[[#This Row],[平衡裸伤dps]]+表2_5[[#This Row],[平衡增益dps]]</f>
        <v>2276.6301183183987</v>
      </c>
      <c r="W10">
        <f>(表2_5[[#This Row],[子弹威力]]+20+表2_5[[#This Row],[子弹威力]]*2*表2_5[[#This Row],[限制等级]]/256+表2_5[[#This Row],[伤害加成]]+表2_5[[#This Row],[剧毒]]/(表2_5[[#This Row],[霰弹值]]*3^(表2_5[[#This Row],[穿刺系数]]-1)))*表2_5[[#This Row],[穿刺系数]]*表2_5[[#This Row],[弹容量]]*(1+(表2_5[[#This Row],[霰弹值]]-1)*0.5)</f>
        <v>11655.46875</v>
      </c>
      <c r="X10">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11354.4</v>
      </c>
      <c r="Y10">
        <f>表2_5[[#This Row],[平衡周期伤害]]*1.25^表2_5[[#This Row],[额外加权层数]]</f>
        <v>11354.4</v>
      </c>
      <c r="Z10">
        <f>1000*(表2_5[[#This Row],[子弹威力]]+20)*表2_5[[#This Row],[穿刺系数]]*表2_5[[#This Row],[弹容量]]*(1+(表2_5[[#This Row],[霰弹值]]-1)*0.5)/(表2_5[[#This Row],[射击间隔]]*(表2_5[[#This Row],[弹容量]]-1)+900*表2_5[[#This Row],[双枪系数]])</f>
        <v>860.42065009560224</v>
      </c>
      <c r="AA10">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1322.1865617882506</v>
      </c>
      <c r="AB10">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1368.1584608030594</v>
      </c>
      <c r="AC10">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954.44355653014827</v>
      </c>
      <c r="AD10">
        <f>1000*表2_5[[#This Row],[弹容量]]/(表2_5[[#This Row],[射击间隔]]*(表2_5[[#This Row],[弹容量]]-1)+900*表2_5[[#This Row],[双枪系数]])</f>
        <v>9.5602294455066925</v>
      </c>
      <c r="AE10">
        <f>1000*(表2_5[[#This Row],[穿刺系数]]*表2_5[[#This Row],[弹容量]]*(1+(表2_5[[#This Row],[霰弹值]]-1)*0.5)/(表2_5[[#This Row],[射击间隔]]*(表2_5[[#This Row],[弹容量]]-1)+900*表2_5[[#This Row],[双枪系数]]))</f>
        <v>9.5602294455066925</v>
      </c>
      <c r="AF10">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0">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2108.3018369545916</v>
      </c>
      <c r="AH10" s="27">
        <f>(表2_5[[#This Row],[子弹威力]]+20+表2_5[[#This Row],[子弹威力]]*2*表2_5[[#This Row],[限制等级]]/256+表2_5[[#This Row],[伤害加成]]+表2_5[[#This Row],[剧毒]]/表2_5[[#This Row],[霰弹值]])</f>
        <v>233.109375</v>
      </c>
      <c r="AI10">
        <f>IF(表2_5[[#This Row],[限制等级]]&gt;=35,17*表2_5[[#This Row],[限制等级]]-330,7*表2_5[[#This Row],[限制等级]]+15) * IF(表2_5[[#This Row],[限制等级]]&gt;=25, 1 + (MIN(13,(表2_5[[#This Row],[限制等级]]-18)/3.5) - 1) * (MIN(13,(表2_5[[#This Row],[限制等级]]-18)/3.5)  - 1) / 100 + 0.05 * (MIN(13,(表2_5[[#This Row],[限制等级]]-18)/3.5)  - 1),1)</f>
        <v>106</v>
      </c>
      <c r="AJ10" s="32">
        <f>IF(表2_5[[#This Row],[限制等级]]&gt;=30,120,30)</f>
        <v>30</v>
      </c>
      <c r="AK10">
        <f>0.9+(1.1-0.9)*表2_5[[#This Row],[冲击力]]/(表2_5[[#This Row],[冲击力]]+50)</f>
        <v>1</v>
      </c>
      <c r="AL10">
        <f>IF(表2_5[[#This Row],[周期伤害]] &lt;=表2_5[[#This Row],[加权周期伤害]]* 5,0.7+0.6/(1+EXP(-(表2_5[[#This Row],[加权周期伤害]]-表2_5[[#This Row],[周期伤害]])/(表2_5[[#This Row],[加权周期伤害]]))),0.1+1.5/(1+EXP(-(表2_5[[#This Row],[加权周期伤害]]-表2_5[[#This Row],[周期伤害]])/(表2_5[[#This Row],[加权周期伤害]]*10))))</f>
        <v>0.99602289273285605</v>
      </c>
      <c r="AM10">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2228.5791108986614</v>
      </c>
      <c r="AN10">
        <f>1000*表2_5[[#This Row],[周期伤害]]/(表2_5[[#This Row],[射击间隔]]*表2_5[[#This Row],[弹容量]])</f>
        <v>3330.1339285714284</v>
      </c>
      <c r="AO10">
        <f>IF(表2_5[[#This Row],[周期dps]]&lt;=表2_5[[#This Row],[平衡dps]] * 2,0.85+0.3365/(1+EXP(-(表2_5[[#This Row],[平衡dps]]-表2_5[[#This Row],[周期dps]])/(表2_5[[#This Row],[平衡dps]]))),0.37+1.68/(1+EXP(-(表2_5[[#This Row],[平衡dps]]-表2_5[[#This Row],[周期dps]])/(表2_5[[#This Row],[平衡dps]]*1.5))))</f>
        <v>0.98000151087919229</v>
      </c>
    </row>
    <row r="11" spans="1:41" x14ac:dyDescent="0.3">
      <c r="A11" s="7" t="s">
        <v>155</v>
      </c>
      <c r="B11" s="30" t="s">
        <v>21</v>
      </c>
      <c r="C11" s="27" t="s">
        <v>26</v>
      </c>
      <c r="D11" s="27">
        <v>22</v>
      </c>
      <c r="E11" s="27">
        <v>750</v>
      </c>
      <c r="F11" s="27">
        <v>300</v>
      </c>
      <c r="G11" s="27">
        <v>6</v>
      </c>
      <c r="H11" s="27">
        <v>300</v>
      </c>
      <c r="I11" s="27">
        <v>1</v>
      </c>
      <c r="J11" s="27">
        <v>2</v>
      </c>
      <c r="K11" s="27">
        <v>2</v>
      </c>
      <c r="L11" s="27">
        <v>1</v>
      </c>
      <c r="M11" s="27">
        <v>1</v>
      </c>
      <c r="N11" s="27">
        <v>10</v>
      </c>
      <c r="O11" s="27">
        <v>1</v>
      </c>
      <c r="P11" s="27"/>
      <c r="Q11">
        <f>1000*表2_5[[#This Row],[周期伤害]]/(表2_5[[#This Row],[射击间隔]]*(表2_5[[#This Row],[弹容量]]-1)+900*表2_5[[#This Row],[双枪系数]])</f>
        <v>3919.659090909091</v>
      </c>
      <c r="S11">
        <f>表2_5[[#This Row],[平衡dps]]*表2_5[[#This Row],[周期dps系数]]*表2_5[[#This Row],[吃拐系数]]*1.1^表2_5[[#This Row],[额外加权层数]]</f>
        <v>3933.7139299260343</v>
      </c>
      <c r="T11" s="27"/>
      <c r="U11" s="27"/>
      <c r="V11">
        <f>表2_5[[#This Row],[平衡裸伤dps]]+表2_5[[#This Row],[平衡增益dps]]</f>
        <v>3776.03113711893</v>
      </c>
      <c r="W11">
        <f>(表2_5[[#This Row],[子弹威力]]+20+表2_5[[#This Row],[子弹威力]]*2*表2_5[[#This Row],[限制等级]]/256+表2_5[[#This Row],[伤害加成]]+表2_5[[#This Row],[剧毒]]/(表2_5[[#This Row],[霰弹值]]*3^(表2_5[[#This Row],[穿刺系数]]-1)))*表2_5[[#This Row],[穿刺系数]]*表2_5[[#This Row],[弹容量]]*(1+(表2_5[[#This Row],[霰弹值]]-1)*0.5)</f>
        <v>12934.875</v>
      </c>
      <c r="X11">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17003.599999999999</v>
      </c>
      <c r="Y11">
        <f>表2_5[[#This Row],[平衡周期伤害]]*1.25^表2_5[[#This Row],[额外加权层数]]</f>
        <v>21254.5</v>
      </c>
      <c r="Z11">
        <f>1000*(表2_5[[#This Row],[子弹威力]]+20)*表2_5[[#This Row],[穿刺系数]]*表2_5[[#This Row],[弹容量]]*(1+(表2_5[[#This Row],[霰弹值]]-1)*0.5)/(表2_5[[#This Row],[射击间隔]]*(表2_5[[#This Row],[弹容量]]-1)+900*表2_5[[#This Row],[双枪系数]])</f>
        <v>2800</v>
      </c>
      <c r="AA11">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2145.5382311354228</v>
      </c>
      <c r="AB11">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1119.659090909091</v>
      </c>
      <c r="AC11">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1630.4929059835074</v>
      </c>
      <c r="AD11">
        <f>1000*表2_5[[#This Row],[弹容量]]/(表2_5[[#This Row],[射击间隔]]*(表2_5[[#This Row],[弹容量]]-1)+900*表2_5[[#This Row],[双枪系数]])</f>
        <v>1.8181818181818181</v>
      </c>
      <c r="AE11">
        <f>1000*(表2_5[[#This Row],[穿刺系数]]*表2_5[[#This Row],[弹容量]]*(1+(表2_5[[#This Row],[霰弹值]]-1)*0.5)/(表2_5[[#This Row],[射击间隔]]*(表2_5[[#This Row],[弹容量]]-1)+900*表2_5[[#This Row],[双枪系数]]))</f>
        <v>3.6363636363636362</v>
      </c>
      <c r="AF11">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1">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3241.1440268611004</v>
      </c>
      <c r="AH11" s="27">
        <f>(表2_5[[#This Row],[子弹威力]]+20+表2_5[[#This Row],[子弹威力]]*2*表2_5[[#This Row],[限制等级]]/256+表2_5[[#This Row],[伤害加成]]+表2_5[[#This Row],[剧毒]]/表2_5[[#This Row],[霰弹值]])</f>
        <v>1097.90625</v>
      </c>
      <c r="AI11">
        <f>IF(表2_5[[#This Row],[限制等级]]&gt;=35,17*表2_5[[#This Row],[限制等级]]-330,7*表2_5[[#This Row],[限制等级]]+15) * IF(表2_5[[#This Row],[限制等级]]&gt;=25, 1 + (MIN(13,(表2_5[[#This Row],[限制等级]]-18)/3.5) - 1) * (MIN(13,(表2_5[[#This Row],[限制等级]]-18)/3.5)  - 1) / 100 + 0.05 * (MIN(13,(表2_5[[#This Row],[限制等级]]-18)/3.5)  - 1),1)</f>
        <v>169</v>
      </c>
      <c r="AJ11" s="32">
        <f>IF(表2_5[[#This Row],[限制等级]]&gt;=30,120,30)</f>
        <v>30</v>
      </c>
      <c r="AK11">
        <f>0.9+(1.1-0.9)*表2_5[[#This Row],[冲击力]]/(表2_5[[#This Row],[冲击力]]+50)</f>
        <v>0.93333333333333335</v>
      </c>
      <c r="AL11">
        <f>IF(表2_5[[#This Row],[周期伤害]] &lt;=表2_5[[#This Row],[加权周期伤害]]* 5,0.7+0.6/(1+EXP(-(表2_5[[#This Row],[加权周期伤害]]-表2_5[[#This Row],[周期伤害]])/(表2_5[[#This Row],[加权周期伤害]]))),0.1+1.5/(1+EXP(-(表2_5[[#This Row],[加权周期伤害]]-表2_5[[#This Row],[周期伤害]])/(表2_5[[#This Row],[加权周期伤害]]*10))))</f>
        <v>1.0579759745327066</v>
      </c>
      <c r="AM11">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3919.659090909091</v>
      </c>
      <c r="AN11">
        <f>1000*表2_5[[#This Row],[周期伤害]]/(表2_5[[#This Row],[射击间隔]]*表2_5[[#This Row],[弹容量]])</f>
        <v>7186.041666666667</v>
      </c>
      <c r="AO11">
        <f>IF(表2_5[[#This Row],[周期dps]]&lt;=表2_5[[#This Row],[平衡dps]] * 2,0.85+0.3365/(1+EXP(-(表2_5[[#This Row],[平衡dps]]-表2_5[[#This Row],[周期dps]])/(表2_5[[#This Row],[平衡dps]]))),0.37+1.68/(1+EXP(-(表2_5[[#This Row],[平衡dps]]-表2_5[[#This Row],[周期dps]])/(表2_5[[#This Row],[平衡dps]]*1.5))))</f>
        <v>0.94705351804608218</v>
      </c>
    </row>
    <row r="12" spans="1:41" x14ac:dyDescent="0.3">
      <c r="A12" s="7" t="s">
        <v>156</v>
      </c>
      <c r="B12" s="30" t="s">
        <v>277</v>
      </c>
      <c r="C12" s="27" t="s">
        <v>46</v>
      </c>
      <c r="D12" s="31">
        <v>13</v>
      </c>
      <c r="E12" s="31">
        <v>50</v>
      </c>
      <c r="F12" s="31">
        <v>330</v>
      </c>
      <c r="G12" s="31">
        <v>8</v>
      </c>
      <c r="H12" s="31">
        <v>150</v>
      </c>
      <c r="I12" s="31">
        <v>3</v>
      </c>
      <c r="J12" s="31">
        <v>2</v>
      </c>
      <c r="K12" s="31">
        <v>1</v>
      </c>
      <c r="L12" s="27">
        <v>1</v>
      </c>
      <c r="M12" s="31">
        <v>10</v>
      </c>
      <c r="N12" s="31">
        <v>20</v>
      </c>
      <c r="O12" s="31">
        <v>0</v>
      </c>
      <c r="P12" s="27"/>
      <c r="Q12">
        <f>1000*表2_5[[#This Row],[周期伤害]]/(表2_5[[#This Row],[射击间隔]]*(表2_5[[#This Row],[弹容量]]-1)+900*表2_5[[#This Row],[双枪系数]])</f>
        <v>1970.6660583941605</v>
      </c>
      <c r="S12">
        <f>表2_5[[#This Row],[平衡dps]]*表2_5[[#This Row],[周期dps系数]]*表2_5[[#This Row],[吃拐系数]]*1.1^表2_5[[#This Row],[额外加权层数]]</f>
        <v>2041.3034612513084</v>
      </c>
      <c r="T12" s="27"/>
      <c r="U12" s="27"/>
      <c r="V12">
        <f>表2_5[[#This Row],[平衡裸伤dps]]+表2_5[[#This Row],[平衡增益dps]]</f>
        <v>2084.4948563655889</v>
      </c>
      <c r="W12">
        <f>(表2_5[[#This Row],[子弹威力]]+20+表2_5[[#This Row],[子弹威力]]*2*表2_5[[#This Row],[限制等级]]/256+表2_5[[#This Row],[伤害加成]]+表2_5[[#This Row],[剧毒]]/(表2_5[[#This Row],[霰弹值]]*3^(表2_5[[#This Row],[穿刺系数]]-1)))*表2_5[[#This Row],[穿刺系数]]*表2_5[[#This Row],[弹容量]]*(1+(表2_5[[#This Row],[霰弹值]]-1)*0.5)</f>
        <v>8099.4375</v>
      </c>
      <c r="X12">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10586.571428571429</v>
      </c>
      <c r="Y12">
        <f>表2_5[[#This Row],[平衡周期伤害]]*1.25^表2_5[[#This Row],[额外加权层数]]</f>
        <v>10586.571428571429</v>
      </c>
      <c r="Z12">
        <f>1000*(表2_5[[#This Row],[子弹威力]]+20)*表2_5[[#This Row],[穿刺系数]]*表2_5[[#This Row],[弹容量]]*(1+(表2_5[[#This Row],[霰弹值]]-1)*0.5)/(表2_5[[#This Row],[射击间隔]]*(表2_5[[#This Row],[弹容量]]-1)+900*表2_5[[#This Row],[双枪系数]])</f>
        <v>749.3917274939173</v>
      </c>
      <c r="AA12">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1308.3323530734312</v>
      </c>
      <c r="AB12">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1221.2743309002433</v>
      </c>
      <c r="AC12">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776.16250329215745</v>
      </c>
      <c r="AD12">
        <f>1000*表2_5[[#This Row],[弹容量]]/(表2_5[[#This Row],[射击间隔]]*(表2_5[[#This Row],[弹容量]]-1)+900*表2_5[[#This Row],[双枪系数]])</f>
        <v>1.9464720194647203</v>
      </c>
      <c r="AE12">
        <f>1000*(表2_5[[#This Row],[穿刺系数]]*表2_5[[#This Row],[弹容量]]*(1+(表2_5[[#This Row],[霰弹值]]-1)*0.5)/(表2_5[[#This Row],[射击间隔]]*(表2_5[[#This Row],[弹容量]]-1)+900*表2_5[[#This Row],[双枪系数]]))</f>
        <v>10.70559610705596</v>
      </c>
      <c r="AF12">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2">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2069.0614476355054</v>
      </c>
      <c r="AH12" s="27">
        <f>(表2_5[[#This Row],[子弹威力]]+20+表2_5[[#This Row],[子弹威力]]*2*表2_5[[#This Row],[限制等级]]/256+表2_5[[#This Row],[伤害加成]]+表2_5[[#This Row],[剧毒]]/表2_5[[#This Row],[霰弹值]])</f>
        <v>184.078125</v>
      </c>
      <c r="AI12">
        <f>IF(表2_5[[#This Row],[限制等级]]&gt;=35,17*表2_5[[#This Row],[限制等级]]-330,7*表2_5[[#This Row],[限制等级]]+15) * IF(表2_5[[#This Row],[限制等级]]&gt;=25, 1 + (MIN(13,(表2_5[[#This Row],[限制等级]]-18)/3.5) - 1) * (MIN(13,(表2_5[[#This Row],[限制等级]]-18)/3.5)  - 1) / 100 + 0.05 * (MIN(13,(表2_5[[#This Row],[限制等级]]-18)/3.5)  - 1),1)</f>
        <v>106</v>
      </c>
      <c r="AJ12" s="32">
        <f>IF(表2_5[[#This Row],[限制等级]]&gt;=30,120,30)</f>
        <v>30</v>
      </c>
      <c r="AK12">
        <f>0.9+(1.1-0.9)*表2_5[[#This Row],[冲击力]]/(表2_5[[#This Row],[冲击力]]+50)</f>
        <v>0.95714285714285718</v>
      </c>
      <c r="AL12">
        <f>IF(表2_5[[#This Row],[周期伤害]] &lt;=表2_5[[#This Row],[加权周期伤害]]* 5,0.7+0.6/(1+EXP(-(表2_5[[#This Row],[加权周期伤害]]-表2_5[[#This Row],[周期伤害]])/(表2_5[[#This Row],[加权周期伤害]]))),0.1+1.5/(1+EXP(-(表2_5[[#This Row],[加权周期伤害]]-表2_5[[#This Row],[周期伤害]])/(表2_5[[#This Row],[加权周期伤害]]*10))))</f>
        <v>1.0350787401399311</v>
      </c>
      <c r="AM12">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1970.6660583941605</v>
      </c>
      <c r="AN12">
        <f>1000*表2_5[[#This Row],[周期伤害]]/(表2_5[[#This Row],[射击间隔]]*表2_5[[#This Row],[弹容量]])</f>
        <v>3067.96875</v>
      </c>
      <c r="AO12">
        <f>IF(表2_5[[#This Row],[周期dps]]&lt;=表2_5[[#This Row],[平衡dps]] * 2,0.85+0.3365/(1+EXP(-(表2_5[[#This Row],[平衡dps]]-表2_5[[#This Row],[周期dps]])/(表2_5[[#This Row],[平衡dps]]))),0.37+1.68/(1+EXP(-(表2_5[[#This Row],[平衡dps]]-表2_5[[#This Row],[周期dps]])/(表2_5[[#This Row],[平衡dps]]*1.5))))</f>
        <v>0.9792796825655945</v>
      </c>
    </row>
    <row r="13" spans="1:41" x14ac:dyDescent="0.3">
      <c r="A13" s="15" t="s">
        <v>148</v>
      </c>
      <c r="B13" s="1" t="s">
        <v>25</v>
      </c>
      <c r="C13" t="s">
        <v>280</v>
      </c>
      <c r="D13" s="12">
        <v>30</v>
      </c>
      <c r="E13" s="12">
        <v>170</v>
      </c>
      <c r="F13" s="12">
        <v>70</v>
      </c>
      <c r="G13" s="12">
        <v>50</v>
      </c>
      <c r="H13" s="12">
        <v>150</v>
      </c>
      <c r="I13" s="12">
        <v>2</v>
      </c>
      <c r="J13" s="13">
        <v>2</v>
      </c>
      <c r="K13" s="13">
        <v>1</v>
      </c>
      <c r="L13" s="12">
        <v>1</v>
      </c>
      <c r="M13" s="12">
        <v>1</v>
      </c>
      <c r="N13" s="12">
        <v>38</v>
      </c>
      <c r="O13" s="12">
        <v>0</v>
      </c>
      <c r="Q13" s="17">
        <f>1000*表2_5[[#This Row],[周期伤害]]/(表2_5[[#This Row],[射击间隔]]*(表2_5[[#This Row],[弹容量]]-1)+900*表2_5[[#This Row],[双枪系数]])</f>
        <v>5883.7054181137082</v>
      </c>
      <c r="S13" s="17">
        <f>表2_5[[#This Row],[平衡dps]]*表2_5[[#This Row],[周期dps系数]]*表2_5[[#This Row],[吃拐系数]]*1.1^表2_5[[#This Row],[额外加权层数]]</f>
        <v>5924.5007565598362</v>
      </c>
      <c r="V13">
        <f>表2_5[[#This Row],[平衡裸伤dps]]+表2_5[[#This Row],[平衡增益dps]]</f>
        <v>6041.6902686835838</v>
      </c>
      <c r="W13">
        <f>(表2_5[[#This Row],[子弹威力]]+20+表2_5[[#This Row],[子弹威力]]*2*表2_5[[#This Row],[限制等级]]/256+表2_5[[#This Row],[伤害加成]]+表2_5[[#This Row],[剧毒]]/(表2_5[[#This Row],[霰弹值]]*3^(表2_5[[#This Row],[穿刺系数]]-1)))*表2_5[[#This Row],[穿刺系数]]*表2_5[[#This Row],[弹容量]]*(1+(表2_5[[#This Row],[霰弹值]]-1)*0.5)</f>
        <v>30771.779336734693</v>
      </c>
      <c r="X1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25038.236363636366</v>
      </c>
      <c r="Y13">
        <f>表2_5[[#This Row],[平衡周期伤害]]*1.25^表2_5[[#This Row],[额外加权层数]]</f>
        <v>25038.236363636366</v>
      </c>
      <c r="Z13">
        <f>1000*(表2_5[[#This Row],[子弹威力]]+20)*表2_5[[#This Row],[穿刺系数]]*表2_5[[#This Row],[弹容量]]*(1+(表2_5[[#This Row],[霰弹值]]-1)*0.5)/(表2_5[[#This Row],[射击间隔]]*(表2_5[[#This Row],[弹容量]]-1)+900*表2_5[[#This Row],[双枪系数]])</f>
        <v>1816.4435946462715</v>
      </c>
      <c r="AA13">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2489.0361493029354</v>
      </c>
      <c r="AB1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4067.2618234674364</v>
      </c>
      <c r="AC1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3552.6541193806479</v>
      </c>
      <c r="AD13">
        <f>1000*表2_5[[#This Row],[弹容量]]/(表2_5[[#This Row],[射击间隔]]*(表2_5[[#This Row],[弹容量]]-1)+900*表2_5[[#This Row],[双枪系数]])</f>
        <v>9.5602294455066925</v>
      </c>
      <c r="AE13">
        <f>1000*(表2_5[[#This Row],[穿刺系数]]*表2_5[[#This Row],[弹容量]]*(1+(表2_5[[#This Row],[霰弹值]]-1)*0.5)/(表2_5[[#This Row],[射击间隔]]*(表2_5[[#This Row],[弹容量]]-1)+900*表2_5[[#This Row],[双枪系数]]))</f>
        <v>9.5602294455066925</v>
      </c>
      <c r="AF1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4169.3031384401083</v>
      </c>
      <c r="AH13" s="27">
        <f>(表2_5[[#This Row],[子弹威力]]+20+表2_5[[#This Row],[子弹威力]]*2*表2_5[[#This Row],[限制等级]]/256+表2_5[[#This Row],[伤害加成]]+表2_5[[#This Row],[剧毒]]/表2_5[[#This Row],[霰弹值]])</f>
        <v>615.43558673469386</v>
      </c>
      <c r="AI13">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13">
        <f>IF(表2_5[[#This Row],[限制等级]]&gt;=30,120,30)</f>
        <v>120</v>
      </c>
      <c r="AK13">
        <f>0.9+(1.1-0.9)*表2_5[[#This Row],[冲击力]]/(表2_5[[#This Row],[冲击力]]+50)</f>
        <v>0.98636363636363644</v>
      </c>
      <c r="AL13">
        <f>IF(表2_5[[#This Row],[周期伤害]] &lt;=表2_5[[#This Row],[加权周期伤害]]* 5,0.7+0.6/(1+EXP(-(表2_5[[#This Row],[加权周期伤害]]-表2_5[[#This Row],[周期伤害]])/(表2_5[[#This Row],[加权周期伤害]]))),0.1+1.5/(1+EXP(-(表2_5[[#This Row],[加权周期伤害]]-表2_5[[#This Row],[周期伤害]])/(表2_5[[#This Row],[加权周期伤害]]*10))))</f>
        <v>0.96580058968991578</v>
      </c>
      <c r="AM13">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5883.7054181137082</v>
      </c>
      <c r="AN13">
        <f>1000*表2_5[[#This Row],[周期伤害]]/(表2_5[[#This Row],[射击间隔]]*表2_5[[#This Row],[弹容量]])</f>
        <v>8791.9369533527697</v>
      </c>
      <c r="AO13">
        <f>IF(表2_5[[#This Row],[周期dps]]&lt;=表2_5[[#This Row],[平衡dps]] * 2,0.85+0.3365/(1+EXP(-(表2_5[[#This Row],[平衡dps]]-表2_5[[#This Row],[周期dps]])/(表2_5[[#This Row],[平衡dps]]))),0.37+1.68/(1+EXP(-(表2_5[[#This Row],[平衡dps]]-表2_5[[#This Row],[周期dps]])/(表2_5[[#This Row],[平衡dps]]*1.5))))</f>
        <v>0.98060319100911442</v>
      </c>
    </row>
    <row r="14" spans="1:41" x14ac:dyDescent="0.3">
      <c r="A14" s="15" t="s">
        <v>158</v>
      </c>
      <c r="B14" s="3"/>
      <c r="C14" t="s">
        <v>282</v>
      </c>
      <c r="D14" s="12">
        <v>32</v>
      </c>
      <c r="E14" s="12">
        <v>135</v>
      </c>
      <c r="F14" s="12">
        <v>150</v>
      </c>
      <c r="G14" s="12">
        <v>50</v>
      </c>
      <c r="H14" s="12">
        <v>400</v>
      </c>
      <c r="I14" s="12">
        <v>3</v>
      </c>
      <c r="J14" s="13">
        <v>2</v>
      </c>
      <c r="K14" s="13">
        <v>2</v>
      </c>
      <c r="L14" s="12">
        <v>1</v>
      </c>
      <c r="M14" s="12">
        <v>1</v>
      </c>
      <c r="N14" s="12">
        <v>50</v>
      </c>
      <c r="O14" s="12">
        <v>0</v>
      </c>
      <c r="Q14" s="17">
        <f>1000*表2_5[[#This Row],[周期伤害]]/(表2_5[[#This Row],[射击间隔]]*(表2_5[[#This Row],[弹容量]]-1)+900*表2_5[[#This Row],[双枪系数]])</f>
        <v>5738.9071038251386</v>
      </c>
      <c r="S14" s="17">
        <f>表2_5[[#This Row],[平衡dps]]*表2_5[[#This Row],[周期dps系数]]*表2_5[[#This Row],[吃拐系数]]*1.1^表2_5[[#This Row],[额外加权层数]]</f>
        <v>5842.8543900366094</v>
      </c>
      <c r="V14">
        <f>表2_5[[#This Row],[平衡裸伤dps]]+表2_5[[#This Row],[平衡增益dps]]</f>
        <v>5834.2456624139559</v>
      </c>
      <c r="W14">
        <f>(表2_5[[#This Row],[子弹威力]]+20+表2_5[[#This Row],[子弹威力]]*2*表2_5[[#This Row],[限制等级]]/256+表2_5[[#This Row],[伤害加成]]+表2_5[[#This Row],[剧毒]]/(表2_5[[#This Row],[霰弹值]]*3^(表2_5[[#This Row],[穿刺系数]]-1)))*表2_5[[#This Row],[穿刺系数]]*表2_5[[#This Row],[弹容量]]*(1+(表2_5[[#This Row],[霰弹值]]-1)*0.5)</f>
        <v>52511.000000000015</v>
      </c>
      <c r="X1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28812.799999999999</v>
      </c>
      <c r="Y14">
        <f>表2_5[[#This Row],[平衡周期伤害]]*1.25^表2_5[[#This Row],[额外加权层数]]</f>
        <v>28812.799999999999</v>
      </c>
      <c r="Z14">
        <f>1000*(表2_5[[#This Row],[子弹威力]]+20)*表2_5[[#This Row],[穿刺系数]]*表2_5[[#This Row],[弹容量]]*(1+(表2_5[[#This Row],[霰弹值]]-1)*0.5)/(表2_5[[#This Row],[射击间隔]]*(表2_5[[#This Row],[弹容量]]-1)+900*表2_5[[#This Row],[双枪系数]])</f>
        <v>1693.9890710382513</v>
      </c>
      <c r="AA14">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2567.7053483038144</v>
      </c>
      <c r="AB1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4044.9180327868862</v>
      </c>
      <c r="AC1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3266.5403141101415</v>
      </c>
      <c r="AD14">
        <f>1000*表2_5[[#This Row],[弹容量]]/(表2_5[[#This Row],[射击间隔]]*(表2_5[[#This Row],[弹容量]]-1)+900*表2_5[[#This Row],[双枪系数]])</f>
        <v>5.4644808743169397</v>
      </c>
      <c r="AE14">
        <f>1000*(表2_5[[#This Row],[穿刺系数]]*表2_5[[#This Row],[弹容量]]*(1+(表2_5[[#This Row],[霰弹值]]-1)*0.5)/(表2_5[[#This Row],[射击间隔]]*(表2_5[[#This Row],[弹容量]]-1)+900*表2_5[[#This Row],[双枪系数]]))</f>
        <v>10.928961748633879</v>
      </c>
      <c r="AF1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4182.8150050415161</v>
      </c>
      <c r="AH14" s="27">
        <f>(表2_5[[#This Row],[子弹威力]]+20+表2_5[[#This Row],[子弹威力]]*2*表2_5[[#This Row],[限制等级]]/256+表2_5[[#This Row],[伤害加成]]+表2_5[[#This Row],[剧毒]]/表2_5[[#This Row],[霰弹值]])</f>
        <v>605.11000000000013</v>
      </c>
      <c r="AI14">
        <f>IF(表2_5[[#This Row],[限制等级]]&gt;=35,17*表2_5[[#This Row],[限制等级]]-330,7*表2_5[[#This Row],[限制等级]]+15) * IF(表2_5[[#This Row],[限制等级]]&gt;=25, 1 + (MIN(13,(表2_5[[#This Row],[限制等级]]-18)/3.5) - 1) * (MIN(13,(表2_5[[#This Row],[限制等级]]-18)/3.5)  - 1) / 100 + 0.05 * (MIN(13,(表2_5[[#This Row],[限制等级]]-18)/3.5)  - 1),1)</f>
        <v>296.36000000000007</v>
      </c>
      <c r="AJ14">
        <f>IF(表2_5[[#This Row],[限制等级]]&gt;=30,120,30)</f>
        <v>120</v>
      </c>
      <c r="AK14">
        <f>0.9+(1.1-0.9)*表2_5[[#This Row],[冲击力]]/(表2_5[[#This Row],[冲击力]]+50)</f>
        <v>1</v>
      </c>
      <c r="AL14">
        <f>IF(表2_5[[#This Row],[周期伤害]] &lt;=表2_5[[#This Row],[加权周期伤害]]* 5,0.7+0.6/(1+EXP(-(表2_5[[#This Row],[加权周期伤害]]-表2_5[[#This Row],[周期伤害]])/(表2_5[[#This Row],[加权周期伤害]]))),0.1+1.5/(1+EXP(-(表2_5[[#This Row],[加权周期伤害]]-表2_5[[#This Row],[周期伤害]])/(表2_5[[#This Row],[加权周期伤害]]*10))))</f>
        <v>0.88314139075221576</v>
      </c>
      <c r="AM14">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5738.9071038251386</v>
      </c>
      <c r="AN14">
        <f>1000*表2_5[[#This Row],[周期伤害]]/(表2_5[[#This Row],[射击间隔]]*表2_5[[#This Row],[弹容量]])</f>
        <v>7001.466666666669</v>
      </c>
      <c r="AO14">
        <f>IF(表2_5[[#This Row],[周期dps]]&lt;=表2_5[[#This Row],[平衡dps]] * 2,0.85+0.3365/(1+EXP(-(表2_5[[#This Row],[平衡dps]]-表2_5[[#This Row],[周期dps]])/(表2_5[[#This Row],[平衡dps]]))),0.37+1.68/(1+EXP(-(表2_5[[#This Row],[平衡dps]]-表2_5[[#This Row],[周期dps]])/(表2_5[[#This Row],[平衡dps]]*1.5))))</f>
        <v>1.0014755511030524</v>
      </c>
    </row>
    <row r="15" spans="1:41" x14ac:dyDescent="0.3">
      <c r="A15" s="15" t="s">
        <v>302</v>
      </c>
      <c r="B15" s="3"/>
      <c r="C15" t="s">
        <v>283</v>
      </c>
      <c r="D15" s="12">
        <v>15</v>
      </c>
      <c r="E15" s="12">
        <v>935</v>
      </c>
      <c r="F15" s="12">
        <v>200</v>
      </c>
      <c r="G15" s="12">
        <v>6</v>
      </c>
      <c r="H15" s="12">
        <v>300</v>
      </c>
      <c r="I15" s="12">
        <v>2</v>
      </c>
      <c r="J15" s="13">
        <v>2</v>
      </c>
      <c r="K15" s="12">
        <v>1</v>
      </c>
      <c r="L15" s="12">
        <v>1</v>
      </c>
      <c r="M15" s="12">
        <v>1</v>
      </c>
      <c r="N15" s="12">
        <v>10</v>
      </c>
      <c r="O15" s="12">
        <v>0</v>
      </c>
      <c r="Q15" s="17">
        <f>1000*表2_5[[#This Row],[周期伤害]]/(表2_5[[#This Row],[射击间隔]]*(表2_5[[#This Row],[弹容量]]-1)+900*表2_5[[#This Row],[双枪系数]])</f>
        <v>2602.6506696428573</v>
      </c>
      <c r="S15" s="17">
        <f>表2_5[[#This Row],[平衡dps]]*表2_5[[#This Row],[周期dps系数]]*表2_5[[#This Row],[吃拐系数]]*1.1^表2_5[[#This Row],[额外加权层数]]</f>
        <v>2602.6718973408651</v>
      </c>
      <c r="V15">
        <f>表2_5[[#This Row],[平衡裸伤dps]]+表2_5[[#This Row],[平衡增益dps]]</f>
        <v>2861.2992262827256</v>
      </c>
      <c r="W15">
        <f>(表2_5[[#This Row],[子弹威力]]+20+表2_5[[#This Row],[子弹威力]]*2*表2_5[[#This Row],[限制等级]]/256+表2_5[[#This Row],[伤害加成]]+表2_5[[#This Row],[剧毒]]/(表2_5[[#This Row],[霰弹值]]*3^(表2_5[[#This Row],[穿刺系数]]-1)))*表2_5[[#This Row],[穿刺系数]]*表2_5[[#This Row],[弹容量]]*(1+(表2_5[[#This Row],[霰弹值]]-1)*0.5)</f>
        <v>7287.421875</v>
      </c>
      <c r="X1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11830.933333333334</v>
      </c>
      <c r="Y15">
        <f>表2_5[[#This Row],[平衡周期伤害]]*1.25^表2_5[[#This Row],[额外加权层数]]</f>
        <v>11830.933333333334</v>
      </c>
      <c r="Z15">
        <f>1000*(表2_5[[#This Row],[子弹威力]]+20)*表2_5[[#This Row],[穿刺系数]]*表2_5[[#This Row],[弹容量]]*(1+(表2_5[[#This Row],[霰弹值]]-1)*0.5)/(表2_5[[#This Row],[射击间隔]]*(表2_5[[#This Row],[弹容量]]-1)+900*表2_5[[#This Row],[双枪系数]])</f>
        <v>2046.4285714285713</v>
      </c>
      <c r="AA15">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1700.3081506481715</v>
      </c>
      <c r="AB1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556.22209821428567</v>
      </c>
      <c r="AC1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1160.9910756345539</v>
      </c>
      <c r="AD15">
        <f>1000*表2_5[[#This Row],[弹容量]]/(表2_5[[#This Row],[射击间隔]]*(表2_5[[#This Row],[弹容量]]-1)+900*表2_5[[#This Row],[双枪系数]])</f>
        <v>2.1428571428571428</v>
      </c>
      <c r="AE15">
        <f>1000*(表2_5[[#This Row],[穿刺系数]]*表2_5[[#This Row],[弹容量]]*(1+(表2_5[[#This Row],[霰弹值]]-1)*0.5)/(表2_5[[#This Row],[射击间隔]]*(表2_5[[#This Row],[弹容量]]-1)+900*表2_5[[#This Row],[双枪系数]]))</f>
        <v>2.1428571428571428</v>
      </c>
      <c r="AF1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2418.5541527194559</v>
      </c>
      <c r="AH15" s="27">
        <f>(表2_5[[#This Row],[子弹威力]]+20+表2_5[[#This Row],[子弹威力]]*2*表2_5[[#This Row],[限制等级]]/256+表2_5[[#This Row],[伤害加成]]+表2_5[[#This Row],[剧毒]]/表2_5[[#This Row],[霰弹值]])</f>
        <v>1214.5703125</v>
      </c>
      <c r="AI15">
        <f>IF(表2_5[[#This Row],[限制等级]]&gt;=35,17*表2_5[[#This Row],[限制等级]]-330,7*表2_5[[#This Row],[限制等级]]+15) * IF(表2_5[[#This Row],[限制等级]]&gt;=25, 1 + (MIN(13,(表2_5[[#This Row],[限制等级]]-18)/3.5) - 1) * (MIN(13,(表2_5[[#This Row],[限制等级]]-18)/3.5)  - 1) / 100 + 0.05 * (MIN(13,(表2_5[[#This Row],[限制等级]]-18)/3.5)  - 1),1)</f>
        <v>120</v>
      </c>
      <c r="AJ15">
        <f>IF(表2_5[[#This Row],[限制等级]]&gt;=30,120,30)</f>
        <v>30</v>
      </c>
      <c r="AK15">
        <f>0.9+(1.1-0.9)*表2_5[[#This Row],[冲击力]]/(表2_5[[#This Row],[冲击力]]+50)</f>
        <v>0.93333333333333335</v>
      </c>
      <c r="AL15">
        <f>IF(表2_5[[#This Row],[周期伤害]] &lt;=表2_5[[#This Row],[加权周期伤害]]* 5,0.7+0.6/(1+EXP(-(表2_5[[#This Row],[加权周期伤害]]-表2_5[[#This Row],[周期伤害]])/(表2_5[[#This Row],[加权周期伤害]]))),0.1+1.5/(1+EXP(-(表2_5[[#This Row],[加权周期伤害]]-表2_5[[#This Row],[周期伤害]])/(表2_5[[#This Row],[加权周期伤害]]*10))))</f>
        <v>1.0569077875685204</v>
      </c>
      <c r="AM15">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2602.6506696428573</v>
      </c>
      <c r="AN15">
        <f>1000*表2_5[[#This Row],[周期伤害]]/(表2_5[[#This Row],[射击间隔]]*表2_5[[#This Row],[弹容量]])</f>
        <v>6072.8515625</v>
      </c>
      <c r="AO15">
        <f>IF(表2_5[[#This Row],[周期dps]]&lt;=表2_5[[#This Row],[平衡dps]] * 2,0.85+0.3365/(1+EXP(-(表2_5[[#This Row],[平衡dps]]-表2_5[[#This Row],[周期dps]])/(表2_5[[#This Row],[平衡dps]]))),0.37+1.68/(1+EXP(-(表2_5[[#This Row],[平衡dps]]-表2_5[[#This Row],[周期dps]])/(表2_5[[#This Row],[平衡dps]]*1.5))))</f>
        <v>0.90961192504222721</v>
      </c>
    </row>
    <row r="16" spans="1:41" x14ac:dyDescent="0.3">
      <c r="B16" s="3"/>
      <c r="D16" s="3"/>
      <c r="E16" s="3"/>
      <c r="F16" s="3"/>
      <c r="G16" s="3"/>
      <c r="H16" s="3"/>
      <c r="I16" s="3"/>
      <c r="L16" s="2"/>
      <c r="M16" s="2" t="s">
        <v>520</v>
      </c>
    </row>
    <row r="17" spans="2:41" x14ac:dyDescent="0.3">
      <c r="B17" s="3"/>
      <c r="C17" s="2" t="s">
        <v>234</v>
      </c>
      <c r="D17" s="3"/>
      <c r="E17" s="3"/>
      <c r="F17" s="4" t="str">
        <f>IF(OR(AF6&lt;0.7,AF7&lt;0.7,AF8&lt;0.7,AF13&lt;0.7,AF14&lt;0.7,AF15&lt;0.7),"异常提示：你的武器相对于当前限制等级的吃拐率过高，会导致dps惩罚过重，请降低射速、段数或穿刺能力！","")</f>
        <v/>
      </c>
      <c r="G17" s="3"/>
      <c r="H17" s="3"/>
      <c r="I17" s="3"/>
    </row>
    <row r="18" spans="2:41" x14ac:dyDescent="0.3">
      <c r="B18" s="3"/>
      <c r="C18" s="2" t="s">
        <v>272</v>
      </c>
      <c r="D18" s="2" t="s">
        <v>276</v>
      </c>
    </row>
    <row r="19" spans="2:41" x14ac:dyDescent="0.3">
      <c r="B19" s="3"/>
      <c r="C19" s="2" t="s">
        <v>273</v>
      </c>
      <c r="D19" s="2" t="s">
        <v>518</v>
      </c>
    </row>
    <row r="20" spans="2:41" x14ac:dyDescent="0.3">
      <c r="B20" s="3"/>
      <c r="C20" s="2" t="s">
        <v>274</v>
      </c>
      <c r="D20" s="2" t="s">
        <v>297</v>
      </c>
      <c r="O20" s="29" t="s">
        <v>284</v>
      </c>
    </row>
    <row r="21" spans="2:41" x14ac:dyDescent="0.3">
      <c r="B21" s="3"/>
      <c r="C21" s="2" t="s">
        <v>275</v>
      </c>
      <c r="D21" s="2" t="s">
        <v>367</v>
      </c>
    </row>
    <row r="22" spans="2:41" x14ac:dyDescent="0.3">
      <c r="B22" s="3"/>
    </row>
    <row r="23" spans="2:41" x14ac:dyDescent="0.3">
      <c r="B23" s="4" t="s">
        <v>39</v>
      </c>
      <c r="C23" s="2" t="s">
        <v>301</v>
      </c>
    </row>
    <row r="24" spans="2:41" x14ac:dyDescent="0.3">
      <c r="B24" s="3"/>
      <c r="C24" t="s">
        <v>308</v>
      </c>
      <c r="Q24" s="51" t="s">
        <v>525</v>
      </c>
      <c r="AL24" s="2" t="s">
        <v>265</v>
      </c>
    </row>
    <row r="25" spans="2:41" x14ac:dyDescent="0.3">
      <c r="B25" s="3"/>
      <c r="Q25" s="38" t="s">
        <v>523</v>
      </c>
      <c r="R25" s="38" t="s">
        <v>521</v>
      </c>
      <c r="S25" s="39" t="s">
        <v>522</v>
      </c>
      <c r="AL25" t="s">
        <v>89</v>
      </c>
      <c r="AM25" t="s">
        <v>167</v>
      </c>
      <c r="AN25" t="s">
        <v>374</v>
      </c>
      <c r="AO25" t="s">
        <v>268</v>
      </c>
    </row>
    <row r="26" spans="2:41" x14ac:dyDescent="0.3">
      <c r="B26" s="4" t="s">
        <v>40</v>
      </c>
      <c r="C26" t="s">
        <v>298</v>
      </c>
      <c r="Q26" s="37">
        <v>3</v>
      </c>
      <c r="R26" s="37">
        <v>1</v>
      </c>
      <c r="S26" s="52">
        <f>Q26*0.8+Q26*0.5/R26+0.1</f>
        <v>4</v>
      </c>
      <c r="AK26" s="2" t="s">
        <v>266</v>
      </c>
      <c r="AL26" s="28">
        <v>10</v>
      </c>
      <c r="AM26" s="28">
        <v>85</v>
      </c>
      <c r="AN26" s="28">
        <f>表5[[#This Row],[伤害加成]]*IF(AL26&gt;=25, 1 + (MIN(13,(AL26-18)/3.5) - 1) * (MIN(13,(AL26-18)/3.5)  - 1) / 100 + 0.05 * (MIN(13,(AL26-18)/3.5)  - 1),1)-表5[[#This Row],[伤害加成]]</f>
        <v>0</v>
      </c>
      <c r="AO26" s="28">
        <v>30</v>
      </c>
    </row>
    <row r="27" spans="2:41" x14ac:dyDescent="0.3">
      <c r="C27" t="s">
        <v>299</v>
      </c>
      <c r="Q27" t="s">
        <v>524</v>
      </c>
      <c r="AL27" s="28">
        <v>20</v>
      </c>
      <c r="AM27" s="28">
        <v>160</v>
      </c>
      <c r="AN27" s="28">
        <f>表5[[#This Row],[伤害加成]]*IF(AL27&gt;=25, 1 + (MIN(13,(AL27-18)/3.5) - 1) * (MIN(13,(AL27-18)/3.5)  - 1) / 100 + 0.05 * (MIN(13,(AL27-18)/3.5)  - 1),1)-表5[[#This Row],[伤害加成]]</f>
        <v>0</v>
      </c>
      <c r="AO27" s="28">
        <v>30</v>
      </c>
    </row>
    <row r="28" spans="2:41" x14ac:dyDescent="0.3">
      <c r="C28" t="s">
        <v>179</v>
      </c>
      <c r="Q28" t="s">
        <v>526</v>
      </c>
      <c r="AL28" s="28">
        <v>30</v>
      </c>
      <c r="AM28" s="28">
        <v>200</v>
      </c>
      <c r="AN28" s="28">
        <f>表5[[#This Row],[伤害加成]]*IF(AL28&gt;=25, 1 + (MIN(13,(AL28-18)/3.5) - 1) * (MIN(13,(AL28-18)/3.5)  - 1) / 100 + 0.05 * (MIN(13,(AL28-18)/3.5)  - 1),1)-表5[[#This Row],[伤害加成]]</f>
        <v>36.081632653061206</v>
      </c>
      <c r="AO28" s="28">
        <v>120</v>
      </c>
    </row>
    <row r="29" spans="2:41" x14ac:dyDescent="0.3">
      <c r="C29" t="s">
        <v>47</v>
      </c>
      <c r="AL29" s="28">
        <v>40</v>
      </c>
      <c r="AM29" s="28">
        <v>350</v>
      </c>
      <c r="AN29" s="28">
        <f>表5[[#This Row],[伤害加成]]*IF(AL29&gt;=25, 1 + (MIN(13,(AL29-18)/3.5) - 1) * (MIN(13,(AL29-18)/3.5)  - 1) / 100 + 0.05 * (MIN(13,(AL29-18)/3.5)  - 1),1)-表5[[#This Row],[伤害加成]]</f>
        <v>190.28571428571422</v>
      </c>
      <c r="AO29" s="28">
        <v>120</v>
      </c>
    </row>
    <row r="30" spans="2:41" x14ac:dyDescent="0.3">
      <c r="C30" t="s">
        <v>300</v>
      </c>
      <c r="AL30" s="28">
        <v>50</v>
      </c>
      <c r="AM30" s="28">
        <v>530</v>
      </c>
      <c r="AN30" s="28">
        <f>表5[[#This Row],[伤害加成]]*IF(AL30&gt;=25, 1 + (MIN(13,(AL30-18)/3.5) - 1) * (MIN(13,(AL30-18)/3.5)  - 1) / 100 + 0.05 * (MIN(13,(AL30-18)/3.5)  - 1),1)-表5[[#This Row],[伤害加成]]</f>
        <v>567.20816326530621</v>
      </c>
      <c r="AO30" s="28">
        <v>120</v>
      </c>
    </row>
    <row r="31" spans="2:41" x14ac:dyDescent="0.3">
      <c r="C31" t="s">
        <v>527</v>
      </c>
      <c r="AK31" s="2" t="s">
        <v>267</v>
      </c>
      <c r="AL31" s="12">
        <v>35</v>
      </c>
      <c r="AM31" s="16">
        <f>IF(AL31&gt;=35,17*AL31-330,7*AL31+15)</f>
        <v>265</v>
      </c>
      <c r="AN31" s="16">
        <f>IF(AL31&gt;=35,17*AL31-330,7*AL31+15) * IF(AL31&gt;=25, 1 + (MIN(13,(AL31-18)/3.5) - 1) * (MIN(13,(AL31-18)/3.5)  - 1) / 100 + 0.05 * (MIN(13,(AL31-18)/3.5)  - 1),1)-AM31</f>
        <v>90.532653061224437</v>
      </c>
      <c r="AO31" s="16">
        <f>IF(AL31&gt;=30,120,30)</f>
        <v>120</v>
      </c>
    </row>
    <row r="32" spans="2:41" x14ac:dyDescent="0.3">
      <c r="C32" t="s">
        <v>519</v>
      </c>
      <c r="AL32" s="2" t="s">
        <v>375</v>
      </c>
      <c r="AM32" s="16">
        <f>IF(AL31&gt;=35,17*AL31-330,7*AL31+15) * IF(AL31&gt;=25, 1 + (MIN(13,(AL31-18)/3.5) - 1) * (MIN(13,(AL31-18)/3.5)  - 1) / 100 + 0.05 * (MIN(13,(AL31-18)/3.5)  - 1),1)</f>
        <v>355.53265306122444</v>
      </c>
    </row>
    <row r="33" spans="3:3" x14ac:dyDescent="0.3">
      <c r="C33" s="2" t="s">
        <v>515</v>
      </c>
    </row>
  </sheetData>
  <phoneticPr fontId="1" type="noConversion"/>
  <pageMargins left="0.7" right="0.7" top="0.75" bottom="0.75" header="0.3" footer="0.3"/>
  <pageSetup paperSize="9" orientation="portrait" r:id="rId1"/>
  <ignoredErrors>
    <ignoredError sqref="W10:W15 W3:W8 AL3:AL15 X3:X15 Z3:Z15 AB3:AB15 AI3:AI15 AE3:AE15 V3:V15 AC3:AC15 AF3:AF15 AA3:AA15" calculatedColumn="1"/>
  </ignoredErrors>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F7F8-A3BA-4168-B91A-0B80F65D101C}">
  <dimension ref="A1:AC30"/>
  <sheetViews>
    <sheetView workbookViewId="0">
      <selection activeCell="H34" sqref="H34"/>
    </sheetView>
  </sheetViews>
  <sheetFormatPr defaultRowHeight="14" x14ac:dyDescent="0.3"/>
  <cols>
    <col min="4" max="4" width="7.75" customWidth="1"/>
    <col min="5" max="5" width="11.58203125" customWidth="1"/>
    <col min="6" max="6" width="8.33203125" customWidth="1"/>
    <col min="7" max="7" width="11.33203125" customWidth="1"/>
    <col min="8" max="8" width="13.75" customWidth="1"/>
    <col min="9" max="9" width="9.83203125" customWidth="1"/>
    <col min="10" max="10" width="16.1640625" customWidth="1"/>
    <col min="11" max="11" width="12" customWidth="1"/>
  </cols>
  <sheetData>
    <row r="1" spans="1:12" x14ac:dyDescent="0.3">
      <c r="A1" t="s">
        <v>75</v>
      </c>
    </row>
    <row r="2" spans="1:12" x14ac:dyDescent="0.3">
      <c r="D2" s="2" t="s">
        <v>56</v>
      </c>
      <c r="E2" s="2" t="s">
        <v>57</v>
      </c>
      <c r="F2" s="2" t="s">
        <v>58</v>
      </c>
      <c r="G2" s="2" t="s">
        <v>59</v>
      </c>
      <c r="H2" s="2" t="s">
        <v>73</v>
      </c>
      <c r="I2" s="2" t="s">
        <v>60</v>
      </c>
      <c r="J2" s="2" t="s">
        <v>70</v>
      </c>
      <c r="K2" s="2"/>
      <c r="L2" s="2" t="s">
        <v>65</v>
      </c>
    </row>
    <row r="3" spans="1:12" x14ac:dyDescent="0.3">
      <c r="B3" t="s">
        <v>134</v>
      </c>
      <c r="C3" t="s">
        <v>135</v>
      </c>
      <c r="D3" t="s">
        <v>136</v>
      </c>
      <c r="E3" s="5" t="s">
        <v>74</v>
      </c>
      <c r="F3" t="s">
        <v>62</v>
      </c>
      <c r="G3" t="s">
        <v>62</v>
      </c>
      <c r="J3" s="5" t="s">
        <v>71</v>
      </c>
      <c r="L3" t="str">
        <f>"子弹威力 = "&amp;D3&amp;" ( _parent._parent.空手攻击力 "&amp;F3&amp;E3&amp;" ) "&amp;"*(1+_parent._parent.技能等级"&amp;G3&amp;")"&amp;J3</f>
        <v>子弹威力 = 100+ ( _parent._parent.空手攻击力 *1+100 ) *(1+_parent._parent.技能等级*1)+_parent._parent.等级*10</v>
      </c>
    </row>
    <row r="4" spans="1:12" x14ac:dyDescent="0.3">
      <c r="C4" t="s">
        <v>64</v>
      </c>
      <c r="E4" s="5" t="s">
        <v>74</v>
      </c>
      <c r="F4" t="s">
        <v>62</v>
      </c>
      <c r="G4" t="s">
        <v>62</v>
      </c>
      <c r="L4" t="str">
        <f>"子弹威力 = "&amp;D4&amp;" ( _parent._parent.空手攻击力 "&amp;F4&amp;E4&amp;" ) "&amp;"*(1+_parent._parent.技能等级"&amp;G4&amp;")"&amp;J4</f>
        <v>子弹威力 =  ( _parent._parent.空手攻击力 *1+100 ) *(1+_parent._parent.技能等级*1)</v>
      </c>
    </row>
    <row r="5" spans="1:12" x14ac:dyDescent="0.3">
      <c r="C5" s="1" t="s">
        <v>68</v>
      </c>
      <c r="E5" s="5" t="s">
        <v>74</v>
      </c>
      <c r="F5" t="s">
        <v>62</v>
      </c>
      <c r="G5" t="s">
        <v>62</v>
      </c>
      <c r="L5" t="str">
        <f>"子弹威力 = "&amp;D5&amp;" ( _parent._parent.空手攻击力 "&amp;F5&amp;E5&amp;" ) "&amp;"*(1+_parent._parent.技能等级"&amp;G5&amp;")"&amp;J5</f>
        <v>子弹威力 =  ( _parent._parent.空手攻击力 *1+100 ) *(1+_parent._parent.技能等级*1)</v>
      </c>
    </row>
    <row r="8" spans="1:12" x14ac:dyDescent="0.3">
      <c r="K8" s="1" t="s">
        <v>66</v>
      </c>
      <c r="L8" s="4"/>
    </row>
    <row r="9" spans="1:12" x14ac:dyDescent="0.3">
      <c r="K9" s="4"/>
      <c r="L9" s="4" t="s">
        <v>72</v>
      </c>
    </row>
    <row r="12" spans="1:12" x14ac:dyDescent="0.3">
      <c r="B12" t="s">
        <v>132</v>
      </c>
      <c r="C12" t="s">
        <v>69</v>
      </c>
      <c r="D12" t="s">
        <v>61</v>
      </c>
      <c r="E12" s="5" t="s">
        <v>74</v>
      </c>
      <c r="F12" t="s">
        <v>137</v>
      </c>
      <c r="G12" t="s">
        <v>62</v>
      </c>
      <c r="J12" s="5" t="s">
        <v>71</v>
      </c>
      <c r="L12" t="str">
        <f>"子弹威力 = "&amp;D12&amp;" ( _parent._parent.空手攻击力 "&amp;F12&amp;E12&amp;" ) "&amp;"*(1+_parent._parent.技能等级"&amp;G12&amp;")"&amp;J12</f>
        <v>子弹威力 = 500+ ( _parent._parent.空手攻击力 /3+100 ) *(1+_parent._parent.技能等级*1)+_parent._parent.等级*10</v>
      </c>
    </row>
    <row r="13" spans="1:12" x14ac:dyDescent="0.3">
      <c r="C13" t="s">
        <v>64</v>
      </c>
      <c r="E13" s="5" t="s">
        <v>74</v>
      </c>
      <c r="F13" t="s">
        <v>138</v>
      </c>
      <c r="G13" t="s">
        <v>62</v>
      </c>
      <c r="L13" t="str">
        <f>"子弹威力 = "&amp;D13&amp;" ( _parent._parent.空手攻击力 "&amp;F13&amp;E13&amp;" ) "&amp;"*(1+_parent._parent.技能等级"&amp;G13&amp;")"&amp;J13</f>
        <v>子弹威力 =  ( _parent._parent.空手攻击力 /3+100 ) *(1+_parent._parent.技能等级*1)</v>
      </c>
    </row>
    <row r="14" spans="1:12" x14ac:dyDescent="0.3">
      <c r="C14" s="1" t="s">
        <v>68</v>
      </c>
      <c r="E14" s="5" t="s">
        <v>74</v>
      </c>
      <c r="F14" t="s">
        <v>138</v>
      </c>
      <c r="G14" t="s">
        <v>62</v>
      </c>
      <c r="L14" t="str">
        <f>"子弹威力 = "&amp;D14&amp;" ( _parent._parent.空手攻击力 "&amp;F14&amp;E14&amp;" ) "&amp;"*(1+_parent._parent.技能等级"&amp;G14&amp;")"&amp;J14</f>
        <v>子弹威力 =  ( _parent._parent.空手攻击力 /3+100 ) *(1+_parent._parent.技能等级*1)</v>
      </c>
    </row>
    <row r="17" spans="2:29" x14ac:dyDescent="0.3">
      <c r="K17" s="1" t="s">
        <v>66</v>
      </c>
      <c r="L17" s="4"/>
    </row>
    <row r="18" spans="2:29" x14ac:dyDescent="0.3">
      <c r="K18" s="4"/>
      <c r="L18" s="4" t="s">
        <v>72</v>
      </c>
    </row>
    <row r="20" spans="2:29" x14ac:dyDescent="0.3">
      <c r="B20" t="s">
        <v>133</v>
      </c>
      <c r="C20" t="s">
        <v>69</v>
      </c>
      <c r="D20" t="s">
        <v>61</v>
      </c>
      <c r="E20" s="5" t="s">
        <v>74</v>
      </c>
      <c r="F20" t="s">
        <v>131</v>
      </c>
      <c r="G20" t="s">
        <v>62</v>
      </c>
      <c r="H20" s="5" t="s">
        <v>74</v>
      </c>
      <c r="I20" s="5" t="s">
        <v>63</v>
      </c>
      <c r="J20" s="5" t="s">
        <v>71</v>
      </c>
      <c r="L20" t="str">
        <f>"子弹威力 = "&amp;D20&amp;" ( _parent._parent.空手攻击力 "&amp;F20&amp;E20&amp;" ) "&amp;"*( 1+_parent._parent.技能等级"&amp;G20&amp;" )"&amp;I20&amp;"( _parent._parent.刀属性数组[13]"&amp;H20&amp;" )"&amp;J3</f>
        <v>子弹威力 = 500+ ( _parent._parent.空手攻击力 /5+100 ) *( 1+_parent._parent.技能等级*1 )+1*( _parent._parent.刀属性数组[13]+100 )+_parent._parent.等级*10</v>
      </c>
      <c r="AC20">
        <v>1</v>
      </c>
    </row>
    <row r="21" spans="2:29" x14ac:dyDescent="0.3">
      <c r="C21" t="s">
        <v>67</v>
      </c>
      <c r="E21" s="5"/>
      <c r="F21" t="s">
        <v>131</v>
      </c>
      <c r="G21" t="s">
        <v>62</v>
      </c>
      <c r="H21" s="5"/>
      <c r="I21" s="5" t="s">
        <v>63</v>
      </c>
      <c r="L21" t="str">
        <f>"子弹威力 = "&amp;D21&amp;" ( _parent._parent.空手攻击力 "&amp;F21&amp;E21&amp;" ) "&amp;"*( 1+_parent._parent.技能等级"&amp;G21&amp;" )"&amp;I21&amp;"( _parent._parent.刀属性数组[13]"&amp;H21&amp;" )"&amp;J4</f>
        <v>子弹威力 =  ( _parent._parent.空手攻击力 /5 ) *( 1+_parent._parent.技能等级*1 )+1*( _parent._parent.刀属性数组[13] )</v>
      </c>
    </row>
    <row r="22" spans="2:29" x14ac:dyDescent="0.3">
      <c r="C22" s="1" t="s">
        <v>68</v>
      </c>
      <c r="E22" s="5" t="s">
        <v>74</v>
      </c>
      <c r="F22" t="s">
        <v>131</v>
      </c>
      <c r="G22" t="s">
        <v>62</v>
      </c>
      <c r="H22" s="5"/>
      <c r="I22" s="5" t="s">
        <v>63</v>
      </c>
      <c r="L22" t="str">
        <f>"子弹威力 = "&amp;D22&amp;" ( _parent._parent.空手攻击力 "&amp;F22&amp;E22&amp;" ) "&amp;"*( 1+_parent._parent.技能等级"&amp;G22&amp;" )"&amp;I22&amp;"( _parent._parent.刀属性数组[13]"&amp;H22&amp;" )"&amp;J5</f>
        <v>子弹威力 =  ( _parent._parent.空手攻击力 /5+100 ) *( 1+_parent._parent.技能等级*1 )+1*( _parent._parent.刀属性数组[13] )</v>
      </c>
    </row>
    <row r="25" spans="2:29" x14ac:dyDescent="0.3">
      <c r="K25" s="1" t="s">
        <v>66</v>
      </c>
      <c r="L25" s="4"/>
    </row>
    <row r="26" spans="2:29" x14ac:dyDescent="0.3">
      <c r="K26" s="4"/>
      <c r="L26" s="4" t="s">
        <v>72</v>
      </c>
    </row>
    <row r="30" spans="2:29" x14ac:dyDescent="0.3">
      <c r="C30" s="1" t="s">
        <v>76</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34CB-80FA-4C48-97CD-26CCAF18120C}">
  <dimension ref="B2:AH115"/>
  <sheetViews>
    <sheetView topLeftCell="A91" workbookViewId="0">
      <selection activeCell="A109" sqref="A109"/>
    </sheetView>
  </sheetViews>
  <sheetFormatPr defaultRowHeight="14" x14ac:dyDescent="0.3"/>
  <cols>
    <col min="3" max="3" width="13.58203125" customWidth="1"/>
    <col min="5" max="5" width="12.5" customWidth="1"/>
    <col min="6" max="6" width="11.25" customWidth="1"/>
    <col min="8" max="8" width="6.25" customWidth="1"/>
    <col min="9" max="9" width="9.1640625" customWidth="1"/>
    <col min="10" max="10" width="9.5" customWidth="1"/>
    <col min="11" max="11" width="11.75" customWidth="1"/>
    <col min="13" max="13" width="15.75" customWidth="1"/>
    <col min="14" max="14" width="5.5" customWidth="1"/>
    <col min="15" max="15" width="10.08203125" customWidth="1"/>
    <col min="16" max="16" width="12.9140625" customWidth="1"/>
    <col min="17" max="17" width="11.6640625" customWidth="1"/>
    <col min="18" max="18" width="9.25" customWidth="1"/>
    <col min="22" max="23" width="11.25" bestFit="1" customWidth="1"/>
    <col min="26" max="26" width="10.25" customWidth="1"/>
    <col min="27" max="27" width="9.75" customWidth="1"/>
    <col min="28" max="28" width="11.6640625" customWidth="1"/>
    <col min="33" max="33" width="9.6640625" customWidth="1"/>
  </cols>
  <sheetData>
    <row r="2" spans="2:34" x14ac:dyDescent="0.3">
      <c r="B2" t="s">
        <v>105</v>
      </c>
    </row>
    <row r="3" spans="2:34" x14ac:dyDescent="0.3">
      <c r="B3" t="s">
        <v>102</v>
      </c>
    </row>
    <row r="6" spans="2:34" x14ac:dyDescent="0.3">
      <c r="B6" t="s">
        <v>89</v>
      </c>
      <c r="C6" t="s">
        <v>103</v>
      </c>
      <c r="D6" t="s">
        <v>104</v>
      </c>
      <c r="E6" t="s">
        <v>92</v>
      </c>
      <c r="F6" t="s">
        <v>106</v>
      </c>
      <c r="H6" t="s">
        <v>89</v>
      </c>
      <c r="I6" t="s">
        <v>103</v>
      </c>
      <c r="J6" t="s">
        <v>104</v>
      </c>
      <c r="K6" t="s">
        <v>92</v>
      </c>
      <c r="L6" t="s">
        <v>106</v>
      </c>
      <c r="N6" t="s">
        <v>89</v>
      </c>
      <c r="O6" t="s">
        <v>90</v>
      </c>
      <c r="P6" t="s">
        <v>91</v>
      </c>
      <c r="Q6" t="s">
        <v>92</v>
      </c>
      <c r="R6" t="s">
        <v>107</v>
      </c>
      <c r="S6" t="s">
        <v>93</v>
      </c>
      <c r="U6" t="s">
        <v>119</v>
      </c>
      <c r="Y6" t="s">
        <v>89</v>
      </c>
      <c r="Z6" t="s">
        <v>90</v>
      </c>
      <c r="AA6" t="s">
        <v>91</v>
      </c>
      <c r="AB6" t="s">
        <v>92</v>
      </c>
      <c r="AC6" t="s">
        <v>107</v>
      </c>
      <c r="AD6" t="s">
        <v>93</v>
      </c>
      <c r="AF6" t="s">
        <v>119</v>
      </c>
    </row>
    <row r="7" spans="2:34" x14ac:dyDescent="0.3">
      <c r="B7">
        <v>1</v>
      </c>
      <c r="C7">
        <v>-83</v>
      </c>
      <c r="D7">
        <v>6000</v>
      </c>
      <c r="E7">
        <v>60</v>
      </c>
      <c r="F7">
        <f>C7+((D7-C7)/(E7-1))*B7</f>
        <v>20.101694915254242</v>
      </c>
      <c r="H7">
        <v>1</v>
      </c>
      <c r="I7">
        <v>-6</v>
      </c>
      <c r="J7">
        <v>1000</v>
      </c>
      <c r="K7">
        <v>60</v>
      </c>
      <c r="L7">
        <f>(I7+(J7-I7)/(K7-1)*H7)</f>
        <v>11.050847457627118</v>
      </c>
      <c r="N7">
        <v>1</v>
      </c>
      <c r="O7">
        <v>10</v>
      </c>
      <c r="P7">
        <v>36000</v>
      </c>
      <c r="Q7">
        <v>60</v>
      </c>
      <c r="R7">
        <v>1</v>
      </c>
      <c r="S7">
        <f>(O7+((P7-O7)/(Q7-1))*N7)*R7</f>
        <v>620</v>
      </c>
      <c r="U7">
        <f>S7*N7</f>
        <v>620</v>
      </c>
      <c r="Y7">
        <v>1</v>
      </c>
      <c r="Z7">
        <v>10000</v>
      </c>
      <c r="AA7">
        <v>55000</v>
      </c>
      <c r="AB7">
        <v>60</v>
      </c>
      <c r="AC7">
        <v>1</v>
      </c>
      <c r="AD7">
        <f>(Z7+((AA7-Z7)/(AB7-1))*Y7)*AC7</f>
        <v>10762.71186440678</v>
      </c>
      <c r="AF7">
        <f>AD7*Y7</f>
        <v>10762.71186440678</v>
      </c>
    </row>
    <row r="8" spans="2:34" x14ac:dyDescent="0.3">
      <c r="B8">
        <v>2</v>
      </c>
      <c r="C8">
        <v>-83</v>
      </c>
      <c r="D8">
        <v>6000</v>
      </c>
      <c r="E8">
        <v>60</v>
      </c>
      <c r="F8">
        <f t="shared" ref="F8:F14" si="0">C8+((D8-C8)/(E8-1))*B8</f>
        <v>123.20338983050848</v>
      </c>
      <c r="H8">
        <v>2</v>
      </c>
      <c r="I8">
        <v>-6</v>
      </c>
      <c r="J8">
        <v>1000</v>
      </c>
      <c r="K8">
        <v>60</v>
      </c>
      <c r="L8">
        <f t="shared" ref="L8:L71" si="1">(I8+(J8-I8)/(K8-1)*H8)</f>
        <v>28.101694915254235</v>
      </c>
      <c r="N8">
        <v>2</v>
      </c>
      <c r="O8">
        <v>10</v>
      </c>
      <c r="P8">
        <v>36000</v>
      </c>
      <c r="Q8">
        <v>60</v>
      </c>
      <c r="R8">
        <v>1</v>
      </c>
      <c r="S8">
        <f t="shared" ref="S8:S71" si="2">(O8+((P8-O8)/(Q8-1))*N8)*R8</f>
        <v>1230</v>
      </c>
      <c r="U8">
        <f t="shared" ref="U8:U71" si="3">S8*N8</f>
        <v>2460</v>
      </c>
      <c r="Y8">
        <v>2</v>
      </c>
      <c r="Z8">
        <v>10000</v>
      </c>
      <c r="AA8">
        <v>55000</v>
      </c>
      <c r="AB8">
        <v>60</v>
      </c>
      <c r="AC8">
        <v>1</v>
      </c>
      <c r="AD8">
        <f t="shared" ref="AD8:AD71" si="4">(Z8+((AA8-Z8)/(AB8-1))*Y8)*AC8</f>
        <v>11525.423728813559</v>
      </c>
      <c r="AF8">
        <f t="shared" ref="AF8:AF71" si="5">AD8*Y8</f>
        <v>23050.847457627118</v>
      </c>
    </row>
    <row r="9" spans="2:34" x14ac:dyDescent="0.3">
      <c r="B9">
        <v>3</v>
      </c>
      <c r="C9">
        <v>-83</v>
      </c>
      <c r="D9">
        <v>6000</v>
      </c>
      <c r="E9">
        <v>60</v>
      </c>
      <c r="F9">
        <f t="shared" si="0"/>
        <v>226.30508474576271</v>
      </c>
      <c r="H9">
        <v>3</v>
      </c>
      <c r="I9">
        <v>-6</v>
      </c>
      <c r="J9">
        <v>1000</v>
      </c>
      <c r="K9">
        <v>60</v>
      </c>
      <c r="L9">
        <f t="shared" si="1"/>
        <v>45.152542372881356</v>
      </c>
      <c r="N9">
        <v>3</v>
      </c>
      <c r="O9">
        <v>10</v>
      </c>
      <c r="P9">
        <v>36000</v>
      </c>
      <c r="Q9">
        <v>60</v>
      </c>
      <c r="R9">
        <v>1</v>
      </c>
      <c r="S9">
        <f t="shared" si="2"/>
        <v>1840</v>
      </c>
      <c r="U9">
        <f t="shared" si="3"/>
        <v>5520</v>
      </c>
      <c r="Y9">
        <v>3</v>
      </c>
      <c r="Z9">
        <v>10000</v>
      </c>
      <c r="AA9">
        <v>55000</v>
      </c>
      <c r="AB9">
        <v>60</v>
      </c>
      <c r="AC9">
        <v>1</v>
      </c>
      <c r="AD9">
        <f t="shared" si="4"/>
        <v>12288.135593220339</v>
      </c>
      <c r="AF9">
        <f t="shared" si="5"/>
        <v>36864.406779661018</v>
      </c>
    </row>
    <row r="10" spans="2:34" x14ac:dyDescent="0.3">
      <c r="B10">
        <v>4</v>
      </c>
      <c r="C10">
        <v>-83</v>
      </c>
      <c r="D10">
        <v>6000</v>
      </c>
      <c r="E10">
        <v>60</v>
      </c>
      <c r="F10">
        <f t="shared" si="0"/>
        <v>329.40677966101697</v>
      </c>
      <c r="H10">
        <v>4</v>
      </c>
      <c r="I10">
        <v>-6</v>
      </c>
      <c r="J10">
        <v>1000</v>
      </c>
      <c r="K10">
        <v>60</v>
      </c>
      <c r="L10">
        <f t="shared" si="1"/>
        <v>62.20338983050847</v>
      </c>
      <c r="N10">
        <v>4</v>
      </c>
      <c r="O10">
        <v>10</v>
      </c>
      <c r="P10">
        <v>36000</v>
      </c>
      <c r="Q10">
        <v>60</v>
      </c>
      <c r="R10">
        <v>1</v>
      </c>
      <c r="S10">
        <f t="shared" si="2"/>
        <v>2450</v>
      </c>
      <c r="U10">
        <f t="shared" si="3"/>
        <v>9800</v>
      </c>
      <c r="Y10">
        <v>4</v>
      </c>
      <c r="Z10">
        <v>10000</v>
      </c>
      <c r="AA10">
        <v>55000</v>
      </c>
      <c r="AB10">
        <v>60</v>
      </c>
      <c r="AC10">
        <v>1</v>
      </c>
      <c r="AD10">
        <f t="shared" si="4"/>
        <v>13050.847457627118</v>
      </c>
      <c r="AF10">
        <f t="shared" si="5"/>
        <v>52203.389830508473</v>
      </c>
    </row>
    <row r="11" spans="2:34" x14ac:dyDescent="0.3">
      <c r="B11">
        <v>5</v>
      </c>
      <c r="C11">
        <v>-83</v>
      </c>
      <c r="D11">
        <v>6000</v>
      </c>
      <c r="E11">
        <v>60</v>
      </c>
      <c r="F11">
        <f t="shared" si="0"/>
        <v>432.50847457627117</v>
      </c>
      <c r="G11" t="s">
        <v>108</v>
      </c>
      <c r="H11">
        <v>5</v>
      </c>
      <c r="I11">
        <v>-6</v>
      </c>
      <c r="J11">
        <v>1000</v>
      </c>
      <c r="K11">
        <v>60</v>
      </c>
      <c r="L11">
        <f t="shared" si="1"/>
        <v>79.254237288135585</v>
      </c>
      <c r="N11">
        <v>5</v>
      </c>
      <c r="O11">
        <v>10</v>
      </c>
      <c r="P11">
        <v>36000</v>
      </c>
      <c r="Q11">
        <v>60</v>
      </c>
      <c r="R11">
        <v>1</v>
      </c>
      <c r="S11">
        <f t="shared" si="2"/>
        <v>3060</v>
      </c>
      <c r="U11">
        <f t="shared" si="3"/>
        <v>15300</v>
      </c>
      <c r="Y11">
        <v>5</v>
      </c>
      <c r="Z11">
        <v>10000</v>
      </c>
      <c r="AA11">
        <v>55000</v>
      </c>
      <c r="AB11">
        <v>60</v>
      </c>
      <c r="AC11">
        <v>1</v>
      </c>
      <c r="AD11">
        <f t="shared" si="4"/>
        <v>13813.559322033898</v>
      </c>
      <c r="AF11">
        <f t="shared" si="5"/>
        <v>69067.796610169491</v>
      </c>
    </row>
    <row r="12" spans="2:34" x14ac:dyDescent="0.3">
      <c r="B12">
        <v>6</v>
      </c>
      <c r="C12">
        <v>-9500</v>
      </c>
      <c r="D12">
        <v>90000</v>
      </c>
      <c r="E12">
        <v>60</v>
      </c>
      <c r="F12">
        <f t="shared" si="0"/>
        <v>618.64406779660931</v>
      </c>
      <c r="H12">
        <v>6</v>
      </c>
      <c r="I12">
        <v>-6</v>
      </c>
      <c r="J12">
        <v>1000</v>
      </c>
      <c r="K12">
        <v>60</v>
      </c>
      <c r="L12">
        <f t="shared" si="1"/>
        <v>96.305084745762713</v>
      </c>
      <c r="N12">
        <v>6</v>
      </c>
      <c r="O12">
        <v>2000</v>
      </c>
      <c r="P12">
        <v>20000</v>
      </c>
      <c r="Q12">
        <v>60</v>
      </c>
      <c r="R12">
        <v>1</v>
      </c>
      <c r="S12">
        <f t="shared" si="2"/>
        <v>3830.5084745762711</v>
      </c>
      <c r="U12">
        <f t="shared" si="3"/>
        <v>22983.050847457627</v>
      </c>
      <c r="Y12">
        <v>6</v>
      </c>
      <c r="Z12">
        <v>10000</v>
      </c>
      <c r="AA12">
        <v>55000</v>
      </c>
      <c r="AB12">
        <v>60</v>
      </c>
      <c r="AC12">
        <v>1</v>
      </c>
      <c r="AD12">
        <f t="shared" si="4"/>
        <v>14576.271186440677</v>
      </c>
      <c r="AF12">
        <f t="shared" si="5"/>
        <v>87457.627118644072</v>
      </c>
    </row>
    <row r="13" spans="2:34" x14ac:dyDescent="0.3">
      <c r="B13">
        <v>7</v>
      </c>
      <c r="C13">
        <v>-9500</v>
      </c>
      <c r="D13">
        <v>90000</v>
      </c>
      <c r="E13">
        <v>60</v>
      </c>
      <c r="F13">
        <f t="shared" si="0"/>
        <v>2305.0847457627115</v>
      </c>
      <c r="H13">
        <v>7</v>
      </c>
      <c r="I13">
        <v>-6</v>
      </c>
      <c r="J13">
        <v>1000</v>
      </c>
      <c r="K13">
        <v>60</v>
      </c>
      <c r="L13">
        <f t="shared" si="1"/>
        <v>113.35593220338983</v>
      </c>
      <c r="N13">
        <v>7</v>
      </c>
      <c r="O13">
        <v>2000</v>
      </c>
      <c r="P13">
        <v>20000</v>
      </c>
      <c r="Q13">
        <v>60</v>
      </c>
      <c r="R13">
        <v>1</v>
      </c>
      <c r="S13">
        <f t="shared" si="2"/>
        <v>4135.593220338983</v>
      </c>
      <c r="U13">
        <f t="shared" si="3"/>
        <v>28949.152542372882</v>
      </c>
      <c r="Y13">
        <v>7</v>
      </c>
      <c r="Z13">
        <v>10000</v>
      </c>
      <c r="AA13">
        <v>55000</v>
      </c>
      <c r="AB13">
        <v>60</v>
      </c>
      <c r="AC13">
        <v>1</v>
      </c>
      <c r="AD13">
        <f t="shared" si="4"/>
        <v>15338.983050847459</v>
      </c>
      <c r="AF13">
        <f t="shared" si="5"/>
        <v>107372.88135593222</v>
      </c>
    </row>
    <row r="14" spans="2:34" x14ac:dyDescent="0.3">
      <c r="B14">
        <v>8</v>
      </c>
      <c r="C14">
        <v>-9500</v>
      </c>
      <c r="D14">
        <v>90000</v>
      </c>
      <c r="E14">
        <v>60</v>
      </c>
      <c r="F14">
        <f t="shared" si="0"/>
        <v>3991.5254237288136</v>
      </c>
      <c r="H14">
        <v>8</v>
      </c>
      <c r="I14">
        <v>-6</v>
      </c>
      <c r="J14">
        <v>1000</v>
      </c>
      <c r="K14">
        <v>60</v>
      </c>
      <c r="L14">
        <f t="shared" si="1"/>
        <v>130.40677966101694</v>
      </c>
      <c r="N14">
        <v>8</v>
      </c>
      <c r="O14">
        <v>2000</v>
      </c>
      <c r="P14">
        <v>20000</v>
      </c>
      <c r="Q14">
        <v>60</v>
      </c>
      <c r="R14">
        <v>1</v>
      </c>
      <c r="S14">
        <f t="shared" si="2"/>
        <v>4440.6779661016953</v>
      </c>
      <c r="U14">
        <f t="shared" si="3"/>
        <v>35525.423728813563</v>
      </c>
      <c r="Y14">
        <v>8</v>
      </c>
      <c r="Z14">
        <v>10000</v>
      </c>
      <c r="AA14">
        <v>55000</v>
      </c>
      <c r="AB14">
        <v>60</v>
      </c>
      <c r="AC14">
        <v>1</v>
      </c>
      <c r="AD14">
        <f t="shared" si="4"/>
        <v>16101.694915254237</v>
      </c>
      <c r="AF14">
        <f t="shared" si="5"/>
        <v>128813.55932203389</v>
      </c>
    </row>
    <row r="15" spans="2:34" x14ac:dyDescent="0.3">
      <c r="B15">
        <v>9</v>
      </c>
      <c r="C15">
        <v>-9500</v>
      </c>
      <c r="D15">
        <v>90000</v>
      </c>
      <c r="E15">
        <v>60</v>
      </c>
      <c r="F15">
        <f>C15+((D15-C15)/(E15-1))*B15</f>
        <v>5677.9661016949158</v>
      </c>
      <c r="H15">
        <v>9</v>
      </c>
      <c r="I15">
        <v>-6</v>
      </c>
      <c r="J15">
        <v>1000</v>
      </c>
      <c r="K15">
        <v>60</v>
      </c>
      <c r="L15">
        <f t="shared" si="1"/>
        <v>147.45762711864407</v>
      </c>
      <c r="N15">
        <v>9</v>
      </c>
      <c r="O15">
        <v>2000</v>
      </c>
      <c r="P15">
        <v>20000</v>
      </c>
      <c r="Q15">
        <v>60</v>
      </c>
      <c r="R15">
        <v>1</v>
      </c>
      <c r="S15">
        <f t="shared" si="2"/>
        <v>4745.7627118644068</v>
      </c>
      <c r="U15">
        <f t="shared" si="3"/>
        <v>42711.864406779663</v>
      </c>
      <c r="Y15">
        <v>9</v>
      </c>
      <c r="Z15">
        <v>10000</v>
      </c>
      <c r="AA15">
        <v>55000</v>
      </c>
      <c r="AB15">
        <v>60</v>
      </c>
      <c r="AC15">
        <v>1</v>
      </c>
      <c r="AD15">
        <f t="shared" si="4"/>
        <v>16864.406779661018</v>
      </c>
      <c r="AF15">
        <f t="shared" si="5"/>
        <v>151779.66101694916</v>
      </c>
      <c r="AG15" t="s">
        <v>121</v>
      </c>
    </row>
    <row r="16" spans="2:34" x14ac:dyDescent="0.3">
      <c r="B16">
        <v>10</v>
      </c>
      <c r="C16">
        <v>-9500</v>
      </c>
      <c r="D16">
        <v>90000</v>
      </c>
      <c r="E16">
        <v>60</v>
      </c>
      <c r="F16">
        <f>C16+((D16-C16)/(E16-1))*B16</f>
        <v>7364.4067796610179</v>
      </c>
      <c r="H16">
        <v>10</v>
      </c>
      <c r="I16">
        <v>-6</v>
      </c>
      <c r="J16">
        <v>1000</v>
      </c>
      <c r="K16">
        <v>60</v>
      </c>
      <c r="L16">
        <f t="shared" si="1"/>
        <v>164.50847457627117</v>
      </c>
      <c r="N16">
        <v>10</v>
      </c>
      <c r="O16">
        <v>2000</v>
      </c>
      <c r="P16">
        <v>20000</v>
      </c>
      <c r="Q16">
        <v>60</v>
      </c>
      <c r="R16">
        <v>1</v>
      </c>
      <c r="S16">
        <f t="shared" si="2"/>
        <v>5050.8474576271183</v>
      </c>
      <c r="U16">
        <f t="shared" si="3"/>
        <v>50508.474576271183</v>
      </c>
      <c r="V16">
        <f>SUM(U8:U16)</f>
        <v>213757.96610169491</v>
      </c>
      <c r="W16">
        <f>SQRT(10)*U16</f>
        <v>159721.82080172491</v>
      </c>
      <c r="Y16">
        <v>10</v>
      </c>
      <c r="Z16">
        <v>10000</v>
      </c>
      <c r="AA16">
        <v>55000</v>
      </c>
      <c r="AB16">
        <v>60</v>
      </c>
      <c r="AC16">
        <v>1</v>
      </c>
      <c r="AD16">
        <f t="shared" si="4"/>
        <v>17627.118644067796</v>
      </c>
      <c r="AF16">
        <f t="shared" si="5"/>
        <v>176271.18644067796</v>
      </c>
      <c r="AG16">
        <f>SUM(AF7:AF16)</f>
        <v>843644.06779661018</v>
      </c>
      <c r="AH16" t="s">
        <v>120</v>
      </c>
    </row>
    <row r="17" spans="2:33" x14ac:dyDescent="0.3">
      <c r="B17">
        <v>11</v>
      </c>
      <c r="C17">
        <v>-9500</v>
      </c>
      <c r="D17">
        <v>90000</v>
      </c>
      <c r="E17">
        <v>60</v>
      </c>
      <c r="F17">
        <f t="shared" ref="F17:F80" si="6">C17+((D17-C17)/(E17-1))*B17</f>
        <v>9050.8474576271183</v>
      </c>
      <c r="H17">
        <v>11</v>
      </c>
      <c r="I17">
        <v>-6</v>
      </c>
      <c r="J17">
        <v>1000</v>
      </c>
      <c r="K17">
        <v>60</v>
      </c>
      <c r="L17">
        <f t="shared" si="1"/>
        <v>181.5593220338983</v>
      </c>
      <c r="N17">
        <v>11</v>
      </c>
      <c r="O17">
        <v>2000</v>
      </c>
      <c r="P17">
        <v>20000</v>
      </c>
      <c r="Q17">
        <v>60</v>
      </c>
      <c r="R17">
        <v>1</v>
      </c>
      <c r="S17">
        <f t="shared" si="2"/>
        <v>5355.9322033898306</v>
      </c>
      <c r="U17">
        <f t="shared" si="3"/>
        <v>58915.254237288136</v>
      </c>
      <c r="Y17">
        <v>11</v>
      </c>
      <c r="Z17">
        <v>10000</v>
      </c>
      <c r="AA17">
        <v>55000</v>
      </c>
      <c r="AB17">
        <v>60</v>
      </c>
      <c r="AC17">
        <v>1</v>
      </c>
      <c r="AD17">
        <f t="shared" si="4"/>
        <v>18389.830508474577</v>
      </c>
      <c r="AF17">
        <f t="shared" si="5"/>
        <v>202288.13559322036</v>
      </c>
    </row>
    <row r="18" spans="2:33" x14ac:dyDescent="0.3">
      <c r="B18">
        <v>12</v>
      </c>
      <c r="C18">
        <v>-9500</v>
      </c>
      <c r="D18">
        <v>90000</v>
      </c>
      <c r="E18">
        <v>60</v>
      </c>
      <c r="F18">
        <f t="shared" si="6"/>
        <v>10737.288135593219</v>
      </c>
      <c r="H18">
        <v>12</v>
      </c>
      <c r="I18">
        <v>-6</v>
      </c>
      <c r="J18">
        <v>1000</v>
      </c>
      <c r="K18">
        <v>60</v>
      </c>
      <c r="L18">
        <f t="shared" si="1"/>
        <v>198.61016949152543</v>
      </c>
      <c r="N18">
        <v>12</v>
      </c>
      <c r="O18">
        <v>2000</v>
      </c>
      <c r="P18">
        <v>20000</v>
      </c>
      <c r="Q18">
        <v>60</v>
      </c>
      <c r="R18">
        <v>1</v>
      </c>
      <c r="S18">
        <f t="shared" si="2"/>
        <v>5661.0169491525421</v>
      </c>
      <c r="U18">
        <f t="shared" si="3"/>
        <v>67932.203389830509</v>
      </c>
      <c r="Y18">
        <v>12</v>
      </c>
      <c r="Z18">
        <v>10000</v>
      </c>
      <c r="AA18">
        <v>55000</v>
      </c>
      <c r="AB18">
        <v>60</v>
      </c>
      <c r="AC18">
        <v>1</v>
      </c>
      <c r="AD18">
        <f t="shared" si="4"/>
        <v>19152.542372881355</v>
      </c>
      <c r="AF18">
        <f t="shared" si="5"/>
        <v>229830.50847457626</v>
      </c>
    </row>
    <row r="19" spans="2:33" x14ac:dyDescent="0.3">
      <c r="B19">
        <v>13</v>
      </c>
      <c r="C19">
        <v>-9500</v>
      </c>
      <c r="D19">
        <v>90000</v>
      </c>
      <c r="E19">
        <v>60</v>
      </c>
      <c r="F19">
        <f t="shared" si="6"/>
        <v>12423.728813559323</v>
      </c>
      <c r="H19">
        <v>13</v>
      </c>
      <c r="I19">
        <v>-6</v>
      </c>
      <c r="J19">
        <v>1000</v>
      </c>
      <c r="K19">
        <v>60</v>
      </c>
      <c r="L19">
        <f t="shared" si="1"/>
        <v>215.66101694915253</v>
      </c>
      <c r="N19">
        <v>13</v>
      </c>
      <c r="O19">
        <v>2000</v>
      </c>
      <c r="P19">
        <v>20000</v>
      </c>
      <c r="Q19">
        <v>60</v>
      </c>
      <c r="R19">
        <v>1</v>
      </c>
      <c r="S19">
        <f t="shared" si="2"/>
        <v>5966.1016949152545</v>
      </c>
      <c r="U19">
        <f t="shared" si="3"/>
        <v>77559.322033898308</v>
      </c>
      <c r="Y19">
        <v>13</v>
      </c>
      <c r="Z19">
        <v>10000</v>
      </c>
      <c r="AA19">
        <v>55000</v>
      </c>
      <c r="AB19">
        <v>60</v>
      </c>
      <c r="AC19">
        <v>1</v>
      </c>
      <c r="AD19">
        <f t="shared" si="4"/>
        <v>19915.254237288136</v>
      </c>
      <c r="AF19">
        <f t="shared" si="5"/>
        <v>258898.30508474578</v>
      </c>
    </row>
    <row r="20" spans="2:33" x14ac:dyDescent="0.3">
      <c r="B20">
        <v>14</v>
      </c>
      <c r="C20">
        <v>-9500</v>
      </c>
      <c r="D20">
        <v>90000</v>
      </c>
      <c r="E20">
        <v>60</v>
      </c>
      <c r="F20">
        <f t="shared" si="6"/>
        <v>14110.169491525423</v>
      </c>
      <c r="H20">
        <v>14</v>
      </c>
      <c r="I20">
        <v>-6</v>
      </c>
      <c r="J20">
        <v>1000</v>
      </c>
      <c r="K20">
        <v>60</v>
      </c>
      <c r="L20">
        <f t="shared" si="1"/>
        <v>232.71186440677965</v>
      </c>
      <c r="N20">
        <v>14</v>
      </c>
      <c r="O20">
        <v>2000</v>
      </c>
      <c r="P20">
        <v>20000</v>
      </c>
      <c r="Q20">
        <v>60</v>
      </c>
      <c r="R20">
        <v>1</v>
      </c>
      <c r="S20">
        <f t="shared" si="2"/>
        <v>6271.1864406779659</v>
      </c>
      <c r="U20">
        <f t="shared" si="3"/>
        <v>87796.610169491527</v>
      </c>
      <c r="Y20">
        <v>14</v>
      </c>
      <c r="Z20">
        <v>10000</v>
      </c>
      <c r="AA20">
        <v>55000</v>
      </c>
      <c r="AB20">
        <v>60</v>
      </c>
      <c r="AC20">
        <v>1</v>
      </c>
      <c r="AD20">
        <f t="shared" si="4"/>
        <v>20677.966101694918</v>
      </c>
      <c r="AF20">
        <f t="shared" si="5"/>
        <v>289491.52542372886</v>
      </c>
    </row>
    <row r="21" spans="2:33" x14ac:dyDescent="0.3">
      <c r="B21">
        <v>15</v>
      </c>
      <c r="C21">
        <v>-9500</v>
      </c>
      <c r="D21">
        <v>90000</v>
      </c>
      <c r="E21">
        <v>60</v>
      </c>
      <c r="F21">
        <f t="shared" si="6"/>
        <v>15796.610169491527</v>
      </c>
      <c r="H21">
        <v>15</v>
      </c>
      <c r="I21">
        <v>-6</v>
      </c>
      <c r="J21">
        <v>1000</v>
      </c>
      <c r="K21">
        <v>60</v>
      </c>
      <c r="L21">
        <f t="shared" si="1"/>
        <v>249.76271186440675</v>
      </c>
      <c r="N21">
        <v>15</v>
      </c>
      <c r="O21">
        <v>2000</v>
      </c>
      <c r="P21">
        <v>20000</v>
      </c>
      <c r="Q21">
        <v>60</v>
      </c>
      <c r="R21">
        <v>1</v>
      </c>
      <c r="S21">
        <f t="shared" si="2"/>
        <v>6576.2711864406783</v>
      </c>
      <c r="U21">
        <f t="shared" si="3"/>
        <v>98644.067796610179</v>
      </c>
      <c r="Y21">
        <v>15</v>
      </c>
      <c r="Z21">
        <v>10000</v>
      </c>
      <c r="AA21">
        <v>55000</v>
      </c>
      <c r="AB21">
        <v>60</v>
      </c>
      <c r="AC21">
        <v>1</v>
      </c>
      <c r="AD21">
        <f t="shared" si="4"/>
        <v>21440.677966101695</v>
      </c>
      <c r="AF21">
        <f t="shared" si="5"/>
        <v>321610.16949152545</v>
      </c>
    </row>
    <row r="22" spans="2:33" x14ac:dyDescent="0.3">
      <c r="B22">
        <v>16</v>
      </c>
      <c r="C22">
        <v>-9500</v>
      </c>
      <c r="D22">
        <v>90000</v>
      </c>
      <c r="E22">
        <v>60</v>
      </c>
      <c r="F22">
        <f t="shared" si="6"/>
        <v>17483.050847457627</v>
      </c>
      <c r="H22">
        <v>16</v>
      </c>
      <c r="I22">
        <v>-6</v>
      </c>
      <c r="J22">
        <v>1000</v>
      </c>
      <c r="K22">
        <v>60</v>
      </c>
      <c r="L22">
        <f t="shared" si="1"/>
        <v>266.81355932203388</v>
      </c>
      <c r="N22">
        <v>16</v>
      </c>
      <c r="O22">
        <v>2000</v>
      </c>
      <c r="P22">
        <v>20000</v>
      </c>
      <c r="Q22">
        <v>60</v>
      </c>
      <c r="R22">
        <v>1</v>
      </c>
      <c r="S22">
        <f t="shared" si="2"/>
        <v>6881.3559322033898</v>
      </c>
      <c r="U22">
        <f t="shared" si="3"/>
        <v>110101.69491525424</v>
      </c>
      <c r="Y22">
        <v>16</v>
      </c>
      <c r="Z22">
        <v>10000</v>
      </c>
      <c r="AA22">
        <v>55000</v>
      </c>
      <c r="AB22">
        <v>60</v>
      </c>
      <c r="AC22">
        <v>1</v>
      </c>
      <c r="AD22">
        <f t="shared" si="4"/>
        <v>22203.389830508473</v>
      </c>
      <c r="AF22">
        <f t="shared" si="5"/>
        <v>355254.23728813557</v>
      </c>
    </row>
    <row r="23" spans="2:33" x14ac:dyDescent="0.3">
      <c r="B23">
        <v>17</v>
      </c>
      <c r="C23">
        <v>-9500</v>
      </c>
      <c r="D23">
        <v>90000</v>
      </c>
      <c r="E23">
        <v>60</v>
      </c>
      <c r="F23">
        <f t="shared" si="6"/>
        <v>19169.491525423728</v>
      </c>
      <c r="H23">
        <v>17</v>
      </c>
      <c r="I23">
        <v>-6</v>
      </c>
      <c r="J23">
        <v>1000</v>
      </c>
      <c r="K23">
        <v>60</v>
      </c>
      <c r="L23">
        <f t="shared" si="1"/>
        <v>283.86440677966101</v>
      </c>
      <c r="N23">
        <v>17</v>
      </c>
      <c r="O23">
        <v>2000</v>
      </c>
      <c r="P23">
        <v>20000</v>
      </c>
      <c r="Q23">
        <v>60</v>
      </c>
      <c r="R23">
        <v>1</v>
      </c>
      <c r="S23">
        <f t="shared" si="2"/>
        <v>7186.4406779661012</v>
      </c>
      <c r="U23">
        <f t="shared" si="3"/>
        <v>122169.49152542373</v>
      </c>
      <c r="Y23">
        <v>17</v>
      </c>
      <c r="Z23">
        <v>10000</v>
      </c>
      <c r="AA23">
        <v>55000</v>
      </c>
      <c r="AB23">
        <v>60</v>
      </c>
      <c r="AC23">
        <v>1</v>
      </c>
      <c r="AD23">
        <f t="shared" si="4"/>
        <v>22966.101694915254</v>
      </c>
      <c r="AF23">
        <f t="shared" si="5"/>
        <v>390423.72881355934</v>
      </c>
    </row>
    <row r="24" spans="2:33" x14ac:dyDescent="0.3">
      <c r="B24">
        <v>18</v>
      </c>
      <c r="C24">
        <v>-9500</v>
      </c>
      <c r="D24">
        <v>90000</v>
      </c>
      <c r="E24">
        <v>60</v>
      </c>
      <c r="F24">
        <f t="shared" si="6"/>
        <v>20855.932203389832</v>
      </c>
      <c r="H24">
        <v>18</v>
      </c>
      <c r="I24">
        <v>-6</v>
      </c>
      <c r="J24">
        <v>1000</v>
      </c>
      <c r="K24">
        <v>60</v>
      </c>
      <c r="L24">
        <f t="shared" si="1"/>
        <v>300.91525423728814</v>
      </c>
      <c r="N24">
        <v>18</v>
      </c>
      <c r="O24">
        <v>2000</v>
      </c>
      <c r="P24">
        <v>20000</v>
      </c>
      <c r="Q24">
        <v>60</v>
      </c>
      <c r="R24">
        <v>1</v>
      </c>
      <c r="S24">
        <f t="shared" si="2"/>
        <v>7491.5254237288136</v>
      </c>
      <c r="U24">
        <f t="shared" si="3"/>
        <v>134847.45762711865</v>
      </c>
      <c r="Y24">
        <v>18</v>
      </c>
      <c r="Z24">
        <v>10000</v>
      </c>
      <c r="AA24">
        <v>55000</v>
      </c>
      <c r="AB24">
        <v>60</v>
      </c>
      <c r="AC24">
        <v>1</v>
      </c>
      <c r="AD24">
        <f t="shared" si="4"/>
        <v>23728.813559322036</v>
      </c>
      <c r="AF24">
        <f t="shared" si="5"/>
        <v>427118.64406779665</v>
      </c>
    </row>
    <row r="25" spans="2:33" x14ac:dyDescent="0.3">
      <c r="B25">
        <v>19</v>
      </c>
      <c r="C25">
        <v>-9500</v>
      </c>
      <c r="D25">
        <v>90000</v>
      </c>
      <c r="E25">
        <v>60</v>
      </c>
      <c r="F25">
        <f t="shared" si="6"/>
        <v>22542.372881355932</v>
      </c>
      <c r="H25">
        <v>19</v>
      </c>
      <c r="I25">
        <v>-6</v>
      </c>
      <c r="J25">
        <v>1000</v>
      </c>
      <c r="K25">
        <v>60</v>
      </c>
      <c r="L25">
        <f t="shared" si="1"/>
        <v>317.96610169491521</v>
      </c>
      <c r="N25">
        <v>19</v>
      </c>
      <c r="O25">
        <v>2000</v>
      </c>
      <c r="P25">
        <v>20000</v>
      </c>
      <c r="Q25">
        <v>60</v>
      </c>
      <c r="R25">
        <v>1</v>
      </c>
      <c r="S25">
        <f t="shared" si="2"/>
        <v>7796.6101694915251</v>
      </c>
      <c r="U25">
        <f t="shared" si="3"/>
        <v>148135.59322033898</v>
      </c>
      <c r="Y25">
        <v>19</v>
      </c>
      <c r="Z25">
        <v>10000</v>
      </c>
      <c r="AA25">
        <v>55000</v>
      </c>
      <c r="AB25">
        <v>60</v>
      </c>
      <c r="AC25">
        <v>1</v>
      </c>
      <c r="AD25">
        <f t="shared" si="4"/>
        <v>24491.525423728814</v>
      </c>
      <c r="AF25">
        <f t="shared" si="5"/>
        <v>465338.98305084748</v>
      </c>
    </row>
    <row r="26" spans="2:33" x14ac:dyDescent="0.3">
      <c r="B26">
        <v>20</v>
      </c>
      <c r="C26">
        <v>-9500</v>
      </c>
      <c r="D26">
        <v>90000</v>
      </c>
      <c r="E26">
        <v>60</v>
      </c>
      <c r="F26">
        <f t="shared" si="6"/>
        <v>24228.813559322036</v>
      </c>
      <c r="H26">
        <v>20</v>
      </c>
      <c r="I26">
        <v>-6</v>
      </c>
      <c r="J26">
        <v>1000</v>
      </c>
      <c r="K26">
        <v>60</v>
      </c>
      <c r="L26">
        <f t="shared" si="1"/>
        <v>335.01694915254234</v>
      </c>
      <c r="N26">
        <v>20</v>
      </c>
      <c r="O26">
        <v>2000</v>
      </c>
      <c r="P26">
        <v>20000</v>
      </c>
      <c r="Q26">
        <v>60</v>
      </c>
      <c r="R26">
        <v>1</v>
      </c>
      <c r="S26">
        <f t="shared" si="2"/>
        <v>8101.6949152542375</v>
      </c>
      <c r="U26">
        <f t="shared" si="3"/>
        <v>162033.89830508476</v>
      </c>
      <c r="V26">
        <f>SUM(U8:U26)</f>
        <v>1281893.559322034</v>
      </c>
      <c r="W26">
        <f>SQRT(20)*U26</f>
        <v>724637.62253891502</v>
      </c>
      <c r="Y26">
        <v>20</v>
      </c>
      <c r="Z26">
        <v>10000</v>
      </c>
      <c r="AA26">
        <v>55000</v>
      </c>
      <c r="AB26">
        <v>60</v>
      </c>
      <c r="AC26">
        <v>1</v>
      </c>
      <c r="AD26">
        <f t="shared" si="4"/>
        <v>25254.237288135591</v>
      </c>
      <c r="AF26">
        <f t="shared" si="5"/>
        <v>505084.74576271186</v>
      </c>
      <c r="AG26">
        <f>SUM(AF7:AF26)</f>
        <v>4288983.0508474577</v>
      </c>
    </row>
    <row r="27" spans="2:33" x14ac:dyDescent="0.3">
      <c r="B27">
        <v>21</v>
      </c>
      <c r="C27">
        <v>-9500</v>
      </c>
      <c r="D27">
        <v>90000</v>
      </c>
      <c r="E27">
        <v>60</v>
      </c>
      <c r="F27">
        <f t="shared" si="6"/>
        <v>25915.254237288136</v>
      </c>
      <c r="H27">
        <v>21</v>
      </c>
      <c r="I27">
        <v>-6</v>
      </c>
      <c r="J27">
        <v>1000</v>
      </c>
      <c r="K27">
        <v>60</v>
      </c>
      <c r="L27">
        <f t="shared" si="1"/>
        <v>352.06779661016947</v>
      </c>
      <c r="N27">
        <v>21</v>
      </c>
      <c r="O27">
        <v>2000</v>
      </c>
      <c r="P27">
        <v>20000</v>
      </c>
      <c r="Q27">
        <v>60</v>
      </c>
      <c r="R27">
        <v>1</v>
      </c>
      <c r="S27">
        <f t="shared" si="2"/>
        <v>8406.7796610169498</v>
      </c>
      <c r="U27">
        <f t="shared" si="3"/>
        <v>176542.37288135596</v>
      </c>
      <c r="Y27">
        <v>21</v>
      </c>
      <c r="Z27">
        <v>10000</v>
      </c>
      <c r="AA27">
        <v>55000</v>
      </c>
      <c r="AB27">
        <v>60</v>
      </c>
      <c r="AC27">
        <v>1</v>
      </c>
      <c r="AD27">
        <f t="shared" si="4"/>
        <v>26016.949152542373</v>
      </c>
      <c r="AF27">
        <f t="shared" si="5"/>
        <v>546355.93220338982</v>
      </c>
    </row>
    <row r="28" spans="2:33" x14ac:dyDescent="0.3">
      <c r="B28">
        <v>22</v>
      </c>
      <c r="C28">
        <v>-9500</v>
      </c>
      <c r="D28">
        <v>90000</v>
      </c>
      <c r="E28">
        <v>60</v>
      </c>
      <c r="F28">
        <f t="shared" si="6"/>
        <v>27601.694915254237</v>
      </c>
      <c r="H28">
        <v>22</v>
      </c>
      <c r="I28">
        <v>-6</v>
      </c>
      <c r="J28">
        <v>1000</v>
      </c>
      <c r="K28">
        <v>60</v>
      </c>
      <c r="L28">
        <f t="shared" si="1"/>
        <v>369.11864406779659</v>
      </c>
      <c r="N28">
        <v>22</v>
      </c>
      <c r="O28">
        <v>2000</v>
      </c>
      <c r="P28">
        <v>20000</v>
      </c>
      <c r="Q28">
        <v>60</v>
      </c>
      <c r="R28">
        <v>1</v>
      </c>
      <c r="S28">
        <f t="shared" si="2"/>
        <v>8711.8644067796613</v>
      </c>
      <c r="U28">
        <f t="shared" si="3"/>
        <v>191661.01694915254</v>
      </c>
      <c r="Y28">
        <v>22</v>
      </c>
      <c r="Z28">
        <v>10000</v>
      </c>
      <c r="AA28">
        <v>55000</v>
      </c>
      <c r="AB28">
        <v>60</v>
      </c>
      <c r="AC28">
        <v>1</v>
      </c>
      <c r="AD28">
        <f t="shared" si="4"/>
        <v>26779.661016949154</v>
      </c>
      <c r="AF28">
        <f t="shared" si="5"/>
        <v>589152.54237288143</v>
      </c>
    </row>
    <row r="29" spans="2:33" x14ac:dyDescent="0.3">
      <c r="B29">
        <v>23</v>
      </c>
      <c r="C29">
        <v>-9500</v>
      </c>
      <c r="D29">
        <v>90000</v>
      </c>
      <c r="E29">
        <v>60</v>
      </c>
      <c r="F29">
        <f t="shared" si="6"/>
        <v>29288.135593220337</v>
      </c>
      <c r="H29">
        <v>23</v>
      </c>
      <c r="I29">
        <v>-6</v>
      </c>
      <c r="J29">
        <v>1000</v>
      </c>
      <c r="K29">
        <v>60</v>
      </c>
      <c r="L29">
        <f t="shared" si="1"/>
        <v>386.16949152542372</v>
      </c>
      <c r="N29">
        <v>23</v>
      </c>
      <c r="O29">
        <v>2000</v>
      </c>
      <c r="P29">
        <v>20000</v>
      </c>
      <c r="Q29">
        <v>60</v>
      </c>
      <c r="R29">
        <v>1</v>
      </c>
      <c r="S29">
        <f t="shared" si="2"/>
        <v>9016.9491525423728</v>
      </c>
      <c r="U29">
        <f t="shared" si="3"/>
        <v>207389.83050847458</v>
      </c>
      <c r="Y29">
        <v>23</v>
      </c>
      <c r="Z29">
        <v>10000</v>
      </c>
      <c r="AA29">
        <v>55000</v>
      </c>
      <c r="AB29">
        <v>60</v>
      </c>
      <c r="AC29">
        <v>1</v>
      </c>
      <c r="AD29">
        <f t="shared" si="4"/>
        <v>27542.372881355932</v>
      </c>
      <c r="AF29">
        <f t="shared" si="5"/>
        <v>633474.57627118647</v>
      </c>
    </row>
    <row r="30" spans="2:33" x14ac:dyDescent="0.3">
      <c r="B30">
        <v>24</v>
      </c>
      <c r="C30">
        <v>-9500</v>
      </c>
      <c r="D30">
        <v>90000</v>
      </c>
      <c r="E30">
        <v>60</v>
      </c>
      <c r="F30">
        <f t="shared" si="6"/>
        <v>30974.576271186437</v>
      </c>
      <c r="H30">
        <v>24</v>
      </c>
      <c r="I30">
        <v>-6</v>
      </c>
      <c r="J30">
        <v>1000</v>
      </c>
      <c r="K30">
        <v>60</v>
      </c>
      <c r="L30">
        <f t="shared" si="1"/>
        <v>403.22033898305085</v>
      </c>
      <c r="N30">
        <v>24</v>
      </c>
      <c r="O30">
        <v>2000</v>
      </c>
      <c r="P30">
        <v>20000</v>
      </c>
      <c r="Q30">
        <v>60</v>
      </c>
      <c r="R30">
        <v>1</v>
      </c>
      <c r="S30">
        <f t="shared" si="2"/>
        <v>9322.0338983050842</v>
      </c>
      <c r="U30">
        <f t="shared" si="3"/>
        <v>223728.81355932204</v>
      </c>
      <c r="Y30">
        <v>24</v>
      </c>
      <c r="Z30">
        <v>10000</v>
      </c>
      <c r="AA30">
        <v>55000</v>
      </c>
      <c r="AB30">
        <v>60</v>
      </c>
      <c r="AC30">
        <v>1</v>
      </c>
      <c r="AD30">
        <f t="shared" si="4"/>
        <v>28305.084745762713</v>
      </c>
      <c r="AF30">
        <f t="shared" si="5"/>
        <v>679322.03389830515</v>
      </c>
    </row>
    <row r="31" spans="2:33" x14ac:dyDescent="0.3">
      <c r="B31">
        <v>25</v>
      </c>
      <c r="C31">
        <v>-9500</v>
      </c>
      <c r="D31">
        <v>90000</v>
      </c>
      <c r="E31">
        <v>60</v>
      </c>
      <c r="F31">
        <f t="shared" si="6"/>
        <v>32661.016949152545</v>
      </c>
      <c r="H31">
        <v>25</v>
      </c>
      <c r="I31">
        <v>-6</v>
      </c>
      <c r="J31">
        <v>1000</v>
      </c>
      <c r="K31">
        <v>60</v>
      </c>
      <c r="L31">
        <f t="shared" si="1"/>
        <v>420.27118644067792</v>
      </c>
      <c r="N31">
        <v>25</v>
      </c>
      <c r="O31">
        <v>2000</v>
      </c>
      <c r="P31">
        <v>20000</v>
      </c>
      <c r="Q31">
        <v>60</v>
      </c>
      <c r="R31">
        <v>1</v>
      </c>
      <c r="S31">
        <f t="shared" si="2"/>
        <v>9627.1186440677957</v>
      </c>
      <c r="U31">
        <f t="shared" si="3"/>
        <v>240677.96610169488</v>
      </c>
      <c r="Y31">
        <v>25</v>
      </c>
      <c r="Z31">
        <v>10000</v>
      </c>
      <c r="AA31">
        <v>55000</v>
      </c>
      <c r="AB31">
        <v>60</v>
      </c>
      <c r="AC31">
        <v>1</v>
      </c>
      <c r="AD31">
        <f t="shared" si="4"/>
        <v>29067.796610169491</v>
      </c>
      <c r="AF31">
        <f t="shared" si="5"/>
        <v>726694.91525423725</v>
      </c>
    </row>
    <row r="32" spans="2:33" x14ac:dyDescent="0.3">
      <c r="B32">
        <v>26</v>
      </c>
      <c r="C32">
        <v>-9500</v>
      </c>
      <c r="D32">
        <v>90000</v>
      </c>
      <c r="E32">
        <v>60</v>
      </c>
      <c r="F32">
        <f t="shared" si="6"/>
        <v>34347.457627118645</v>
      </c>
      <c r="H32">
        <v>26</v>
      </c>
      <c r="I32">
        <v>-6</v>
      </c>
      <c r="J32">
        <v>1000</v>
      </c>
      <c r="K32">
        <v>60</v>
      </c>
      <c r="L32">
        <f t="shared" si="1"/>
        <v>437.32203389830505</v>
      </c>
      <c r="N32">
        <v>26</v>
      </c>
      <c r="O32">
        <v>2000</v>
      </c>
      <c r="P32">
        <v>20000</v>
      </c>
      <c r="Q32">
        <v>60</v>
      </c>
      <c r="R32">
        <v>1</v>
      </c>
      <c r="S32">
        <f t="shared" si="2"/>
        <v>9932.203389830509</v>
      </c>
      <c r="U32">
        <f t="shared" si="3"/>
        <v>258237.28813559323</v>
      </c>
      <c r="Y32">
        <v>26</v>
      </c>
      <c r="Z32">
        <v>10000</v>
      </c>
      <c r="AA32">
        <v>55000</v>
      </c>
      <c r="AB32">
        <v>60</v>
      </c>
      <c r="AC32">
        <v>1</v>
      </c>
      <c r="AD32">
        <f t="shared" si="4"/>
        <v>29830.508474576272</v>
      </c>
      <c r="AF32">
        <f t="shared" si="5"/>
        <v>775593.22033898311</v>
      </c>
    </row>
    <row r="33" spans="2:32" x14ac:dyDescent="0.3">
      <c r="B33">
        <v>27</v>
      </c>
      <c r="C33">
        <v>-9500</v>
      </c>
      <c r="D33">
        <v>90000</v>
      </c>
      <c r="E33">
        <v>60</v>
      </c>
      <c r="F33">
        <f t="shared" si="6"/>
        <v>36033.898305084746</v>
      </c>
      <c r="H33">
        <v>27</v>
      </c>
      <c r="I33">
        <v>-6</v>
      </c>
      <c r="J33">
        <v>1000</v>
      </c>
      <c r="K33">
        <v>60</v>
      </c>
      <c r="L33">
        <f t="shared" si="1"/>
        <v>454.37288135593218</v>
      </c>
      <c r="N33">
        <v>27</v>
      </c>
      <c r="O33">
        <v>2000</v>
      </c>
      <c r="P33">
        <v>20000</v>
      </c>
      <c r="Q33">
        <v>60</v>
      </c>
      <c r="R33">
        <v>1</v>
      </c>
      <c r="S33">
        <f t="shared" si="2"/>
        <v>10237.28813559322</v>
      </c>
      <c r="U33">
        <f t="shared" si="3"/>
        <v>276406.77966101695</v>
      </c>
      <c r="Y33">
        <v>27</v>
      </c>
      <c r="Z33">
        <v>10000</v>
      </c>
      <c r="AA33">
        <v>55000</v>
      </c>
      <c r="AB33">
        <v>60</v>
      </c>
      <c r="AC33">
        <v>1</v>
      </c>
      <c r="AD33">
        <f t="shared" si="4"/>
        <v>30593.22033898305</v>
      </c>
      <c r="AF33">
        <f t="shared" si="5"/>
        <v>826016.94915254239</v>
      </c>
    </row>
    <row r="34" spans="2:32" x14ac:dyDescent="0.3">
      <c r="B34">
        <v>28</v>
      </c>
      <c r="C34">
        <v>-9500</v>
      </c>
      <c r="D34">
        <v>90000</v>
      </c>
      <c r="E34">
        <v>60</v>
      </c>
      <c r="F34">
        <f t="shared" si="6"/>
        <v>37720.338983050846</v>
      </c>
      <c r="H34">
        <v>28</v>
      </c>
      <c r="I34">
        <v>-6</v>
      </c>
      <c r="J34">
        <v>1000</v>
      </c>
      <c r="K34">
        <v>60</v>
      </c>
      <c r="L34">
        <f t="shared" si="1"/>
        <v>471.42372881355931</v>
      </c>
      <c r="N34">
        <v>28</v>
      </c>
      <c r="O34">
        <v>2000</v>
      </c>
      <c r="P34">
        <v>20000</v>
      </c>
      <c r="Q34">
        <v>60</v>
      </c>
      <c r="R34">
        <v>1</v>
      </c>
      <c r="S34">
        <f t="shared" si="2"/>
        <v>10542.372881355932</v>
      </c>
      <c r="U34">
        <f t="shared" si="3"/>
        <v>295186.44067796611</v>
      </c>
      <c r="Y34">
        <v>28</v>
      </c>
      <c r="Z34">
        <v>10000</v>
      </c>
      <c r="AA34">
        <v>55000</v>
      </c>
      <c r="AB34">
        <v>60</v>
      </c>
      <c r="AC34">
        <v>1</v>
      </c>
      <c r="AD34">
        <f t="shared" si="4"/>
        <v>31355.932203389832</v>
      </c>
      <c r="AF34">
        <f t="shared" si="5"/>
        <v>877966.10169491533</v>
      </c>
    </row>
    <row r="35" spans="2:32" x14ac:dyDescent="0.3">
      <c r="B35">
        <v>29</v>
      </c>
      <c r="C35">
        <v>-9500</v>
      </c>
      <c r="D35">
        <v>90000</v>
      </c>
      <c r="E35">
        <v>60</v>
      </c>
      <c r="F35">
        <f t="shared" si="6"/>
        <v>39406.779661016946</v>
      </c>
      <c r="H35">
        <v>29</v>
      </c>
      <c r="I35">
        <v>-6</v>
      </c>
      <c r="J35">
        <v>1000</v>
      </c>
      <c r="K35">
        <v>60</v>
      </c>
      <c r="L35">
        <f t="shared" si="1"/>
        <v>488.47457627118644</v>
      </c>
      <c r="N35">
        <v>29</v>
      </c>
      <c r="O35">
        <v>2000</v>
      </c>
      <c r="P35">
        <v>20000</v>
      </c>
      <c r="Q35">
        <v>60</v>
      </c>
      <c r="R35">
        <v>1</v>
      </c>
      <c r="S35">
        <f t="shared" si="2"/>
        <v>10847.457627118643</v>
      </c>
      <c r="U35">
        <f t="shared" si="3"/>
        <v>314576.27118644066</v>
      </c>
      <c r="Y35">
        <v>29</v>
      </c>
      <c r="Z35">
        <v>10000</v>
      </c>
      <c r="AA35">
        <v>55000</v>
      </c>
      <c r="AB35">
        <v>60</v>
      </c>
      <c r="AC35">
        <v>1</v>
      </c>
      <c r="AD35">
        <f t="shared" si="4"/>
        <v>32118.644067796609</v>
      </c>
      <c r="AF35">
        <f t="shared" si="5"/>
        <v>931440.67796610168</v>
      </c>
    </row>
    <row r="36" spans="2:32" x14ac:dyDescent="0.3">
      <c r="B36">
        <v>30</v>
      </c>
      <c r="C36">
        <v>-9500</v>
      </c>
      <c r="D36">
        <v>90000</v>
      </c>
      <c r="E36">
        <v>60</v>
      </c>
      <c r="F36">
        <f t="shared" si="6"/>
        <v>41093.220338983054</v>
      </c>
      <c r="H36">
        <v>30</v>
      </c>
      <c r="I36">
        <v>-6</v>
      </c>
      <c r="J36">
        <v>1000</v>
      </c>
      <c r="K36">
        <v>60</v>
      </c>
      <c r="L36">
        <f t="shared" si="1"/>
        <v>505.52542372881351</v>
      </c>
      <c r="N36">
        <v>30</v>
      </c>
      <c r="O36">
        <v>2000</v>
      </c>
      <c r="P36">
        <v>20000</v>
      </c>
      <c r="Q36">
        <v>60</v>
      </c>
      <c r="R36">
        <v>1</v>
      </c>
      <c r="S36">
        <f t="shared" si="2"/>
        <v>11152.542372881357</v>
      </c>
      <c r="U36">
        <f t="shared" si="3"/>
        <v>334576.27118644072</v>
      </c>
      <c r="V36">
        <f>SUM(U8:U36)</f>
        <v>3800876.6101694917</v>
      </c>
      <c r="W36">
        <f>SQRT(30)*U36</f>
        <v>1832549.7093477934</v>
      </c>
      <c r="Y36">
        <v>30</v>
      </c>
      <c r="Z36">
        <v>10000</v>
      </c>
      <c r="AA36">
        <v>55000</v>
      </c>
      <c r="AB36">
        <v>60</v>
      </c>
      <c r="AC36">
        <v>1</v>
      </c>
      <c r="AD36">
        <f t="shared" si="4"/>
        <v>32881.355932203391</v>
      </c>
      <c r="AF36">
        <f t="shared" si="5"/>
        <v>986440.67796610168</v>
      </c>
    </row>
    <row r="37" spans="2:32" x14ac:dyDescent="0.3">
      <c r="B37">
        <v>31</v>
      </c>
      <c r="C37">
        <v>-9500</v>
      </c>
      <c r="D37">
        <v>90000</v>
      </c>
      <c r="E37">
        <v>60</v>
      </c>
      <c r="F37">
        <f t="shared" si="6"/>
        <v>42779.661016949154</v>
      </c>
      <c r="H37">
        <v>31</v>
      </c>
      <c r="I37">
        <v>-6</v>
      </c>
      <c r="J37">
        <v>1000</v>
      </c>
      <c r="K37">
        <v>60</v>
      </c>
      <c r="L37">
        <f t="shared" si="1"/>
        <v>522.57627118644064</v>
      </c>
      <c r="N37">
        <v>31</v>
      </c>
      <c r="O37">
        <v>2000</v>
      </c>
      <c r="P37">
        <v>20000</v>
      </c>
      <c r="Q37">
        <v>60</v>
      </c>
      <c r="R37">
        <v>1</v>
      </c>
      <c r="S37">
        <f t="shared" si="2"/>
        <v>11457.627118644068</v>
      </c>
      <c r="U37">
        <f t="shared" si="3"/>
        <v>355186.44067796611</v>
      </c>
      <c r="Y37">
        <v>31</v>
      </c>
      <c r="Z37">
        <v>10000</v>
      </c>
      <c r="AA37">
        <v>55000</v>
      </c>
      <c r="AB37">
        <v>60</v>
      </c>
      <c r="AC37">
        <v>1</v>
      </c>
      <c r="AD37">
        <f t="shared" si="4"/>
        <v>33644.067796610165</v>
      </c>
      <c r="AF37">
        <f t="shared" si="5"/>
        <v>1042966.1016949151</v>
      </c>
    </row>
    <row r="38" spans="2:32" x14ac:dyDescent="0.3">
      <c r="B38">
        <v>32</v>
      </c>
      <c r="C38">
        <v>-9500</v>
      </c>
      <c r="D38">
        <v>90000</v>
      </c>
      <c r="E38">
        <v>60</v>
      </c>
      <c r="F38">
        <f t="shared" si="6"/>
        <v>44466.101694915254</v>
      </c>
      <c r="H38">
        <v>32</v>
      </c>
      <c r="I38">
        <v>-6</v>
      </c>
      <c r="J38">
        <v>1000</v>
      </c>
      <c r="K38">
        <v>60</v>
      </c>
      <c r="L38">
        <f t="shared" si="1"/>
        <v>539.62711864406776</v>
      </c>
      <c r="N38">
        <v>32</v>
      </c>
      <c r="O38">
        <v>2000</v>
      </c>
      <c r="P38">
        <v>20000</v>
      </c>
      <c r="Q38">
        <v>60</v>
      </c>
      <c r="R38">
        <v>1</v>
      </c>
      <c r="S38">
        <f t="shared" si="2"/>
        <v>11762.71186440678</v>
      </c>
      <c r="U38">
        <f t="shared" si="3"/>
        <v>376406.77966101695</v>
      </c>
      <c r="Y38">
        <v>32</v>
      </c>
      <c r="Z38">
        <v>10000</v>
      </c>
      <c r="AA38">
        <v>55000</v>
      </c>
      <c r="AB38">
        <v>60</v>
      </c>
      <c r="AC38">
        <v>1</v>
      </c>
      <c r="AD38">
        <f t="shared" si="4"/>
        <v>34406.779661016946</v>
      </c>
      <c r="AF38">
        <f t="shared" si="5"/>
        <v>1101016.9491525423</v>
      </c>
    </row>
    <row r="39" spans="2:32" x14ac:dyDescent="0.3">
      <c r="B39">
        <v>33</v>
      </c>
      <c r="C39">
        <v>-9500</v>
      </c>
      <c r="D39">
        <v>90000</v>
      </c>
      <c r="E39">
        <v>60</v>
      </c>
      <c r="F39">
        <f t="shared" si="6"/>
        <v>46152.542372881355</v>
      </c>
      <c r="H39">
        <v>33</v>
      </c>
      <c r="I39">
        <v>-6</v>
      </c>
      <c r="J39">
        <v>1000</v>
      </c>
      <c r="K39">
        <v>60</v>
      </c>
      <c r="L39">
        <f t="shared" si="1"/>
        <v>556.67796610169489</v>
      </c>
      <c r="N39">
        <v>33</v>
      </c>
      <c r="O39">
        <v>2000</v>
      </c>
      <c r="P39">
        <v>20000</v>
      </c>
      <c r="Q39">
        <v>60</v>
      </c>
      <c r="R39">
        <v>1</v>
      </c>
      <c r="S39">
        <f t="shared" si="2"/>
        <v>12067.796610169491</v>
      </c>
      <c r="U39">
        <f t="shared" si="3"/>
        <v>398237.28813559317</v>
      </c>
      <c r="Y39">
        <v>33</v>
      </c>
      <c r="Z39">
        <v>10000</v>
      </c>
      <c r="AA39">
        <v>55000</v>
      </c>
      <c r="AB39">
        <v>60</v>
      </c>
      <c r="AC39">
        <v>1</v>
      </c>
      <c r="AD39">
        <f t="shared" si="4"/>
        <v>35169.491525423728</v>
      </c>
      <c r="AF39">
        <f t="shared" si="5"/>
        <v>1160593.220338983</v>
      </c>
    </row>
    <row r="40" spans="2:32" x14ac:dyDescent="0.3">
      <c r="B40">
        <v>34</v>
      </c>
      <c r="C40">
        <v>-9500</v>
      </c>
      <c r="D40">
        <v>90000</v>
      </c>
      <c r="E40">
        <v>60</v>
      </c>
      <c r="F40">
        <f t="shared" si="6"/>
        <v>47838.983050847455</v>
      </c>
      <c r="H40">
        <v>34</v>
      </c>
      <c r="I40">
        <v>-6</v>
      </c>
      <c r="J40">
        <v>1000</v>
      </c>
      <c r="K40">
        <v>60</v>
      </c>
      <c r="L40">
        <f t="shared" si="1"/>
        <v>573.72881355932202</v>
      </c>
      <c r="N40">
        <v>34</v>
      </c>
      <c r="O40">
        <v>2000</v>
      </c>
      <c r="P40">
        <v>20000</v>
      </c>
      <c r="Q40">
        <v>60</v>
      </c>
      <c r="R40">
        <v>1</v>
      </c>
      <c r="S40">
        <f t="shared" si="2"/>
        <v>12372.881355932202</v>
      </c>
      <c r="U40">
        <f t="shared" si="3"/>
        <v>420677.96610169491</v>
      </c>
      <c r="Y40">
        <v>34</v>
      </c>
      <c r="Z40">
        <v>10000</v>
      </c>
      <c r="AA40">
        <v>55000</v>
      </c>
      <c r="AB40">
        <v>60</v>
      </c>
      <c r="AC40">
        <v>1</v>
      </c>
      <c r="AD40">
        <f t="shared" si="4"/>
        <v>35932.203389830509</v>
      </c>
      <c r="AF40">
        <f t="shared" si="5"/>
        <v>1221694.9152542374</v>
      </c>
    </row>
    <row r="41" spans="2:32" x14ac:dyDescent="0.3">
      <c r="B41">
        <v>35</v>
      </c>
      <c r="C41">
        <v>-9500</v>
      </c>
      <c r="D41">
        <v>90000</v>
      </c>
      <c r="E41">
        <v>60</v>
      </c>
      <c r="F41">
        <f t="shared" si="6"/>
        <v>49525.423728813563</v>
      </c>
      <c r="H41">
        <v>35</v>
      </c>
      <c r="I41">
        <v>-6</v>
      </c>
      <c r="J41">
        <v>1000</v>
      </c>
      <c r="K41">
        <v>60</v>
      </c>
      <c r="L41">
        <f t="shared" si="1"/>
        <v>590.77966101694915</v>
      </c>
      <c r="N41">
        <v>35</v>
      </c>
      <c r="O41">
        <v>2000</v>
      </c>
      <c r="P41">
        <v>20000</v>
      </c>
      <c r="Q41">
        <v>60</v>
      </c>
      <c r="R41">
        <v>1</v>
      </c>
      <c r="S41">
        <f t="shared" si="2"/>
        <v>12677.966101694916</v>
      </c>
      <c r="U41">
        <f t="shared" si="3"/>
        <v>443728.81355932204</v>
      </c>
      <c r="Y41">
        <v>35</v>
      </c>
      <c r="Z41">
        <v>10000</v>
      </c>
      <c r="AA41">
        <v>55000</v>
      </c>
      <c r="AB41">
        <v>60</v>
      </c>
      <c r="AC41">
        <v>1</v>
      </c>
      <c r="AD41">
        <f t="shared" si="4"/>
        <v>36694.91525423729</v>
      </c>
      <c r="AF41">
        <f t="shared" si="5"/>
        <v>1284322.0338983051</v>
      </c>
    </row>
    <row r="42" spans="2:32" x14ac:dyDescent="0.3">
      <c r="B42">
        <v>36</v>
      </c>
      <c r="C42">
        <v>-9500</v>
      </c>
      <c r="D42">
        <v>90000</v>
      </c>
      <c r="E42">
        <v>60</v>
      </c>
      <c r="F42">
        <f t="shared" si="6"/>
        <v>51211.864406779663</v>
      </c>
      <c r="H42">
        <v>36</v>
      </c>
      <c r="I42">
        <v>-6</v>
      </c>
      <c r="J42">
        <v>1000</v>
      </c>
      <c r="K42">
        <v>60</v>
      </c>
      <c r="L42">
        <f t="shared" si="1"/>
        <v>607.83050847457628</v>
      </c>
      <c r="N42">
        <v>36</v>
      </c>
      <c r="O42">
        <v>2000</v>
      </c>
      <c r="P42">
        <v>20000</v>
      </c>
      <c r="Q42">
        <v>60</v>
      </c>
      <c r="R42">
        <v>1</v>
      </c>
      <c r="S42">
        <f t="shared" si="2"/>
        <v>12983.050847457627</v>
      </c>
      <c r="U42">
        <f t="shared" si="3"/>
        <v>467389.83050847461</v>
      </c>
      <c r="Y42">
        <v>36</v>
      </c>
      <c r="Z42">
        <v>10000</v>
      </c>
      <c r="AA42">
        <v>55000</v>
      </c>
      <c r="AB42">
        <v>60</v>
      </c>
      <c r="AC42">
        <v>1</v>
      </c>
      <c r="AD42">
        <f t="shared" si="4"/>
        <v>37457.627118644072</v>
      </c>
      <c r="AF42">
        <f t="shared" si="5"/>
        <v>1348474.5762711866</v>
      </c>
    </row>
    <row r="43" spans="2:32" x14ac:dyDescent="0.3">
      <c r="B43">
        <v>37</v>
      </c>
      <c r="C43">
        <v>-9500</v>
      </c>
      <c r="D43">
        <v>90000</v>
      </c>
      <c r="E43">
        <v>60</v>
      </c>
      <c r="F43">
        <f t="shared" si="6"/>
        <v>52898.305084745763</v>
      </c>
      <c r="H43">
        <v>37</v>
      </c>
      <c r="I43">
        <v>-6</v>
      </c>
      <c r="J43">
        <v>1000</v>
      </c>
      <c r="K43">
        <v>60</v>
      </c>
      <c r="L43">
        <f t="shared" si="1"/>
        <v>624.88135593220341</v>
      </c>
      <c r="N43">
        <v>37</v>
      </c>
      <c r="O43">
        <v>2000</v>
      </c>
      <c r="P43">
        <v>20000</v>
      </c>
      <c r="Q43">
        <v>60</v>
      </c>
      <c r="R43">
        <v>1</v>
      </c>
      <c r="S43">
        <f t="shared" si="2"/>
        <v>13288.135593220339</v>
      </c>
      <c r="U43">
        <f t="shared" si="3"/>
        <v>491661.01694915252</v>
      </c>
      <c r="Y43">
        <v>37</v>
      </c>
      <c r="Z43">
        <v>10000</v>
      </c>
      <c r="AA43">
        <v>55000</v>
      </c>
      <c r="AB43">
        <v>60</v>
      </c>
      <c r="AC43">
        <v>1</v>
      </c>
      <c r="AD43">
        <f t="shared" si="4"/>
        <v>38220.338983050853</v>
      </c>
      <c r="AF43">
        <f t="shared" si="5"/>
        <v>1414152.5423728817</v>
      </c>
    </row>
    <row r="44" spans="2:32" x14ac:dyDescent="0.3">
      <c r="B44">
        <v>38</v>
      </c>
      <c r="C44">
        <v>-9500</v>
      </c>
      <c r="D44">
        <v>90000</v>
      </c>
      <c r="E44">
        <v>60</v>
      </c>
      <c r="F44">
        <f t="shared" si="6"/>
        <v>54584.745762711864</v>
      </c>
      <c r="H44">
        <v>38</v>
      </c>
      <c r="I44">
        <v>-6</v>
      </c>
      <c r="J44">
        <v>1000</v>
      </c>
      <c r="K44">
        <v>60</v>
      </c>
      <c r="L44">
        <f t="shared" si="1"/>
        <v>641.93220338983042</v>
      </c>
      <c r="N44">
        <v>38</v>
      </c>
      <c r="O44">
        <v>2000</v>
      </c>
      <c r="P44">
        <v>20000</v>
      </c>
      <c r="Q44">
        <v>60</v>
      </c>
      <c r="R44">
        <v>1</v>
      </c>
      <c r="S44">
        <f t="shared" si="2"/>
        <v>13593.22033898305</v>
      </c>
      <c r="U44">
        <f t="shared" si="3"/>
        <v>516542.37288135593</v>
      </c>
      <c r="Y44">
        <v>38</v>
      </c>
      <c r="Z44">
        <v>10000</v>
      </c>
      <c r="AA44">
        <v>55000</v>
      </c>
      <c r="AB44">
        <v>60</v>
      </c>
      <c r="AC44">
        <v>1</v>
      </c>
      <c r="AD44">
        <f t="shared" si="4"/>
        <v>38983.050847457627</v>
      </c>
      <c r="AF44">
        <f t="shared" si="5"/>
        <v>1481355.9322033899</v>
      </c>
    </row>
    <row r="45" spans="2:32" x14ac:dyDescent="0.3">
      <c r="B45">
        <v>39</v>
      </c>
      <c r="C45">
        <v>-9500</v>
      </c>
      <c r="D45">
        <v>90000</v>
      </c>
      <c r="E45">
        <v>60</v>
      </c>
      <c r="F45">
        <f t="shared" si="6"/>
        <v>56271.186440677964</v>
      </c>
      <c r="H45">
        <v>39</v>
      </c>
      <c r="I45">
        <v>-6</v>
      </c>
      <c r="J45">
        <v>1000</v>
      </c>
      <c r="K45">
        <v>60</v>
      </c>
      <c r="L45">
        <f t="shared" si="1"/>
        <v>658.98305084745755</v>
      </c>
      <c r="N45">
        <v>39</v>
      </c>
      <c r="O45">
        <v>2000</v>
      </c>
      <c r="P45">
        <v>20000</v>
      </c>
      <c r="Q45">
        <v>60</v>
      </c>
      <c r="R45">
        <v>1</v>
      </c>
      <c r="S45">
        <f t="shared" si="2"/>
        <v>13898.305084745763</v>
      </c>
      <c r="U45">
        <f t="shared" si="3"/>
        <v>542033.89830508479</v>
      </c>
      <c r="Y45">
        <v>39</v>
      </c>
      <c r="Z45">
        <v>10000</v>
      </c>
      <c r="AA45">
        <v>55000</v>
      </c>
      <c r="AB45">
        <v>60</v>
      </c>
      <c r="AC45">
        <v>1</v>
      </c>
      <c r="AD45">
        <f t="shared" si="4"/>
        <v>39745.762711864409</v>
      </c>
      <c r="AF45">
        <f t="shared" si="5"/>
        <v>1550084.7457627119</v>
      </c>
    </row>
    <row r="46" spans="2:32" x14ac:dyDescent="0.3">
      <c r="B46">
        <v>40</v>
      </c>
      <c r="C46">
        <v>-9500</v>
      </c>
      <c r="D46">
        <v>90000</v>
      </c>
      <c r="E46">
        <v>60</v>
      </c>
      <c r="F46">
        <f t="shared" si="6"/>
        <v>57957.627118644072</v>
      </c>
      <c r="H46">
        <v>40</v>
      </c>
      <c r="I46">
        <v>-6</v>
      </c>
      <c r="J46">
        <v>1000</v>
      </c>
      <c r="K46">
        <v>60</v>
      </c>
      <c r="L46">
        <f t="shared" si="1"/>
        <v>676.03389830508468</v>
      </c>
      <c r="N46">
        <v>40</v>
      </c>
      <c r="O46">
        <v>2000</v>
      </c>
      <c r="P46">
        <v>20000</v>
      </c>
      <c r="Q46">
        <v>60</v>
      </c>
      <c r="R46">
        <v>1</v>
      </c>
      <c r="S46">
        <f t="shared" si="2"/>
        <v>14203.389830508475</v>
      </c>
      <c r="U46">
        <f t="shared" si="3"/>
        <v>568135.59322033904</v>
      </c>
      <c r="V46">
        <f>SUM(U8:U46)</f>
        <v>8380876.6101694899</v>
      </c>
      <c r="Y46">
        <v>40</v>
      </c>
      <c r="Z46">
        <v>10000</v>
      </c>
      <c r="AA46">
        <v>55000</v>
      </c>
      <c r="AB46">
        <v>60</v>
      </c>
      <c r="AC46">
        <v>1</v>
      </c>
      <c r="AD46">
        <f t="shared" si="4"/>
        <v>40508.474576271183</v>
      </c>
      <c r="AF46">
        <f t="shared" si="5"/>
        <v>1620338.9830508474</v>
      </c>
    </row>
    <row r="47" spans="2:32" x14ac:dyDescent="0.3">
      <c r="B47">
        <v>41</v>
      </c>
      <c r="C47">
        <v>-9500</v>
      </c>
      <c r="D47">
        <v>90000</v>
      </c>
      <c r="E47">
        <v>60</v>
      </c>
      <c r="F47">
        <f t="shared" si="6"/>
        <v>59644.067796610165</v>
      </c>
      <c r="H47">
        <v>41</v>
      </c>
      <c r="I47">
        <v>-6</v>
      </c>
      <c r="J47">
        <v>1000</v>
      </c>
      <c r="K47">
        <v>60</v>
      </c>
      <c r="L47">
        <f t="shared" si="1"/>
        <v>693.0847457627118</v>
      </c>
      <c r="N47">
        <v>41</v>
      </c>
      <c r="O47">
        <v>2000</v>
      </c>
      <c r="P47">
        <v>20000</v>
      </c>
      <c r="Q47">
        <v>60</v>
      </c>
      <c r="R47">
        <v>1</v>
      </c>
      <c r="S47">
        <f t="shared" si="2"/>
        <v>14508.474576271186</v>
      </c>
      <c r="U47">
        <f t="shared" si="3"/>
        <v>594847.45762711868</v>
      </c>
      <c r="Y47">
        <v>41</v>
      </c>
      <c r="Z47">
        <v>10000</v>
      </c>
      <c r="AA47">
        <v>55000</v>
      </c>
      <c r="AB47">
        <v>60</v>
      </c>
      <c r="AC47">
        <v>1</v>
      </c>
      <c r="AD47">
        <f t="shared" si="4"/>
        <v>41271.186440677964</v>
      </c>
      <c r="AF47">
        <f t="shared" si="5"/>
        <v>1692118.6440677964</v>
      </c>
    </row>
    <row r="48" spans="2:32" x14ac:dyDescent="0.3">
      <c r="B48">
        <v>42</v>
      </c>
      <c r="C48">
        <v>-9500</v>
      </c>
      <c r="D48">
        <v>90000</v>
      </c>
      <c r="E48">
        <v>60</v>
      </c>
      <c r="F48">
        <f t="shared" si="6"/>
        <v>61330.508474576272</v>
      </c>
      <c r="H48">
        <v>42</v>
      </c>
      <c r="I48">
        <v>-6</v>
      </c>
      <c r="J48">
        <v>1000</v>
      </c>
      <c r="K48">
        <v>60</v>
      </c>
      <c r="L48">
        <f t="shared" si="1"/>
        <v>710.13559322033893</v>
      </c>
      <c r="N48">
        <v>42</v>
      </c>
      <c r="O48">
        <v>2000</v>
      </c>
      <c r="P48">
        <v>20000</v>
      </c>
      <c r="Q48">
        <v>60</v>
      </c>
      <c r="R48">
        <v>1</v>
      </c>
      <c r="S48">
        <f t="shared" si="2"/>
        <v>14813.559322033898</v>
      </c>
      <c r="U48">
        <f t="shared" si="3"/>
        <v>622169.49152542371</v>
      </c>
      <c r="Y48">
        <v>42</v>
      </c>
      <c r="Z48">
        <v>10000</v>
      </c>
      <c r="AA48">
        <v>55000</v>
      </c>
      <c r="AB48">
        <v>60</v>
      </c>
      <c r="AC48">
        <v>1</v>
      </c>
      <c r="AD48">
        <f t="shared" si="4"/>
        <v>42033.898305084746</v>
      </c>
      <c r="AF48">
        <f t="shared" si="5"/>
        <v>1765423.7288135593</v>
      </c>
    </row>
    <row r="49" spans="2:32" x14ac:dyDescent="0.3">
      <c r="B49">
        <v>43</v>
      </c>
      <c r="C49">
        <v>-9500</v>
      </c>
      <c r="D49">
        <v>90000</v>
      </c>
      <c r="E49">
        <v>60</v>
      </c>
      <c r="F49">
        <f t="shared" si="6"/>
        <v>63016.94915254238</v>
      </c>
      <c r="H49">
        <v>43</v>
      </c>
      <c r="I49">
        <v>-6</v>
      </c>
      <c r="J49">
        <v>1000</v>
      </c>
      <c r="K49">
        <v>60</v>
      </c>
      <c r="L49">
        <f t="shared" si="1"/>
        <v>727.18644067796606</v>
      </c>
      <c r="N49">
        <v>43</v>
      </c>
      <c r="O49">
        <v>2000</v>
      </c>
      <c r="P49">
        <v>20000</v>
      </c>
      <c r="Q49">
        <v>60</v>
      </c>
      <c r="R49">
        <v>1</v>
      </c>
      <c r="S49">
        <f t="shared" si="2"/>
        <v>15118.644067796609</v>
      </c>
      <c r="U49">
        <f t="shared" si="3"/>
        <v>650101.69491525425</v>
      </c>
      <c r="Y49">
        <v>43</v>
      </c>
      <c r="Z49">
        <v>10000</v>
      </c>
      <c r="AA49">
        <v>55000</v>
      </c>
      <c r="AB49">
        <v>60</v>
      </c>
      <c r="AC49">
        <v>1</v>
      </c>
      <c r="AD49">
        <f t="shared" si="4"/>
        <v>42796.610169491527</v>
      </c>
      <c r="AF49">
        <f t="shared" si="5"/>
        <v>1840254.2372881356</v>
      </c>
    </row>
    <row r="50" spans="2:32" x14ac:dyDescent="0.3">
      <c r="B50">
        <v>44</v>
      </c>
      <c r="C50">
        <v>-9500</v>
      </c>
      <c r="D50">
        <v>90000</v>
      </c>
      <c r="E50">
        <v>60</v>
      </c>
      <c r="F50">
        <f t="shared" si="6"/>
        <v>64703.389830508473</v>
      </c>
      <c r="H50">
        <v>44</v>
      </c>
      <c r="I50">
        <v>10</v>
      </c>
      <c r="J50">
        <v>1200</v>
      </c>
      <c r="K50">
        <v>60</v>
      </c>
      <c r="L50">
        <f t="shared" si="1"/>
        <v>897.45762711864415</v>
      </c>
      <c r="N50">
        <v>44</v>
      </c>
      <c r="O50">
        <v>2000</v>
      </c>
      <c r="P50">
        <v>20000</v>
      </c>
      <c r="Q50">
        <v>60</v>
      </c>
      <c r="R50">
        <v>1</v>
      </c>
      <c r="S50">
        <f t="shared" si="2"/>
        <v>15423.728813559323</v>
      </c>
      <c r="U50">
        <f t="shared" si="3"/>
        <v>678644.06779661018</v>
      </c>
      <c r="Y50">
        <v>44</v>
      </c>
      <c r="Z50">
        <v>10000</v>
      </c>
      <c r="AA50">
        <v>55000</v>
      </c>
      <c r="AB50">
        <v>60</v>
      </c>
      <c r="AC50">
        <v>1</v>
      </c>
      <c r="AD50">
        <f t="shared" si="4"/>
        <v>43559.322033898308</v>
      </c>
      <c r="AF50">
        <f t="shared" si="5"/>
        <v>1916610.1694915255</v>
      </c>
    </row>
    <row r="51" spans="2:32" x14ac:dyDescent="0.3">
      <c r="B51">
        <v>45</v>
      </c>
      <c r="C51">
        <v>-9500</v>
      </c>
      <c r="D51">
        <v>90000</v>
      </c>
      <c r="E51">
        <v>60</v>
      </c>
      <c r="F51">
        <f t="shared" si="6"/>
        <v>66389.830508474581</v>
      </c>
      <c r="H51">
        <v>45</v>
      </c>
      <c r="I51">
        <v>10</v>
      </c>
      <c r="J51">
        <v>1200</v>
      </c>
      <c r="K51">
        <v>60</v>
      </c>
      <c r="L51">
        <f t="shared" si="1"/>
        <v>917.62711864406788</v>
      </c>
      <c r="N51">
        <v>45</v>
      </c>
      <c r="O51">
        <v>2000</v>
      </c>
      <c r="P51">
        <v>20000</v>
      </c>
      <c r="Q51">
        <v>60</v>
      </c>
      <c r="R51">
        <v>1</v>
      </c>
      <c r="S51">
        <f t="shared" si="2"/>
        <v>15728.813559322034</v>
      </c>
      <c r="U51">
        <f t="shared" si="3"/>
        <v>707796.6101694915</v>
      </c>
      <c r="Y51">
        <v>45</v>
      </c>
      <c r="Z51">
        <v>10000</v>
      </c>
      <c r="AA51">
        <v>55000</v>
      </c>
      <c r="AB51">
        <v>60</v>
      </c>
      <c r="AC51">
        <v>1</v>
      </c>
      <c r="AD51">
        <f t="shared" si="4"/>
        <v>44322.033898305082</v>
      </c>
      <c r="AF51">
        <f t="shared" si="5"/>
        <v>1994491.5254237286</v>
      </c>
    </row>
    <row r="52" spans="2:32" x14ac:dyDescent="0.3">
      <c r="B52">
        <v>46</v>
      </c>
      <c r="C52">
        <v>-9500</v>
      </c>
      <c r="D52">
        <v>90000</v>
      </c>
      <c r="E52">
        <v>60</v>
      </c>
      <c r="F52">
        <f t="shared" si="6"/>
        <v>68076.271186440674</v>
      </c>
      <c r="H52">
        <v>46</v>
      </c>
      <c r="I52">
        <v>10</v>
      </c>
      <c r="J52">
        <v>1200</v>
      </c>
      <c r="K52">
        <v>60</v>
      </c>
      <c r="L52">
        <f t="shared" si="1"/>
        <v>937.7966101694916</v>
      </c>
      <c r="N52">
        <v>46</v>
      </c>
      <c r="O52">
        <v>2000</v>
      </c>
      <c r="P52">
        <v>20000</v>
      </c>
      <c r="Q52">
        <v>60</v>
      </c>
      <c r="R52">
        <v>1</v>
      </c>
      <c r="S52">
        <f t="shared" si="2"/>
        <v>16033.898305084746</v>
      </c>
      <c r="U52">
        <f t="shared" si="3"/>
        <v>737559.32203389832</v>
      </c>
      <c r="Y52">
        <v>46</v>
      </c>
      <c r="Z52">
        <v>10000</v>
      </c>
      <c r="AA52">
        <v>55000</v>
      </c>
      <c r="AB52">
        <v>60</v>
      </c>
      <c r="AC52">
        <v>1</v>
      </c>
      <c r="AD52">
        <f t="shared" si="4"/>
        <v>45084.745762711864</v>
      </c>
      <c r="AF52">
        <f t="shared" si="5"/>
        <v>2073898.3050847456</v>
      </c>
    </row>
    <row r="53" spans="2:32" x14ac:dyDescent="0.3">
      <c r="B53">
        <v>47</v>
      </c>
      <c r="C53">
        <v>-9500</v>
      </c>
      <c r="D53">
        <v>90000</v>
      </c>
      <c r="E53">
        <v>60</v>
      </c>
      <c r="F53">
        <f t="shared" si="6"/>
        <v>69762.711864406781</v>
      </c>
      <c r="H53">
        <v>47</v>
      </c>
      <c r="I53">
        <v>10</v>
      </c>
      <c r="J53">
        <v>1200</v>
      </c>
      <c r="K53">
        <v>60</v>
      </c>
      <c r="L53">
        <f t="shared" si="1"/>
        <v>957.96610169491532</v>
      </c>
      <c r="N53">
        <v>47</v>
      </c>
      <c r="O53">
        <v>2000</v>
      </c>
      <c r="P53">
        <v>20000</v>
      </c>
      <c r="Q53">
        <v>60</v>
      </c>
      <c r="R53">
        <v>1</v>
      </c>
      <c r="S53">
        <f t="shared" si="2"/>
        <v>16338.983050847457</v>
      </c>
      <c r="U53">
        <f t="shared" si="3"/>
        <v>767932.20338983042</v>
      </c>
      <c r="Y53">
        <v>47</v>
      </c>
      <c r="Z53">
        <v>10000</v>
      </c>
      <c r="AA53">
        <v>55000</v>
      </c>
      <c r="AB53">
        <v>60</v>
      </c>
      <c r="AC53">
        <v>1</v>
      </c>
      <c r="AD53">
        <f t="shared" si="4"/>
        <v>45847.457627118645</v>
      </c>
      <c r="AF53">
        <f t="shared" si="5"/>
        <v>2154830.5084745763</v>
      </c>
    </row>
    <row r="54" spans="2:32" x14ac:dyDescent="0.3">
      <c r="B54">
        <v>48</v>
      </c>
      <c r="C54">
        <v>-9500</v>
      </c>
      <c r="D54">
        <v>90000</v>
      </c>
      <c r="E54">
        <v>60</v>
      </c>
      <c r="F54">
        <f t="shared" si="6"/>
        <v>71449.152542372874</v>
      </c>
      <c r="H54">
        <v>48</v>
      </c>
      <c r="I54">
        <v>10</v>
      </c>
      <c r="J54">
        <v>1200</v>
      </c>
      <c r="K54">
        <v>60</v>
      </c>
      <c r="L54">
        <f t="shared" si="1"/>
        <v>978.13559322033905</v>
      </c>
      <c r="N54">
        <v>48</v>
      </c>
      <c r="O54">
        <v>2000</v>
      </c>
      <c r="P54">
        <v>20000</v>
      </c>
      <c r="Q54">
        <v>60</v>
      </c>
      <c r="R54">
        <v>1</v>
      </c>
      <c r="S54">
        <f t="shared" si="2"/>
        <v>16644.067796610168</v>
      </c>
      <c r="U54">
        <f t="shared" si="3"/>
        <v>798915.25423728814</v>
      </c>
      <c r="Y54">
        <v>48</v>
      </c>
      <c r="Z54">
        <v>10000</v>
      </c>
      <c r="AA54">
        <v>55000</v>
      </c>
      <c r="AB54">
        <v>60</v>
      </c>
      <c r="AC54">
        <v>1</v>
      </c>
      <c r="AD54">
        <f t="shared" si="4"/>
        <v>46610.169491525427</v>
      </c>
      <c r="AF54">
        <f t="shared" si="5"/>
        <v>2237288.1355932206</v>
      </c>
    </row>
    <row r="55" spans="2:32" x14ac:dyDescent="0.3">
      <c r="B55">
        <v>49</v>
      </c>
      <c r="C55">
        <v>-9500</v>
      </c>
      <c r="D55">
        <v>90000</v>
      </c>
      <c r="E55">
        <v>60</v>
      </c>
      <c r="F55">
        <f t="shared" si="6"/>
        <v>73135.593220338982</v>
      </c>
      <c r="H55">
        <v>49</v>
      </c>
      <c r="I55">
        <v>10</v>
      </c>
      <c r="J55">
        <v>1200</v>
      </c>
      <c r="K55">
        <v>60</v>
      </c>
      <c r="L55">
        <f t="shared" si="1"/>
        <v>998.30508474576277</v>
      </c>
      <c r="N55">
        <v>49</v>
      </c>
      <c r="O55">
        <v>2000</v>
      </c>
      <c r="P55">
        <v>20000</v>
      </c>
      <c r="Q55">
        <v>60</v>
      </c>
      <c r="R55">
        <v>1</v>
      </c>
      <c r="S55">
        <f t="shared" si="2"/>
        <v>16949.152542372882</v>
      </c>
      <c r="U55">
        <f t="shared" si="3"/>
        <v>830508.47457627126</v>
      </c>
      <c r="Y55">
        <v>49</v>
      </c>
      <c r="Z55">
        <v>10000</v>
      </c>
      <c r="AA55">
        <v>55000</v>
      </c>
      <c r="AB55">
        <v>60</v>
      </c>
      <c r="AC55">
        <v>1</v>
      </c>
      <c r="AD55">
        <f t="shared" si="4"/>
        <v>47372.881355932208</v>
      </c>
      <c r="AF55">
        <f t="shared" si="5"/>
        <v>2321271.1864406783</v>
      </c>
    </row>
    <row r="56" spans="2:32" x14ac:dyDescent="0.3">
      <c r="B56">
        <v>50</v>
      </c>
      <c r="C56">
        <v>-9500</v>
      </c>
      <c r="D56">
        <v>90000</v>
      </c>
      <c r="E56">
        <v>60</v>
      </c>
      <c r="F56">
        <f t="shared" si="6"/>
        <v>74822.03389830509</v>
      </c>
      <c r="G56" t="s">
        <v>108</v>
      </c>
      <c r="H56">
        <v>50</v>
      </c>
      <c r="I56">
        <v>10</v>
      </c>
      <c r="J56">
        <v>1200</v>
      </c>
      <c r="K56">
        <v>60</v>
      </c>
      <c r="L56">
        <f t="shared" si="1"/>
        <v>1018.4745762711865</v>
      </c>
      <c r="N56">
        <v>50</v>
      </c>
      <c r="O56">
        <v>2000</v>
      </c>
      <c r="P56">
        <v>20000</v>
      </c>
      <c r="Q56">
        <v>60</v>
      </c>
      <c r="R56">
        <v>1</v>
      </c>
      <c r="S56">
        <f t="shared" si="2"/>
        <v>17254.237288135591</v>
      </c>
      <c r="U56">
        <f t="shared" si="3"/>
        <v>862711.86440677952</v>
      </c>
      <c r="V56">
        <f>SUM(U8:U56)</f>
        <v>15632063.050847458</v>
      </c>
      <c r="Y56">
        <v>50</v>
      </c>
      <c r="Z56">
        <v>10000</v>
      </c>
      <c r="AA56">
        <v>55000</v>
      </c>
      <c r="AB56">
        <v>60</v>
      </c>
      <c r="AC56">
        <v>1</v>
      </c>
      <c r="AD56">
        <f t="shared" si="4"/>
        <v>48135.593220338982</v>
      </c>
      <c r="AF56">
        <f t="shared" si="5"/>
        <v>2406779.661016949</v>
      </c>
    </row>
    <row r="57" spans="2:32" x14ac:dyDescent="0.3">
      <c r="B57">
        <v>51</v>
      </c>
      <c r="C57">
        <v>-660000</v>
      </c>
      <c r="D57">
        <v>200000</v>
      </c>
      <c r="E57">
        <v>60</v>
      </c>
      <c r="F57">
        <f t="shared" si="6"/>
        <v>83389.830508474493</v>
      </c>
      <c r="H57">
        <v>51</v>
      </c>
      <c r="I57">
        <v>1000</v>
      </c>
      <c r="J57">
        <v>1200</v>
      </c>
      <c r="K57">
        <v>60</v>
      </c>
      <c r="L57">
        <f t="shared" si="1"/>
        <v>1172.8813559322034</v>
      </c>
      <c r="N57">
        <v>51</v>
      </c>
      <c r="O57">
        <v>-600000</v>
      </c>
      <c r="P57">
        <v>120000</v>
      </c>
      <c r="Q57">
        <v>60</v>
      </c>
      <c r="R57">
        <v>1</v>
      </c>
      <c r="S57">
        <f t="shared" si="2"/>
        <v>22372.881355932215</v>
      </c>
      <c r="U57">
        <f t="shared" si="3"/>
        <v>1141016.949152543</v>
      </c>
      <c r="W57">
        <f>SQRT(50)*U56</f>
        <v>6100294.0953212315</v>
      </c>
      <c r="Y57">
        <v>51</v>
      </c>
      <c r="Z57">
        <v>10000</v>
      </c>
      <c r="AA57">
        <v>55000</v>
      </c>
      <c r="AB57">
        <v>60</v>
      </c>
      <c r="AC57">
        <v>1</v>
      </c>
      <c r="AD57">
        <f t="shared" si="4"/>
        <v>48898.305084745763</v>
      </c>
      <c r="AF57">
        <f t="shared" si="5"/>
        <v>2493813.559322034</v>
      </c>
    </row>
    <row r="58" spans="2:32" x14ac:dyDescent="0.3">
      <c r="B58">
        <v>52</v>
      </c>
      <c r="C58">
        <v>-660000</v>
      </c>
      <c r="D58">
        <v>200000</v>
      </c>
      <c r="E58">
        <v>60</v>
      </c>
      <c r="F58">
        <f t="shared" si="6"/>
        <v>97966.101694915211</v>
      </c>
      <c r="H58">
        <v>52</v>
      </c>
      <c r="I58">
        <v>1000</v>
      </c>
      <c r="J58">
        <v>1200</v>
      </c>
      <c r="K58">
        <v>60</v>
      </c>
      <c r="L58">
        <f t="shared" si="1"/>
        <v>1176.2711864406779</v>
      </c>
      <c r="N58">
        <v>52</v>
      </c>
      <c r="O58">
        <v>-600000</v>
      </c>
      <c r="P58">
        <v>120000</v>
      </c>
      <c r="Q58">
        <v>60</v>
      </c>
      <c r="R58">
        <v>1</v>
      </c>
      <c r="S58">
        <f t="shared" si="2"/>
        <v>34576.271186440717</v>
      </c>
      <c r="U58">
        <f t="shared" si="3"/>
        <v>1797966.1016949173</v>
      </c>
      <c r="Y58">
        <v>52</v>
      </c>
      <c r="Z58">
        <v>10000</v>
      </c>
      <c r="AA58">
        <v>55000</v>
      </c>
      <c r="AB58">
        <v>60</v>
      </c>
      <c r="AC58">
        <v>1</v>
      </c>
      <c r="AD58">
        <f t="shared" si="4"/>
        <v>49661.016949152545</v>
      </c>
      <c r="AF58">
        <f t="shared" si="5"/>
        <v>2582372.8813559324</v>
      </c>
    </row>
    <row r="59" spans="2:32" x14ac:dyDescent="0.3">
      <c r="B59">
        <v>53</v>
      </c>
      <c r="C59">
        <v>-660000</v>
      </c>
      <c r="D59">
        <v>200000</v>
      </c>
      <c r="E59">
        <v>60</v>
      </c>
      <c r="F59">
        <f t="shared" si="6"/>
        <v>112542.37288135593</v>
      </c>
      <c r="H59">
        <v>53</v>
      </c>
      <c r="I59">
        <v>1000</v>
      </c>
      <c r="J59">
        <v>1200</v>
      </c>
      <c r="K59">
        <v>60</v>
      </c>
      <c r="L59">
        <f t="shared" si="1"/>
        <v>1179.6610169491526</v>
      </c>
      <c r="N59">
        <v>53</v>
      </c>
      <c r="O59">
        <v>-600000</v>
      </c>
      <c r="P59">
        <v>120000</v>
      </c>
      <c r="Q59">
        <v>60</v>
      </c>
      <c r="R59">
        <v>1</v>
      </c>
      <c r="S59">
        <f t="shared" si="2"/>
        <v>46779.66101694922</v>
      </c>
      <c r="U59">
        <f t="shared" si="3"/>
        <v>2479322.0338983089</v>
      </c>
      <c r="Y59">
        <v>53</v>
      </c>
      <c r="Z59">
        <v>10000</v>
      </c>
      <c r="AA59">
        <v>55000</v>
      </c>
      <c r="AB59">
        <v>60</v>
      </c>
      <c r="AC59">
        <v>1</v>
      </c>
      <c r="AD59">
        <f t="shared" si="4"/>
        <v>50423.728813559326</v>
      </c>
      <c r="AF59">
        <f t="shared" si="5"/>
        <v>2672457.6271186443</v>
      </c>
    </row>
    <row r="60" spans="2:32" x14ac:dyDescent="0.3">
      <c r="B60">
        <v>54</v>
      </c>
      <c r="C60">
        <v>-660000</v>
      </c>
      <c r="D60">
        <v>200000</v>
      </c>
      <c r="E60">
        <v>60</v>
      </c>
      <c r="F60">
        <f t="shared" si="6"/>
        <v>127118.64406779653</v>
      </c>
      <c r="H60">
        <v>54</v>
      </c>
      <c r="I60">
        <v>1000</v>
      </c>
      <c r="J60">
        <v>1200</v>
      </c>
      <c r="K60">
        <v>60</v>
      </c>
      <c r="L60">
        <f t="shared" si="1"/>
        <v>1183.050847457627</v>
      </c>
      <c r="N60">
        <v>54</v>
      </c>
      <c r="O60">
        <v>-600000</v>
      </c>
      <c r="P60">
        <v>120000</v>
      </c>
      <c r="Q60">
        <v>60</v>
      </c>
      <c r="R60">
        <v>1</v>
      </c>
      <c r="S60">
        <f t="shared" si="2"/>
        <v>58983.050847457605</v>
      </c>
      <c r="U60">
        <f t="shared" si="3"/>
        <v>3185084.7457627105</v>
      </c>
      <c r="Y60">
        <v>54</v>
      </c>
      <c r="Z60">
        <v>10000</v>
      </c>
      <c r="AA60">
        <v>55000</v>
      </c>
      <c r="AB60">
        <v>60</v>
      </c>
      <c r="AC60">
        <v>1</v>
      </c>
      <c r="AD60">
        <f t="shared" si="4"/>
        <v>51186.4406779661</v>
      </c>
      <c r="AF60">
        <f t="shared" si="5"/>
        <v>2764067.7966101696</v>
      </c>
    </row>
    <row r="61" spans="2:32" x14ac:dyDescent="0.3">
      <c r="B61">
        <v>55</v>
      </c>
      <c r="C61">
        <v>-660000</v>
      </c>
      <c r="D61">
        <v>200000</v>
      </c>
      <c r="E61">
        <v>60</v>
      </c>
      <c r="F61">
        <f t="shared" si="6"/>
        <v>141694.91525423725</v>
      </c>
      <c r="H61">
        <v>55</v>
      </c>
      <c r="I61">
        <v>1000</v>
      </c>
      <c r="J61">
        <v>1200</v>
      </c>
      <c r="K61">
        <v>60</v>
      </c>
      <c r="L61">
        <f t="shared" si="1"/>
        <v>1186.4406779661017</v>
      </c>
      <c r="N61">
        <v>55</v>
      </c>
      <c r="O61">
        <v>-600000</v>
      </c>
      <c r="P61">
        <v>120000</v>
      </c>
      <c r="Q61">
        <v>60</v>
      </c>
      <c r="R61">
        <v>1</v>
      </c>
      <c r="S61">
        <f t="shared" si="2"/>
        <v>71186.440677966108</v>
      </c>
      <c r="U61">
        <f t="shared" si="3"/>
        <v>3915254.237288136</v>
      </c>
      <c r="Y61">
        <v>55</v>
      </c>
      <c r="Z61">
        <v>10000</v>
      </c>
      <c r="AA61">
        <v>55000</v>
      </c>
      <c r="AB61">
        <v>60</v>
      </c>
      <c r="AC61">
        <v>1</v>
      </c>
      <c r="AD61">
        <f t="shared" si="4"/>
        <v>51949.152542372882</v>
      </c>
      <c r="AF61">
        <f t="shared" si="5"/>
        <v>2857203.3898305083</v>
      </c>
    </row>
    <row r="62" spans="2:32" x14ac:dyDescent="0.3">
      <c r="B62">
        <v>56</v>
      </c>
      <c r="C62">
        <v>-660000</v>
      </c>
      <c r="D62">
        <v>200000</v>
      </c>
      <c r="E62">
        <v>60</v>
      </c>
      <c r="F62">
        <f t="shared" si="6"/>
        <v>156271.18644067796</v>
      </c>
      <c r="H62">
        <v>56</v>
      </c>
      <c r="I62">
        <v>1000</v>
      </c>
      <c r="J62">
        <v>1200</v>
      </c>
      <c r="K62">
        <v>60</v>
      </c>
      <c r="L62">
        <f t="shared" si="1"/>
        <v>1189.8305084745762</v>
      </c>
      <c r="N62">
        <v>56</v>
      </c>
      <c r="O62">
        <v>-600000</v>
      </c>
      <c r="P62">
        <v>120000</v>
      </c>
      <c r="Q62">
        <v>60</v>
      </c>
      <c r="R62">
        <v>1</v>
      </c>
      <c r="S62">
        <f t="shared" si="2"/>
        <v>83389.83050847461</v>
      </c>
      <c r="U62">
        <f t="shared" si="3"/>
        <v>4669830.5084745781</v>
      </c>
      <c r="Y62">
        <v>56</v>
      </c>
      <c r="Z62">
        <v>10000</v>
      </c>
      <c r="AA62">
        <v>55000</v>
      </c>
      <c r="AB62">
        <v>60</v>
      </c>
      <c r="AC62">
        <v>1</v>
      </c>
      <c r="AD62">
        <f t="shared" si="4"/>
        <v>52711.864406779663</v>
      </c>
      <c r="AF62">
        <f t="shared" si="5"/>
        <v>2951864.4067796613</v>
      </c>
    </row>
    <row r="63" spans="2:32" x14ac:dyDescent="0.3">
      <c r="B63">
        <v>57</v>
      </c>
      <c r="C63">
        <v>-660000</v>
      </c>
      <c r="D63">
        <v>200000</v>
      </c>
      <c r="E63">
        <v>60</v>
      </c>
      <c r="F63">
        <f t="shared" si="6"/>
        <v>170847.45762711857</v>
      </c>
      <c r="H63">
        <v>57</v>
      </c>
      <c r="I63">
        <v>1000</v>
      </c>
      <c r="J63">
        <v>1200</v>
      </c>
      <c r="K63">
        <v>60</v>
      </c>
      <c r="L63">
        <f t="shared" si="1"/>
        <v>1193.2203389830509</v>
      </c>
      <c r="N63">
        <v>57</v>
      </c>
      <c r="O63">
        <v>-600000</v>
      </c>
      <c r="P63">
        <v>120000</v>
      </c>
      <c r="Q63">
        <v>60</v>
      </c>
      <c r="R63">
        <v>1</v>
      </c>
      <c r="S63">
        <f t="shared" si="2"/>
        <v>95593.220338983112</v>
      </c>
      <c r="U63">
        <f t="shared" si="3"/>
        <v>5448813.5593220377</v>
      </c>
      <c r="Y63">
        <v>57</v>
      </c>
      <c r="Z63">
        <v>10000</v>
      </c>
      <c r="AA63">
        <v>55000</v>
      </c>
      <c r="AB63">
        <v>60</v>
      </c>
      <c r="AC63">
        <v>1</v>
      </c>
      <c r="AD63">
        <f t="shared" si="4"/>
        <v>53474.576271186445</v>
      </c>
      <c r="AF63">
        <f t="shared" si="5"/>
        <v>3048050.8474576273</v>
      </c>
    </row>
    <row r="64" spans="2:32" x14ac:dyDescent="0.3">
      <c r="B64">
        <v>58</v>
      </c>
      <c r="C64">
        <v>-660000</v>
      </c>
      <c r="D64">
        <v>200000</v>
      </c>
      <c r="E64">
        <v>60</v>
      </c>
      <c r="F64">
        <f t="shared" si="6"/>
        <v>185423.72881355928</v>
      </c>
      <c r="H64">
        <v>58</v>
      </c>
      <c r="I64">
        <v>1000</v>
      </c>
      <c r="J64">
        <v>1200</v>
      </c>
      <c r="K64">
        <v>60</v>
      </c>
      <c r="L64">
        <f t="shared" si="1"/>
        <v>1196.6101694915255</v>
      </c>
      <c r="N64">
        <v>58</v>
      </c>
      <c r="O64">
        <v>-600000</v>
      </c>
      <c r="P64">
        <v>120000</v>
      </c>
      <c r="Q64">
        <v>60</v>
      </c>
      <c r="R64">
        <v>1</v>
      </c>
      <c r="S64">
        <f t="shared" si="2"/>
        <v>107796.6101694915</v>
      </c>
      <c r="U64">
        <f t="shared" si="3"/>
        <v>6252203.3898305073</v>
      </c>
      <c r="Y64">
        <v>58</v>
      </c>
      <c r="Z64">
        <v>10000</v>
      </c>
      <c r="AA64">
        <v>55000</v>
      </c>
      <c r="AB64">
        <v>60</v>
      </c>
      <c r="AC64">
        <v>1</v>
      </c>
      <c r="AD64">
        <f t="shared" si="4"/>
        <v>54237.288135593219</v>
      </c>
      <c r="AF64">
        <f t="shared" si="5"/>
        <v>3145762.7118644067</v>
      </c>
    </row>
    <row r="65" spans="2:32" x14ac:dyDescent="0.3">
      <c r="B65">
        <v>59</v>
      </c>
      <c r="C65">
        <v>-660000</v>
      </c>
      <c r="D65">
        <v>200000</v>
      </c>
      <c r="E65">
        <v>60</v>
      </c>
      <c r="F65">
        <f t="shared" si="6"/>
        <v>200000</v>
      </c>
      <c r="H65">
        <v>59</v>
      </c>
      <c r="I65">
        <v>1000</v>
      </c>
      <c r="J65">
        <v>1200</v>
      </c>
      <c r="K65">
        <v>60</v>
      </c>
      <c r="L65">
        <f t="shared" si="1"/>
        <v>1200</v>
      </c>
      <c r="N65">
        <v>59</v>
      </c>
      <c r="O65">
        <v>-600000</v>
      </c>
      <c r="P65">
        <v>120000</v>
      </c>
      <c r="Q65">
        <v>60</v>
      </c>
      <c r="R65">
        <v>1</v>
      </c>
      <c r="S65">
        <f t="shared" si="2"/>
        <v>120000</v>
      </c>
      <c r="U65">
        <f t="shared" si="3"/>
        <v>7080000</v>
      </c>
      <c r="Y65">
        <v>59</v>
      </c>
      <c r="Z65">
        <v>10000</v>
      </c>
      <c r="AA65">
        <v>55000</v>
      </c>
      <c r="AB65">
        <v>60</v>
      </c>
      <c r="AC65">
        <v>1</v>
      </c>
      <c r="AD65">
        <f t="shared" si="4"/>
        <v>55000</v>
      </c>
      <c r="AF65">
        <f t="shared" si="5"/>
        <v>3245000</v>
      </c>
    </row>
    <row r="66" spans="2:32" x14ac:dyDescent="0.3">
      <c r="B66">
        <v>60</v>
      </c>
      <c r="C66">
        <v>-660000</v>
      </c>
      <c r="D66">
        <v>200000</v>
      </c>
      <c r="E66">
        <v>60</v>
      </c>
      <c r="F66">
        <f t="shared" si="6"/>
        <v>214576.2711864406</v>
      </c>
      <c r="H66">
        <v>60</v>
      </c>
      <c r="I66">
        <v>1000</v>
      </c>
      <c r="J66">
        <v>1200</v>
      </c>
      <c r="K66">
        <v>60</v>
      </c>
      <c r="L66">
        <f t="shared" si="1"/>
        <v>1203.3898305084745</v>
      </c>
      <c r="N66">
        <v>60</v>
      </c>
      <c r="O66">
        <v>-600000</v>
      </c>
      <c r="P66">
        <v>120000</v>
      </c>
      <c r="Q66">
        <v>60</v>
      </c>
      <c r="R66">
        <v>1</v>
      </c>
      <c r="S66">
        <f t="shared" si="2"/>
        <v>132203.3898305085</v>
      </c>
      <c r="U66">
        <f t="shared" si="3"/>
        <v>7932203.3898305101</v>
      </c>
      <c r="V66">
        <f>SUM(U8:U66)</f>
        <v>59533757.966101706</v>
      </c>
      <c r="W66">
        <f>SQRT(60)*U66*0.8</f>
        <v>49154066.60406974</v>
      </c>
      <c r="Y66">
        <v>60</v>
      </c>
      <c r="Z66">
        <v>10000</v>
      </c>
      <c r="AA66">
        <v>55000</v>
      </c>
      <c r="AB66">
        <v>60</v>
      </c>
      <c r="AC66">
        <v>1</v>
      </c>
      <c r="AD66">
        <f t="shared" si="4"/>
        <v>55762.711864406781</v>
      </c>
      <c r="AF66">
        <f t="shared" si="5"/>
        <v>3345762.7118644067</v>
      </c>
    </row>
    <row r="67" spans="2:32" x14ac:dyDescent="0.3">
      <c r="B67">
        <v>61</v>
      </c>
      <c r="C67">
        <v>-660000</v>
      </c>
      <c r="D67">
        <v>200000</v>
      </c>
      <c r="E67">
        <v>60</v>
      </c>
      <c r="F67">
        <f t="shared" si="6"/>
        <v>229152.54237288132</v>
      </c>
      <c r="H67">
        <v>61</v>
      </c>
      <c r="I67">
        <v>1000</v>
      </c>
      <c r="J67">
        <v>1200</v>
      </c>
      <c r="K67">
        <v>60</v>
      </c>
      <c r="L67">
        <f t="shared" si="1"/>
        <v>1206.7796610169491</v>
      </c>
      <c r="N67">
        <v>61</v>
      </c>
      <c r="O67">
        <v>-600000</v>
      </c>
      <c r="P67">
        <v>120000</v>
      </c>
      <c r="Q67">
        <v>60</v>
      </c>
      <c r="R67">
        <v>1</v>
      </c>
      <c r="S67">
        <f t="shared" si="2"/>
        <v>144406.779661017</v>
      </c>
      <c r="U67">
        <f t="shared" si="3"/>
        <v>8808813.5593220368</v>
      </c>
      <c r="Y67">
        <v>61</v>
      </c>
      <c r="Z67">
        <v>10000</v>
      </c>
      <c r="AA67">
        <v>55000</v>
      </c>
      <c r="AB67">
        <v>60</v>
      </c>
      <c r="AC67">
        <v>1</v>
      </c>
      <c r="AD67">
        <f t="shared" si="4"/>
        <v>56525.423728813563</v>
      </c>
      <c r="AF67">
        <f t="shared" si="5"/>
        <v>3448050.8474576273</v>
      </c>
    </row>
    <row r="68" spans="2:32" x14ac:dyDescent="0.3">
      <c r="B68">
        <v>62</v>
      </c>
      <c r="C68">
        <v>-660000</v>
      </c>
      <c r="D68">
        <v>200000</v>
      </c>
      <c r="E68">
        <v>60</v>
      </c>
      <c r="F68">
        <f t="shared" si="6"/>
        <v>243728.81355932204</v>
      </c>
      <c r="H68">
        <v>62</v>
      </c>
      <c r="I68">
        <v>1000</v>
      </c>
      <c r="J68">
        <v>1200</v>
      </c>
      <c r="K68">
        <v>60</v>
      </c>
      <c r="L68">
        <f t="shared" si="1"/>
        <v>1210.1694915254238</v>
      </c>
      <c r="N68">
        <v>62</v>
      </c>
      <c r="O68">
        <v>-600000</v>
      </c>
      <c r="P68">
        <v>120000</v>
      </c>
      <c r="Q68">
        <v>60</v>
      </c>
      <c r="R68">
        <v>1</v>
      </c>
      <c r="S68">
        <f t="shared" si="2"/>
        <v>156610.16949152539</v>
      </c>
      <c r="U68">
        <f t="shared" si="3"/>
        <v>9709830.5084745735</v>
      </c>
      <c r="Y68">
        <v>62</v>
      </c>
      <c r="Z68">
        <v>10000</v>
      </c>
      <c r="AA68">
        <v>55000</v>
      </c>
      <c r="AB68">
        <v>60</v>
      </c>
      <c r="AC68">
        <v>1</v>
      </c>
      <c r="AD68">
        <f t="shared" si="4"/>
        <v>57288.135593220337</v>
      </c>
      <c r="AF68">
        <f t="shared" si="5"/>
        <v>3551864.4067796608</v>
      </c>
    </row>
    <row r="69" spans="2:32" x14ac:dyDescent="0.3">
      <c r="B69">
        <v>63</v>
      </c>
      <c r="C69">
        <v>-660000</v>
      </c>
      <c r="D69">
        <v>200000</v>
      </c>
      <c r="E69">
        <v>60</v>
      </c>
      <c r="F69">
        <f t="shared" si="6"/>
        <v>258305.08474576264</v>
      </c>
      <c r="H69">
        <v>63</v>
      </c>
      <c r="I69">
        <v>1000</v>
      </c>
      <c r="J69">
        <v>1200</v>
      </c>
      <c r="K69">
        <v>60</v>
      </c>
      <c r="L69">
        <f t="shared" si="1"/>
        <v>1213.5593220338983</v>
      </c>
      <c r="N69">
        <v>63</v>
      </c>
      <c r="O69">
        <v>-600000</v>
      </c>
      <c r="P69">
        <v>120000</v>
      </c>
      <c r="Q69">
        <v>60</v>
      </c>
      <c r="R69">
        <v>1</v>
      </c>
      <c r="S69">
        <f t="shared" si="2"/>
        <v>168813.55932203389</v>
      </c>
      <c r="U69">
        <f t="shared" si="3"/>
        <v>10635254.237288136</v>
      </c>
      <c r="Y69">
        <v>63</v>
      </c>
      <c r="Z69">
        <v>10000</v>
      </c>
      <c r="AA69">
        <v>55000</v>
      </c>
      <c r="AB69">
        <v>60</v>
      </c>
      <c r="AC69">
        <v>1</v>
      </c>
      <c r="AD69">
        <f t="shared" si="4"/>
        <v>58050.847457627118</v>
      </c>
      <c r="AF69">
        <f t="shared" si="5"/>
        <v>3657203.3898305083</v>
      </c>
    </row>
    <row r="70" spans="2:32" x14ac:dyDescent="0.3">
      <c r="B70">
        <v>64</v>
      </c>
      <c r="C70">
        <v>-660000</v>
      </c>
      <c r="D70">
        <v>200000</v>
      </c>
      <c r="E70">
        <v>60</v>
      </c>
      <c r="F70">
        <f t="shared" si="6"/>
        <v>272881.35593220335</v>
      </c>
      <c r="H70">
        <v>64</v>
      </c>
      <c r="I70">
        <v>1000</v>
      </c>
      <c r="J70">
        <v>1200</v>
      </c>
      <c r="K70">
        <v>60</v>
      </c>
      <c r="L70">
        <f t="shared" si="1"/>
        <v>1216.9491525423728</v>
      </c>
      <c r="N70">
        <v>64</v>
      </c>
      <c r="O70">
        <v>-600000</v>
      </c>
      <c r="P70">
        <v>120000</v>
      </c>
      <c r="Q70">
        <v>60</v>
      </c>
      <c r="R70">
        <v>1</v>
      </c>
      <c r="S70">
        <f t="shared" si="2"/>
        <v>181016.94915254239</v>
      </c>
      <c r="U70">
        <f t="shared" si="3"/>
        <v>11585084.745762713</v>
      </c>
      <c r="Y70">
        <v>64</v>
      </c>
      <c r="Z70">
        <v>10000</v>
      </c>
      <c r="AA70">
        <v>55000</v>
      </c>
      <c r="AB70">
        <v>60</v>
      </c>
      <c r="AC70">
        <v>1</v>
      </c>
      <c r="AD70">
        <f t="shared" si="4"/>
        <v>58813.5593220339</v>
      </c>
      <c r="AF70">
        <f t="shared" si="5"/>
        <v>3764067.7966101696</v>
      </c>
    </row>
    <row r="71" spans="2:32" x14ac:dyDescent="0.3">
      <c r="B71">
        <v>65</v>
      </c>
      <c r="C71">
        <v>-660000</v>
      </c>
      <c r="D71">
        <v>200000</v>
      </c>
      <c r="E71">
        <v>60</v>
      </c>
      <c r="F71">
        <f t="shared" si="6"/>
        <v>287457.62711864407</v>
      </c>
      <c r="H71">
        <v>65</v>
      </c>
      <c r="I71">
        <v>1000</v>
      </c>
      <c r="J71">
        <v>1200</v>
      </c>
      <c r="K71">
        <v>60</v>
      </c>
      <c r="L71">
        <f t="shared" si="1"/>
        <v>1220.3389830508474</v>
      </c>
      <c r="N71">
        <v>65</v>
      </c>
      <c r="O71">
        <v>-600000</v>
      </c>
      <c r="P71">
        <v>120000</v>
      </c>
      <c r="Q71">
        <v>60</v>
      </c>
      <c r="R71">
        <v>1</v>
      </c>
      <c r="S71">
        <f t="shared" si="2"/>
        <v>193220.3389830509</v>
      </c>
      <c r="U71">
        <f t="shared" si="3"/>
        <v>12559322.033898309</v>
      </c>
      <c r="Y71">
        <v>65</v>
      </c>
      <c r="Z71">
        <v>10000</v>
      </c>
      <c r="AA71">
        <v>55000</v>
      </c>
      <c r="AB71">
        <v>60</v>
      </c>
      <c r="AC71">
        <v>1</v>
      </c>
      <c r="AD71">
        <f t="shared" si="4"/>
        <v>59576.271186440681</v>
      </c>
      <c r="AF71">
        <f t="shared" si="5"/>
        <v>3872457.6271186443</v>
      </c>
    </row>
    <row r="72" spans="2:32" x14ac:dyDescent="0.3">
      <c r="B72">
        <v>66</v>
      </c>
      <c r="C72">
        <v>-660000</v>
      </c>
      <c r="D72">
        <v>200000</v>
      </c>
      <c r="E72">
        <v>60</v>
      </c>
      <c r="F72">
        <f t="shared" si="6"/>
        <v>302033.89830508467</v>
      </c>
      <c r="H72">
        <v>66</v>
      </c>
      <c r="I72">
        <v>1000</v>
      </c>
      <c r="J72">
        <v>1200</v>
      </c>
      <c r="K72">
        <v>60</v>
      </c>
      <c r="L72">
        <f t="shared" ref="L72:L108" si="7">(I72+(J72-I72)/(K72-1)*H72)</f>
        <v>1223.7288135593221</v>
      </c>
      <c r="N72">
        <v>66</v>
      </c>
      <c r="O72">
        <v>-600000</v>
      </c>
      <c r="P72">
        <v>120000</v>
      </c>
      <c r="Q72">
        <v>60</v>
      </c>
      <c r="R72">
        <v>1</v>
      </c>
      <c r="S72">
        <f t="shared" ref="S72:S107" si="8">(O72+((P72-O72)/(Q72-1))*N72)*R72</f>
        <v>205423.7288135594</v>
      </c>
      <c r="U72">
        <f t="shared" ref="U72:U106" si="9">S72*N72</f>
        <v>13557966.101694921</v>
      </c>
      <c r="Y72">
        <v>66</v>
      </c>
      <c r="Z72">
        <v>10000</v>
      </c>
      <c r="AA72">
        <v>55000</v>
      </c>
      <c r="AB72">
        <v>60</v>
      </c>
      <c r="AC72">
        <v>1</v>
      </c>
      <c r="AD72">
        <f t="shared" ref="AD72:AD107" si="10">(Z72+((AA72-Z72)/(AB72-1))*Y72)*AC72</f>
        <v>60338.983050847462</v>
      </c>
      <c r="AF72">
        <f t="shared" ref="AF72:AF106" si="11">AD72*Y72</f>
        <v>3982372.8813559324</v>
      </c>
    </row>
    <row r="73" spans="2:32" x14ac:dyDescent="0.3">
      <c r="B73">
        <v>67</v>
      </c>
      <c r="C73">
        <v>-660000</v>
      </c>
      <c r="D73">
        <v>200000</v>
      </c>
      <c r="E73">
        <v>60</v>
      </c>
      <c r="F73">
        <f t="shared" si="6"/>
        <v>316610.16949152539</v>
      </c>
      <c r="H73">
        <v>67</v>
      </c>
      <c r="I73">
        <v>1000</v>
      </c>
      <c r="J73">
        <v>1200</v>
      </c>
      <c r="K73">
        <v>60</v>
      </c>
      <c r="L73">
        <f t="shared" si="7"/>
        <v>1227.1186440677966</v>
      </c>
      <c r="N73">
        <v>67</v>
      </c>
      <c r="O73">
        <v>-600000</v>
      </c>
      <c r="P73">
        <v>120000</v>
      </c>
      <c r="Q73">
        <v>60</v>
      </c>
      <c r="R73">
        <v>1</v>
      </c>
      <c r="S73">
        <f t="shared" si="8"/>
        <v>217627.11864406778</v>
      </c>
      <c r="U73">
        <f t="shared" si="9"/>
        <v>14581016.949152542</v>
      </c>
      <c r="Y73">
        <v>67</v>
      </c>
      <c r="Z73">
        <v>10000</v>
      </c>
      <c r="AA73">
        <v>55000</v>
      </c>
      <c r="AB73">
        <v>60</v>
      </c>
      <c r="AC73">
        <v>1</v>
      </c>
      <c r="AD73">
        <f t="shared" si="10"/>
        <v>61101.694915254237</v>
      </c>
      <c r="AF73">
        <f t="shared" si="11"/>
        <v>4093813.559322034</v>
      </c>
    </row>
    <row r="74" spans="2:32" x14ac:dyDescent="0.3">
      <c r="B74">
        <v>68</v>
      </c>
      <c r="C74">
        <v>-660000</v>
      </c>
      <c r="D74">
        <v>200000</v>
      </c>
      <c r="E74">
        <v>60</v>
      </c>
      <c r="F74">
        <f t="shared" si="6"/>
        <v>331186.44067796611</v>
      </c>
      <c r="H74">
        <v>68</v>
      </c>
      <c r="I74">
        <v>1000</v>
      </c>
      <c r="J74">
        <v>1200</v>
      </c>
      <c r="K74">
        <v>60</v>
      </c>
      <c r="L74">
        <f t="shared" si="7"/>
        <v>1230.5084745762711</v>
      </c>
      <c r="N74">
        <v>68</v>
      </c>
      <c r="O74">
        <v>-600000</v>
      </c>
      <c r="P74">
        <v>120000</v>
      </c>
      <c r="Q74">
        <v>60</v>
      </c>
      <c r="R74">
        <v>1</v>
      </c>
      <c r="S74">
        <f t="shared" si="8"/>
        <v>229830.50847457629</v>
      </c>
      <c r="U74">
        <f t="shared" si="9"/>
        <v>15628474.576271188</v>
      </c>
      <c r="Y74">
        <v>68</v>
      </c>
      <c r="Z74">
        <v>10000</v>
      </c>
      <c r="AA74">
        <v>55000</v>
      </c>
      <c r="AB74">
        <v>60</v>
      </c>
      <c r="AC74">
        <v>1</v>
      </c>
      <c r="AD74">
        <f t="shared" si="10"/>
        <v>61864.406779661018</v>
      </c>
      <c r="AF74">
        <f t="shared" si="11"/>
        <v>4206779.6610169495</v>
      </c>
    </row>
    <row r="75" spans="2:32" x14ac:dyDescent="0.3">
      <c r="B75">
        <v>69</v>
      </c>
      <c r="C75">
        <v>-660000</v>
      </c>
      <c r="D75">
        <v>200000</v>
      </c>
      <c r="E75">
        <v>60</v>
      </c>
      <c r="F75">
        <f t="shared" si="6"/>
        <v>345762.71186440671</v>
      </c>
      <c r="H75">
        <v>69</v>
      </c>
      <c r="I75">
        <v>1000</v>
      </c>
      <c r="J75">
        <v>1200</v>
      </c>
      <c r="K75">
        <v>60</v>
      </c>
      <c r="L75">
        <f t="shared" si="7"/>
        <v>1233.8983050847457</v>
      </c>
      <c r="N75">
        <v>69</v>
      </c>
      <c r="O75">
        <v>-600000</v>
      </c>
      <c r="P75">
        <v>120000</v>
      </c>
      <c r="Q75">
        <v>60</v>
      </c>
      <c r="R75">
        <v>1</v>
      </c>
      <c r="S75">
        <f t="shared" si="8"/>
        <v>242033.89830508479</v>
      </c>
      <c r="U75">
        <f t="shared" si="9"/>
        <v>16700338.983050851</v>
      </c>
      <c r="Y75">
        <v>69</v>
      </c>
      <c r="Z75">
        <v>10000</v>
      </c>
      <c r="AA75">
        <v>55000</v>
      </c>
      <c r="AB75">
        <v>60</v>
      </c>
      <c r="AC75">
        <v>1</v>
      </c>
      <c r="AD75">
        <f t="shared" si="10"/>
        <v>62627.118644067799</v>
      </c>
      <c r="AF75">
        <f t="shared" si="11"/>
        <v>4321271.1864406783</v>
      </c>
    </row>
    <row r="76" spans="2:32" x14ac:dyDescent="0.3">
      <c r="B76">
        <v>70</v>
      </c>
      <c r="C76">
        <v>-660000</v>
      </c>
      <c r="D76">
        <v>200000</v>
      </c>
      <c r="E76">
        <v>60</v>
      </c>
      <c r="F76">
        <f t="shared" si="6"/>
        <v>360338.98305084743</v>
      </c>
      <c r="H76">
        <v>70</v>
      </c>
      <c r="I76">
        <v>1000</v>
      </c>
      <c r="J76">
        <v>1200</v>
      </c>
      <c r="K76">
        <v>60</v>
      </c>
      <c r="L76">
        <f t="shared" si="7"/>
        <v>1237.2881355932204</v>
      </c>
      <c r="N76">
        <v>70</v>
      </c>
      <c r="O76">
        <v>-600000</v>
      </c>
      <c r="P76">
        <v>120000</v>
      </c>
      <c r="Q76">
        <v>60</v>
      </c>
      <c r="R76">
        <v>1</v>
      </c>
      <c r="S76">
        <f t="shared" si="8"/>
        <v>254237.28813559329</v>
      </c>
      <c r="U76">
        <f t="shared" si="9"/>
        <v>17796610.169491529</v>
      </c>
      <c r="V76">
        <f>SUM(U8:U76)</f>
        <v>191096469.83050847</v>
      </c>
      <c r="W76">
        <f>SQRT(70)*U76</f>
        <v>148897123.36623383</v>
      </c>
      <c r="Y76">
        <v>70</v>
      </c>
      <c r="Z76">
        <v>10000</v>
      </c>
      <c r="AA76">
        <v>55000</v>
      </c>
      <c r="AB76">
        <v>60</v>
      </c>
      <c r="AC76">
        <v>1</v>
      </c>
      <c r="AD76">
        <f t="shared" si="10"/>
        <v>63389.830508474581</v>
      </c>
      <c r="AF76">
        <f t="shared" si="11"/>
        <v>4437288.1355932206</v>
      </c>
    </row>
    <row r="77" spans="2:32" x14ac:dyDescent="0.3">
      <c r="B77">
        <v>71</v>
      </c>
      <c r="C77">
        <v>-660000</v>
      </c>
      <c r="D77">
        <v>200000</v>
      </c>
      <c r="E77">
        <v>60</v>
      </c>
      <c r="F77">
        <f t="shared" si="6"/>
        <v>374915.25423728814</v>
      </c>
      <c r="H77">
        <v>71</v>
      </c>
      <c r="I77">
        <v>1000</v>
      </c>
      <c r="J77">
        <v>1200</v>
      </c>
      <c r="K77">
        <v>60</v>
      </c>
      <c r="L77">
        <f t="shared" si="7"/>
        <v>1240.6779661016949</v>
      </c>
      <c r="N77">
        <v>71</v>
      </c>
      <c r="O77">
        <v>-600000</v>
      </c>
      <c r="P77">
        <v>120000</v>
      </c>
      <c r="Q77">
        <v>60</v>
      </c>
      <c r="R77">
        <v>1</v>
      </c>
      <c r="S77">
        <f t="shared" si="8"/>
        <v>266440.67796610168</v>
      </c>
      <c r="U77">
        <f t="shared" si="9"/>
        <v>18917288.135593221</v>
      </c>
      <c r="Y77">
        <v>71</v>
      </c>
      <c r="Z77">
        <v>10000</v>
      </c>
      <c r="AA77">
        <v>55000</v>
      </c>
      <c r="AB77">
        <v>60</v>
      </c>
      <c r="AC77">
        <v>1</v>
      </c>
      <c r="AD77">
        <f t="shared" si="10"/>
        <v>64152.542372881355</v>
      </c>
      <c r="AF77">
        <f t="shared" si="11"/>
        <v>4554830.5084745763</v>
      </c>
    </row>
    <row r="78" spans="2:32" x14ac:dyDescent="0.3">
      <c r="B78">
        <v>72</v>
      </c>
      <c r="C78">
        <v>-660000</v>
      </c>
      <c r="D78">
        <v>200000</v>
      </c>
      <c r="E78">
        <v>60</v>
      </c>
      <c r="F78">
        <f t="shared" si="6"/>
        <v>389491.52542372886</v>
      </c>
      <c r="H78">
        <v>72</v>
      </c>
      <c r="I78">
        <v>1000</v>
      </c>
      <c r="J78">
        <v>1200</v>
      </c>
      <c r="K78">
        <v>60</v>
      </c>
      <c r="L78">
        <f t="shared" si="7"/>
        <v>1244.0677966101694</v>
      </c>
      <c r="N78">
        <v>72</v>
      </c>
      <c r="O78">
        <v>-600000</v>
      </c>
      <c r="P78">
        <v>120000</v>
      </c>
      <c r="Q78">
        <v>60</v>
      </c>
      <c r="R78">
        <v>1</v>
      </c>
      <c r="S78">
        <f t="shared" si="8"/>
        <v>278644.06779661018</v>
      </c>
      <c r="U78">
        <f t="shared" si="9"/>
        <v>20062372.881355934</v>
      </c>
      <c r="Y78">
        <v>72</v>
      </c>
      <c r="Z78">
        <v>10000</v>
      </c>
      <c r="AA78">
        <v>55000</v>
      </c>
      <c r="AB78">
        <v>60</v>
      </c>
      <c r="AC78">
        <v>1</v>
      </c>
      <c r="AD78">
        <f t="shared" si="10"/>
        <v>64915.254237288136</v>
      </c>
      <c r="AF78">
        <f t="shared" si="11"/>
        <v>4673898.3050847454</v>
      </c>
    </row>
    <row r="79" spans="2:32" x14ac:dyDescent="0.3">
      <c r="B79">
        <v>73</v>
      </c>
      <c r="C79">
        <v>-660000</v>
      </c>
      <c r="D79">
        <v>200000</v>
      </c>
      <c r="E79">
        <v>60</v>
      </c>
      <c r="F79">
        <f t="shared" si="6"/>
        <v>404067.79661016935</v>
      </c>
      <c r="H79">
        <v>73</v>
      </c>
      <c r="I79">
        <v>1000</v>
      </c>
      <c r="J79">
        <v>1200</v>
      </c>
      <c r="K79">
        <v>60</v>
      </c>
      <c r="L79">
        <f t="shared" si="7"/>
        <v>1247.457627118644</v>
      </c>
      <c r="N79">
        <v>73</v>
      </c>
      <c r="O79">
        <v>-600000</v>
      </c>
      <c r="P79">
        <v>120000</v>
      </c>
      <c r="Q79">
        <v>60</v>
      </c>
      <c r="R79">
        <v>1</v>
      </c>
      <c r="S79">
        <f t="shared" si="8"/>
        <v>290847.45762711868</v>
      </c>
      <c r="U79">
        <f t="shared" si="9"/>
        <v>21231864.406779665</v>
      </c>
      <c r="Y79">
        <v>73</v>
      </c>
      <c r="Z79">
        <v>10000</v>
      </c>
      <c r="AA79">
        <v>55000</v>
      </c>
      <c r="AB79">
        <v>60</v>
      </c>
      <c r="AC79">
        <v>1</v>
      </c>
      <c r="AD79">
        <f t="shared" si="10"/>
        <v>65677.96610169491</v>
      </c>
      <c r="AF79">
        <f t="shared" si="11"/>
        <v>4794491.5254237289</v>
      </c>
    </row>
    <row r="80" spans="2:32" x14ac:dyDescent="0.3">
      <c r="B80">
        <v>74</v>
      </c>
      <c r="C80">
        <v>-660000</v>
      </c>
      <c r="D80">
        <v>200000</v>
      </c>
      <c r="E80">
        <v>60</v>
      </c>
      <c r="F80">
        <f t="shared" si="6"/>
        <v>418644.06779661006</v>
      </c>
      <c r="H80">
        <v>74</v>
      </c>
      <c r="I80">
        <v>1000</v>
      </c>
      <c r="J80">
        <v>1200</v>
      </c>
      <c r="K80">
        <v>60</v>
      </c>
      <c r="L80">
        <f t="shared" si="7"/>
        <v>1250.8474576271187</v>
      </c>
      <c r="N80">
        <v>74</v>
      </c>
      <c r="O80">
        <v>-600000</v>
      </c>
      <c r="P80">
        <v>120000</v>
      </c>
      <c r="Q80">
        <v>60</v>
      </c>
      <c r="R80">
        <v>1</v>
      </c>
      <c r="S80">
        <f t="shared" si="8"/>
        <v>303050.84745762718</v>
      </c>
      <c r="U80">
        <f t="shared" si="9"/>
        <v>22425762.711864412</v>
      </c>
      <c r="Y80">
        <v>74</v>
      </c>
      <c r="Z80">
        <v>10000</v>
      </c>
      <c r="AA80">
        <v>55000</v>
      </c>
      <c r="AB80">
        <v>60</v>
      </c>
      <c r="AC80">
        <v>1</v>
      </c>
      <c r="AD80">
        <f t="shared" si="10"/>
        <v>66440.677966101706</v>
      </c>
      <c r="AF80">
        <f t="shared" si="11"/>
        <v>4916610.1694915267</v>
      </c>
    </row>
    <row r="81" spans="2:32" x14ac:dyDescent="0.3">
      <c r="B81">
        <v>75</v>
      </c>
      <c r="C81">
        <v>-660000</v>
      </c>
      <c r="D81">
        <v>200000</v>
      </c>
      <c r="E81">
        <v>60</v>
      </c>
      <c r="F81">
        <f t="shared" ref="F81:F109" si="12">C81+((D81-C81)/(E81-1))*B81</f>
        <v>433220.33898305078</v>
      </c>
      <c r="H81">
        <v>75</v>
      </c>
      <c r="I81">
        <v>1000</v>
      </c>
      <c r="J81">
        <v>1200</v>
      </c>
      <c r="K81">
        <v>60</v>
      </c>
      <c r="L81">
        <f t="shared" si="7"/>
        <v>1254.2372881355932</v>
      </c>
      <c r="N81">
        <v>75</v>
      </c>
      <c r="O81">
        <v>-600000</v>
      </c>
      <c r="P81">
        <v>120000</v>
      </c>
      <c r="Q81">
        <v>60</v>
      </c>
      <c r="R81">
        <v>1</v>
      </c>
      <c r="S81">
        <f t="shared" si="8"/>
        <v>315254.23728813557</v>
      </c>
      <c r="U81">
        <f t="shared" si="9"/>
        <v>23644067.796610169</v>
      </c>
      <c r="Y81">
        <v>75</v>
      </c>
      <c r="Z81">
        <v>10000</v>
      </c>
      <c r="AA81">
        <v>55000</v>
      </c>
      <c r="AB81">
        <v>60</v>
      </c>
      <c r="AC81">
        <v>1</v>
      </c>
      <c r="AD81">
        <f t="shared" si="10"/>
        <v>67203.389830508473</v>
      </c>
      <c r="AF81">
        <f t="shared" si="11"/>
        <v>5040254.2372881351</v>
      </c>
    </row>
    <row r="82" spans="2:32" x14ac:dyDescent="0.3">
      <c r="B82">
        <v>76</v>
      </c>
      <c r="C82">
        <v>-660000</v>
      </c>
      <c r="D82">
        <v>200000</v>
      </c>
      <c r="E82">
        <v>60</v>
      </c>
      <c r="F82">
        <f t="shared" si="12"/>
        <v>447796.6101694915</v>
      </c>
      <c r="H82">
        <v>76</v>
      </c>
      <c r="I82">
        <v>1000</v>
      </c>
      <c r="J82">
        <v>1200</v>
      </c>
      <c r="K82">
        <v>60</v>
      </c>
      <c r="L82">
        <f t="shared" si="7"/>
        <v>1257.6271186440677</v>
      </c>
      <c r="N82">
        <v>76</v>
      </c>
      <c r="O82">
        <v>-600000</v>
      </c>
      <c r="P82">
        <v>120000</v>
      </c>
      <c r="Q82">
        <v>60</v>
      </c>
      <c r="R82">
        <v>1</v>
      </c>
      <c r="S82">
        <f t="shared" si="8"/>
        <v>327457.62711864407</v>
      </c>
      <c r="U82">
        <f t="shared" si="9"/>
        <v>24886779.661016949</v>
      </c>
      <c r="Y82">
        <v>76</v>
      </c>
      <c r="Z82">
        <v>10000</v>
      </c>
      <c r="AA82">
        <v>55000</v>
      </c>
      <c r="AB82">
        <v>60</v>
      </c>
      <c r="AC82">
        <v>1</v>
      </c>
      <c r="AD82">
        <f t="shared" si="10"/>
        <v>67966.101694915254</v>
      </c>
      <c r="AF82">
        <f t="shared" si="11"/>
        <v>5165423.7288135597</v>
      </c>
    </row>
    <row r="83" spans="2:32" x14ac:dyDescent="0.3">
      <c r="B83">
        <v>77</v>
      </c>
      <c r="C83">
        <v>-660000</v>
      </c>
      <c r="D83">
        <v>200000</v>
      </c>
      <c r="E83">
        <v>60</v>
      </c>
      <c r="F83">
        <f t="shared" si="12"/>
        <v>462372.88135593222</v>
      </c>
      <c r="H83">
        <v>77</v>
      </c>
      <c r="I83">
        <v>1000</v>
      </c>
      <c r="J83">
        <v>1200</v>
      </c>
      <c r="K83">
        <v>60</v>
      </c>
      <c r="L83">
        <f t="shared" si="7"/>
        <v>1261.0169491525423</v>
      </c>
      <c r="N83">
        <v>77</v>
      </c>
      <c r="O83">
        <v>-600000</v>
      </c>
      <c r="P83">
        <v>120000</v>
      </c>
      <c r="Q83">
        <v>60</v>
      </c>
      <c r="R83">
        <v>1</v>
      </c>
      <c r="S83">
        <f t="shared" si="8"/>
        <v>339661.01694915257</v>
      </c>
      <c r="U83">
        <f t="shared" si="9"/>
        <v>26153898.30508475</v>
      </c>
      <c r="Y83">
        <v>77</v>
      </c>
      <c r="Z83">
        <v>10000</v>
      </c>
      <c r="AA83">
        <v>55000</v>
      </c>
      <c r="AB83">
        <v>60</v>
      </c>
      <c r="AC83">
        <v>1</v>
      </c>
      <c r="AD83">
        <f t="shared" si="10"/>
        <v>68728.813559322036</v>
      </c>
      <c r="AF83">
        <f t="shared" si="11"/>
        <v>5292118.6440677969</v>
      </c>
    </row>
    <row r="84" spans="2:32" x14ac:dyDescent="0.3">
      <c r="B84">
        <v>78</v>
      </c>
      <c r="C84">
        <v>-660000</v>
      </c>
      <c r="D84">
        <v>200000</v>
      </c>
      <c r="E84">
        <v>60</v>
      </c>
      <c r="F84">
        <f t="shared" si="12"/>
        <v>476949.15254237293</v>
      </c>
      <c r="H84">
        <v>78</v>
      </c>
      <c r="I84">
        <v>1000</v>
      </c>
      <c r="J84">
        <v>1200</v>
      </c>
      <c r="K84">
        <v>60</v>
      </c>
      <c r="L84">
        <f t="shared" si="7"/>
        <v>1264.406779661017</v>
      </c>
      <c r="N84">
        <v>78</v>
      </c>
      <c r="O84">
        <v>-600000</v>
      </c>
      <c r="P84">
        <v>120000</v>
      </c>
      <c r="Q84">
        <v>60</v>
      </c>
      <c r="R84">
        <v>1</v>
      </c>
      <c r="S84">
        <f t="shared" si="8"/>
        <v>351864.40677966108</v>
      </c>
      <c r="U84">
        <f t="shared" si="9"/>
        <v>27445423.728813563</v>
      </c>
      <c r="Y84">
        <v>78</v>
      </c>
      <c r="Z84">
        <v>10000</v>
      </c>
      <c r="AA84">
        <v>55000</v>
      </c>
      <c r="AB84">
        <v>60</v>
      </c>
      <c r="AC84">
        <v>1</v>
      </c>
      <c r="AD84">
        <f t="shared" si="10"/>
        <v>69491.525423728817</v>
      </c>
      <c r="AF84">
        <f t="shared" si="11"/>
        <v>5420338.9830508474</v>
      </c>
    </row>
    <row r="85" spans="2:32" x14ac:dyDescent="0.3">
      <c r="B85">
        <v>79</v>
      </c>
      <c r="C85">
        <v>-660000</v>
      </c>
      <c r="D85">
        <v>200000</v>
      </c>
      <c r="E85">
        <v>60</v>
      </c>
      <c r="F85">
        <f t="shared" si="12"/>
        <v>491525.42372881342</v>
      </c>
      <c r="H85">
        <v>79</v>
      </c>
      <c r="I85">
        <v>1000</v>
      </c>
      <c r="J85">
        <v>1200</v>
      </c>
      <c r="K85">
        <v>60</v>
      </c>
      <c r="L85">
        <f t="shared" si="7"/>
        <v>1267.7966101694915</v>
      </c>
      <c r="N85">
        <v>79</v>
      </c>
      <c r="O85">
        <v>-600000</v>
      </c>
      <c r="P85">
        <v>120000</v>
      </c>
      <c r="Q85">
        <v>60</v>
      </c>
      <c r="R85">
        <v>1</v>
      </c>
      <c r="S85">
        <f t="shared" si="8"/>
        <v>364067.79661016946</v>
      </c>
      <c r="U85">
        <f t="shared" si="9"/>
        <v>28761355.932203386</v>
      </c>
      <c r="Y85">
        <v>79</v>
      </c>
      <c r="Z85">
        <v>10000</v>
      </c>
      <c r="AA85">
        <v>55000</v>
      </c>
      <c r="AB85">
        <v>60</v>
      </c>
      <c r="AC85">
        <v>1</v>
      </c>
      <c r="AD85">
        <f t="shared" si="10"/>
        <v>70254.237288135599</v>
      </c>
      <c r="AF85">
        <f t="shared" si="11"/>
        <v>5550084.7457627123</v>
      </c>
    </row>
    <row r="86" spans="2:32" x14ac:dyDescent="0.3">
      <c r="B86">
        <v>80</v>
      </c>
      <c r="C86">
        <v>-660000</v>
      </c>
      <c r="D86">
        <v>200000</v>
      </c>
      <c r="E86">
        <v>60</v>
      </c>
      <c r="F86">
        <f t="shared" si="12"/>
        <v>506101.69491525413</v>
      </c>
      <c r="H86">
        <v>80</v>
      </c>
      <c r="I86">
        <v>1000</v>
      </c>
      <c r="J86">
        <v>1200</v>
      </c>
      <c r="K86">
        <v>60</v>
      </c>
      <c r="L86">
        <f t="shared" si="7"/>
        <v>1271.1864406779659</v>
      </c>
      <c r="N86">
        <v>80</v>
      </c>
      <c r="O86">
        <v>-600000</v>
      </c>
      <c r="P86">
        <v>120000</v>
      </c>
      <c r="Q86">
        <v>60</v>
      </c>
      <c r="R86">
        <v>1</v>
      </c>
      <c r="S86">
        <f t="shared" si="8"/>
        <v>376271.18644067796</v>
      </c>
      <c r="U86">
        <f t="shared" si="9"/>
        <v>30101694.915254235</v>
      </c>
      <c r="V86">
        <f>SUM(U8:U86)</f>
        <v>434726978.30508488</v>
      </c>
      <c r="Y86">
        <v>80</v>
      </c>
      <c r="Z86">
        <v>10000</v>
      </c>
      <c r="AA86">
        <v>55000</v>
      </c>
      <c r="AB86">
        <v>60</v>
      </c>
      <c r="AC86">
        <v>1</v>
      </c>
      <c r="AD86">
        <f t="shared" si="10"/>
        <v>71016.949152542365</v>
      </c>
      <c r="AF86">
        <f t="shared" si="11"/>
        <v>5681355.9322033897</v>
      </c>
    </row>
    <row r="87" spans="2:32" x14ac:dyDescent="0.3">
      <c r="B87">
        <v>81</v>
      </c>
      <c r="C87">
        <v>-660000</v>
      </c>
      <c r="D87">
        <v>200000</v>
      </c>
      <c r="E87">
        <v>60</v>
      </c>
      <c r="F87">
        <f t="shared" si="12"/>
        <v>520677.96610169485</v>
      </c>
      <c r="H87">
        <v>81</v>
      </c>
      <c r="I87">
        <v>1000</v>
      </c>
      <c r="J87">
        <v>1200</v>
      </c>
      <c r="K87">
        <v>60</v>
      </c>
      <c r="L87">
        <f t="shared" si="7"/>
        <v>1274.5762711864406</v>
      </c>
      <c r="N87">
        <v>81</v>
      </c>
      <c r="O87">
        <v>-600000</v>
      </c>
      <c r="P87">
        <v>120000</v>
      </c>
      <c r="Q87">
        <v>60</v>
      </c>
      <c r="R87">
        <v>1</v>
      </c>
      <c r="S87">
        <f t="shared" si="8"/>
        <v>388474.57627118647</v>
      </c>
      <c r="U87">
        <f t="shared" si="9"/>
        <v>31466440.677966103</v>
      </c>
      <c r="V87">
        <f t="shared" ref="V87:V101" si="13">SUM(U29:U87)</f>
        <v>464543322.03389841</v>
      </c>
      <c r="Y87">
        <v>81</v>
      </c>
      <c r="Z87">
        <v>10000</v>
      </c>
      <c r="AA87">
        <v>55000</v>
      </c>
      <c r="AB87">
        <v>60</v>
      </c>
      <c r="AC87">
        <v>1</v>
      </c>
      <c r="AD87">
        <f t="shared" si="10"/>
        <v>71779.661016949161</v>
      </c>
      <c r="AF87">
        <f t="shared" si="11"/>
        <v>5814152.5423728824</v>
      </c>
    </row>
    <row r="88" spans="2:32" x14ac:dyDescent="0.3">
      <c r="B88">
        <v>82</v>
      </c>
      <c r="C88">
        <v>-660000</v>
      </c>
      <c r="D88">
        <v>200000</v>
      </c>
      <c r="E88">
        <v>60</v>
      </c>
      <c r="F88">
        <f t="shared" si="12"/>
        <v>535254.23728813557</v>
      </c>
      <c r="H88">
        <v>82</v>
      </c>
      <c r="I88">
        <v>1000</v>
      </c>
      <c r="J88">
        <v>1200</v>
      </c>
      <c r="K88">
        <v>60</v>
      </c>
      <c r="L88">
        <f t="shared" si="7"/>
        <v>1277.9661016949153</v>
      </c>
      <c r="N88">
        <v>82</v>
      </c>
      <c r="O88">
        <v>-600000</v>
      </c>
      <c r="P88">
        <v>120000</v>
      </c>
      <c r="Q88">
        <v>60</v>
      </c>
      <c r="R88">
        <v>1</v>
      </c>
      <c r="S88">
        <f t="shared" si="8"/>
        <v>400677.96610169497</v>
      </c>
      <c r="U88">
        <f t="shared" si="9"/>
        <v>32855593.220338989</v>
      </c>
      <c r="V88">
        <f t="shared" ref="V88" si="14">SUM(U29:U88)</f>
        <v>497398915.25423741</v>
      </c>
      <c r="Y88">
        <v>82</v>
      </c>
      <c r="Z88">
        <v>10000</v>
      </c>
      <c r="AA88">
        <v>55000</v>
      </c>
      <c r="AB88">
        <v>60</v>
      </c>
      <c r="AC88">
        <v>1</v>
      </c>
      <c r="AD88">
        <f t="shared" si="10"/>
        <v>72542.372881355928</v>
      </c>
      <c r="AF88">
        <f t="shared" si="11"/>
        <v>5948474.5762711857</v>
      </c>
    </row>
    <row r="89" spans="2:32" x14ac:dyDescent="0.3">
      <c r="B89">
        <v>83</v>
      </c>
      <c r="C89">
        <v>-660000</v>
      </c>
      <c r="D89">
        <v>200000</v>
      </c>
      <c r="E89">
        <v>60</v>
      </c>
      <c r="F89">
        <f t="shared" si="12"/>
        <v>549830.50847457629</v>
      </c>
      <c r="H89">
        <v>83</v>
      </c>
      <c r="I89">
        <v>1000</v>
      </c>
      <c r="J89">
        <v>1200</v>
      </c>
      <c r="K89">
        <v>60</v>
      </c>
      <c r="L89">
        <f t="shared" si="7"/>
        <v>1281.3559322033898</v>
      </c>
      <c r="N89">
        <v>83</v>
      </c>
      <c r="O89">
        <v>-600000</v>
      </c>
      <c r="P89">
        <v>120000</v>
      </c>
      <c r="Q89">
        <v>60</v>
      </c>
      <c r="R89">
        <v>1</v>
      </c>
      <c r="S89">
        <f t="shared" si="8"/>
        <v>412881.35593220347</v>
      </c>
      <c r="U89">
        <f t="shared" si="9"/>
        <v>34269152.54237289</v>
      </c>
      <c r="V89">
        <f t="shared" ref="V89" si="15">SUM(U29:U89)</f>
        <v>531668067.7966103</v>
      </c>
      <c r="Y89">
        <v>83</v>
      </c>
      <c r="Z89">
        <v>10000</v>
      </c>
      <c r="AA89">
        <v>55000</v>
      </c>
      <c r="AB89">
        <v>60</v>
      </c>
      <c r="AC89">
        <v>1</v>
      </c>
      <c r="AD89">
        <f t="shared" si="10"/>
        <v>73305.084745762724</v>
      </c>
      <c r="AF89">
        <f t="shared" si="11"/>
        <v>6084322.0338983061</v>
      </c>
    </row>
    <row r="90" spans="2:32" x14ac:dyDescent="0.3">
      <c r="B90">
        <v>84</v>
      </c>
      <c r="C90">
        <v>-660000</v>
      </c>
      <c r="D90">
        <v>200000</v>
      </c>
      <c r="E90">
        <v>60</v>
      </c>
      <c r="F90">
        <f t="shared" si="12"/>
        <v>564406.779661017</v>
      </c>
      <c r="H90">
        <v>84</v>
      </c>
      <c r="I90">
        <v>1000</v>
      </c>
      <c r="J90">
        <v>1200</v>
      </c>
      <c r="K90">
        <v>60</v>
      </c>
      <c r="L90">
        <f t="shared" si="7"/>
        <v>1284.7457627118645</v>
      </c>
      <c r="N90">
        <v>84</v>
      </c>
      <c r="O90">
        <v>-600000</v>
      </c>
      <c r="P90">
        <v>120000</v>
      </c>
      <c r="Q90">
        <v>60</v>
      </c>
      <c r="R90">
        <v>1</v>
      </c>
      <c r="S90">
        <f t="shared" si="8"/>
        <v>425084.74576271186</v>
      </c>
      <c r="U90">
        <f t="shared" si="9"/>
        <v>35707118.644067794</v>
      </c>
      <c r="V90">
        <f t="shared" ref="V90:V104" si="16">SUM(U32:U90)</f>
        <v>566703389.83050859</v>
      </c>
      <c r="Y90">
        <v>84</v>
      </c>
      <c r="Z90">
        <v>10000</v>
      </c>
      <c r="AA90">
        <v>55000</v>
      </c>
      <c r="AB90">
        <v>60</v>
      </c>
      <c r="AC90">
        <v>1</v>
      </c>
      <c r="AD90">
        <f t="shared" si="10"/>
        <v>74067.796610169491</v>
      </c>
      <c r="AF90">
        <f t="shared" si="11"/>
        <v>6221694.9152542371</v>
      </c>
    </row>
    <row r="91" spans="2:32" x14ac:dyDescent="0.3">
      <c r="B91">
        <v>85</v>
      </c>
      <c r="C91">
        <v>-660000</v>
      </c>
      <c r="D91">
        <v>200000</v>
      </c>
      <c r="E91">
        <v>60</v>
      </c>
      <c r="F91">
        <f t="shared" si="12"/>
        <v>578983.05084745749</v>
      </c>
      <c r="H91">
        <v>85</v>
      </c>
      <c r="I91">
        <v>1000</v>
      </c>
      <c r="J91">
        <v>1200</v>
      </c>
      <c r="K91">
        <v>60</v>
      </c>
      <c r="L91">
        <f t="shared" si="7"/>
        <v>1288.1355932203389</v>
      </c>
      <c r="N91">
        <v>85</v>
      </c>
      <c r="O91">
        <v>-600000</v>
      </c>
      <c r="P91">
        <v>120000</v>
      </c>
      <c r="Q91">
        <v>60</v>
      </c>
      <c r="R91">
        <v>1</v>
      </c>
      <c r="S91">
        <f t="shared" si="8"/>
        <v>437288.13559322036</v>
      </c>
      <c r="U91">
        <f t="shared" si="9"/>
        <v>37169491.525423728</v>
      </c>
      <c r="V91">
        <f t="shared" ref="V91:V105" si="17">SUM(U32:U91)</f>
        <v>603872881.35593235</v>
      </c>
      <c r="Y91">
        <v>85</v>
      </c>
      <c r="Z91">
        <v>10000</v>
      </c>
      <c r="AA91">
        <v>55000</v>
      </c>
      <c r="AB91">
        <v>60</v>
      </c>
      <c r="AC91">
        <v>1</v>
      </c>
      <c r="AD91">
        <f t="shared" si="10"/>
        <v>74830.508474576272</v>
      </c>
      <c r="AF91">
        <f t="shared" si="11"/>
        <v>6360593.2203389835</v>
      </c>
    </row>
    <row r="92" spans="2:32" x14ac:dyDescent="0.3">
      <c r="B92">
        <v>86</v>
      </c>
      <c r="C92">
        <v>-660000</v>
      </c>
      <c r="D92">
        <v>200000</v>
      </c>
      <c r="E92">
        <v>60</v>
      </c>
      <c r="F92">
        <f t="shared" si="12"/>
        <v>593559.32203389821</v>
      </c>
      <c r="H92">
        <v>86</v>
      </c>
      <c r="I92">
        <v>1000</v>
      </c>
      <c r="J92">
        <v>1200</v>
      </c>
      <c r="K92">
        <v>60</v>
      </c>
      <c r="L92">
        <f t="shared" si="7"/>
        <v>1291.5254237288136</v>
      </c>
      <c r="N92">
        <v>86</v>
      </c>
      <c r="O92">
        <v>-600000</v>
      </c>
      <c r="P92">
        <v>120000</v>
      </c>
      <c r="Q92">
        <v>60</v>
      </c>
      <c r="R92">
        <v>1</v>
      </c>
      <c r="S92">
        <f t="shared" si="8"/>
        <v>449491.52542372886</v>
      </c>
      <c r="U92">
        <f t="shared" si="9"/>
        <v>38656271.186440684</v>
      </c>
      <c r="V92">
        <f t="shared" ref="V92:V106" si="18">SUM(U32:U92)</f>
        <v>642529152.54237306</v>
      </c>
      <c r="Y92">
        <v>86</v>
      </c>
      <c r="Z92">
        <v>10000</v>
      </c>
      <c r="AA92">
        <v>55000</v>
      </c>
      <c r="AB92">
        <v>60</v>
      </c>
      <c r="AC92">
        <v>1</v>
      </c>
      <c r="AD92">
        <f t="shared" si="10"/>
        <v>75593.220338983054</v>
      </c>
      <c r="AF92">
        <f t="shared" si="11"/>
        <v>6501016.9491525423</v>
      </c>
    </row>
    <row r="93" spans="2:32" x14ac:dyDescent="0.3">
      <c r="B93">
        <v>87</v>
      </c>
      <c r="C93">
        <v>-660000</v>
      </c>
      <c r="D93">
        <v>200000</v>
      </c>
      <c r="E93">
        <v>60</v>
      </c>
      <c r="F93">
        <f t="shared" si="12"/>
        <v>608135.59322033892</v>
      </c>
      <c r="H93">
        <v>87</v>
      </c>
      <c r="I93">
        <v>1000</v>
      </c>
      <c r="J93">
        <v>1200</v>
      </c>
      <c r="K93">
        <v>60</v>
      </c>
      <c r="L93">
        <f t="shared" si="7"/>
        <v>1294.9152542372881</v>
      </c>
      <c r="N93">
        <v>87</v>
      </c>
      <c r="O93">
        <v>-600000</v>
      </c>
      <c r="P93">
        <v>120000</v>
      </c>
      <c r="Q93">
        <v>60</v>
      </c>
      <c r="R93">
        <v>1</v>
      </c>
      <c r="S93">
        <f t="shared" si="8"/>
        <v>461694.91525423736</v>
      </c>
      <c r="U93">
        <f t="shared" si="9"/>
        <v>40167457.627118647</v>
      </c>
      <c r="V93">
        <f t="shared" si="13"/>
        <v>681866779.66101718</v>
      </c>
      <c r="Y93">
        <v>87</v>
      </c>
      <c r="Z93">
        <v>10000</v>
      </c>
      <c r="AA93">
        <v>55000</v>
      </c>
      <c r="AB93">
        <v>60</v>
      </c>
      <c r="AC93">
        <v>1</v>
      </c>
      <c r="AD93">
        <f t="shared" si="10"/>
        <v>76355.932203389835</v>
      </c>
      <c r="AF93">
        <f t="shared" si="11"/>
        <v>6642966.1016949154</v>
      </c>
    </row>
    <row r="94" spans="2:32" x14ac:dyDescent="0.3">
      <c r="B94">
        <v>88</v>
      </c>
      <c r="C94">
        <v>-660000</v>
      </c>
      <c r="D94">
        <v>200000</v>
      </c>
      <c r="E94">
        <v>60</v>
      </c>
      <c r="F94">
        <f t="shared" si="12"/>
        <v>622711.86440677964</v>
      </c>
      <c r="H94">
        <v>88</v>
      </c>
      <c r="I94">
        <v>1000</v>
      </c>
      <c r="J94">
        <v>1200</v>
      </c>
      <c r="K94">
        <v>60</v>
      </c>
      <c r="L94">
        <f t="shared" si="7"/>
        <v>1298.3050847457628</v>
      </c>
      <c r="N94">
        <v>88</v>
      </c>
      <c r="O94">
        <v>-600000</v>
      </c>
      <c r="P94">
        <v>120000</v>
      </c>
      <c r="Q94">
        <v>60</v>
      </c>
      <c r="R94">
        <v>1</v>
      </c>
      <c r="S94">
        <f t="shared" si="8"/>
        <v>473898.30508474587</v>
      </c>
      <c r="U94">
        <f t="shared" si="9"/>
        <v>41703050.847457632</v>
      </c>
      <c r="V94">
        <f t="shared" si="13"/>
        <v>723255254.23728848</v>
      </c>
      <c r="Y94">
        <v>88</v>
      </c>
      <c r="Z94">
        <v>10000</v>
      </c>
      <c r="AA94">
        <v>55000</v>
      </c>
      <c r="AB94">
        <v>60</v>
      </c>
      <c r="AC94">
        <v>1</v>
      </c>
      <c r="AD94">
        <f t="shared" si="10"/>
        <v>77118.644067796617</v>
      </c>
      <c r="AF94">
        <f t="shared" si="11"/>
        <v>6786440.677966102</v>
      </c>
    </row>
    <row r="95" spans="2:32" x14ac:dyDescent="0.3">
      <c r="B95">
        <v>89</v>
      </c>
      <c r="C95">
        <v>-660000</v>
      </c>
      <c r="D95">
        <v>200000</v>
      </c>
      <c r="E95">
        <v>60</v>
      </c>
      <c r="F95">
        <f t="shared" si="12"/>
        <v>637288.13559322036</v>
      </c>
      <c r="H95">
        <v>89</v>
      </c>
      <c r="I95">
        <v>1000</v>
      </c>
      <c r="J95">
        <v>1200</v>
      </c>
      <c r="K95">
        <v>60</v>
      </c>
      <c r="L95">
        <f t="shared" si="7"/>
        <v>1301.6949152542372</v>
      </c>
      <c r="N95">
        <v>89</v>
      </c>
      <c r="O95">
        <v>-600000</v>
      </c>
      <c r="P95">
        <v>120000</v>
      </c>
      <c r="Q95">
        <v>60</v>
      </c>
      <c r="R95">
        <v>1</v>
      </c>
      <c r="S95">
        <f t="shared" si="8"/>
        <v>486101.69491525437</v>
      </c>
      <c r="U95">
        <f t="shared" si="9"/>
        <v>43263050.84745764</v>
      </c>
      <c r="V95">
        <f t="shared" ref="V95" si="19">SUM(U36:U95)</f>
        <v>766518305.08474612</v>
      </c>
      <c r="Y95">
        <v>89</v>
      </c>
      <c r="Z95">
        <v>10000</v>
      </c>
      <c r="AA95">
        <v>55000</v>
      </c>
      <c r="AB95">
        <v>60</v>
      </c>
      <c r="AC95">
        <v>1</v>
      </c>
      <c r="AD95">
        <f t="shared" si="10"/>
        <v>77881.355932203398</v>
      </c>
      <c r="AF95">
        <f t="shared" si="11"/>
        <v>6931440.677966102</v>
      </c>
    </row>
    <row r="96" spans="2:32" x14ac:dyDescent="0.3">
      <c r="B96">
        <v>90</v>
      </c>
      <c r="C96">
        <v>-660000</v>
      </c>
      <c r="D96">
        <v>200000</v>
      </c>
      <c r="E96">
        <v>60</v>
      </c>
      <c r="F96">
        <f t="shared" si="12"/>
        <v>651864.40677966108</v>
      </c>
      <c r="H96">
        <v>90</v>
      </c>
      <c r="I96">
        <v>1000</v>
      </c>
      <c r="J96">
        <v>1200</v>
      </c>
      <c r="K96">
        <v>60</v>
      </c>
      <c r="L96">
        <f t="shared" si="7"/>
        <v>1305.0847457627119</v>
      </c>
      <c r="N96">
        <v>90</v>
      </c>
      <c r="O96">
        <v>-600000</v>
      </c>
      <c r="P96">
        <v>120000</v>
      </c>
      <c r="Q96">
        <v>60</v>
      </c>
      <c r="R96">
        <v>1</v>
      </c>
      <c r="S96">
        <f t="shared" si="8"/>
        <v>498305.08474576264</v>
      </c>
      <c r="U96">
        <f t="shared" si="9"/>
        <v>44847457.62711864</v>
      </c>
      <c r="V96">
        <f t="shared" ref="V96" si="20">SUM(U36:U96)</f>
        <v>811365762.71186471</v>
      </c>
      <c r="Y96">
        <v>90</v>
      </c>
      <c r="Z96">
        <v>10000</v>
      </c>
      <c r="AA96">
        <v>55000</v>
      </c>
      <c r="AB96">
        <v>60</v>
      </c>
      <c r="AC96">
        <v>1</v>
      </c>
      <c r="AD96">
        <f t="shared" si="10"/>
        <v>78644.067796610165</v>
      </c>
      <c r="AF96">
        <f t="shared" si="11"/>
        <v>7077966.1016949145</v>
      </c>
    </row>
    <row r="97" spans="2:32" x14ac:dyDescent="0.3">
      <c r="B97">
        <v>91</v>
      </c>
      <c r="C97">
        <v>-660000</v>
      </c>
      <c r="D97">
        <v>200000</v>
      </c>
      <c r="E97">
        <v>60</v>
      </c>
      <c r="F97">
        <f t="shared" si="12"/>
        <v>666440.67796610156</v>
      </c>
      <c r="H97">
        <v>91</v>
      </c>
      <c r="I97">
        <v>1000</v>
      </c>
      <c r="J97">
        <v>1200</v>
      </c>
      <c r="K97">
        <v>60</v>
      </c>
      <c r="L97">
        <f t="shared" si="7"/>
        <v>1308.4745762711864</v>
      </c>
      <c r="N97">
        <v>91</v>
      </c>
      <c r="O97">
        <v>-600000</v>
      </c>
      <c r="P97">
        <v>120000</v>
      </c>
      <c r="Q97">
        <v>60</v>
      </c>
      <c r="R97">
        <v>1</v>
      </c>
      <c r="S97">
        <f t="shared" si="8"/>
        <v>510508.47457627114</v>
      </c>
      <c r="U97">
        <f t="shared" si="9"/>
        <v>46456271.186440676</v>
      </c>
      <c r="V97">
        <f t="shared" si="16"/>
        <v>856755864.40678</v>
      </c>
      <c r="Y97">
        <v>91</v>
      </c>
      <c r="Z97">
        <v>10000</v>
      </c>
      <c r="AA97">
        <v>55000</v>
      </c>
      <c r="AB97">
        <v>60</v>
      </c>
      <c r="AC97">
        <v>1</v>
      </c>
      <c r="AD97">
        <f t="shared" si="10"/>
        <v>79406.779661016946</v>
      </c>
      <c r="AF97">
        <f t="shared" si="11"/>
        <v>7226016.9491525423</v>
      </c>
    </row>
    <row r="98" spans="2:32" x14ac:dyDescent="0.3">
      <c r="B98">
        <v>92</v>
      </c>
      <c r="C98">
        <v>-660000</v>
      </c>
      <c r="D98">
        <v>200000</v>
      </c>
      <c r="E98">
        <v>60</v>
      </c>
      <c r="F98">
        <f t="shared" si="12"/>
        <v>681016.94915254228</v>
      </c>
      <c r="H98">
        <v>92</v>
      </c>
      <c r="I98">
        <v>1000</v>
      </c>
      <c r="J98">
        <v>1200</v>
      </c>
      <c r="K98">
        <v>60</v>
      </c>
      <c r="L98">
        <f t="shared" si="7"/>
        <v>1311.8644067796611</v>
      </c>
      <c r="N98">
        <v>92</v>
      </c>
      <c r="O98">
        <v>-600000</v>
      </c>
      <c r="P98">
        <v>120000</v>
      </c>
      <c r="Q98">
        <v>60</v>
      </c>
      <c r="R98">
        <v>1</v>
      </c>
      <c r="S98">
        <f t="shared" si="8"/>
        <v>522711.86440677964</v>
      </c>
      <c r="U98">
        <f t="shared" si="9"/>
        <v>48089491.525423728</v>
      </c>
      <c r="V98">
        <f t="shared" si="17"/>
        <v>904845355.93220377</v>
      </c>
      <c r="Y98">
        <v>92</v>
      </c>
      <c r="Z98">
        <v>10000</v>
      </c>
      <c r="AA98">
        <v>55000</v>
      </c>
      <c r="AB98">
        <v>60</v>
      </c>
      <c r="AC98">
        <v>1</v>
      </c>
      <c r="AD98">
        <f t="shared" si="10"/>
        <v>80169.491525423728</v>
      </c>
      <c r="AF98">
        <f t="shared" si="11"/>
        <v>7375593.2203389825</v>
      </c>
    </row>
    <row r="99" spans="2:32" x14ac:dyDescent="0.3">
      <c r="B99">
        <v>93</v>
      </c>
      <c r="C99">
        <v>-660000</v>
      </c>
      <c r="D99">
        <v>200000</v>
      </c>
      <c r="E99">
        <v>60</v>
      </c>
      <c r="F99">
        <f t="shared" si="12"/>
        <v>695593.220338983</v>
      </c>
      <c r="H99">
        <v>93</v>
      </c>
      <c r="I99">
        <v>1000</v>
      </c>
      <c r="J99">
        <v>1200</v>
      </c>
      <c r="K99">
        <v>60</v>
      </c>
      <c r="L99">
        <f t="shared" si="7"/>
        <v>1315.2542372881355</v>
      </c>
      <c r="N99">
        <v>93</v>
      </c>
      <c r="O99">
        <v>-600000</v>
      </c>
      <c r="P99">
        <v>120000</v>
      </c>
      <c r="Q99">
        <v>60</v>
      </c>
      <c r="R99">
        <v>1</v>
      </c>
      <c r="S99">
        <f t="shared" si="8"/>
        <v>534915.25423728814</v>
      </c>
      <c r="U99">
        <f t="shared" si="9"/>
        <v>49747118.644067794</v>
      </c>
      <c r="V99">
        <f t="shared" si="18"/>
        <v>954592474.57627153</v>
      </c>
      <c r="Y99">
        <v>93</v>
      </c>
      <c r="Z99">
        <v>10000</v>
      </c>
      <c r="AA99">
        <v>55000</v>
      </c>
      <c r="AB99">
        <v>60</v>
      </c>
      <c r="AC99">
        <v>1</v>
      </c>
      <c r="AD99">
        <f t="shared" si="10"/>
        <v>80932.203389830509</v>
      </c>
      <c r="AF99">
        <f t="shared" si="11"/>
        <v>7526694.9152542371</v>
      </c>
    </row>
    <row r="100" spans="2:32" x14ac:dyDescent="0.3">
      <c r="B100">
        <v>94</v>
      </c>
      <c r="C100">
        <v>-660000</v>
      </c>
      <c r="D100">
        <v>200000</v>
      </c>
      <c r="E100">
        <v>60</v>
      </c>
      <c r="F100">
        <f t="shared" si="12"/>
        <v>710169.49152542371</v>
      </c>
      <c r="H100">
        <v>94</v>
      </c>
      <c r="I100">
        <v>1000</v>
      </c>
      <c r="J100">
        <v>1200</v>
      </c>
      <c r="K100">
        <v>60</v>
      </c>
      <c r="L100">
        <f t="shared" si="7"/>
        <v>1318.6440677966102</v>
      </c>
      <c r="N100">
        <v>94</v>
      </c>
      <c r="O100">
        <v>-600000</v>
      </c>
      <c r="P100">
        <v>120000</v>
      </c>
      <c r="Q100">
        <v>60</v>
      </c>
      <c r="R100">
        <v>1</v>
      </c>
      <c r="S100">
        <f t="shared" si="8"/>
        <v>547118.64406779665</v>
      </c>
      <c r="U100">
        <f t="shared" si="9"/>
        <v>51429152.542372882</v>
      </c>
      <c r="V100">
        <f t="shared" si="13"/>
        <v>1004758983.0508478</v>
      </c>
      <c r="Y100">
        <v>94</v>
      </c>
      <c r="Z100">
        <v>10000</v>
      </c>
      <c r="AA100">
        <v>55000</v>
      </c>
      <c r="AB100">
        <v>60</v>
      </c>
      <c r="AC100">
        <v>1</v>
      </c>
      <c r="AD100">
        <f t="shared" si="10"/>
        <v>81694.91525423729</v>
      </c>
      <c r="AF100">
        <f t="shared" si="11"/>
        <v>7679322.0338983051</v>
      </c>
    </row>
    <row r="101" spans="2:32" x14ac:dyDescent="0.3">
      <c r="B101">
        <v>95</v>
      </c>
      <c r="C101">
        <v>-660000</v>
      </c>
      <c r="D101">
        <v>200000</v>
      </c>
      <c r="E101">
        <v>60</v>
      </c>
      <c r="F101">
        <f t="shared" si="12"/>
        <v>724745.76271186443</v>
      </c>
      <c r="H101">
        <v>95</v>
      </c>
      <c r="I101">
        <v>1000</v>
      </c>
      <c r="J101">
        <v>1200</v>
      </c>
      <c r="K101">
        <v>60</v>
      </c>
      <c r="L101">
        <f t="shared" si="7"/>
        <v>1322.0338983050847</v>
      </c>
      <c r="N101">
        <v>95</v>
      </c>
      <c r="O101">
        <v>-600000</v>
      </c>
      <c r="P101">
        <v>120000</v>
      </c>
      <c r="Q101">
        <v>60</v>
      </c>
      <c r="R101">
        <v>1</v>
      </c>
      <c r="S101">
        <f t="shared" si="8"/>
        <v>559322.03389830515</v>
      </c>
      <c r="U101">
        <f t="shared" si="9"/>
        <v>53135593.220338985</v>
      </c>
      <c r="V101">
        <f t="shared" si="13"/>
        <v>1057427186.4406782</v>
      </c>
      <c r="Y101">
        <v>95</v>
      </c>
      <c r="Z101">
        <v>10000</v>
      </c>
      <c r="AA101">
        <v>55000</v>
      </c>
      <c r="AB101">
        <v>60</v>
      </c>
      <c r="AC101">
        <v>1</v>
      </c>
      <c r="AD101">
        <f t="shared" si="10"/>
        <v>82457.627118644072</v>
      </c>
      <c r="AF101">
        <f t="shared" si="11"/>
        <v>7833474.5762711866</v>
      </c>
    </row>
    <row r="102" spans="2:32" x14ac:dyDescent="0.3">
      <c r="B102">
        <v>96</v>
      </c>
      <c r="C102">
        <v>-660000</v>
      </c>
      <c r="D102">
        <v>200000</v>
      </c>
      <c r="E102">
        <v>60</v>
      </c>
      <c r="F102">
        <f t="shared" si="12"/>
        <v>739322.03389830515</v>
      </c>
      <c r="H102">
        <v>96</v>
      </c>
      <c r="I102">
        <v>1000</v>
      </c>
      <c r="J102">
        <v>1200</v>
      </c>
      <c r="K102">
        <v>60</v>
      </c>
      <c r="L102">
        <f t="shared" si="7"/>
        <v>1325.4237288135594</v>
      </c>
      <c r="N102">
        <v>96</v>
      </c>
      <c r="O102">
        <v>-600000</v>
      </c>
      <c r="P102">
        <v>120000</v>
      </c>
      <c r="Q102">
        <v>60</v>
      </c>
      <c r="R102">
        <v>1</v>
      </c>
      <c r="S102">
        <f t="shared" si="8"/>
        <v>571525.42372881365</v>
      </c>
      <c r="U102">
        <f t="shared" si="9"/>
        <v>54866440.67796611</v>
      </c>
      <c r="V102">
        <f t="shared" ref="V102" si="21">SUM(U43:U102)</f>
        <v>1112293627.1186442</v>
      </c>
      <c r="Y102">
        <v>96</v>
      </c>
      <c r="Z102">
        <v>10000</v>
      </c>
      <c r="AA102">
        <v>55000</v>
      </c>
      <c r="AB102">
        <v>60</v>
      </c>
      <c r="AC102">
        <v>1</v>
      </c>
      <c r="AD102">
        <f t="shared" si="10"/>
        <v>83220.338983050853</v>
      </c>
      <c r="AF102">
        <f t="shared" si="11"/>
        <v>7989152.5423728824</v>
      </c>
    </row>
    <row r="103" spans="2:32" x14ac:dyDescent="0.3">
      <c r="B103">
        <v>97</v>
      </c>
      <c r="C103">
        <v>-660000</v>
      </c>
      <c r="D103">
        <v>200000</v>
      </c>
      <c r="E103">
        <v>60</v>
      </c>
      <c r="F103">
        <f t="shared" si="12"/>
        <v>753898.30508474563</v>
      </c>
      <c r="H103">
        <v>97</v>
      </c>
      <c r="I103">
        <v>1000</v>
      </c>
      <c r="J103">
        <v>1200</v>
      </c>
      <c r="K103">
        <v>60</v>
      </c>
      <c r="L103">
        <f t="shared" si="7"/>
        <v>1328.8135593220338</v>
      </c>
      <c r="N103">
        <v>97</v>
      </c>
      <c r="O103">
        <v>-600000</v>
      </c>
      <c r="P103">
        <v>120000</v>
      </c>
      <c r="Q103">
        <v>60</v>
      </c>
      <c r="R103">
        <v>1</v>
      </c>
      <c r="S103">
        <f t="shared" si="8"/>
        <v>583728.81355932215</v>
      </c>
      <c r="U103">
        <f t="shared" si="9"/>
        <v>56621694.91525425</v>
      </c>
      <c r="V103">
        <f t="shared" ref="V103" si="22">SUM(U43:U103)</f>
        <v>1168915322.0338986</v>
      </c>
      <c r="Y103">
        <v>97</v>
      </c>
      <c r="Z103">
        <v>10000</v>
      </c>
      <c r="AA103">
        <v>55000</v>
      </c>
      <c r="AB103">
        <v>60</v>
      </c>
      <c r="AC103">
        <v>1</v>
      </c>
      <c r="AD103">
        <f t="shared" si="10"/>
        <v>83983.050847457635</v>
      </c>
      <c r="AF103">
        <f t="shared" si="11"/>
        <v>8146355.9322033906</v>
      </c>
    </row>
    <row r="104" spans="2:32" x14ac:dyDescent="0.3">
      <c r="B104">
        <v>98</v>
      </c>
      <c r="C104">
        <v>-660000</v>
      </c>
      <c r="D104">
        <v>200000</v>
      </c>
      <c r="E104">
        <v>60</v>
      </c>
      <c r="F104">
        <f t="shared" si="12"/>
        <v>768474.57627118635</v>
      </c>
      <c r="H104">
        <v>98</v>
      </c>
      <c r="I104">
        <v>1000</v>
      </c>
      <c r="J104">
        <v>1200</v>
      </c>
      <c r="K104">
        <v>60</v>
      </c>
      <c r="L104">
        <f t="shared" si="7"/>
        <v>1332.2033898305085</v>
      </c>
      <c r="N104">
        <v>98</v>
      </c>
      <c r="O104">
        <v>-600000</v>
      </c>
      <c r="P104">
        <v>120000</v>
      </c>
      <c r="Q104">
        <v>60</v>
      </c>
      <c r="R104">
        <v>1</v>
      </c>
      <c r="S104">
        <f t="shared" si="8"/>
        <v>595932.20338983065</v>
      </c>
      <c r="U104">
        <f t="shared" si="9"/>
        <v>58401355.932203405</v>
      </c>
      <c r="V104">
        <f t="shared" si="16"/>
        <v>1225766440.6779664</v>
      </c>
      <c r="Y104">
        <v>98</v>
      </c>
      <c r="Z104">
        <v>10000</v>
      </c>
      <c r="AA104">
        <v>55000</v>
      </c>
      <c r="AB104">
        <v>60</v>
      </c>
      <c r="AC104">
        <v>1</v>
      </c>
      <c r="AD104">
        <f t="shared" si="10"/>
        <v>84745.762711864416</v>
      </c>
      <c r="AF104">
        <f t="shared" si="11"/>
        <v>8305084.7457627123</v>
      </c>
    </row>
    <row r="105" spans="2:32" x14ac:dyDescent="0.3">
      <c r="B105">
        <v>99</v>
      </c>
      <c r="C105">
        <v>-660000</v>
      </c>
      <c r="D105">
        <v>200000</v>
      </c>
      <c r="E105">
        <v>60</v>
      </c>
      <c r="F105">
        <f t="shared" si="12"/>
        <v>783050.84745762707</v>
      </c>
      <c r="H105">
        <v>99</v>
      </c>
      <c r="I105">
        <v>1000</v>
      </c>
      <c r="J105">
        <v>1200</v>
      </c>
      <c r="K105">
        <v>60</v>
      </c>
      <c r="L105">
        <f t="shared" si="7"/>
        <v>1335.593220338983</v>
      </c>
      <c r="N105">
        <v>99</v>
      </c>
      <c r="O105">
        <v>-600000</v>
      </c>
      <c r="P105">
        <v>120000</v>
      </c>
      <c r="Q105">
        <v>60</v>
      </c>
      <c r="R105">
        <v>1</v>
      </c>
      <c r="S105">
        <f t="shared" si="8"/>
        <v>608135.59322033892</v>
      </c>
      <c r="U105">
        <f t="shared" si="9"/>
        <v>60205423.728813551</v>
      </c>
      <c r="V105">
        <f t="shared" si="17"/>
        <v>1285971864.40678</v>
      </c>
      <c r="Y105">
        <v>99</v>
      </c>
      <c r="Z105">
        <v>10000</v>
      </c>
      <c r="AA105">
        <v>55000</v>
      </c>
      <c r="AB105">
        <v>60</v>
      </c>
      <c r="AC105">
        <v>1</v>
      </c>
      <c r="AD105">
        <f t="shared" si="10"/>
        <v>85508.474576271183</v>
      </c>
      <c r="AF105">
        <f t="shared" si="11"/>
        <v>8465338.9830508474</v>
      </c>
    </row>
    <row r="106" spans="2:32" x14ac:dyDescent="0.3">
      <c r="B106">
        <v>100</v>
      </c>
      <c r="C106">
        <v>-660000</v>
      </c>
      <c r="D106">
        <v>200000</v>
      </c>
      <c r="E106">
        <v>60</v>
      </c>
      <c r="F106">
        <f t="shared" si="12"/>
        <v>797627.11864406778</v>
      </c>
      <c r="H106">
        <v>100</v>
      </c>
      <c r="I106">
        <v>1000</v>
      </c>
      <c r="J106">
        <v>1200</v>
      </c>
      <c r="K106">
        <v>60</v>
      </c>
      <c r="L106">
        <f t="shared" si="7"/>
        <v>1338.9830508474577</v>
      </c>
      <c r="M106">
        <v>7300</v>
      </c>
      <c r="N106">
        <v>100</v>
      </c>
      <c r="O106">
        <v>-600000</v>
      </c>
      <c r="P106">
        <v>120000</v>
      </c>
      <c r="Q106">
        <v>60</v>
      </c>
      <c r="R106">
        <v>1</v>
      </c>
      <c r="S106">
        <f t="shared" si="8"/>
        <v>620338.98305084743</v>
      </c>
      <c r="U106">
        <f t="shared" si="9"/>
        <v>62033898.305084743</v>
      </c>
      <c r="V106">
        <f t="shared" si="18"/>
        <v>1348005762.7118647</v>
      </c>
      <c r="Y106">
        <v>100</v>
      </c>
      <c r="Z106">
        <v>10000</v>
      </c>
      <c r="AA106">
        <v>55000</v>
      </c>
      <c r="AB106">
        <v>60</v>
      </c>
      <c r="AC106">
        <v>1</v>
      </c>
      <c r="AD106">
        <f t="shared" si="10"/>
        <v>86271.186440677964</v>
      </c>
      <c r="AF106">
        <f t="shared" si="11"/>
        <v>8627118.6440677959</v>
      </c>
    </row>
    <row r="107" spans="2:32" x14ac:dyDescent="0.3">
      <c r="B107">
        <v>40</v>
      </c>
      <c r="C107">
        <v>3072.4028101962735</v>
      </c>
      <c r="D107">
        <v>3508.2253446625268</v>
      </c>
      <c r="E107">
        <v>60</v>
      </c>
      <c r="F107">
        <f t="shared" si="12"/>
        <v>3367.875714919157</v>
      </c>
      <c r="H107">
        <v>100</v>
      </c>
      <c r="I107">
        <v>-600</v>
      </c>
      <c r="J107">
        <v>1500</v>
      </c>
      <c r="K107">
        <v>60</v>
      </c>
      <c r="L107">
        <f t="shared" si="7"/>
        <v>2959.3220338983051</v>
      </c>
      <c r="N107">
        <v>100</v>
      </c>
      <c r="O107">
        <v>-600000</v>
      </c>
      <c r="P107">
        <v>120000</v>
      </c>
      <c r="Q107">
        <v>60</v>
      </c>
      <c r="R107">
        <v>1</v>
      </c>
      <c r="S107">
        <f t="shared" si="8"/>
        <v>620338.98305084743</v>
      </c>
      <c r="Y107">
        <v>100</v>
      </c>
      <c r="Z107">
        <v>-600000</v>
      </c>
      <c r="AA107">
        <v>120000</v>
      </c>
      <c r="AB107">
        <v>60</v>
      </c>
      <c r="AC107">
        <v>1</v>
      </c>
      <c r="AD107">
        <f t="shared" si="10"/>
        <v>620338.98305084743</v>
      </c>
    </row>
    <row r="108" spans="2:32" x14ac:dyDescent="0.3">
      <c r="B108">
        <v>40</v>
      </c>
      <c r="C108">
        <v>1985</v>
      </c>
      <c r="D108">
        <v>4500</v>
      </c>
      <c r="E108">
        <v>60</v>
      </c>
      <c r="F108">
        <f t="shared" si="12"/>
        <v>3690.0847457627119</v>
      </c>
      <c r="H108">
        <v>60</v>
      </c>
      <c r="I108">
        <v>200</v>
      </c>
      <c r="J108">
        <v>600</v>
      </c>
      <c r="K108">
        <v>60</v>
      </c>
      <c r="L108">
        <f t="shared" si="7"/>
        <v>606.77966101694915</v>
      </c>
      <c r="N108">
        <v>51</v>
      </c>
      <c r="O108">
        <v>-600000</v>
      </c>
      <c r="P108">
        <v>120000</v>
      </c>
      <c r="Q108">
        <v>60</v>
      </c>
      <c r="R108">
        <v>1</v>
      </c>
      <c r="S108">
        <f t="shared" ref="S108" si="23">(O108+(P108-O108)/(Q108-1)*N108)*R108</f>
        <v>22372.881355932215</v>
      </c>
      <c r="Y108">
        <v>51</v>
      </c>
      <c r="Z108">
        <v>-600000</v>
      </c>
      <c r="AA108">
        <v>120000</v>
      </c>
      <c r="AB108">
        <v>60</v>
      </c>
      <c r="AC108">
        <v>1</v>
      </c>
      <c r="AD108">
        <f t="shared" ref="AD108" si="24">(Z108+(AA108-Z108)/(AB108-1)*Y108)*AC108</f>
        <v>22372.881355932215</v>
      </c>
    </row>
    <row r="109" spans="2:32" x14ac:dyDescent="0.3">
      <c r="B109">
        <v>40</v>
      </c>
      <c r="C109">
        <v>1480.8048651498614</v>
      </c>
      <c r="D109">
        <v>5019.3495504995381</v>
      </c>
      <c r="E109">
        <v>60</v>
      </c>
      <c r="F109">
        <f t="shared" si="12"/>
        <v>3879.8182111496426</v>
      </c>
      <c r="H109">
        <v>100</v>
      </c>
      <c r="I109">
        <v>2000</v>
      </c>
      <c r="J109">
        <v>4000</v>
      </c>
      <c r="K109">
        <v>60</v>
      </c>
      <c r="L109">
        <f t="shared" ref="L109" si="25">(I109+(J109-I109)/(K109-1)*H109)</f>
        <v>5389.8305084745771</v>
      </c>
      <c r="M109">
        <f>L106*3</f>
        <v>4016.9491525423728</v>
      </c>
    </row>
    <row r="110" spans="2:32" x14ac:dyDescent="0.3">
      <c r="B110">
        <v>30</v>
      </c>
      <c r="C110">
        <v>265.61398339158382</v>
      </c>
      <c r="D110">
        <v>360.61398339158387</v>
      </c>
      <c r="E110">
        <v>60</v>
      </c>
      <c r="F110">
        <f t="shared" ref="F110:F112" si="26">C110+((D110-C110)/(E110-1))*B110</f>
        <v>313.91906813734658</v>
      </c>
      <c r="M110">
        <f>L106/L109</f>
        <v>0.24842767295597482</v>
      </c>
    </row>
    <row r="111" spans="2:32" x14ac:dyDescent="0.3">
      <c r="B111">
        <v>30</v>
      </c>
      <c r="C111">
        <v>189.28191492822722</v>
      </c>
      <c r="D111">
        <v>468.56382985645445</v>
      </c>
      <c r="E111">
        <v>60</v>
      </c>
      <c r="F111">
        <f t="shared" si="26"/>
        <v>331.28966828156308</v>
      </c>
      <c r="M111">
        <f>L109/L106</f>
        <v>4.0253164556962027</v>
      </c>
    </row>
    <row r="112" spans="2:32" x14ac:dyDescent="0.3">
      <c r="B112">
        <v>30</v>
      </c>
      <c r="C112">
        <v>135.30699169579191</v>
      </c>
      <c r="D112">
        <v>621.22796678316774</v>
      </c>
      <c r="E112">
        <v>60</v>
      </c>
      <c r="F112">
        <f t="shared" si="26"/>
        <v>382.38545360462706</v>
      </c>
    </row>
    <row r="114" spans="6:7" x14ac:dyDescent="0.3">
      <c r="F114" t="s">
        <v>259</v>
      </c>
      <c r="G114">
        <v>393220.33898305101</v>
      </c>
    </row>
    <row r="115" spans="6:7" x14ac:dyDescent="0.3">
      <c r="G115">
        <v>797627.11864406802</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352B4-FCC2-4228-99C9-8C03AC6B458D}">
  <dimension ref="A1:W46"/>
  <sheetViews>
    <sheetView topLeftCell="A4" workbookViewId="0">
      <selection activeCell="E30" sqref="E30"/>
    </sheetView>
  </sheetViews>
  <sheetFormatPr defaultRowHeight="14" x14ac:dyDescent="0.3"/>
  <cols>
    <col min="11" max="11" width="12.33203125" bestFit="1" customWidth="1"/>
    <col min="21" max="21" width="9.08203125" bestFit="1" customWidth="1"/>
  </cols>
  <sheetData>
    <row r="1" spans="1:23" x14ac:dyDescent="0.3">
      <c r="A1" t="s">
        <v>144</v>
      </c>
      <c r="R1" t="s">
        <v>143</v>
      </c>
    </row>
    <row r="2" spans="1:23" x14ac:dyDescent="0.3">
      <c r="B2" t="s">
        <v>109</v>
      </c>
      <c r="S2" t="s">
        <v>145</v>
      </c>
    </row>
    <row r="5" spans="1:23" x14ac:dyDescent="0.3">
      <c r="C5" t="s">
        <v>110</v>
      </c>
      <c r="D5" t="s">
        <v>111</v>
      </c>
      <c r="E5" t="s">
        <v>113</v>
      </c>
      <c r="F5" t="s">
        <v>115</v>
      </c>
      <c r="G5" t="s">
        <v>116</v>
      </c>
      <c r="H5" t="s">
        <v>117</v>
      </c>
      <c r="J5" t="s">
        <v>112</v>
      </c>
      <c r="K5" t="s">
        <v>118</v>
      </c>
      <c r="M5" t="s">
        <v>114</v>
      </c>
      <c r="O5" t="s">
        <v>141</v>
      </c>
      <c r="R5" t="s">
        <v>110</v>
      </c>
      <c r="S5" t="s">
        <v>146</v>
      </c>
      <c r="T5" t="s">
        <v>112</v>
      </c>
      <c r="U5" t="s">
        <v>118</v>
      </c>
      <c r="W5" t="s">
        <v>114</v>
      </c>
    </row>
    <row r="6" spans="1:23" x14ac:dyDescent="0.3">
      <c r="C6">
        <v>30000</v>
      </c>
      <c r="D6">
        <v>20000</v>
      </c>
      <c r="E6">
        <v>0</v>
      </c>
      <c r="F6">
        <f>D6*(1-E6)</f>
        <v>20000</v>
      </c>
      <c r="G6">
        <f>1-(1-(F6/(F6+300)))</f>
        <v>0.98522167487684731</v>
      </c>
      <c r="H6">
        <f>(1-(F6/(F6+300)))</f>
        <v>1.4778325123152691E-2</v>
      </c>
      <c r="J6">
        <v>10000</v>
      </c>
      <c r="K6">
        <f>J6/H6</f>
        <v>676666.66666666744</v>
      </c>
      <c r="M6">
        <f>C6*(1-(F6/(F6+300)))</f>
        <v>443.34975369458073</v>
      </c>
      <c r="O6">
        <f>K6/C6</f>
        <v>22.555555555555582</v>
      </c>
      <c r="R6">
        <v>30000</v>
      </c>
      <c r="S6">
        <v>20</v>
      </c>
      <c r="T6">
        <v>10000</v>
      </c>
      <c r="U6">
        <f>R6/((100-S6)/100)</f>
        <v>37500</v>
      </c>
      <c r="W6">
        <f>R6 * (100-S6)/100</f>
        <v>24000</v>
      </c>
    </row>
    <row r="7" spans="1:23" x14ac:dyDescent="0.3">
      <c r="C7">
        <v>30000</v>
      </c>
      <c r="D7">
        <v>20000</v>
      </c>
      <c r="E7">
        <v>0</v>
      </c>
      <c r="F7">
        <f t="shared" ref="F7:F11" si="0">D7*(1-E7)</f>
        <v>20000</v>
      </c>
      <c r="G7">
        <f t="shared" ref="G7:G12" si="1">1-(1-(F7/(F7+300)))</f>
        <v>0.98522167487684731</v>
      </c>
      <c r="H7">
        <f t="shared" ref="H7:H11" si="2">(1-(F7/(F7+300)))</f>
        <v>1.4778325123152691E-2</v>
      </c>
      <c r="J7">
        <v>10000</v>
      </c>
      <c r="K7">
        <f t="shared" ref="K7:K13" si="3">J7/H7</f>
        <v>676666.66666666744</v>
      </c>
      <c r="M7">
        <f>C7*(1-(F7/(F7+300)))</f>
        <v>443.34975369458073</v>
      </c>
      <c r="O7">
        <f t="shared" ref="O7:O44" si="4">K7/C7</f>
        <v>22.555555555555582</v>
      </c>
      <c r="R7">
        <v>30000</v>
      </c>
      <c r="S7">
        <v>99</v>
      </c>
      <c r="T7">
        <v>10000</v>
      </c>
      <c r="U7">
        <f>R7/((100-S7)/100)</f>
        <v>3000000</v>
      </c>
      <c r="W7">
        <f>R7 * (100-S7)/100</f>
        <v>300</v>
      </c>
    </row>
    <row r="8" spans="1:23" x14ac:dyDescent="0.3">
      <c r="C8">
        <v>30000</v>
      </c>
      <c r="D8">
        <v>8000</v>
      </c>
      <c r="E8">
        <v>0</v>
      </c>
      <c r="F8">
        <f t="shared" si="0"/>
        <v>8000</v>
      </c>
      <c r="G8">
        <f t="shared" si="1"/>
        <v>0.96385542168674698</v>
      </c>
      <c r="H8">
        <f t="shared" si="2"/>
        <v>3.6144578313253017E-2</v>
      </c>
      <c r="J8">
        <v>10000</v>
      </c>
      <c r="K8">
        <f t="shared" si="3"/>
        <v>276666.66666666663</v>
      </c>
      <c r="M8">
        <f>C8*(1-(F8/(F8+300)))</f>
        <v>1084.3373493975905</v>
      </c>
      <c r="O8">
        <f t="shared" si="4"/>
        <v>9.2222222222222214</v>
      </c>
      <c r="R8">
        <v>1000</v>
      </c>
      <c r="S8">
        <v>67</v>
      </c>
      <c r="T8">
        <v>10000</v>
      </c>
      <c r="U8">
        <f>R8/((100-S8)/100)</f>
        <v>3030.30303030303</v>
      </c>
      <c r="W8">
        <f>R8 * (100-S8)/100</f>
        <v>330</v>
      </c>
    </row>
    <row r="9" spans="1:23" x14ac:dyDescent="0.3">
      <c r="C9">
        <v>30000</v>
      </c>
      <c r="D9">
        <v>2000</v>
      </c>
      <c r="E9">
        <v>0</v>
      </c>
      <c r="F9">
        <f t="shared" si="0"/>
        <v>2000</v>
      </c>
      <c r="G9">
        <f t="shared" si="1"/>
        <v>0.86956521739130432</v>
      </c>
      <c r="H9">
        <f t="shared" si="2"/>
        <v>0.13043478260869568</v>
      </c>
      <c r="J9">
        <v>10000</v>
      </c>
      <c r="K9">
        <f>J9/H9</f>
        <v>76666.666666666657</v>
      </c>
      <c r="M9">
        <f>C9*(1-(F9/(F9+300)))</f>
        <v>3913.0434782608704</v>
      </c>
      <c r="O9">
        <f t="shared" si="4"/>
        <v>2.5555555555555554</v>
      </c>
    </row>
    <row r="10" spans="1:23" x14ac:dyDescent="0.3">
      <c r="E10">
        <v>0</v>
      </c>
      <c r="F10">
        <f t="shared" si="0"/>
        <v>0</v>
      </c>
      <c r="G10">
        <f t="shared" si="1"/>
        <v>0</v>
      </c>
      <c r="H10">
        <f t="shared" si="2"/>
        <v>1</v>
      </c>
      <c r="J10">
        <v>10000</v>
      </c>
      <c r="K10">
        <f t="shared" si="3"/>
        <v>10000</v>
      </c>
      <c r="M10">
        <f t="shared" ref="M10:M12" si="5">C10*(1-(F10/(F10+300)))</f>
        <v>0</v>
      </c>
    </row>
    <row r="11" spans="1:23" x14ac:dyDescent="0.3">
      <c r="C11">
        <v>25000</v>
      </c>
      <c r="D11">
        <v>2960</v>
      </c>
      <c r="E11">
        <v>0</v>
      </c>
      <c r="F11">
        <f t="shared" si="0"/>
        <v>2960</v>
      </c>
      <c r="G11">
        <f t="shared" si="1"/>
        <v>0.90797546012269936</v>
      </c>
      <c r="H11">
        <f t="shared" si="2"/>
        <v>9.2024539877300637E-2</v>
      </c>
      <c r="J11">
        <v>1200000</v>
      </c>
      <c r="K11">
        <f t="shared" si="3"/>
        <v>13039999.999999996</v>
      </c>
      <c r="M11">
        <f t="shared" si="5"/>
        <v>2300.6134969325158</v>
      </c>
      <c r="O11">
        <f t="shared" si="4"/>
        <v>521.5999999999998</v>
      </c>
    </row>
    <row r="12" spans="1:23" x14ac:dyDescent="0.3">
      <c r="C12">
        <v>1000</v>
      </c>
      <c r="D12">
        <v>1280</v>
      </c>
      <c r="E12">
        <v>0</v>
      </c>
      <c r="F12">
        <f t="shared" ref="F12" si="6">D12*(1-E12)</f>
        <v>1280</v>
      </c>
      <c r="G12">
        <f t="shared" si="1"/>
        <v>0.810126582278481</v>
      </c>
      <c r="H12">
        <f t="shared" ref="H12" si="7">(1-(F12/(F12+300)))</f>
        <v>0.189873417721519</v>
      </c>
      <c r="J12">
        <v>3600000</v>
      </c>
      <c r="K12">
        <f t="shared" si="3"/>
        <v>18960000</v>
      </c>
      <c r="M12">
        <f t="shared" si="5"/>
        <v>189.87341772151899</v>
      </c>
      <c r="O12">
        <f t="shared" si="4"/>
        <v>18960</v>
      </c>
    </row>
    <row r="13" spans="1:23" x14ac:dyDescent="0.3">
      <c r="C13">
        <v>1000</v>
      </c>
      <c r="D13">
        <v>400</v>
      </c>
      <c r="E13">
        <v>0</v>
      </c>
      <c r="F13">
        <f t="shared" ref="F13:F14" si="8">D13*(1-E13)</f>
        <v>400</v>
      </c>
      <c r="G13">
        <f t="shared" ref="G13:G14" si="9">1-(1-(F13/(F13+300)))</f>
        <v>0.5714285714285714</v>
      </c>
      <c r="H13">
        <f t="shared" ref="H13:H14" si="10">(1-(F13/(F13+300)))</f>
        <v>0.4285714285714286</v>
      </c>
      <c r="J13">
        <v>1400000</v>
      </c>
      <c r="K13">
        <f t="shared" si="3"/>
        <v>3266666.6666666665</v>
      </c>
      <c r="M13">
        <f t="shared" ref="M13:M14" si="11">C13*(1-(F13/(F13+300)))</f>
        <v>428.57142857142861</v>
      </c>
      <c r="O13">
        <f t="shared" si="4"/>
        <v>3266.6666666666665</v>
      </c>
    </row>
    <row r="14" spans="1:23" x14ac:dyDescent="0.3">
      <c r="C14">
        <v>1000</v>
      </c>
      <c r="D14">
        <v>6700</v>
      </c>
      <c r="E14">
        <v>0</v>
      </c>
      <c r="F14">
        <f t="shared" si="8"/>
        <v>6700</v>
      </c>
      <c r="G14">
        <f t="shared" si="9"/>
        <v>0.95714285714285718</v>
      </c>
      <c r="H14">
        <f t="shared" si="10"/>
        <v>4.2857142857142816E-2</v>
      </c>
      <c r="J14">
        <v>1000</v>
      </c>
      <c r="K14">
        <f>J14/H14</f>
        <v>23333.333333333358</v>
      </c>
      <c r="M14">
        <f t="shared" si="11"/>
        <v>42.857142857142819</v>
      </c>
      <c r="O14">
        <f t="shared" si="4"/>
        <v>23.333333333333357</v>
      </c>
    </row>
    <row r="17" spans="3:19" x14ac:dyDescent="0.3">
      <c r="C17">
        <v>1000</v>
      </c>
      <c r="D17">
        <v>1000</v>
      </c>
      <c r="E17">
        <v>0</v>
      </c>
      <c r="F17">
        <v>2960</v>
      </c>
      <c r="G17">
        <f>1-(1-(F17/(F17+300)))</f>
        <v>0.90797546012269936</v>
      </c>
      <c r="H17">
        <f>(1-(F17/(F17+300)))</f>
        <v>9.2024539877300637E-2</v>
      </c>
      <c r="J17">
        <f xml:space="preserve"> 393220 *2.5</f>
        <v>983050</v>
      </c>
      <c r="K17">
        <f>J17/H17</f>
        <v>10682476.666666664</v>
      </c>
      <c r="M17">
        <f t="shared" ref="M17:M22" si="12">C17*(1-(F17/(F17+300)))</f>
        <v>92.02453987730064</v>
      </c>
      <c r="O17">
        <f t="shared" si="4"/>
        <v>10682.476666666664</v>
      </c>
    </row>
    <row r="18" spans="3:19" x14ac:dyDescent="0.3">
      <c r="C18">
        <v>1000</v>
      </c>
      <c r="D18">
        <f>1000+2500*0.8</f>
        <v>3000</v>
      </c>
      <c r="E18">
        <v>0</v>
      </c>
      <c r="F18">
        <v>1338</v>
      </c>
      <c r="G18">
        <f t="shared" ref="G18:G22" si="13">1-(1-(F18/(F18+300)))</f>
        <v>0.81684981684981683</v>
      </c>
      <c r="H18">
        <f t="shared" ref="H18:H20" si="14">(1-(F18/(F18+300)))</f>
        <v>0.18315018315018317</v>
      </c>
      <c r="J18">
        <f xml:space="preserve"> 797627 * 2.5</f>
        <v>1994067.5</v>
      </c>
      <c r="K18">
        <f t="shared" ref="K18:K20" si="15">J18/H18</f>
        <v>10887608.549999999</v>
      </c>
      <c r="L18">
        <f>K18-K17</f>
        <v>205131.8833333347</v>
      </c>
      <c r="M18">
        <f t="shared" si="12"/>
        <v>183.15018315018315</v>
      </c>
      <c r="O18">
        <f t="shared" si="4"/>
        <v>10887.608549999999</v>
      </c>
    </row>
    <row r="19" spans="3:19" x14ac:dyDescent="0.3">
      <c r="C19">
        <v>1000</v>
      </c>
      <c r="D19">
        <v>1000</v>
      </c>
      <c r="E19">
        <v>0</v>
      </c>
      <c r="F19">
        <f t="shared" ref="F19:F20" si="16">D19*(1-E19)</f>
        <v>1000</v>
      </c>
      <c r="G19">
        <f t="shared" si="13"/>
        <v>0.76923076923076927</v>
      </c>
      <c r="H19">
        <f t="shared" si="14"/>
        <v>0.23076923076923073</v>
      </c>
      <c r="J19">
        <v>4500</v>
      </c>
      <c r="K19">
        <f t="shared" si="15"/>
        <v>19500.000000000004</v>
      </c>
      <c r="L19">
        <f>K19-K17</f>
        <v>-10662976.666666664</v>
      </c>
      <c r="M19">
        <f t="shared" si="12"/>
        <v>230.76923076923072</v>
      </c>
      <c r="O19">
        <f t="shared" si="4"/>
        <v>19.500000000000004</v>
      </c>
    </row>
    <row r="20" spans="3:19" x14ac:dyDescent="0.3">
      <c r="C20">
        <v>1000</v>
      </c>
      <c r="D20">
        <v>500</v>
      </c>
      <c r="E20">
        <v>0</v>
      </c>
      <c r="F20">
        <f t="shared" si="16"/>
        <v>500</v>
      </c>
      <c r="G20">
        <f t="shared" si="13"/>
        <v>0.625</v>
      </c>
      <c r="H20">
        <f t="shared" si="14"/>
        <v>0.375</v>
      </c>
      <c r="J20">
        <v>1000</v>
      </c>
      <c r="K20">
        <f t="shared" si="15"/>
        <v>2666.6666666666665</v>
      </c>
      <c r="M20">
        <f t="shared" si="12"/>
        <v>375</v>
      </c>
      <c r="O20">
        <f t="shared" si="4"/>
        <v>2.6666666666666665</v>
      </c>
    </row>
    <row r="21" spans="3:19" x14ac:dyDescent="0.3">
      <c r="C21">
        <v>1000</v>
      </c>
      <c r="D21">
        <f>500+2500*0.8</f>
        <v>2500</v>
      </c>
      <c r="E21">
        <v>0</v>
      </c>
      <c r="F21">
        <f t="shared" ref="F21:F22" si="17">D21*(1-E21)</f>
        <v>2500</v>
      </c>
      <c r="G21">
        <f t="shared" si="13"/>
        <v>0.8928571428571429</v>
      </c>
      <c r="H21">
        <f t="shared" ref="H21:H22" si="18">(1-(F21/(F21+300)))</f>
        <v>0.1071428571428571</v>
      </c>
      <c r="J21">
        <v>1000</v>
      </c>
      <c r="K21">
        <f t="shared" ref="K21:K22" si="19">J21/H21</f>
        <v>9333.3333333333376</v>
      </c>
      <c r="L21">
        <f>K21-K20</f>
        <v>6666.6666666666715</v>
      </c>
      <c r="M21">
        <f t="shared" si="12"/>
        <v>107.1428571428571</v>
      </c>
      <c r="O21">
        <f t="shared" si="4"/>
        <v>9.3333333333333375</v>
      </c>
    </row>
    <row r="22" spans="3:19" x14ac:dyDescent="0.3">
      <c r="C22">
        <v>1000</v>
      </c>
      <c r="D22">
        <v>500</v>
      </c>
      <c r="E22">
        <v>0</v>
      </c>
      <c r="F22">
        <f t="shared" si="17"/>
        <v>500</v>
      </c>
      <c r="G22">
        <f t="shared" si="13"/>
        <v>0.625</v>
      </c>
      <c r="H22">
        <f t="shared" si="18"/>
        <v>0.375</v>
      </c>
      <c r="J22">
        <v>3500</v>
      </c>
      <c r="K22">
        <f t="shared" si="19"/>
        <v>9333.3333333333339</v>
      </c>
      <c r="L22">
        <f>K22-K20</f>
        <v>6666.6666666666679</v>
      </c>
      <c r="M22">
        <f t="shared" si="12"/>
        <v>375</v>
      </c>
      <c r="O22">
        <f t="shared" si="4"/>
        <v>9.3333333333333339</v>
      </c>
    </row>
    <row r="23" spans="3:19" x14ac:dyDescent="0.3">
      <c r="C23">
        <v>1000000</v>
      </c>
      <c r="D23">
        <v>20000</v>
      </c>
      <c r="E23">
        <v>0</v>
      </c>
      <c r="F23">
        <f t="shared" ref="F23" si="20">D23*(1-E23)</f>
        <v>20000</v>
      </c>
      <c r="G23">
        <f t="shared" ref="G23" si="21">1-(1-(F23/(F23+300)))</f>
        <v>0.98522167487684731</v>
      </c>
      <c r="H23">
        <f t="shared" ref="H23" si="22">(1-(F23/(F23+300)))</f>
        <v>1.4778325123152691E-2</v>
      </c>
      <c r="J23">
        <v>10000</v>
      </c>
      <c r="K23">
        <f t="shared" ref="K23" si="23">J23/H23</f>
        <v>676666.66666666744</v>
      </c>
      <c r="M23">
        <f t="shared" ref="M23" si="24">C23*(1-(F23/(F23+300)))</f>
        <v>14778.325123152692</v>
      </c>
      <c r="O23">
        <f t="shared" si="4"/>
        <v>0.67666666666666742</v>
      </c>
    </row>
    <row r="25" spans="3:19" x14ac:dyDescent="0.3">
      <c r="C25">
        <v>38000</v>
      </c>
      <c r="D25">
        <v>8000</v>
      </c>
      <c r="E25">
        <v>0</v>
      </c>
      <c r="F25">
        <f t="shared" ref="F25:F26" si="25">D25*(1-E25)</f>
        <v>8000</v>
      </c>
      <c r="G25">
        <f t="shared" ref="G25:G26" si="26">1-(1-(F25/(F25+300)))</f>
        <v>0.96385542168674698</v>
      </c>
      <c r="H25">
        <f t="shared" ref="H25:H26" si="27">(1-(F25/(F25+300)))</f>
        <v>3.6144578313253017E-2</v>
      </c>
      <c r="J25">
        <v>10000</v>
      </c>
      <c r="K25">
        <f t="shared" ref="K25:K26" si="28">J25/H25</f>
        <v>276666.66666666663</v>
      </c>
      <c r="M25">
        <f>C25*(1-(F25/(F25+300)))</f>
        <v>1373.4939759036147</v>
      </c>
      <c r="O25">
        <f t="shared" si="4"/>
        <v>7.280701754385964</v>
      </c>
    </row>
    <row r="26" spans="3:19" x14ac:dyDescent="0.3">
      <c r="C26">
        <v>24000</v>
      </c>
      <c r="D26">
        <v>8000</v>
      </c>
      <c r="E26">
        <v>0</v>
      </c>
      <c r="F26">
        <f t="shared" si="25"/>
        <v>8000</v>
      </c>
      <c r="G26">
        <f t="shared" si="26"/>
        <v>0.96385542168674698</v>
      </c>
      <c r="H26">
        <f t="shared" si="27"/>
        <v>3.6144578313253017E-2</v>
      </c>
      <c r="J26">
        <v>10000</v>
      </c>
      <c r="K26">
        <f t="shared" si="28"/>
        <v>276666.66666666663</v>
      </c>
      <c r="M26">
        <f>C26*(1-(F26/(F26+300)))</f>
        <v>867.46987951807239</v>
      </c>
      <c r="N26">
        <f>M25-M26</f>
        <v>506.02409638554229</v>
      </c>
      <c r="O26">
        <f t="shared" si="4"/>
        <v>11.527777777777777</v>
      </c>
    </row>
    <row r="27" spans="3:19" x14ac:dyDescent="0.3">
      <c r="C27">
        <v>50000</v>
      </c>
      <c r="D27">
        <v>20000</v>
      </c>
      <c r="E27">
        <v>0</v>
      </c>
      <c r="F27">
        <f t="shared" ref="F27" si="29">D27*(1-E27)</f>
        <v>20000</v>
      </c>
      <c r="G27">
        <f t="shared" ref="G27" si="30">1-(1-(F27/(F27+300)))</f>
        <v>0.98522167487684731</v>
      </c>
      <c r="H27">
        <f t="shared" ref="H27" si="31">(1-(F27/(F27+300)))</f>
        <v>1.4778325123152691E-2</v>
      </c>
      <c r="J27">
        <v>10000</v>
      </c>
      <c r="K27">
        <f t="shared" ref="K27" si="32">J27/H27</f>
        <v>676666.66666666744</v>
      </c>
      <c r="M27">
        <f>C27*(1-(F27/(F27+300)))</f>
        <v>738.91625615763462</v>
      </c>
      <c r="O27">
        <f t="shared" si="4"/>
        <v>13.533333333333349</v>
      </c>
    </row>
    <row r="28" spans="3:19" x14ac:dyDescent="0.3">
      <c r="C28">
        <v>30000</v>
      </c>
      <c r="D28">
        <v>20000</v>
      </c>
      <c r="E28">
        <v>0</v>
      </c>
      <c r="F28">
        <f>D28*(1-E28)</f>
        <v>20000</v>
      </c>
      <c r="G28">
        <f>1-(1-(F28/(F28+300)))</f>
        <v>0.98522167487684731</v>
      </c>
      <c r="H28">
        <f>(1-(F28/(F28+300)))</f>
        <v>1.4778325123152691E-2</v>
      </c>
      <c r="J28">
        <v>10000</v>
      </c>
      <c r="K28">
        <f>J28/H28</f>
        <v>676666.66666666744</v>
      </c>
      <c r="M28">
        <f>C28*(1-(F28/(F28+300)))</f>
        <v>443.34975369458073</v>
      </c>
      <c r="N28">
        <f>M27-M28</f>
        <v>295.56650246305389</v>
      </c>
      <c r="O28">
        <f t="shared" si="4"/>
        <v>22.555555555555582</v>
      </c>
    </row>
    <row r="29" spans="3:19" x14ac:dyDescent="0.3">
      <c r="C29">
        <f>21000+5*D29</f>
        <v>23650</v>
      </c>
      <c r="D29">
        <v>530</v>
      </c>
      <c r="E29">
        <v>0</v>
      </c>
      <c r="F29">
        <f>D29*(1-E29)</f>
        <v>530</v>
      </c>
      <c r="G29">
        <f>1-(1-(F29/(F29+300)))</f>
        <v>0.63855421686746983</v>
      </c>
      <c r="H29">
        <f>(1-(F29/(F29+300)))</f>
        <v>0.36144578313253017</v>
      </c>
      <c r="J29">
        <v>80000</v>
      </c>
      <c r="K29">
        <f>J29/H29</f>
        <v>221333.33333333331</v>
      </c>
      <c r="M29">
        <f>C29*(1-(F29/(F29+300)))</f>
        <v>8548.1927710843393</v>
      </c>
      <c r="N29">
        <f>M28-M29</f>
        <v>-8104.8430173897586</v>
      </c>
      <c r="O29">
        <f t="shared" si="4"/>
        <v>9.3587033121916843</v>
      </c>
      <c r="S29">
        <f>1300/18000</f>
        <v>7.2222222222222215E-2</v>
      </c>
    </row>
    <row r="30" spans="3:19" x14ac:dyDescent="0.3">
      <c r="S30">
        <f>18000/30</f>
        <v>600</v>
      </c>
    </row>
    <row r="31" spans="3:19" x14ac:dyDescent="0.3">
      <c r="C31">
        <f>25000+3.5*D31*0.9</f>
        <v>30670</v>
      </c>
      <c r="D31">
        <v>1800</v>
      </c>
      <c r="E31">
        <v>0</v>
      </c>
      <c r="F31">
        <f>D31*(1-E31)</f>
        <v>1800</v>
      </c>
      <c r="G31">
        <f>1-(1-(F31/(F31+300)))</f>
        <v>0.8571428571428571</v>
      </c>
      <c r="H31">
        <f>(1-(F31/(F31+300)))</f>
        <v>0.1428571428571429</v>
      </c>
      <c r="J31">
        <v>40000</v>
      </c>
      <c r="K31">
        <f>J31/H31</f>
        <v>279999.99999999988</v>
      </c>
      <c r="M31">
        <f>C31*(1-(F31/(F31+300)))</f>
        <v>4381.4285714285725</v>
      </c>
      <c r="O31">
        <f t="shared" si="4"/>
        <v>9.1294424519073978</v>
      </c>
    </row>
    <row r="32" spans="3:19" x14ac:dyDescent="0.3">
      <c r="C32">
        <f>25000+3.5*D32*0.9</f>
        <v>25866.25</v>
      </c>
      <c r="D32">
        <v>275</v>
      </c>
      <c r="E32">
        <v>0</v>
      </c>
      <c r="F32">
        <f>D32*(1-E32)</f>
        <v>275</v>
      </c>
      <c r="G32">
        <f>1-(1-(F32/(F32+300)))</f>
        <v>0.47826086956521741</v>
      </c>
      <c r="H32">
        <f>(1-(F32/(F32+300)))</f>
        <v>0.52173913043478259</v>
      </c>
      <c r="J32">
        <v>180000</v>
      </c>
      <c r="K32">
        <f>J32/H32</f>
        <v>345000</v>
      </c>
      <c r="M32">
        <f>C32*(1-(F32/(F32+300)))</f>
        <v>13495.434782608696</v>
      </c>
      <c r="O32">
        <f t="shared" si="4"/>
        <v>13.337843715266033</v>
      </c>
    </row>
    <row r="35" spans="3:15" x14ac:dyDescent="0.3">
      <c r="C35">
        <f>100+3*D35</f>
        <v>700</v>
      </c>
      <c r="D35">
        <v>200</v>
      </c>
      <c r="E35">
        <v>0</v>
      </c>
      <c r="F35">
        <f>D35*(1-E35)</f>
        <v>200</v>
      </c>
      <c r="G35">
        <f>1-(1-(F35/(F35+300)))</f>
        <v>0.4</v>
      </c>
      <c r="H35">
        <f>(1-(F35/(F35+300)))</f>
        <v>0.6</v>
      </c>
      <c r="J35">
        <v>10000</v>
      </c>
      <c r="K35">
        <f>J35/H35</f>
        <v>16666.666666666668</v>
      </c>
      <c r="M35">
        <f>C35*(1-(F35/(F35+300)))</f>
        <v>420</v>
      </c>
      <c r="O35">
        <f t="shared" si="4"/>
        <v>23.80952380952381</v>
      </c>
    </row>
    <row r="39" spans="3:15" x14ac:dyDescent="0.3">
      <c r="C39">
        <v>500</v>
      </c>
      <c r="D39">
        <v>1500</v>
      </c>
      <c r="E39">
        <v>0</v>
      </c>
      <c r="F39">
        <f t="shared" ref="F39" si="33">D39*(1-E39)</f>
        <v>1500</v>
      </c>
      <c r="G39">
        <f t="shared" ref="G39" si="34">1-(1-(F39/(F39+300)))</f>
        <v>0.83333333333333337</v>
      </c>
      <c r="H39">
        <f t="shared" ref="H39" si="35">(1-(F39/(F39+300)))</f>
        <v>0.16666666666666663</v>
      </c>
      <c r="J39">
        <v>10000</v>
      </c>
      <c r="K39">
        <f t="shared" ref="K39" si="36">J39/H39</f>
        <v>60000.000000000015</v>
      </c>
      <c r="M39">
        <f>C39*(1-(F39/(F39+300)))</f>
        <v>83.333333333333314</v>
      </c>
      <c r="N39">
        <f>5*M39</f>
        <v>416.66666666666657</v>
      </c>
      <c r="O39">
        <f t="shared" si="4"/>
        <v>120.00000000000003</v>
      </c>
    </row>
    <row r="40" spans="3:15" x14ac:dyDescent="0.3">
      <c r="C40">
        <v>2500</v>
      </c>
      <c r="D40">
        <v>1500</v>
      </c>
      <c r="E40">
        <v>0</v>
      </c>
      <c r="F40">
        <f t="shared" ref="F40" si="37">D40*(1-E40)</f>
        <v>1500</v>
      </c>
      <c r="G40">
        <f t="shared" ref="G40" si="38">1-(1-(F40/(F40+300)))</f>
        <v>0.83333333333333337</v>
      </c>
      <c r="H40">
        <f t="shared" ref="H40" si="39">(1-(F40/(F40+300)))</f>
        <v>0.16666666666666663</v>
      </c>
      <c r="J40">
        <v>10000</v>
      </c>
      <c r="K40">
        <f t="shared" ref="K40" si="40">J40/H40</f>
        <v>60000.000000000015</v>
      </c>
      <c r="M40">
        <f>C40*(1-(F40/(F40+300)))</f>
        <v>416.66666666666657</v>
      </c>
      <c r="O40">
        <f t="shared" si="4"/>
        <v>24.000000000000007</v>
      </c>
    </row>
    <row r="43" spans="3:15" x14ac:dyDescent="0.3">
      <c r="C43">
        <v>30000</v>
      </c>
      <c r="D43">
        <v>40000</v>
      </c>
      <c r="E43">
        <v>0</v>
      </c>
      <c r="F43">
        <f>D43*(1-E43)</f>
        <v>40000</v>
      </c>
      <c r="G43">
        <f>1-(1-(F43/(F43+300)))</f>
        <v>0.99255583126550873</v>
      </c>
      <c r="H43">
        <f>(1-(F43/(F43+300)))</f>
        <v>7.4441687344912744E-3</v>
      </c>
      <c r="J43">
        <v>10000</v>
      </c>
      <c r="K43">
        <f>J43/H43</f>
        <v>1343333.3333333407</v>
      </c>
      <c r="M43">
        <f>C43*(1-(F43/(F43+300)))</f>
        <v>223.32506203473824</v>
      </c>
      <c r="N43">
        <f>M42-M43</f>
        <v>-223.32506203473824</v>
      </c>
      <c r="O43">
        <f t="shared" si="4"/>
        <v>44.77777777777802</v>
      </c>
    </row>
    <row r="44" spans="3:15" x14ac:dyDescent="0.3">
      <c r="C44">
        <v>30000</v>
      </c>
      <c r="D44">
        <v>40000</v>
      </c>
      <c r="E44">
        <v>0</v>
      </c>
      <c r="F44">
        <f>D44*(1-E44)</f>
        <v>40000</v>
      </c>
      <c r="G44">
        <f>1-(1-(F44/(F44+300)))</f>
        <v>0.99255583126550873</v>
      </c>
      <c r="H44">
        <f>(1-(F44/(F44+300)))</f>
        <v>7.4441687344912744E-3</v>
      </c>
      <c r="J44">
        <v>6000</v>
      </c>
      <c r="K44">
        <f>J44/H44</f>
        <v>806000.00000000442</v>
      </c>
      <c r="M44">
        <f>C44*(1-(F44/(F44+300)))</f>
        <v>223.32506203473824</v>
      </c>
      <c r="N44">
        <f>M43-M44</f>
        <v>0</v>
      </c>
      <c r="O44">
        <f t="shared" si="4"/>
        <v>26.866666666666813</v>
      </c>
    </row>
    <row r="46" spans="3:15" x14ac:dyDescent="0.3">
      <c r="K46">
        <f>K43+K44*300</f>
        <v>243143333.33333468</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794B-1561-478F-8317-69AF6D6FD6BA}">
  <dimension ref="B2:V109"/>
  <sheetViews>
    <sheetView topLeftCell="B1" workbookViewId="0">
      <selection activeCell="N19" sqref="N19"/>
    </sheetView>
  </sheetViews>
  <sheetFormatPr defaultRowHeight="14" x14ac:dyDescent="0.3"/>
  <cols>
    <col min="8" max="8" width="9.4140625" customWidth="1"/>
    <col min="9" max="9" width="9.25" customWidth="1"/>
    <col min="10" max="10" width="8" customWidth="1"/>
    <col min="11" max="11" width="10.5" customWidth="1"/>
    <col min="12" max="12" width="11.83203125" customWidth="1"/>
    <col min="13" max="13" width="8.33203125" customWidth="1"/>
    <col min="14" max="14" width="11.25" customWidth="1"/>
    <col min="15" max="15" width="8.4140625" customWidth="1"/>
    <col min="16" max="16" width="9.83203125" customWidth="1"/>
    <col min="17" max="17" width="7.75" customWidth="1"/>
    <col min="18" max="18" width="11.58203125" customWidth="1"/>
    <col min="19" max="19" width="9.08203125" customWidth="1"/>
    <col min="20" max="20" width="11.5" customWidth="1"/>
    <col min="21" max="21" width="11.58203125" customWidth="1"/>
    <col min="22" max="22" width="15" customWidth="1"/>
  </cols>
  <sheetData>
    <row r="2" spans="2:22" x14ac:dyDescent="0.3">
      <c r="B2" t="s">
        <v>125</v>
      </c>
      <c r="I2" t="s">
        <v>379</v>
      </c>
    </row>
    <row r="3" spans="2:22" x14ac:dyDescent="0.3">
      <c r="C3" t="s">
        <v>122</v>
      </c>
      <c r="D3" t="s">
        <v>123</v>
      </c>
      <c r="E3" t="s">
        <v>124</v>
      </c>
      <c r="J3" t="s">
        <v>380</v>
      </c>
      <c r="K3" t="s">
        <v>381</v>
      </c>
      <c r="L3" t="s">
        <v>382</v>
      </c>
      <c r="M3" t="s">
        <v>386</v>
      </c>
      <c r="N3" t="s">
        <v>387</v>
      </c>
      <c r="O3" t="s">
        <v>385</v>
      </c>
      <c r="P3" t="s">
        <v>388</v>
      </c>
      <c r="Q3" t="s">
        <v>383</v>
      </c>
      <c r="R3" t="s">
        <v>391</v>
      </c>
      <c r="S3" t="s">
        <v>392</v>
      </c>
      <c r="T3" t="s">
        <v>384</v>
      </c>
      <c r="U3" t="s">
        <v>389</v>
      </c>
      <c r="V3" t="s">
        <v>390</v>
      </c>
    </row>
    <row r="4" spans="2:22" x14ac:dyDescent="0.3">
      <c r="C4">
        <v>10</v>
      </c>
      <c r="D4">
        <f>C4*120</f>
        <v>1200</v>
      </c>
      <c r="J4">
        <v>1</v>
      </c>
      <c r="K4">
        <f xml:space="preserve"> (J4- 1) * (J4 - 1) * (J4 - 1) + 1</f>
        <v>1</v>
      </c>
      <c r="L4">
        <f>_xlfn.FLOOR.MATH(0.5*(J4-1)*(J4-1)*(J4-1)+1)</f>
        <v>1</v>
      </c>
      <c r="M4">
        <v>0</v>
      </c>
      <c r="N4">
        <v>0</v>
      </c>
      <c r="O4" s="41">
        <f>0.25*(1+(J4-1)^4.2/216)-1</f>
        <v>-0.75</v>
      </c>
      <c r="P4" s="41">
        <f>0.25+0.25*(1+(J4-1)^4.2/216)-0.7</f>
        <v>-0.19999999999999996</v>
      </c>
      <c r="Q4" s="41"/>
      <c r="R4">
        <f>J4*100+700</f>
        <v>800</v>
      </c>
      <c r="S4">
        <f>M4*R4</f>
        <v>0</v>
      </c>
      <c r="T4" s="41"/>
    </row>
    <row r="5" spans="2:22" x14ac:dyDescent="0.3">
      <c r="D5">
        <f>C4*C4*10</f>
        <v>1000</v>
      </c>
      <c r="E5">
        <f>D5+100000/100</f>
        <v>2000</v>
      </c>
      <c r="J5">
        <v>2</v>
      </c>
      <c r="K5">
        <f t="shared" ref="K5:K15" si="0" xml:space="preserve"> (J5- 1) * (J5 - 1) * (J5 - 1) + 1</f>
        <v>2</v>
      </c>
      <c r="L5">
        <f t="shared" ref="L5:L15" si="1">_xlfn.FLOOR.MATH(0.5*(J5-1)*(J5-1)*(J5-1)+1)</f>
        <v>1</v>
      </c>
      <c r="M5">
        <f>SUM(K4:K4)</f>
        <v>1</v>
      </c>
      <c r="N5">
        <f>SUM(L4:L4)</f>
        <v>1</v>
      </c>
      <c r="O5" s="41">
        <f t="shared" ref="O5:O16" si="2">0.25*(1+(J5-1)^4.2/216)-1</f>
        <v>-0.74884259259259256</v>
      </c>
      <c r="P5" s="41">
        <f t="shared" ref="P5:P16" si="3">0.25+0.25*(1+(J5-1)^4.2/216)-0.7</f>
        <v>-0.19884259259259252</v>
      </c>
      <c r="Q5" s="41">
        <f t="shared" ref="Q5:Q16" si="4">O5/M5</f>
        <v>-0.74884259259259256</v>
      </c>
      <c r="R5">
        <f t="shared" ref="R5:R16" si="5">J5*100+700</f>
        <v>900</v>
      </c>
      <c r="S5">
        <f t="shared" ref="S5:S16" si="6">M5*R5</f>
        <v>900</v>
      </c>
      <c r="T5" s="41">
        <f>O5/N5</f>
        <v>-0.74884259259259256</v>
      </c>
      <c r="U5" s="41">
        <f>P5/M5</f>
        <v>-0.19884259259259252</v>
      </c>
      <c r="V5" s="41">
        <f>P5/N5</f>
        <v>-0.19884259259259252</v>
      </c>
    </row>
    <row r="6" spans="2:22" x14ac:dyDescent="0.3">
      <c r="J6">
        <v>3</v>
      </c>
      <c r="K6">
        <f t="shared" si="0"/>
        <v>9</v>
      </c>
      <c r="L6">
        <f t="shared" si="1"/>
        <v>5</v>
      </c>
      <c r="M6">
        <f>SUM(K4:K5)</f>
        <v>3</v>
      </c>
      <c r="N6">
        <f>SUM(L4:L5)</f>
        <v>2</v>
      </c>
      <c r="O6" s="41">
        <f t="shared" si="2"/>
        <v>-0.72872780824079564</v>
      </c>
      <c r="P6" s="41">
        <f t="shared" si="3"/>
        <v>-0.17872780824079559</v>
      </c>
      <c r="Q6" s="41">
        <f t="shared" si="4"/>
        <v>-0.24290926941359856</v>
      </c>
      <c r="R6">
        <f t="shared" si="5"/>
        <v>1000</v>
      </c>
      <c r="S6">
        <f t="shared" si="6"/>
        <v>3000</v>
      </c>
      <c r="T6" s="41">
        <f t="shared" ref="T6:T16" si="7">O6/N6</f>
        <v>-0.36436390412039782</v>
      </c>
      <c r="U6" s="41">
        <f t="shared" ref="U6:U16" si="8">P6/M6</f>
        <v>-5.95759360802652E-2</v>
      </c>
      <c r="V6" s="41">
        <f t="shared" ref="V6:V15" si="9">P6/N6</f>
        <v>-8.9363904120397797E-2</v>
      </c>
    </row>
    <row r="7" spans="2:22" x14ac:dyDescent="0.3">
      <c r="J7">
        <v>4</v>
      </c>
      <c r="K7">
        <f t="shared" si="0"/>
        <v>28</v>
      </c>
      <c r="L7">
        <f t="shared" si="1"/>
        <v>14</v>
      </c>
      <c r="M7">
        <f>SUM(K4:K6)</f>
        <v>12</v>
      </c>
      <c r="N7">
        <f>SUM(L4:L6)</f>
        <v>7</v>
      </c>
      <c r="O7" s="41">
        <f t="shared" si="2"/>
        <v>-0.63321272441104515</v>
      </c>
      <c r="P7" s="41">
        <f t="shared" si="3"/>
        <v>-8.3212724411045103E-2</v>
      </c>
      <c r="Q7" s="41">
        <f t="shared" si="4"/>
        <v>-5.276772703425376E-2</v>
      </c>
      <c r="R7">
        <f t="shared" si="5"/>
        <v>1100</v>
      </c>
      <c r="S7">
        <f t="shared" si="6"/>
        <v>13200</v>
      </c>
      <c r="T7" s="41">
        <f t="shared" si="7"/>
        <v>-9.0458960630149313E-2</v>
      </c>
      <c r="U7" s="41">
        <f t="shared" si="8"/>
        <v>-6.9343937009204255E-3</v>
      </c>
      <c r="V7" s="41">
        <f t="shared" si="9"/>
        <v>-1.1887532058720729E-2</v>
      </c>
    </row>
    <row r="8" spans="2:22" x14ac:dyDescent="0.3">
      <c r="B8" t="s">
        <v>126</v>
      </c>
      <c r="J8">
        <v>5</v>
      </c>
      <c r="K8">
        <f t="shared" si="0"/>
        <v>65</v>
      </c>
      <c r="L8">
        <f t="shared" si="1"/>
        <v>33</v>
      </c>
      <c r="M8">
        <f>SUM(K4:K7)</f>
        <v>40</v>
      </c>
      <c r="N8">
        <f>SUM(L4:L7)</f>
        <v>21</v>
      </c>
      <c r="O8" s="41">
        <f t="shared" si="2"/>
        <v>-0.35903469310432778</v>
      </c>
      <c r="P8" s="41">
        <f t="shared" si="3"/>
        <v>0.19096530689567226</v>
      </c>
      <c r="Q8" s="41">
        <f t="shared" si="4"/>
        <v>-8.9758673276081943E-3</v>
      </c>
      <c r="R8">
        <f t="shared" si="5"/>
        <v>1200</v>
      </c>
      <c r="S8">
        <f t="shared" si="6"/>
        <v>48000</v>
      </c>
      <c r="T8" s="41">
        <f t="shared" si="7"/>
        <v>-1.7096890147825134E-2</v>
      </c>
      <c r="U8" s="41">
        <f t="shared" si="8"/>
        <v>4.7741326723918067E-3</v>
      </c>
      <c r="V8" s="41">
        <f t="shared" si="9"/>
        <v>9.0935860426510605E-3</v>
      </c>
    </row>
    <row r="9" spans="2:22" x14ac:dyDescent="0.3">
      <c r="C9" t="s">
        <v>89</v>
      </c>
      <c r="D9" t="s">
        <v>127</v>
      </c>
      <c r="J9">
        <v>6</v>
      </c>
      <c r="K9">
        <f t="shared" si="0"/>
        <v>126</v>
      </c>
      <c r="L9">
        <f t="shared" si="1"/>
        <v>63</v>
      </c>
      <c r="M9">
        <f>SUM(K4:K8)</f>
        <v>105</v>
      </c>
      <c r="N9">
        <f>SUM(L4:L8)</f>
        <v>54</v>
      </c>
      <c r="O9" s="41">
        <f t="shared" si="2"/>
        <v>0.24806833149682728</v>
      </c>
      <c r="P9" s="41">
        <f t="shared" si="3"/>
        <v>0.79806833149682732</v>
      </c>
      <c r="Q9" s="41">
        <f t="shared" si="4"/>
        <v>2.3625555380650215E-3</v>
      </c>
      <c r="R9">
        <f t="shared" si="5"/>
        <v>1300</v>
      </c>
      <c r="S9">
        <f t="shared" si="6"/>
        <v>136500</v>
      </c>
      <c r="T9" s="41">
        <f t="shared" si="7"/>
        <v>4.5938579906819868E-3</v>
      </c>
      <c r="U9" s="41">
        <f t="shared" si="8"/>
        <v>7.6006507761602598E-3</v>
      </c>
      <c r="V9" s="41">
        <f t="shared" si="9"/>
        <v>1.4779043175867172E-2</v>
      </c>
    </row>
    <row r="10" spans="2:22" x14ac:dyDescent="0.3">
      <c r="C10">
        <v>1</v>
      </c>
      <c r="D10">
        <f>2500+C10*2500</f>
        <v>5000</v>
      </c>
      <c r="J10">
        <v>7</v>
      </c>
      <c r="K10">
        <f t="shared" si="0"/>
        <v>217</v>
      </c>
      <c r="L10">
        <f t="shared" si="1"/>
        <v>109</v>
      </c>
      <c r="M10">
        <f>SUM(K4:K9)</f>
        <v>231</v>
      </c>
      <c r="N10">
        <f>SUM(L4:L9)</f>
        <v>117</v>
      </c>
      <c r="O10" s="41">
        <f t="shared" si="2"/>
        <v>1.396453621657884</v>
      </c>
      <c r="P10" s="41">
        <f t="shared" si="3"/>
        <v>1.946453621657884</v>
      </c>
      <c r="Q10" s="41">
        <f t="shared" si="4"/>
        <v>6.0452537734107534E-3</v>
      </c>
      <c r="R10">
        <f t="shared" si="5"/>
        <v>1400</v>
      </c>
      <c r="S10">
        <f t="shared" si="6"/>
        <v>323400</v>
      </c>
      <c r="T10" s="41">
        <f t="shared" si="7"/>
        <v>1.1935501039810975E-2</v>
      </c>
      <c r="U10" s="41">
        <f t="shared" si="8"/>
        <v>8.4262061543631337E-3</v>
      </c>
      <c r="V10" s="41">
        <f t="shared" si="9"/>
        <v>1.6636355740665677E-2</v>
      </c>
    </row>
    <row r="11" spans="2:22" x14ac:dyDescent="0.3">
      <c r="C11">
        <v>2</v>
      </c>
      <c r="D11">
        <f>2500+C11*2500</f>
        <v>7500</v>
      </c>
      <c r="J11">
        <v>8</v>
      </c>
      <c r="K11">
        <f t="shared" si="0"/>
        <v>344</v>
      </c>
      <c r="L11">
        <f t="shared" si="1"/>
        <v>172</v>
      </c>
      <c r="M11">
        <f>SUM(K4:K10)</f>
        <v>448</v>
      </c>
      <c r="N11">
        <f>SUM(L4:L10)</f>
        <v>226</v>
      </c>
      <c r="O11" s="41">
        <f t="shared" si="2"/>
        <v>3.3510779641070823</v>
      </c>
      <c r="P11" s="41">
        <f t="shared" si="3"/>
        <v>3.9010779641070821</v>
      </c>
      <c r="Q11" s="41">
        <f t="shared" si="4"/>
        <v>7.4800847413104511E-3</v>
      </c>
      <c r="R11">
        <f t="shared" si="5"/>
        <v>1500</v>
      </c>
      <c r="S11">
        <f t="shared" si="6"/>
        <v>672000</v>
      </c>
      <c r="T11" s="41">
        <f t="shared" si="7"/>
        <v>1.4827778602243727E-2</v>
      </c>
      <c r="U11" s="41">
        <f t="shared" si="8"/>
        <v>8.7077633127390225E-3</v>
      </c>
      <c r="V11" s="41">
        <f t="shared" si="9"/>
        <v>1.7261406920827796E-2</v>
      </c>
    </row>
    <row r="12" spans="2:22" x14ac:dyDescent="0.3">
      <c r="C12">
        <v>3</v>
      </c>
      <c r="D12">
        <f t="shared" ref="D12:D18" si="10">2500+C12*2500</f>
        <v>10000</v>
      </c>
      <c r="J12">
        <v>9</v>
      </c>
      <c r="K12">
        <f t="shared" si="0"/>
        <v>513</v>
      </c>
      <c r="L12">
        <f t="shared" si="1"/>
        <v>257</v>
      </c>
      <c r="M12">
        <f>SUM(K4:K11)</f>
        <v>792</v>
      </c>
      <c r="N12">
        <f>SUM(L4:L11)</f>
        <v>398</v>
      </c>
      <c r="O12" s="41">
        <f t="shared" si="2"/>
        <v>6.4356192782715125</v>
      </c>
      <c r="P12" s="41">
        <f t="shared" si="3"/>
        <v>6.9856192782715123</v>
      </c>
      <c r="Q12" s="41">
        <f t="shared" si="4"/>
        <v>8.125781917009486E-3</v>
      </c>
      <c r="R12">
        <f t="shared" si="5"/>
        <v>1600</v>
      </c>
      <c r="S12">
        <f t="shared" si="6"/>
        <v>1267200</v>
      </c>
      <c r="T12" s="41">
        <f t="shared" si="7"/>
        <v>1.6169897684099276E-2</v>
      </c>
      <c r="U12" s="41">
        <f t="shared" si="8"/>
        <v>8.8202263614539297E-3</v>
      </c>
      <c r="V12" s="41">
        <f t="shared" si="9"/>
        <v>1.7551807231837972E-2</v>
      </c>
    </row>
    <row r="13" spans="2:22" x14ac:dyDescent="0.3">
      <c r="C13">
        <v>4</v>
      </c>
      <c r="D13">
        <f t="shared" si="10"/>
        <v>12500</v>
      </c>
      <c r="J13">
        <v>10</v>
      </c>
      <c r="K13">
        <f t="shared" si="0"/>
        <v>730</v>
      </c>
      <c r="L13">
        <f t="shared" si="1"/>
        <v>365</v>
      </c>
      <c r="M13">
        <f>SUM(K4:K12)</f>
        <v>1305</v>
      </c>
      <c r="N13">
        <f>SUM(L4:L12)</f>
        <v>655</v>
      </c>
      <c r="O13" s="41">
        <f t="shared" si="2"/>
        <v>11.034327326919785</v>
      </c>
      <c r="P13" s="41">
        <f t="shared" si="3"/>
        <v>11.584327326919786</v>
      </c>
      <c r="Q13" s="41">
        <f t="shared" si="4"/>
        <v>8.4554232390189922E-3</v>
      </c>
      <c r="R13">
        <f t="shared" si="5"/>
        <v>1700</v>
      </c>
      <c r="S13">
        <f t="shared" si="6"/>
        <v>2218500</v>
      </c>
      <c r="T13" s="41">
        <f t="shared" si="7"/>
        <v>1.6846301262472954E-2</v>
      </c>
      <c r="U13" s="41">
        <f t="shared" si="8"/>
        <v>8.8768791777163111E-3</v>
      </c>
      <c r="V13" s="41">
        <f t="shared" si="9"/>
        <v>1.7685995918961504E-2</v>
      </c>
    </row>
    <row r="14" spans="2:22" x14ac:dyDescent="0.3">
      <c r="C14">
        <v>5</v>
      </c>
      <c r="D14">
        <f t="shared" si="10"/>
        <v>15000</v>
      </c>
      <c r="J14">
        <v>11</v>
      </c>
      <c r="K14">
        <f t="shared" si="0"/>
        <v>1001</v>
      </c>
      <c r="L14">
        <f t="shared" si="1"/>
        <v>501</v>
      </c>
      <c r="M14">
        <f>SUM(K4:K13)</f>
        <v>2035</v>
      </c>
      <c r="N14">
        <f>SUM(L4:L13)</f>
        <v>1020</v>
      </c>
      <c r="O14" s="41">
        <f t="shared" si="2"/>
        <v>17.593671209040679</v>
      </c>
      <c r="P14" s="41">
        <f t="shared" si="3"/>
        <v>18.143671209040679</v>
      </c>
      <c r="Q14" s="41">
        <f t="shared" si="4"/>
        <v>8.6455386776612669E-3</v>
      </c>
      <c r="R14">
        <f t="shared" si="5"/>
        <v>1800</v>
      </c>
      <c r="S14">
        <f t="shared" si="6"/>
        <v>3663000</v>
      </c>
      <c r="T14" s="41">
        <f t="shared" si="7"/>
        <v>1.7248697263765371E-2</v>
      </c>
      <c r="U14" s="41">
        <f t="shared" si="8"/>
        <v>8.9158089479315378E-3</v>
      </c>
      <c r="V14" s="41">
        <f t="shared" si="9"/>
        <v>1.7787912950039883E-2</v>
      </c>
    </row>
    <row r="15" spans="2:22" x14ac:dyDescent="0.3">
      <c r="C15">
        <v>6</v>
      </c>
      <c r="D15">
        <f t="shared" si="10"/>
        <v>17500</v>
      </c>
      <c r="J15">
        <v>12</v>
      </c>
      <c r="K15">
        <f t="shared" si="0"/>
        <v>1332</v>
      </c>
      <c r="L15">
        <f t="shared" si="1"/>
        <v>666</v>
      </c>
      <c r="M15">
        <f>SUM(K4:K14)</f>
        <v>3036</v>
      </c>
      <c r="N15">
        <f>SUM(L4:L14)</f>
        <v>1521</v>
      </c>
      <c r="O15" s="41">
        <f t="shared" si="2"/>
        <v>26.623828068826533</v>
      </c>
      <c r="P15" s="41">
        <f t="shared" si="3"/>
        <v>27.173828068826534</v>
      </c>
      <c r="Q15" s="41">
        <f t="shared" si="4"/>
        <v>8.7693768342643388E-3</v>
      </c>
      <c r="R15">
        <f t="shared" si="5"/>
        <v>1900</v>
      </c>
      <c r="S15">
        <f t="shared" si="6"/>
        <v>5768400</v>
      </c>
      <c r="T15" s="41">
        <f t="shared" si="7"/>
        <v>1.7504160466026649E-2</v>
      </c>
      <c r="U15" s="41">
        <f t="shared" si="8"/>
        <v>8.950536254554194E-3</v>
      </c>
      <c r="V15" s="41">
        <f t="shared" si="9"/>
        <v>1.7865764673784704E-2</v>
      </c>
    </row>
    <row r="16" spans="2:22" x14ac:dyDescent="0.3">
      <c r="C16">
        <v>7</v>
      </c>
      <c r="D16">
        <f t="shared" si="10"/>
        <v>20000</v>
      </c>
      <c r="J16">
        <v>13</v>
      </c>
      <c r="M16">
        <f>SUM(K4:K15)</f>
        <v>4368</v>
      </c>
      <c r="N16">
        <f>SUM(L4:L15)</f>
        <v>2187</v>
      </c>
      <c r="O16" s="41">
        <f t="shared" si="2"/>
        <v>38.700043908413448</v>
      </c>
      <c r="P16" s="41">
        <f t="shared" si="3"/>
        <v>39.250043908413446</v>
      </c>
      <c r="Q16" s="41">
        <f t="shared" si="4"/>
        <v>8.8599001621825664E-3</v>
      </c>
      <c r="R16">
        <f t="shared" si="5"/>
        <v>2000</v>
      </c>
      <c r="S16">
        <f t="shared" si="6"/>
        <v>8736000</v>
      </c>
      <c r="T16" s="41">
        <f t="shared" si="7"/>
        <v>1.7695493328035414E-2</v>
      </c>
      <c r="U16" s="41">
        <f t="shared" si="8"/>
        <v>8.9858159130983169E-3</v>
      </c>
      <c r="V16" s="41">
        <f>P16/N16</f>
        <v>1.7946979381990601E-2</v>
      </c>
    </row>
    <row r="17" spans="3:15" x14ac:dyDescent="0.3">
      <c r="C17">
        <v>8</v>
      </c>
      <c r="D17">
        <f t="shared" si="10"/>
        <v>22500</v>
      </c>
    </row>
    <row r="18" spans="3:15" x14ac:dyDescent="0.3">
      <c r="C18">
        <v>9</v>
      </c>
      <c r="D18">
        <f t="shared" si="10"/>
        <v>25000</v>
      </c>
    </row>
    <row r="19" spans="3:15" x14ac:dyDescent="0.3">
      <c r="C19">
        <v>10</v>
      </c>
      <c r="D19">
        <f>C19*5000-20000</f>
        <v>30000</v>
      </c>
    </row>
    <row r="20" spans="3:15" x14ac:dyDescent="0.3">
      <c r="C20">
        <v>11</v>
      </c>
      <c r="D20">
        <f t="shared" ref="D20:D58" si="11">C20*5000-20000</f>
        <v>35000</v>
      </c>
    </row>
    <row r="21" spans="3:15" x14ac:dyDescent="0.3">
      <c r="C21">
        <v>12</v>
      </c>
      <c r="D21">
        <f t="shared" si="11"/>
        <v>40000</v>
      </c>
    </row>
    <row r="22" spans="3:15" x14ac:dyDescent="0.3">
      <c r="C22">
        <v>13</v>
      </c>
      <c r="D22">
        <f t="shared" si="11"/>
        <v>45000</v>
      </c>
    </row>
    <row r="23" spans="3:15" x14ac:dyDescent="0.3">
      <c r="C23">
        <v>14</v>
      </c>
      <c r="D23">
        <f t="shared" si="11"/>
        <v>50000</v>
      </c>
    </row>
    <row r="24" spans="3:15" x14ac:dyDescent="0.3">
      <c r="C24">
        <v>15</v>
      </c>
      <c r="D24">
        <f t="shared" si="11"/>
        <v>55000</v>
      </c>
      <c r="H24" t="s">
        <v>501</v>
      </c>
      <c r="I24" t="s">
        <v>499</v>
      </c>
      <c r="J24" t="s">
        <v>493</v>
      </c>
    </row>
    <row r="25" spans="3:15" x14ac:dyDescent="0.3">
      <c r="C25">
        <v>16</v>
      </c>
      <c r="D25">
        <f t="shared" si="11"/>
        <v>60000</v>
      </c>
      <c r="I25" t="s">
        <v>502</v>
      </c>
      <c r="K25" t="s">
        <v>494</v>
      </c>
      <c r="M25" t="s">
        <v>495</v>
      </c>
      <c r="O25" t="s">
        <v>496</v>
      </c>
    </row>
    <row r="26" spans="3:15" x14ac:dyDescent="0.3">
      <c r="C26">
        <v>17</v>
      </c>
      <c r="D26">
        <f t="shared" si="11"/>
        <v>65000</v>
      </c>
      <c r="J26" t="s">
        <v>497</v>
      </c>
      <c r="K26" t="str">
        <f>I25&amp;K25&amp;J26</f>
        <v>通用重甲攻击套</v>
      </c>
      <c r="M26" t="str">
        <f>I25&amp;M25&amp;J26</f>
        <v>通用中甲攻击套</v>
      </c>
      <c r="O26" t="str">
        <f>I25&amp;O25&amp;J26</f>
        <v>通用轻甲攻击套</v>
      </c>
    </row>
    <row r="27" spans="3:15" x14ac:dyDescent="0.3">
      <c r="C27">
        <v>18</v>
      </c>
      <c r="D27">
        <f t="shared" si="11"/>
        <v>70000</v>
      </c>
      <c r="J27" t="s">
        <v>498</v>
      </c>
      <c r="K27" t="str">
        <f>I25&amp;K25&amp;J27</f>
        <v>通用重甲一般套</v>
      </c>
      <c r="M27" t="str">
        <f>I25&amp;M25&amp;J27</f>
        <v>通用中甲一般套</v>
      </c>
      <c r="O27" t="str">
        <f>I25&amp;O25&amp;J27</f>
        <v>通用轻甲一般套</v>
      </c>
    </row>
    <row r="28" spans="3:15" x14ac:dyDescent="0.3">
      <c r="C28">
        <v>19</v>
      </c>
      <c r="D28">
        <f t="shared" si="11"/>
        <v>75000</v>
      </c>
      <c r="J28" t="s">
        <v>507</v>
      </c>
      <c r="K28" t="str">
        <f>I25&amp;K25&amp;J28</f>
        <v>通用重甲物防套</v>
      </c>
      <c r="M28" t="str">
        <f>I25&amp;M25&amp;J28</f>
        <v>通用中甲物防套</v>
      </c>
      <c r="O28" t="str">
        <f>I25&amp;O25&amp;J28</f>
        <v>通用轻甲物防套</v>
      </c>
    </row>
    <row r="29" spans="3:15" x14ac:dyDescent="0.3">
      <c r="C29">
        <v>20</v>
      </c>
      <c r="D29">
        <f t="shared" si="11"/>
        <v>80000</v>
      </c>
      <c r="J29" t="s">
        <v>508</v>
      </c>
      <c r="K29" t="str">
        <f>I25&amp;K25&amp;J29</f>
        <v>通用重甲魔抗套</v>
      </c>
      <c r="M29" t="str">
        <f>I25&amp;M25&amp;J29</f>
        <v>通用中甲魔抗套</v>
      </c>
      <c r="O29" t="str">
        <f>I25&amp;O25&amp;J29</f>
        <v>通用轻甲魔抗套</v>
      </c>
    </row>
    <row r="30" spans="3:15" x14ac:dyDescent="0.3">
      <c r="C30">
        <v>21</v>
      </c>
      <c r="D30">
        <f t="shared" si="11"/>
        <v>85000</v>
      </c>
      <c r="J30" t="s">
        <v>509</v>
      </c>
      <c r="K30" t="str">
        <f>I25&amp;K25&amp;J30</f>
        <v>通用重甲血防套</v>
      </c>
      <c r="M30" t="str">
        <f>I25&amp;M25&amp;J30</f>
        <v>通用中甲血防套</v>
      </c>
      <c r="O30" t="str">
        <f>I25&amp;O25&amp;J30</f>
        <v>通用轻甲血防套</v>
      </c>
    </row>
    <row r="31" spans="3:15" x14ac:dyDescent="0.3">
      <c r="C31">
        <v>22</v>
      </c>
      <c r="D31">
        <f t="shared" si="11"/>
        <v>90000</v>
      </c>
      <c r="I31" t="s">
        <v>500</v>
      </c>
      <c r="K31" t="s">
        <v>494</v>
      </c>
      <c r="M31" t="s">
        <v>495</v>
      </c>
      <c r="O31" t="s">
        <v>496</v>
      </c>
    </row>
    <row r="32" spans="3:15" x14ac:dyDescent="0.3">
      <c r="C32">
        <v>23</v>
      </c>
      <c r="D32">
        <f t="shared" si="11"/>
        <v>95000</v>
      </c>
      <c r="J32" t="s">
        <v>497</v>
      </c>
      <c r="K32" t="str">
        <f>I31&amp;K31&amp;J32</f>
        <v>刀剑重甲攻击套</v>
      </c>
      <c r="M32" t="str">
        <f>I31&amp;M31&amp;J32</f>
        <v>刀剑中甲攻击套</v>
      </c>
      <c r="O32" t="str">
        <f>I31&amp;O31&amp;J32</f>
        <v>刀剑轻甲攻击套</v>
      </c>
    </row>
    <row r="33" spans="3:15" x14ac:dyDescent="0.3">
      <c r="C33">
        <v>24</v>
      </c>
      <c r="D33">
        <f t="shared" si="11"/>
        <v>100000</v>
      </c>
      <c r="J33" t="s">
        <v>498</v>
      </c>
      <c r="K33" t="str">
        <f>I31&amp;K31&amp;J33</f>
        <v>刀剑重甲一般套</v>
      </c>
      <c r="M33" t="str">
        <f>I31&amp;M31&amp;J33</f>
        <v>刀剑中甲一般套</v>
      </c>
      <c r="O33" t="str">
        <f>I31&amp;O31&amp;J33</f>
        <v>刀剑轻甲一般套</v>
      </c>
    </row>
    <row r="34" spans="3:15" x14ac:dyDescent="0.3">
      <c r="C34">
        <v>25</v>
      </c>
      <c r="D34">
        <f t="shared" si="11"/>
        <v>105000</v>
      </c>
      <c r="J34" t="s">
        <v>507</v>
      </c>
      <c r="K34" t="str">
        <f>I31&amp;K31&amp;J34</f>
        <v>刀剑重甲物防套</v>
      </c>
      <c r="M34" t="str">
        <f>I31&amp;M31&amp;J34</f>
        <v>刀剑中甲物防套</v>
      </c>
      <c r="O34" t="str">
        <f>I31&amp;O31&amp;J34</f>
        <v>刀剑轻甲物防套</v>
      </c>
    </row>
    <row r="35" spans="3:15" x14ac:dyDescent="0.3">
      <c r="C35">
        <v>26</v>
      </c>
      <c r="D35">
        <f t="shared" si="11"/>
        <v>110000</v>
      </c>
      <c r="J35" t="s">
        <v>508</v>
      </c>
      <c r="K35" t="str">
        <f>I31&amp;K31&amp;J35</f>
        <v>刀剑重甲魔抗套</v>
      </c>
      <c r="M35" t="str">
        <f>I31&amp;M31&amp;J35</f>
        <v>刀剑中甲魔抗套</v>
      </c>
      <c r="O35" t="str">
        <f>I31&amp;O31&amp;J35</f>
        <v>刀剑轻甲魔抗套</v>
      </c>
    </row>
    <row r="36" spans="3:15" x14ac:dyDescent="0.3">
      <c r="C36">
        <v>27</v>
      </c>
      <c r="D36">
        <f t="shared" si="11"/>
        <v>115000</v>
      </c>
      <c r="J36" t="s">
        <v>509</v>
      </c>
      <c r="K36" t="str">
        <f>I31&amp;K31&amp;J36</f>
        <v>刀剑重甲血防套</v>
      </c>
      <c r="M36" t="str">
        <f>I31&amp;M31&amp;J36</f>
        <v>刀剑中甲血防套</v>
      </c>
      <c r="O36" t="str">
        <f>I31&amp;O31&amp;J36</f>
        <v>刀剑轻甲血防套</v>
      </c>
    </row>
    <row r="37" spans="3:15" x14ac:dyDescent="0.3">
      <c r="C37">
        <v>28</v>
      </c>
      <c r="D37">
        <f t="shared" si="11"/>
        <v>120000</v>
      </c>
      <c r="I37" t="s">
        <v>503</v>
      </c>
      <c r="K37" t="s">
        <v>494</v>
      </c>
      <c r="M37" t="s">
        <v>495</v>
      </c>
      <c r="O37" t="s">
        <v>496</v>
      </c>
    </row>
    <row r="38" spans="3:15" x14ac:dyDescent="0.3">
      <c r="C38">
        <v>29</v>
      </c>
      <c r="D38">
        <f t="shared" si="11"/>
        <v>125000</v>
      </c>
      <c r="J38" t="s">
        <v>497</v>
      </c>
      <c r="K38" t="str">
        <f>I37&amp;K37&amp;J38</f>
        <v>枪械重甲攻击套</v>
      </c>
      <c r="M38" t="str">
        <f>I37&amp;M37&amp;J38</f>
        <v>枪械中甲攻击套</v>
      </c>
      <c r="O38" t="str">
        <f>I37&amp;O37&amp;J38</f>
        <v>枪械轻甲攻击套</v>
      </c>
    </row>
    <row r="39" spans="3:15" x14ac:dyDescent="0.3">
      <c r="C39">
        <v>30</v>
      </c>
      <c r="D39">
        <f t="shared" si="11"/>
        <v>130000</v>
      </c>
      <c r="J39" t="s">
        <v>498</v>
      </c>
      <c r="K39" t="str">
        <f>I37&amp;K37&amp;J39</f>
        <v>枪械重甲一般套</v>
      </c>
      <c r="M39" t="str">
        <f>I37&amp;M37&amp;J39</f>
        <v>枪械中甲一般套</v>
      </c>
      <c r="O39" t="str">
        <f>I37&amp;O37&amp;J39</f>
        <v>枪械轻甲一般套</v>
      </c>
    </row>
    <row r="40" spans="3:15" x14ac:dyDescent="0.3">
      <c r="C40">
        <v>31</v>
      </c>
      <c r="D40">
        <f t="shared" si="11"/>
        <v>135000</v>
      </c>
      <c r="J40" t="s">
        <v>507</v>
      </c>
      <c r="K40" t="str">
        <f>I37&amp;K37&amp;J40</f>
        <v>枪械重甲物防套</v>
      </c>
      <c r="M40" t="str">
        <f>I37&amp;M37&amp;J40</f>
        <v>枪械中甲物防套</v>
      </c>
      <c r="O40" t="str">
        <f>I37&amp;O37&amp;J40</f>
        <v>枪械轻甲物防套</v>
      </c>
    </row>
    <row r="41" spans="3:15" x14ac:dyDescent="0.3">
      <c r="C41">
        <v>32</v>
      </c>
      <c r="D41">
        <f t="shared" si="11"/>
        <v>140000</v>
      </c>
      <c r="J41" t="s">
        <v>508</v>
      </c>
      <c r="K41" t="str">
        <f>I37&amp;K37&amp;J41</f>
        <v>枪械重甲魔抗套</v>
      </c>
      <c r="M41" t="str">
        <f>I37&amp;M37&amp;J41</f>
        <v>枪械中甲魔抗套</v>
      </c>
      <c r="O41" t="str">
        <f>I37&amp;O37&amp;J41</f>
        <v>枪械轻甲魔抗套</v>
      </c>
    </row>
    <row r="42" spans="3:15" x14ac:dyDescent="0.3">
      <c r="C42">
        <v>33</v>
      </c>
      <c r="D42">
        <f t="shared" si="11"/>
        <v>145000</v>
      </c>
      <c r="J42" t="s">
        <v>509</v>
      </c>
      <c r="K42" t="str">
        <f>I37&amp;K37&amp;J42</f>
        <v>枪械重甲血防套</v>
      </c>
      <c r="M42" t="str">
        <f>I37&amp;M37&amp;J42</f>
        <v>枪械中甲血防套</v>
      </c>
      <c r="O42" t="str">
        <f>I37&amp;O37&amp;J42</f>
        <v>枪械轻甲血防套</v>
      </c>
    </row>
    <row r="43" spans="3:15" x14ac:dyDescent="0.3">
      <c r="C43">
        <v>34</v>
      </c>
      <c r="D43">
        <f>C43*5000-20000</f>
        <v>150000</v>
      </c>
      <c r="I43" t="s">
        <v>504</v>
      </c>
      <c r="K43" t="s">
        <v>494</v>
      </c>
      <c r="M43" t="s">
        <v>495</v>
      </c>
      <c r="O43" t="s">
        <v>496</v>
      </c>
    </row>
    <row r="44" spans="3:15" x14ac:dyDescent="0.3">
      <c r="C44">
        <v>35</v>
      </c>
      <c r="D44">
        <f t="shared" si="11"/>
        <v>155000</v>
      </c>
      <c r="J44" t="s">
        <v>497</v>
      </c>
      <c r="K44" t="str">
        <f>I43&amp;K43&amp;J44</f>
        <v>拳皇重甲攻击套</v>
      </c>
      <c r="M44" t="str">
        <f>I43&amp;M43&amp;J44</f>
        <v>拳皇中甲攻击套</v>
      </c>
      <c r="O44" t="str">
        <f>I43&amp;O43&amp;J44</f>
        <v>拳皇轻甲攻击套</v>
      </c>
    </row>
    <row r="45" spans="3:15" x14ac:dyDescent="0.3">
      <c r="C45">
        <v>36</v>
      </c>
      <c r="D45">
        <f t="shared" si="11"/>
        <v>160000</v>
      </c>
      <c r="J45" t="s">
        <v>498</v>
      </c>
      <c r="K45" t="str">
        <f>I43&amp;K43&amp;J45</f>
        <v>拳皇重甲一般套</v>
      </c>
      <c r="M45" t="str">
        <f>I43&amp;M43&amp;J45</f>
        <v>拳皇中甲一般套</v>
      </c>
      <c r="O45" t="str">
        <f>I43&amp;O43&amp;J45</f>
        <v>拳皇轻甲一般套</v>
      </c>
    </row>
    <row r="46" spans="3:15" x14ac:dyDescent="0.3">
      <c r="C46">
        <v>37</v>
      </c>
      <c r="D46">
        <f t="shared" si="11"/>
        <v>165000</v>
      </c>
      <c r="J46" t="s">
        <v>507</v>
      </c>
      <c r="K46" t="str">
        <f>I43&amp;K43&amp;J46</f>
        <v>拳皇重甲物防套</v>
      </c>
      <c r="M46" t="str">
        <f>I43&amp;M43&amp;J46</f>
        <v>拳皇中甲物防套</v>
      </c>
      <c r="O46" t="str">
        <f>I43&amp;O43&amp;J46</f>
        <v>拳皇轻甲物防套</v>
      </c>
    </row>
    <row r="47" spans="3:15" x14ac:dyDescent="0.3">
      <c r="C47">
        <v>38</v>
      </c>
      <c r="D47">
        <f t="shared" si="11"/>
        <v>170000</v>
      </c>
      <c r="J47" t="s">
        <v>508</v>
      </c>
      <c r="K47" t="str">
        <f>I43&amp;K43&amp;J47</f>
        <v>拳皇重甲魔抗套</v>
      </c>
      <c r="M47" t="str">
        <f>I43&amp;M43&amp;J47</f>
        <v>拳皇中甲魔抗套</v>
      </c>
      <c r="O47" t="str">
        <f>I43&amp;O43&amp;J47</f>
        <v>拳皇轻甲魔抗套</v>
      </c>
    </row>
    <row r="48" spans="3:15" x14ac:dyDescent="0.3">
      <c r="C48">
        <v>39</v>
      </c>
      <c r="D48">
        <f t="shared" si="11"/>
        <v>175000</v>
      </c>
      <c r="J48" t="s">
        <v>509</v>
      </c>
      <c r="K48" t="str">
        <f>I43&amp;K43&amp;J48</f>
        <v>拳皇重甲血防套</v>
      </c>
      <c r="M48" t="str">
        <f>I43&amp;M43&amp;J48</f>
        <v>拳皇中甲血防套</v>
      </c>
      <c r="O48" t="str">
        <f>I43&amp;O43&amp;J48</f>
        <v>拳皇轻甲血防套</v>
      </c>
    </row>
    <row r="49" spans="3:15" x14ac:dyDescent="0.3">
      <c r="C49">
        <v>40</v>
      </c>
      <c r="D49">
        <f t="shared" si="11"/>
        <v>180000</v>
      </c>
      <c r="I49" t="s">
        <v>505</v>
      </c>
      <c r="K49" t="s">
        <v>494</v>
      </c>
      <c r="M49" t="s">
        <v>495</v>
      </c>
      <c r="O49" t="s">
        <v>496</v>
      </c>
    </row>
    <row r="50" spans="3:15" x14ac:dyDescent="0.3">
      <c r="C50">
        <v>41</v>
      </c>
      <c r="D50">
        <f t="shared" si="11"/>
        <v>185000</v>
      </c>
      <c r="J50" t="s">
        <v>497</v>
      </c>
      <c r="K50" t="str">
        <f>I49&amp;K49&amp;J50</f>
        <v>刀内力重甲攻击套</v>
      </c>
      <c r="M50" t="str">
        <f>I49&amp;M49&amp;J50</f>
        <v>刀内力中甲攻击套</v>
      </c>
      <c r="O50" t="str">
        <f>I49&amp;O49&amp;J50</f>
        <v>刀内力轻甲攻击套</v>
      </c>
    </row>
    <row r="51" spans="3:15" x14ac:dyDescent="0.3">
      <c r="C51">
        <v>42</v>
      </c>
      <c r="D51">
        <f t="shared" si="11"/>
        <v>190000</v>
      </c>
      <c r="J51" t="s">
        <v>498</v>
      </c>
      <c r="K51" t="str">
        <f>I49&amp;K49&amp;J51</f>
        <v>刀内力重甲一般套</v>
      </c>
      <c r="M51" t="str">
        <f>I49&amp;M49&amp;J51</f>
        <v>刀内力中甲一般套</v>
      </c>
      <c r="O51" t="str">
        <f>I49&amp;O49&amp;J51</f>
        <v>刀内力轻甲一般套</v>
      </c>
    </row>
    <row r="52" spans="3:15" x14ac:dyDescent="0.3">
      <c r="C52">
        <v>43</v>
      </c>
      <c r="D52">
        <f t="shared" si="11"/>
        <v>195000</v>
      </c>
      <c r="J52" t="s">
        <v>507</v>
      </c>
      <c r="K52" t="str">
        <f>I49&amp;K49&amp;J52</f>
        <v>刀内力重甲物防套</v>
      </c>
      <c r="M52" t="str">
        <f>I49&amp;M49&amp;J52</f>
        <v>刀内力中甲物防套</v>
      </c>
      <c r="O52" t="str">
        <f>I49&amp;O49&amp;J52</f>
        <v>刀内力轻甲物防套</v>
      </c>
    </row>
    <row r="53" spans="3:15" x14ac:dyDescent="0.3">
      <c r="C53">
        <v>44</v>
      </c>
      <c r="D53">
        <f t="shared" si="11"/>
        <v>200000</v>
      </c>
      <c r="J53" t="s">
        <v>508</v>
      </c>
      <c r="K53" t="str">
        <f>I49&amp;K49&amp;J53</f>
        <v>刀内力重甲魔抗套</v>
      </c>
      <c r="M53" t="str">
        <f>I49&amp;M49&amp;J53</f>
        <v>刀内力中甲魔抗套</v>
      </c>
      <c r="O53" t="str">
        <f>I49&amp;O49&amp;J53</f>
        <v>刀内力轻甲魔抗套</v>
      </c>
    </row>
    <row r="54" spans="3:15" x14ac:dyDescent="0.3">
      <c r="C54">
        <v>45</v>
      </c>
      <c r="D54">
        <f t="shared" si="11"/>
        <v>205000</v>
      </c>
      <c r="J54" t="s">
        <v>509</v>
      </c>
      <c r="K54" t="str">
        <f>I49&amp;K49&amp;J54</f>
        <v>刀内力重甲血防套</v>
      </c>
      <c r="M54" t="str">
        <f>I49&amp;M49&amp;J54</f>
        <v>刀内力中甲血防套</v>
      </c>
      <c r="O54" t="str">
        <f>I49&amp;O49&amp;J54</f>
        <v>刀内力轻甲血防套</v>
      </c>
    </row>
    <row r="55" spans="3:15" x14ac:dyDescent="0.3">
      <c r="C55">
        <v>46</v>
      </c>
      <c r="D55">
        <f t="shared" si="11"/>
        <v>210000</v>
      </c>
      <c r="I55" t="s">
        <v>506</v>
      </c>
      <c r="K55" t="s">
        <v>494</v>
      </c>
      <c r="M55" t="s">
        <v>495</v>
      </c>
      <c r="O55" t="s">
        <v>496</v>
      </c>
    </row>
    <row r="56" spans="3:15" x14ac:dyDescent="0.3">
      <c r="C56">
        <v>47</v>
      </c>
      <c r="D56">
        <f t="shared" si="11"/>
        <v>215000</v>
      </c>
      <c r="J56" t="s">
        <v>497</v>
      </c>
      <c r="K56" t="str">
        <f>I55&amp;K55&amp;J56</f>
        <v>拳内力重甲攻击套</v>
      </c>
      <c r="M56" t="str">
        <f>I55&amp;M55&amp;J56</f>
        <v>拳内力中甲攻击套</v>
      </c>
      <c r="O56" t="str">
        <f>I55&amp;O55&amp;J56</f>
        <v>拳内力轻甲攻击套</v>
      </c>
    </row>
    <row r="57" spans="3:15" x14ac:dyDescent="0.3">
      <c r="C57">
        <v>48</v>
      </c>
      <c r="D57">
        <f t="shared" si="11"/>
        <v>220000</v>
      </c>
      <c r="J57" t="s">
        <v>498</v>
      </c>
      <c r="K57" t="str">
        <f>I55&amp;K55&amp;J57</f>
        <v>拳内力重甲一般套</v>
      </c>
      <c r="M57" t="str">
        <f>I55&amp;M55&amp;J57</f>
        <v>拳内力中甲一般套</v>
      </c>
      <c r="O57" t="str">
        <f>I55&amp;O55&amp;J57</f>
        <v>拳内力轻甲一般套</v>
      </c>
    </row>
    <row r="58" spans="3:15" x14ac:dyDescent="0.3">
      <c r="C58">
        <v>49</v>
      </c>
      <c r="D58">
        <f t="shared" si="11"/>
        <v>225000</v>
      </c>
      <c r="J58" t="s">
        <v>507</v>
      </c>
      <c r="K58" t="str">
        <f>I55&amp;K55&amp;J58</f>
        <v>拳内力重甲物防套</v>
      </c>
      <c r="M58" t="str">
        <f>I55&amp;M55&amp;J58</f>
        <v>拳内力中甲物防套</v>
      </c>
      <c r="O58" t="str">
        <f>I55&amp;O55&amp;J58</f>
        <v>拳内力轻甲物防套</v>
      </c>
    </row>
    <row r="59" spans="3:15" x14ac:dyDescent="0.3">
      <c r="C59">
        <v>50</v>
      </c>
      <c r="D59">
        <f t="shared" ref="D59:D64" si="12">C59*25000-1000000</f>
        <v>250000</v>
      </c>
      <c r="J59" t="s">
        <v>508</v>
      </c>
      <c r="K59" t="str">
        <f>I55&amp;K55&amp;J59</f>
        <v>拳内力重甲魔抗套</v>
      </c>
      <c r="M59" t="str">
        <f>I55&amp;M55&amp;J59</f>
        <v>拳内力中甲魔抗套</v>
      </c>
      <c r="O59" t="str">
        <f>I55&amp;O55&amp;J59</f>
        <v>拳内力轻甲魔抗套</v>
      </c>
    </row>
    <row r="60" spans="3:15" x14ac:dyDescent="0.3">
      <c r="C60">
        <v>51</v>
      </c>
      <c r="D60">
        <f t="shared" si="12"/>
        <v>275000</v>
      </c>
      <c r="J60" t="s">
        <v>509</v>
      </c>
      <c r="K60" t="str">
        <f>I55&amp;K55&amp;J60</f>
        <v>拳内力重甲血防套</v>
      </c>
      <c r="M60" t="str">
        <f>I55&amp;M55&amp;J60</f>
        <v>拳内力中甲血防套</v>
      </c>
      <c r="O60" t="str">
        <f>I55&amp;O55&amp;J60</f>
        <v>拳内力轻甲血防套</v>
      </c>
    </row>
    <row r="61" spans="3:15" x14ac:dyDescent="0.3">
      <c r="C61">
        <v>52</v>
      </c>
      <c r="D61">
        <f t="shared" si="12"/>
        <v>300000</v>
      </c>
    </row>
    <row r="62" spans="3:15" x14ac:dyDescent="0.3">
      <c r="C62">
        <v>53</v>
      </c>
      <c r="D62">
        <f t="shared" si="12"/>
        <v>325000</v>
      </c>
    </row>
    <row r="63" spans="3:15" x14ac:dyDescent="0.3">
      <c r="C63">
        <v>54</v>
      </c>
      <c r="D63">
        <f t="shared" si="12"/>
        <v>350000</v>
      </c>
    </row>
    <row r="64" spans="3:15" x14ac:dyDescent="0.3">
      <c r="C64">
        <v>55</v>
      </c>
      <c r="D64">
        <f t="shared" si="12"/>
        <v>375000</v>
      </c>
    </row>
    <row r="65" spans="3:4" x14ac:dyDescent="0.3">
      <c r="C65">
        <v>56</v>
      </c>
      <c r="D65">
        <f t="shared" ref="D65:D109" si="13">C65*25000-1000000</f>
        <v>400000</v>
      </c>
    </row>
    <row r="66" spans="3:4" x14ac:dyDescent="0.3">
      <c r="C66">
        <v>57</v>
      </c>
      <c r="D66">
        <f t="shared" si="13"/>
        <v>425000</v>
      </c>
    </row>
    <row r="67" spans="3:4" x14ac:dyDescent="0.3">
      <c r="C67">
        <v>58</v>
      </c>
      <c r="D67">
        <f t="shared" si="13"/>
        <v>450000</v>
      </c>
    </row>
    <row r="68" spans="3:4" x14ac:dyDescent="0.3">
      <c r="C68">
        <v>59</v>
      </c>
      <c r="D68">
        <f t="shared" si="13"/>
        <v>475000</v>
      </c>
    </row>
    <row r="69" spans="3:4" x14ac:dyDescent="0.3">
      <c r="C69">
        <v>60</v>
      </c>
      <c r="D69">
        <f t="shared" si="13"/>
        <v>500000</v>
      </c>
    </row>
    <row r="70" spans="3:4" x14ac:dyDescent="0.3">
      <c r="C70">
        <v>61</v>
      </c>
      <c r="D70">
        <f t="shared" si="13"/>
        <v>525000</v>
      </c>
    </row>
    <row r="71" spans="3:4" x14ac:dyDescent="0.3">
      <c r="C71">
        <v>62</v>
      </c>
      <c r="D71">
        <f t="shared" si="13"/>
        <v>550000</v>
      </c>
    </row>
    <row r="72" spans="3:4" x14ac:dyDescent="0.3">
      <c r="C72">
        <v>63</v>
      </c>
      <c r="D72">
        <f t="shared" si="13"/>
        <v>575000</v>
      </c>
    </row>
    <row r="73" spans="3:4" x14ac:dyDescent="0.3">
      <c r="C73">
        <v>64</v>
      </c>
      <c r="D73">
        <f t="shared" si="13"/>
        <v>600000</v>
      </c>
    </row>
    <row r="74" spans="3:4" x14ac:dyDescent="0.3">
      <c r="C74">
        <v>65</v>
      </c>
      <c r="D74">
        <f t="shared" si="13"/>
        <v>625000</v>
      </c>
    </row>
    <row r="75" spans="3:4" x14ac:dyDescent="0.3">
      <c r="C75">
        <v>66</v>
      </c>
      <c r="D75">
        <f t="shared" si="13"/>
        <v>650000</v>
      </c>
    </row>
    <row r="76" spans="3:4" x14ac:dyDescent="0.3">
      <c r="C76">
        <v>67</v>
      </c>
      <c r="D76">
        <f t="shared" si="13"/>
        <v>675000</v>
      </c>
    </row>
    <row r="77" spans="3:4" x14ac:dyDescent="0.3">
      <c r="C77">
        <v>68</v>
      </c>
      <c r="D77">
        <f t="shared" si="13"/>
        <v>700000</v>
      </c>
    </row>
    <row r="78" spans="3:4" x14ac:dyDescent="0.3">
      <c r="C78">
        <v>69</v>
      </c>
      <c r="D78">
        <f t="shared" si="13"/>
        <v>725000</v>
      </c>
    </row>
    <row r="79" spans="3:4" x14ac:dyDescent="0.3">
      <c r="C79">
        <v>70</v>
      </c>
      <c r="D79">
        <f>C79*25000-1000000</f>
        <v>750000</v>
      </c>
    </row>
    <row r="80" spans="3:4" x14ac:dyDescent="0.3">
      <c r="C80">
        <v>71</v>
      </c>
      <c r="D80">
        <f t="shared" si="13"/>
        <v>775000</v>
      </c>
    </row>
    <row r="81" spans="3:4" x14ac:dyDescent="0.3">
      <c r="C81">
        <v>72</v>
      </c>
      <c r="D81">
        <f t="shared" si="13"/>
        <v>800000</v>
      </c>
    </row>
    <row r="82" spans="3:4" x14ac:dyDescent="0.3">
      <c r="C82">
        <v>73</v>
      </c>
      <c r="D82">
        <f t="shared" si="13"/>
        <v>825000</v>
      </c>
    </row>
    <row r="83" spans="3:4" x14ac:dyDescent="0.3">
      <c r="C83">
        <v>74</v>
      </c>
      <c r="D83">
        <f t="shared" si="13"/>
        <v>850000</v>
      </c>
    </row>
    <row r="84" spans="3:4" x14ac:dyDescent="0.3">
      <c r="C84">
        <v>75</v>
      </c>
      <c r="D84">
        <f t="shared" si="13"/>
        <v>875000</v>
      </c>
    </row>
    <row r="85" spans="3:4" x14ac:dyDescent="0.3">
      <c r="C85">
        <v>76</v>
      </c>
      <c r="D85">
        <f t="shared" si="13"/>
        <v>900000</v>
      </c>
    </row>
    <row r="86" spans="3:4" x14ac:dyDescent="0.3">
      <c r="C86">
        <v>77</v>
      </c>
      <c r="D86">
        <f t="shared" si="13"/>
        <v>925000</v>
      </c>
    </row>
    <row r="87" spans="3:4" x14ac:dyDescent="0.3">
      <c r="C87">
        <v>78</v>
      </c>
      <c r="D87">
        <f t="shared" si="13"/>
        <v>950000</v>
      </c>
    </row>
    <row r="88" spans="3:4" x14ac:dyDescent="0.3">
      <c r="C88">
        <v>79</v>
      </c>
      <c r="D88">
        <f t="shared" si="13"/>
        <v>975000</v>
      </c>
    </row>
    <row r="89" spans="3:4" x14ac:dyDescent="0.3">
      <c r="C89">
        <v>80</v>
      </c>
      <c r="D89">
        <f t="shared" si="13"/>
        <v>1000000</v>
      </c>
    </row>
    <row r="90" spans="3:4" x14ac:dyDescent="0.3">
      <c r="C90">
        <v>81</v>
      </c>
      <c r="D90">
        <f t="shared" si="13"/>
        <v>1025000</v>
      </c>
    </row>
    <row r="91" spans="3:4" x14ac:dyDescent="0.3">
      <c r="C91">
        <v>82</v>
      </c>
      <c r="D91">
        <f t="shared" si="13"/>
        <v>1050000</v>
      </c>
    </row>
    <row r="92" spans="3:4" x14ac:dyDescent="0.3">
      <c r="C92">
        <v>83</v>
      </c>
      <c r="D92">
        <f t="shared" si="13"/>
        <v>1075000</v>
      </c>
    </row>
    <row r="93" spans="3:4" x14ac:dyDescent="0.3">
      <c r="C93">
        <v>84</v>
      </c>
      <c r="D93">
        <f t="shared" si="13"/>
        <v>1100000</v>
      </c>
    </row>
    <row r="94" spans="3:4" x14ac:dyDescent="0.3">
      <c r="C94">
        <v>85</v>
      </c>
      <c r="D94">
        <f t="shared" si="13"/>
        <v>1125000</v>
      </c>
    </row>
    <row r="95" spans="3:4" x14ac:dyDescent="0.3">
      <c r="C95">
        <v>86</v>
      </c>
      <c r="D95">
        <f t="shared" si="13"/>
        <v>1150000</v>
      </c>
    </row>
    <row r="96" spans="3:4" x14ac:dyDescent="0.3">
      <c r="C96">
        <v>87</v>
      </c>
      <c r="D96">
        <f t="shared" si="13"/>
        <v>1175000</v>
      </c>
    </row>
    <row r="97" spans="3:4" x14ac:dyDescent="0.3">
      <c r="C97">
        <v>88</v>
      </c>
      <c r="D97">
        <f t="shared" si="13"/>
        <v>1200000</v>
      </c>
    </row>
    <row r="98" spans="3:4" x14ac:dyDescent="0.3">
      <c r="C98">
        <v>89</v>
      </c>
      <c r="D98">
        <f t="shared" si="13"/>
        <v>1225000</v>
      </c>
    </row>
    <row r="99" spans="3:4" x14ac:dyDescent="0.3">
      <c r="C99">
        <v>90</v>
      </c>
      <c r="D99">
        <f t="shared" si="13"/>
        <v>1250000</v>
      </c>
    </row>
    <row r="100" spans="3:4" x14ac:dyDescent="0.3">
      <c r="C100">
        <v>91</v>
      </c>
      <c r="D100">
        <f t="shared" si="13"/>
        <v>1275000</v>
      </c>
    </row>
    <row r="101" spans="3:4" x14ac:dyDescent="0.3">
      <c r="C101">
        <v>92</v>
      </c>
      <c r="D101">
        <f t="shared" si="13"/>
        <v>1300000</v>
      </c>
    </row>
    <row r="102" spans="3:4" x14ac:dyDescent="0.3">
      <c r="C102">
        <v>93</v>
      </c>
      <c r="D102">
        <f t="shared" si="13"/>
        <v>1325000</v>
      </c>
    </row>
    <row r="103" spans="3:4" x14ac:dyDescent="0.3">
      <c r="C103">
        <v>94</v>
      </c>
      <c r="D103">
        <f t="shared" si="13"/>
        <v>1350000</v>
      </c>
    </row>
    <row r="104" spans="3:4" x14ac:dyDescent="0.3">
      <c r="C104">
        <v>95</v>
      </c>
      <c r="D104">
        <f t="shared" si="13"/>
        <v>1375000</v>
      </c>
    </row>
    <row r="105" spans="3:4" x14ac:dyDescent="0.3">
      <c r="C105">
        <v>96</v>
      </c>
      <c r="D105">
        <f t="shared" si="13"/>
        <v>1400000</v>
      </c>
    </row>
    <row r="106" spans="3:4" x14ac:dyDescent="0.3">
      <c r="C106">
        <v>97</v>
      </c>
      <c r="D106">
        <f t="shared" si="13"/>
        <v>1425000</v>
      </c>
    </row>
    <row r="107" spans="3:4" x14ac:dyDescent="0.3">
      <c r="C107">
        <v>98</v>
      </c>
      <c r="D107">
        <f t="shared" si="13"/>
        <v>1450000</v>
      </c>
    </row>
    <row r="108" spans="3:4" x14ac:dyDescent="0.3">
      <c r="C108">
        <v>99</v>
      </c>
      <c r="D108">
        <f t="shared" si="13"/>
        <v>1475000</v>
      </c>
    </row>
    <row r="109" spans="3:4" x14ac:dyDescent="0.3">
      <c r="C109">
        <v>100</v>
      </c>
      <c r="D109">
        <f t="shared" si="13"/>
        <v>1500000</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35"/>
  <sheetViews>
    <sheetView topLeftCell="B1" workbookViewId="0">
      <selection activeCell="D16" sqref="D16"/>
    </sheetView>
  </sheetViews>
  <sheetFormatPr defaultRowHeight="14" x14ac:dyDescent="0.3"/>
  <cols>
    <col min="2" max="2" width="17.5" customWidth="1"/>
    <col min="3" max="3" width="9.1640625" customWidth="1"/>
    <col min="4" max="4" width="15" customWidth="1"/>
    <col min="5" max="5" width="8" customWidth="1"/>
    <col min="6" max="6" width="10.1640625" customWidth="1"/>
    <col min="7" max="7" width="6.75" customWidth="1"/>
    <col min="8" max="8" width="8.08203125" customWidth="1"/>
    <col min="9" max="9" width="7.83203125" customWidth="1"/>
    <col min="10" max="10" width="7.75" customWidth="1"/>
    <col min="11" max="11" width="7.6640625" customWidth="1"/>
    <col min="12" max="12" width="8.33203125" customWidth="1"/>
    <col min="13" max="13" width="12.08203125" customWidth="1"/>
    <col min="22" max="22" width="10.6640625" customWidth="1"/>
  </cols>
  <sheetData>
    <row r="1" spans="2:23" x14ac:dyDescent="0.3">
      <c r="C1" s="29" t="s">
        <v>261</v>
      </c>
    </row>
    <row r="2" spans="2:23" x14ac:dyDescent="0.3">
      <c r="C2" s="2" t="s">
        <v>262</v>
      </c>
    </row>
    <row r="3" spans="2:23" x14ac:dyDescent="0.3">
      <c r="B3" t="s">
        <v>0</v>
      </c>
      <c r="E3" t="s">
        <v>42</v>
      </c>
      <c r="F3" t="s">
        <v>43</v>
      </c>
      <c r="G3" t="s">
        <v>44</v>
      </c>
      <c r="I3" t="s">
        <v>45</v>
      </c>
      <c r="L3" t="s">
        <v>41</v>
      </c>
      <c r="M3" t="s">
        <v>164</v>
      </c>
      <c r="O3" t="s">
        <v>55</v>
      </c>
      <c r="T3" t="s">
        <v>50</v>
      </c>
    </row>
    <row r="4" spans="2:23" x14ac:dyDescent="0.3">
      <c r="B4" t="s">
        <v>23</v>
      </c>
      <c r="C4" s="10" t="s">
        <v>48</v>
      </c>
      <c r="D4" s="10" t="s">
        <v>49</v>
      </c>
      <c r="E4" s="8" t="s">
        <v>1</v>
      </c>
      <c r="F4" s="8" t="s">
        <v>2</v>
      </c>
      <c r="G4" s="8" t="s">
        <v>3</v>
      </c>
      <c r="H4" s="8" t="s">
        <v>10</v>
      </c>
      <c r="I4" s="8" t="s">
        <v>14</v>
      </c>
      <c r="J4" s="9" t="s">
        <v>6</v>
      </c>
      <c r="K4" s="9" t="s">
        <v>4</v>
      </c>
      <c r="L4" s="8" t="s">
        <v>161</v>
      </c>
      <c r="M4" s="8" t="s">
        <v>12</v>
      </c>
      <c r="N4" s="11" t="s">
        <v>151</v>
      </c>
      <c r="O4" s="14" t="s">
        <v>7</v>
      </c>
      <c r="P4" s="14" t="s">
        <v>8</v>
      </c>
      <c r="Q4" s="14" t="s">
        <v>11</v>
      </c>
      <c r="R4" s="11" t="s">
        <v>153</v>
      </c>
      <c r="S4" s="11" t="s">
        <v>152</v>
      </c>
      <c r="T4" s="14" t="s">
        <v>9</v>
      </c>
      <c r="U4" s="14" t="s">
        <v>5</v>
      </c>
      <c r="V4" s="14" t="s">
        <v>27</v>
      </c>
      <c r="W4" s="14" t="s">
        <v>22</v>
      </c>
    </row>
    <row r="5" spans="2:23" x14ac:dyDescent="0.3">
      <c r="B5" t="s">
        <v>264</v>
      </c>
      <c r="C5" s="2" t="s">
        <v>13</v>
      </c>
      <c r="D5" t="s">
        <v>15</v>
      </c>
      <c r="E5">
        <v>110</v>
      </c>
      <c r="F5">
        <v>120</v>
      </c>
      <c r="G5">
        <v>30</v>
      </c>
      <c r="H5">
        <v>500</v>
      </c>
      <c r="I5">
        <v>7</v>
      </c>
      <c r="J5">
        <v>1</v>
      </c>
      <c r="K5">
        <v>1</v>
      </c>
      <c r="L5">
        <v>1</v>
      </c>
      <c r="M5">
        <v>1</v>
      </c>
      <c r="O5">
        <f>E5*G5*(1+(L5-1)*0.8)</f>
        <v>3300</v>
      </c>
      <c r="P5">
        <f>(I5*350+H5)*L5/(K5*(L5*2.5-1.5)*J5*U5)</f>
        <v>2698.3216783216781</v>
      </c>
      <c r="Q5">
        <f>P5*1.25^M5</f>
        <v>3372.9020979020975</v>
      </c>
      <c r="T5">
        <f>1000*E5*(1+(L5-1)*0.8)/F5</f>
        <v>916.66666666666663</v>
      </c>
      <c r="U5">
        <f>(E5/F5)*(1+(L5-1)*0.8)/(0.3+I5/13)</f>
        <v>1.0932721712538227</v>
      </c>
      <c r="V5">
        <f>T5*J5*K5</f>
        <v>916.66666666666663</v>
      </c>
      <c r="W5">
        <f>U5*J5*K5</f>
        <v>1.0932721712538227</v>
      </c>
    </row>
    <row r="6" spans="2:23" x14ac:dyDescent="0.3">
      <c r="C6" s="3"/>
      <c r="D6" s="1" t="s">
        <v>25</v>
      </c>
      <c r="E6" s="12">
        <v>888</v>
      </c>
      <c r="F6" s="12">
        <v>2000</v>
      </c>
      <c r="G6" s="12">
        <v>5</v>
      </c>
      <c r="H6" s="12">
        <v>200</v>
      </c>
      <c r="I6" s="12">
        <v>5</v>
      </c>
      <c r="J6" s="13">
        <v>1</v>
      </c>
      <c r="K6" s="13">
        <v>1</v>
      </c>
      <c r="L6" s="12">
        <v>1</v>
      </c>
      <c r="M6" s="12">
        <v>0</v>
      </c>
      <c r="O6" s="17">
        <f t="shared" ref="O6:O22" si="0">E6*G6*(1+(L6-1)*0.8)</f>
        <v>4440</v>
      </c>
      <c r="P6">
        <f>(I6*350+H6)*L6/(K6*(L6*2.5-1.5)*J6*U6)</f>
        <v>3006.7567567567571</v>
      </c>
      <c r="Q6" s="18">
        <f>P6*1.25^M6</f>
        <v>3006.7567567567571</v>
      </c>
      <c r="T6">
        <f t="shared" ref="T6:T22" si="1">1000*E6*(1+(L6-1)*0.8)/F6</f>
        <v>444</v>
      </c>
      <c r="U6">
        <f t="shared" ref="U6:U22" si="2">(E6/F6)*(1+(L6-1)*0.8)/(0.3+I6/13)</f>
        <v>0.64853932584269658</v>
      </c>
      <c r="V6">
        <f>T6*J6*K6</f>
        <v>444</v>
      </c>
      <c r="W6">
        <f>U6*J6*K6</f>
        <v>0.64853932584269658</v>
      </c>
    </row>
    <row r="7" spans="2:23" x14ac:dyDescent="0.3">
      <c r="C7" s="3"/>
      <c r="E7" s="3"/>
      <c r="F7" s="3"/>
      <c r="G7" s="3"/>
      <c r="H7" s="3"/>
      <c r="I7" s="3"/>
      <c r="J7" s="3"/>
      <c r="K7" s="3"/>
      <c r="L7" s="3"/>
      <c r="M7" s="3"/>
    </row>
    <row r="8" spans="2:23" x14ac:dyDescent="0.3">
      <c r="B8" s="2" t="s">
        <v>147</v>
      </c>
      <c r="C8" s="2" t="s">
        <v>16</v>
      </c>
      <c r="D8" t="s">
        <v>17</v>
      </c>
      <c r="E8" s="3">
        <v>65</v>
      </c>
      <c r="F8" s="3">
        <v>75</v>
      </c>
      <c r="G8" s="3">
        <v>50</v>
      </c>
      <c r="H8" s="3">
        <v>300</v>
      </c>
      <c r="I8" s="3">
        <v>13</v>
      </c>
      <c r="J8" s="3">
        <v>2</v>
      </c>
      <c r="K8" s="3">
        <v>1</v>
      </c>
      <c r="L8" s="3">
        <v>1</v>
      </c>
      <c r="M8" s="3">
        <v>0</v>
      </c>
      <c r="O8">
        <f t="shared" si="0"/>
        <v>3250</v>
      </c>
      <c r="P8">
        <f>(I8*350+H8)*L8/(K8*(L8*2.5-1.5)*J8*U8)</f>
        <v>3637.5</v>
      </c>
      <c r="Q8">
        <f>P8*1.25^M8</f>
        <v>3637.5</v>
      </c>
      <c r="T8">
        <f t="shared" si="1"/>
        <v>866.66666666666663</v>
      </c>
      <c r="U8">
        <f t="shared" si="2"/>
        <v>0.66666666666666663</v>
      </c>
      <c r="V8">
        <f>T8*J8*K8</f>
        <v>1733.3333333333333</v>
      </c>
      <c r="W8">
        <f>U8*J8*K8</f>
        <v>1.3333333333333333</v>
      </c>
    </row>
    <row r="9" spans="2:23" x14ac:dyDescent="0.3">
      <c r="B9" s="6" t="s">
        <v>149</v>
      </c>
      <c r="C9" s="3"/>
      <c r="D9" t="s">
        <v>46</v>
      </c>
      <c r="E9" s="3">
        <v>50</v>
      </c>
      <c r="F9" s="3">
        <v>700</v>
      </c>
      <c r="G9" s="3">
        <v>6</v>
      </c>
      <c r="H9" s="3">
        <v>600</v>
      </c>
      <c r="I9" s="3">
        <v>13</v>
      </c>
      <c r="J9" s="3">
        <v>2</v>
      </c>
      <c r="K9" s="3">
        <v>1</v>
      </c>
      <c r="L9" s="3">
        <v>10</v>
      </c>
      <c r="M9" s="3">
        <v>0</v>
      </c>
      <c r="O9">
        <f t="shared" si="0"/>
        <v>2460</v>
      </c>
      <c r="P9">
        <f>(I9*350+H9)*L9/(K9*(L9*2.5-1.5)*J9*U9)</f>
        <v>2432.018681888947</v>
      </c>
      <c r="Q9">
        <f>P9*1.25^M9</f>
        <v>2432.018681888947</v>
      </c>
      <c r="T9">
        <f t="shared" si="1"/>
        <v>585.71428571428567</v>
      </c>
      <c r="U9">
        <f t="shared" si="2"/>
        <v>0.45054945054945045</v>
      </c>
      <c r="V9">
        <f>T9*J9*K9</f>
        <v>1171.4285714285713</v>
      </c>
      <c r="W9">
        <f>U9*J9*K9</f>
        <v>0.9010989010989009</v>
      </c>
    </row>
    <row r="10" spans="2:23" x14ac:dyDescent="0.3">
      <c r="B10" s="6" t="s">
        <v>150</v>
      </c>
      <c r="C10" s="3"/>
      <c r="D10" s="1" t="s">
        <v>25</v>
      </c>
      <c r="E10" s="12">
        <v>150</v>
      </c>
      <c r="F10" s="12">
        <v>100</v>
      </c>
      <c r="G10" s="12">
        <v>100</v>
      </c>
      <c r="H10" s="12">
        <v>800</v>
      </c>
      <c r="I10" s="12">
        <v>35</v>
      </c>
      <c r="J10" s="13">
        <v>2</v>
      </c>
      <c r="K10" s="13">
        <v>1</v>
      </c>
      <c r="L10" s="12">
        <v>1</v>
      </c>
      <c r="M10" s="12">
        <v>0</v>
      </c>
      <c r="O10" s="16">
        <f t="shared" si="0"/>
        <v>15000</v>
      </c>
      <c r="P10">
        <f>(I10*350+H10)*L10/(K10*(L10*2.5-1.5)*J10*U10)</f>
        <v>13016.538461538463</v>
      </c>
      <c r="Q10" s="16">
        <f>P10*1.25^M10</f>
        <v>13016.538461538463</v>
      </c>
      <c r="T10">
        <f t="shared" si="1"/>
        <v>1500</v>
      </c>
      <c r="U10">
        <f t="shared" si="2"/>
        <v>0.50128534704370176</v>
      </c>
      <c r="V10">
        <f>T10*J10*K10</f>
        <v>3000</v>
      </c>
      <c r="W10">
        <f>U10*J10*K10</f>
        <v>1.0025706940874035</v>
      </c>
    </row>
    <row r="11" spans="2:23" x14ac:dyDescent="0.3">
      <c r="B11" s="6" t="s">
        <v>157</v>
      </c>
      <c r="C11" s="3"/>
      <c r="E11" s="3"/>
      <c r="F11" s="3"/>
      <c r="G11" s="3"/>
      <c r="H11" s="3"/>
      <c r="I11" s="3"/>
      <c r="J11" s="3"/>
      <c r="K11" s="3"/>
      <c r="L11" s="3"/>
      <c r="M11" s="3"/>
    </row>
    <row r="12" spans="2:23" x14ac:dyDescent="0.3">
      <c r="B12" s="7" t="s">
        <v>154</v>
      </c>
      <c r="C12" s="3"/>
      <c r="D12" s="2" t="s">
        <v>163</v>
      </c>
      <c r="E12" s="3"/>
      <c r="F12" s="3"/>
      <c r="G12" s="3"/>
      <c r="H12" s="3"/>
      <c r="I12" s="3"/>
      <c r="J12" s="3"/>
      <c r="K12" s="3"/>
      <c r="L12" s="3"/>
      <c r="M12" s="3"/>
    </row>
    <row r="13" spans="2:23" x14ac:dyDescent="0.3">
      <c r="B13" s="7" t="s">
        <v>155</v>
      </c>
      <c r="C13" s="3"/>
      <c r="E13" s="3"/>
      <c r="F13" s="3"/>
      <c r="G13" s="3"/>
      <c r="H13" s="3"/>
      <c r="I13" s="3"/>
      <c r="J13" s="3"/>
      <c r="K13" s="3"/>
      <c r="L13" s="3"/>
      <c r="M13" s="3"/>
    </row>
    <row r="14" spans="2:23" x14ac:dyDescent="0.3">
      <c r="B14" s="7" t="s">
        <v>156</v>
      </c>
      <c r="C14" s="2" t="s">
        <v>18</v>
      </c>
      <c r="D14" t="s">
        <v>20</v>
      </c>
      <c r="E14" s="3">
        <v>120</v>
      </c>
      <c r="F14" s="3">
        <v>110</v>
      </c>
      <c r="G14" s="3">
        <v>80</v>
      </c>
      <c r="H14" s="3">
        <v>2500</v>
      </c>
      <c r="I14" s="3">
        <v>13</v>
      </c>
      <c r="J14" s="3">
        <v>1</v>
      </c>
      <c r="K14" s="3">
        <v>1.5</v>
      </c>
      <c r="L14" s="3">
        <v>1</v>
      </c>
      <c r="M14" s="3">
        <v>3</v>
      </c>
      <c r="O14">
        <f t="shared" si="0"/>
        <v>9600</v>
      </c>
      <c r="P14">
        <f>(I14*350+H14)*L14/(K14*(L14*2.5-1.5)*J14*U14)</f>
        <v>5600.8333333333339</v>
      </c>
      <c r="Q14">
        <f>P14*1.25^M14</f>
        <v>10939.127604166668</v>
      </c>
      <c r="T14">
        <f t="shared" si="1"/>
        <v>1090.909090909091</v>
      </c>
      <c r="U14">
        <f t="shared" si="2"/>
        <v>0.83916083916083906</v>
      </c>
      <c r="V14">
        <f>T14*J14*K14</f>
        <v>1636.3636363636365</v>
      </c>
      <c r="W14">
        <f>U14*J14*K14</f>
        <v>1.2587412587412585</v>
      </c>
    </row>
    <row r="15" spans="2:23" x14ac:dyDescent="0.3">
      <c r="B15" s="15" t="s">
        <v>148</v>
      </c>
      <c r="C15" s="2" t="s">
        <v>19</v>
      </c>
      <c r="D15" t="s">
        <v>24</v>
      </c>
      <c r="E15" s="3">
        <v>120</v>
      </c>
      <c r="F15" s="3">
        <v>100</v>
      </c>
      <c r="G15" s="3">
        <v>50</v>
      </c>
      <c r="H15" s="3">
        <v>500</v>
      </c>
      <c r="I15" s="3">
        <v>24</v>
      </c>
      <c r="J15" s="3">
        <v>1</v>
      </c>
      <c r="K15" s="3">
        <v>2</v>
      </c>
      <c r="L15" s="3">
        <v>1</v>
      </c>
      <c r="M15" s="3">
        <v>0</v>
      </c>
      <c r="O15">
        <f t="shared" si="0"/>
        <v>6000</v>
      </c>
      <c r="P15">
        <f>(I15*350+H15)*L15/(K15*(L15*2.5-1.5)*J15*U15)</f>
        <v>7958.6538461538466</v>
      </c>
      <c r="Q15">
        <f>P15*1.25^M15</f>
        <v>7958.6538461538466</v>
      </c>
      <c r="T15">
        <f t="shared" si="1"/>
        <v>1200</v>
      </c>
      <c r="U15">
        <f t="shared" si="2"/>
        <v>0.55913978494623651</v>
      </c>
      <c r="V15">
        <f>T15*J15*K15</f>
        <v>2400</v>
      </c>
      <c r="W15">
        <f>U15*J15*K15</f>
        <v>1.118279569892473</v>
      </c>
    </row>
    <row r="16" spans="2:23" x14ac:dyDescent="0.3">
      <c r="B16" s="15" t="s">
        <v>158</v>
      </c>
      <c r="C16" s="3"/>
      <c r="D16" s="1" t="s">
        <v>25</v>
      </c>
      <c r="E16" s="12">
        <v>300</v>
      </c>
      <c r="F16" s="12">
        <v>120</v>
      </c>
      <c r="G16" s="12">
        <v>50</v>
      </c>
      <c r="H16" s="12">
        <v>500</v>
      </c>
      <c r="I16" s="12">
        <v>35</v>
      </c>
      <c r="J16" s="13">
        <v>1</v>
      </c>
      <c r="K16" s="12">
        <v>2</v>
      </c>
      <c r="L16" s="12">
        <v>1</v>
      </c>
      <c r="M16" s="12">
        <v>3</v>
      </c>
      <c r="O16" s="16">
        <f t="shared" si="0"/>
        <v>15000</v>
      </c>
      <c r="P16">
        <f>(I16*350+H16)*L16/(K16*(L16*2.5-1.5)*J16*U16)</f>
        <v>7630.3846153846152</v>
      </c>
      <c r="Q16" s="16">
        <f>P16*1.25^M16</f>
        <v>14903.094951923076</v>
      </c>
      <c r="T16">
        <f t="shared" si="1"/>
        <v>2500</v>
      </c>
      <c r="U16">
        <f t="shared" si="2"/>
        <v>0.83547557840616971</v>
      </c>
      <c r="V16">
        <f>T16*J16*K16</f>
        <v>5000</v>
      </c>
      <c r="W16">
        <f>U16*J16*K16</f>
        <v>1.6709511568123394</v>
      </c>
    </row>
    <row r="17" spans="2:23" x14ac:dyDescent="0.3">
      <c r="B17" s="15" t="s">
        <v>159</v>
      </c>
      <c r="C17" s="3"/>
    </row>
    <row r="18" spans="2:23" x14ac:dyDescent="0.3">
      <c r="C18" s="3"/>
    </row>
    <row r="19" spans="2:23" x14ac:dyDescent="0.3">
      <c r="C19" s="3"/>
      <c r="D19" s="2" t="s">
        <v>162</v>
      </c>
    </row>
    <row r="20" spans="2:23" x14ac:dyDescent="0.3">
      <c r="C20" s="3"/>
    </row>
    <row r="21" spans="2:23" x14ac:dyDescent="0.3">
      <c r="C21" s="2" t="s">
        <v>21</v>
      </c>
      <c r="D21" t="s">
        <v>26</v>
      </c>
      <c r="E21">
        <v>380</v>
      </c>
      <c r="F21">
        <v>250</v>
      </c>
      <c r="G21">
        <v>6</v>
      </c>
      <c r="H21">
        <v>1000</v>
      </c>
      <c r="I21">
        <v>22</v>
      </c>
      <c r="J21">
        <v>2</v>
      </c>
      <c r="K21">
        <v>2</v>
      </c>
      <c r="L21">
        <v>1</v>
      </c>
      <c r="M21">
        <v>0</v>
      </c>
      <c r="O21">
        <f t="shared" si="0"/>
        <v>2280</v>
      </c>
      <c r="P21">
        <f>(I21*350+H21)*L21/(K21*(L21*2.5-1.5)*J21*U21)</f>
        <v>2850.8350202429151</v>
      </c>
      <c r="Q21">
        <f>P21*1.25^M21</f>
        <v>2850.8350202429151</v>
      </c>
      <c r="T21">
        <f t="shared" si="1"/>
        <v>1520</v>
      </c>
      <c r="U21">
        <f t="shared" si="2"/>
        <v>0.7629343629343629</v>
      </c>
      <c r="V21">
        <f>T21*J21*K21</f>
        <v>6080</v>
      </c>
      <c r="W21">
        <f>U21*J21*K21</f>
        <v>3.0517374517374516</v>
      </c>
    </row>
    <row r="22" spans="2:23" x14ac:dyDescent="0.3">
      <c r="C22" s="3"/>
      <c r="D22" s="1" t="s">
        <v>25</v>
      </c>
      <c r="E22" s="12">
        <v>270</v>
      </c>
      <c r="F22" s="12">
        <v>220</v>
      </c>
      <c r="G22" s="12">
        <v>50</v>
      </c>
      <c r="H22" s="12">
        <v>800</v>
      </c>
      <c r="I22" s="12">
        <v>32</v>
      </c>
      <c r="J22" s="13">
        <v>2</v>
      </c>
      <c r="K22" s="13">
        <v>2</v>
      </c>
      <c r="L22" s="12">
        <v>1</v>
      </c>
      <c r="M22" s="12">
        <v>3</v>
      </c>
      <c r="O22" s="16">
        <f t="shared" si="0"/>
        <v>13500</v>
      </c>
      <c r="P22">
        <f>(I22*350+H22)*L22/(K22*(L22*2.5-1.5)*J22*U22)</f>
        <v>6750.4273504273506</v>
      </c>
      <c r="Q22" s="16">
        <f>P22*1.25^M22</f>
        <v>13184.42841880342</v>
      </c>
      <c r="T22">
        <f t="shared" si="1"/>
        <v>1227.2727272727273</v>
      </c>
      <c r="U22">
        <f t="shared" si="2"/>
        <v>0.44441630792605724</v>
      </c>
      <c r="V22">
        <f>T22*J22*K22</f>
        <v>4909.090909090909</v>
      </c>
      <c r="W22">
        <f>U22*J22*K22</f>
        <v>1.777665231704229</v>
      </c>
    </row>
    <row r="23" spans="2:23" x14ac:dyDescent="0.3">
      <c r="C23" s="3"/>
    </row>
    <row r="24" spans="2:23" x14ac:dyDescent="0.3">
      <c r="C24" s="4" t="s">
        <v>39</v>
      </c>
      <c r="D24" s="2" t="s">
        <v>160</v>
      </c>
    </row>
    <row r="25" spans="2:23" x14ac:dyDescent="0.3">
      <c r="C25" s="3"/>
      <c r="D25" t="s">
        <v>206</v>
      </c>
    </row>
    <row r="26" spans="2:23" x14ac:dyDescent="0.3">
      <c r="C26" s="3"/>
    </row>
    <row r="27" spans="2:23" x14ac:dyDescent="0.3">
      <c r="C27" s="4" t="s">
        <v>40</v>
      </c>
      <c r="D27" t="s">
        <v>196</v>
      </c>
    </row>
    <row r="28" spans="2:23" x14ac:dyDescent="0.3">
      <c r="D28" t="s">
        <v>197</v>
      </c>
    </row>
    <row r="29" spans="2:23" x14ac:dyDescent="0.3">
      <c r="D29" t="s">
        <v>47</v>
      </c>
    </row>
    <row r="30" spans="2:23" x14ac:dyDescent="0.3">
      <c r="D30" t="s">
        <v>179</v>
      </c>
    </row>
    <row r="31" spans="2:23" x14ac:dyDescent="0.3">
      <c r="D31" t="s">
        <v>178</v>
      </c>
    </row>
    <row r="32" spans="2:23" x14ac:dyDescent="0.3">
      <c r="D32" t="s">
        <v>256</v>
      </c>
    </row>
    <row r="33" spans="4:4" x14ac:dyDescent="0.3">
      <c r="D33" t="s">
        <v>77</v>
      </c>
    </row>
    <row r="34" spans="4:4" x14ac:dyDescent="0.3">
      <c r="D34" t="s">
        <v>142</v>
      </c>
    </row>
    <row r="35" spans="4:4" x14ac:dyDescent="0.3">
      <c r="D35" t="s">
        <v>140</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1776-299B-496E-8462-E6326FE1AD56}">
  <dimension ref="A1:T32"/>
  <sheetViews>
    <sheetView zoomScaleNormal="100" workbookViewId="0">
      <selection activeCell="A6" sqref="A6:A12"/>
    </sheetView>
  </sheetViews>
  <sheetFormatPr defaultRowHeight="14" x14ac:dyDescent="0.3"/>
  <cols>
    <col min="1" max="1" width="17.5" customWidth="1"/>
    <col min="2" max="2" width="10.08203125" customWidth="1"/>
    <col min="3" max="3" width="15" customWidth="1"/>
    <col min="4" max="4" width="8" customWidth="1"/>
    <col min="5" max="5" width="7.9140625" customWidth="1"/>
    <col min="6" max="6" width="6.75" customWidth="1"/>
    <col min="7" max="7" width="6.5" customWidth="1"/>
    <col min="8" max="8" width="8.1640625" customWidth="1"/>
    <col min="9" max="9" width="10.83203125" customWidth="1"/>
    <col min="10" max="10" width="7" customWidth="1"/>
    <col min="11" max="11" width="7.6640625" customWidth="1"/>
    <col min="12" max="12" width="11.58203125" customWidth="1"/>
    <col min="13" max="13" width="12.08203125" customWidth="1"/>
    <col min="19" max="20" width="12.25" customWidth="1"/>
  </cols>
  <sheetData>
    <row r="1" spans="1:20" x14ac:dyDescent="0.3">
      <c r="A1" t="s">
        <v>182</v>
      </c>
      <c r="D1" t="s">
        <v>45</v>
      </c>
      <c r="E1" t="s">
        <v>185</v>
      </c>
      <c r="H1" t="s">
        <v>186</v>
      </c>
      <c r="J1" t="s">
        <v>187</v>
      </c>
      <c r="K1" t="s">
        <v>188</v>
      </c>
      <c r="L1" t="s">
        <v>189</v>
      </c>
      <c r="M1" t="s">
        <v>164</v>
      </c>
      <c r="O1" t="s">
        <v>216</v>
      </c>
    </row>
    <row r="2" spans="1:20" x14ac:dyDescent="0.3">
      <c r="A2" t="s">
        <v>181</v>
      </c>
      <c r="B2" s="10" t="s">
        <v>48</v>
      </c>
      <c r="C2" s="10" t="s">
        <v>195</v>
      </c>
      <c r="D2" s="8" t="s">
        <v>14</v>
      </c>
      <c r="E2" s="8" t="s">
        <v>111</v>
      </c>
      <c r="F2" s="8" t="s">
        <v>165</v>
      </c>
      <c r="G2" s="8" t="s">
        <v>166</v>
      </c>
      <c r="H2" s="8" t="s">
        <v>167</v>
      </c>
      <c r="I2" s="8" t="s">
        <v>393</v>
      </c>
      <c r="J2" s="8" t="s">
        <v>168</v>
      </c>
      <c r="K2" s="8" t="s">
        <v>169</v>
      </c>
      <c r="L2" s="8" t="s">
        <v>170</v>
      </c>
      <c r="M2" s="8" t="s">
        <v>12</v>
      </c>
      <c r="N2" s="11" t="s">
        <v>151</v>
      </c>
      <c r="O2" s="14" t="s">
        <v>171</v>
      </c>
      <c r="P2" s="14" t="s">
        <v>172</v>
      </c>
      <c r="Q2" s="14" t="s">
        <v>173</v>
      </c>
      <c r="R2" s="11" t="s">
        <v>153</v>
      </c>
      <c r="S2" s="14" t="s">
        <v>394</v>
      </c>
      <c r="T2" s="14" t="s">
        <v>395</v>
      </c>
    </row>
    <row r="3" spans="1:20" x14ac:dyDescent="0.3">
      <c r="B3" s="2" t="s">
        <v>174</v>
      </c>
      <c r="C3" t="s">
        <v>177</v>
      </c>
      <c r="D3">
        <v>10</v>
      </c>
      <c r="E3">
        <v>70</v>
      </c>
      <c r="F3">
        <v>50</v>
      </c>
      <c r="G3">
        <v>20</v>
      </c>
      <c r="H3">
        <v>10</v>
      </c>
      <c r="I3">
        <v>0</v>
      </c>
      <c r="J3">
        <v>4</v>
      </c>
      <c r="K3">
        <v>0</v>
      </c>
      <c r="L3">
        <v>0</v>
      </c>
      <c r="M3">
        <v>0</v>
      </c>
      <c r="O3">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240</v>
      </c>
      <c r="P3">
        <f>表2_2[[#This Row],[限制等级]]*20+表2_2[[#This Row],[重量]]*10</f>
        <v>240</v>
      </c>
      <c r="Q3">
        <f t="shared" ref="Q3:Q9" si="0">P3*1.25^M3</f>
        <v>240</v>
      </c>
      <c r="S3">
        <f>10+表2_2[[#This Row],[限制等级]]*0.2</f>
        <v>12</v>
      </c>
      <c r="T3">
        <f>25+表2_2[[#This Row],[限制等级]]*0.2</f>
        <v>27</v>
      </c>
    </row>
    <row r="4" spans="1:20" x14ac:dyDescent="0.3">
      <c r="B4" s="3"/>
      <c r="C4" t="s">
        <v>176</v>
      </c>
      <c r="D4" s="3">
        <v>18</v>
      </c>
      <c r="E4" s="3">
        <v>135</v>
      </c>
      <c r="F4" s="3">
        <v>80</v>
      </c>
      <c r="G4" s="3">
        <v>30</v>
      </c>
      <c r="H4" s="3">
        <v>20</v>
      </c>
      <c r="I4" s="3">
        <v>0</v>
      </c>
      <c r="J4" s="3">
        <v>8</v>
      </c>
      <c r="K4" s="3">
        <v>0</v>
      </c>
      <c r="L4" s="3">
        <v>10</v>
      </c>
      <c r="M4" s="3">
        <v>0</v>
      </c>
      <c r="O4">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450</v>
      </c>
      <c r="P4">
        <f>表2_2[[#This Row],[限制等级]]*20+表2_2[[#This Row],[重量]]*10</f>
        <v>440</v>
      </c>
      <c r="Q4">
        <f t="shared" si="0"/>
        <v>440</v>
      </c>
      <c r="S4">
        <f>10+表2_2[[#This Row],[限制等级]]*0.2</f>
        <v>13.6</v>
      </c>
      <c r="T4">
        <f>25+表2_2[[#This Row],[限制等级]]*0.2</f>
        <v>28.6</v>
      </c>
    </row>
    <row r="5" spans="1:20" x14ac:dyDescent="0.3">
      <c r="B5" s="3"/>
      <c r="C5" t="s">
        <v>260</v>
      </c>
      <c r="D5" s="3">
        <v>21</v>
      </c>
      <c r="E5" s="3">
        <v>160</v>
      </c>
      <c r="F5" s="3">
        <v>60</v>
      </c>
      <c r="G5" s="3">
        <v>35</v>
      </c>
      <c r="H5" s="3">
        <v>45</v>
      </c>
      <c r="I5" s="3">
        <v>0</v>
      </c>
      <c r="J5" s="3">
        <v>2</v>
      </c>
      <c r="K5" s="3">
        <v>0</v>
      </c>
      <c r="L5" s="3">
        <v>0</v>
      </c>
      <c r="M5" s="3">
        <v>1</v>
      </c>
      <c r="O5">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550</v>
      </c>
      <c r="P5">
        <f>表2_2[[#This Row],[限制等级]]*20+表2_2[[#This Row],[重量]]*10</f>
        <v>440</v>
      </c>
      <c r="Q5">
        <f t="shared" si="0"/>
        <v>550</v>
      </c>
      <c r="S5">
        <f>10+表2_2[[#This Row],[限制等级]]*0.2</f>
        <v>14.2</v>
      </c>
      <c r="T5">
        <f>25+表2_2[[#This Row],[限制等级]]*0.2</f>
        <v>29.2</v>
      </c>
    </row>
    <row r="6" spans="1:20" x14ac:dyDescent="0.3">
      <c r="A6" s="2" t="s">
        <v>147</v>
      </c>
      <c r="B6" s="2"/>
      <c r="C6" t="s">
        <v>398</v>
      </c>
      <c r="D6" s="3">
        <v>20</v>
      </c>
      <c r="E6" s="3">
        <v>250</v>
      </c>
      <c r="F6" s="3">
        <v>250</v>
      </c>
      <c r="G6" s="3">
        <v>0</v>
      </c>
      <c r="H6" s="3">
        <v>0</v>
      </c>
      <c r="I6" s="3">
        <v>0</v>
      </c>
      <c r="J6" s="3">
        <v>6</v>
      </c>
      <c r="K6" s="3">
        <v>35</v>
      </c>
      <c r="L6" s="3">
        <v>0</v>
      </c>
      <c r="M6" s="3">
        <v>3</v>
      </c>
      <c r="O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890</v>
      </c>
      <c r="P6">
        <f>表2_2[[#This Row],[限制等级]]*20+表2_2[[#This Row],[重量]]*10</f>
        <v>460</v>
      </c>
      <c r="Q6">
        <f t="shared" si="0"/>
        <v>898.4375</v>
      </c>
      <c r="S6">
        <f>10+表2_2[[#This Row],[限制等级]]*0.2</f>
        <v>14</v>
      </c>
      <c r="T6">
        <f>25+表2_2[[#This Row],[限制等级]]*0.2</f>
        <v>29</v>
      </c>
    </row>
    <row r="7" spans="1:20" x14ac:dyDescent="0.3">
      <c r="A7" s="6" t="s">
        <v>149</v>
      </c>
      <c r="B7" s="3"/>
      <c r="C7" s="19" t="s">
        <v>183</v>
      </c>
      <c r="D7" s="3">
        <v>28</v>
      </c>
      <c r="E7" s="3">
        <v>200</v>
      </c>
      <c r="F7" s="3">
        <v>100</v>
      </c>
      <c r="G7" s="3">
        <v>100</v>
      </c>
      <c r="H7" s="3">
        <v>60</v>
      </c>
      <c r="I7" s="3">
        <v>0</v>
      </c>
      <c r="J7" s="3">
        <v>8</v>
      </c>
      <c r="K7" s="3">
        <v>0</v>
      </c>
      <c r="L7" s="3">
        <v>20</v>
      </c>
      <c r="M7" s="3">
        <v>1</v>
      </c>
      <c r="O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800</v>
      </c>
      <c r="P7">
        <f>表2_2[[#This Row],[限制等级]]*20+表2_2[[#This Row],[重量]]*10</f>
        <v>640</v>
      </c>
      <c r="Q7">
        <f t="shared" si="0"/>
        <v>800</v>
      </c>
      <c r="S7">
        <f>10+表2_2[[#This Row],[限制等级]]*0.2</f>
        <v>15.600000000000001</v>
      </c>
      <c r="T7">
        <f>25+表2_2[[#This Row],[限制等级]]*0.2</f>
        <v>30.6</v>
      </c>
    </row>
    <row r="8" spans="1:20" x14ac:dyDescent="0.3">
      <c r="A8" s="6" t="s">
        <v>150</v>
      </c>
      <c r="B8" s="3"/>
      <c r="C8" t="s">
        <v>184</v>
      </c>
      <c r="D8" s="3">
        <v>31</v>
      </c>
      <c r="E8" s="3">
        <v>180</v>
      </c>
      <c r="F8" s="3">
        <v>75</v>
      </c>
      <c r="G8" s="3">
        <v>35</v>
      </c>
      <c r="H8" s="3">
        <v>30</v>
      </c>
      <c r="I8" s="3">
        <v>0</v>
      </c>
      <c r="J8" s="3">
        <v>-5</v>
      </c>
      <c r="K8" s="3">
        <v>0</v>
      </c>
      <c r="L8" s="3">
        <v>0</v>
      </c>
      <c r="M8" s="3">
        <v>0</v>
      </c>
      <c r="O8">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560</v>
      </c>
      <c r="P8">
        <f>表2_2[[#This Row],[限制等级]]*20+表2_2[[#This Row],[重量]]*10</f>
        <v>570</v>
      </c>
      <c r="Q8">
        <f t="shared" si="0"/>
        <v>570</v>
      </c>
      <c r="S8">
        <f>10+表2_2[[#This Row],[限制等级]]*0.2</f>
        <v>16.2</v>
      </c>
      <c r="T8">
        <f>25+表2_2[[#This Row],[限制等级]]*0.2</f>
        <v>31.2</v>
      </c>
    </row>
    <row r="9" spans="1:20" x14ac:dyDescent="0.3">
      <c r="A9" s="6" t="s">
        <v>157</v>
      </c>
      <c r="B9" s="3"/>
      <c r="C9" t="s">
        <v>257</v>
      </c>
      <c r="D9" s="3">
        <v>33</v>
      </c>
      <c r="E9" s="3">
        <v>230</v>
      </c>
      <c r="F9" s="3">
        <v>130</v>
      </c>
      <c r="G9" s="3">
        <v>50</v>
      </c>
      <c r="H9" s="3">
        <v>100</v>
      </c>
      <c r="I9" s="3">
        <v>0</v>
      </c>
      <c r="J9" s="3">
        <v>10</v>
      </c>
      <c r="K9" s="3">
        <v>0</v>
      </c>
      <c r="L9" s="3">
        <v>20</v>
      </c>
      <c r="M9" s="3">
        <v>1</v>
      </c>
      <c r="O9">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960</v>
      </c>
      <c r="P9">
        <f>表2_2[[#This Row],[限制等级]]*20+表2_2[[#This Row],[重量]]*10</f>
        <v>760</v>
      </c>
      <c r="Q9">
        <f t="shared" si="0"/>
        <v>950</v>
      </c>
      <c r="S9">
        <f>10+表2_2[[#This Row],[限制等级]]*0.2</f>
        <v>16.600000000000001</v>
      </c>
      <c r="T9">
        <f>25+表2_2[[#This Row],[限制等级]]*0.2</f>
        <v>31.6</v>
      </c>
    </row>
    <row r="10" spans="1:20" x14ac:dyDescent="0.3">
      <c r="A10" s="15" t="s">
        <v>148</v>
      </c>
      <c r="B10" s="3"/>
      <c r="C10" s="1" t="s">
        <v>175</v>
      </c>
      <c r="D10" s="12">
        <v>10</v>
      </c>
      <c r="E10" s="12">
        <v>105</v>
      </c>
      <c r="F10" s="12">
        <v>0</v>
      </c>
      <c r="G10" s="12">
        <v>0</v>
      </c>
      <c r="H10" s="12">
        <v>0</v>
      </c>
      <c r="I10" s="12">
        <v>0</v>
      </c>
      <c r="J10" s="12">
        <v>1</v>
      </c>
      <c r="K10" s="12">
        <v>0</v>
      </c>
      <c r="L10" s="12">
        <v>0</v>
      </c>
      <c r="M10" s="12">
        <v>0</v>
      </c>
      <c r="O10"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210</v>
      </c>
      <c r="P10">
        <f>表2_2[[#This Row],[限制等级]]*20+表2_2[[#This Row],[重量]]*10</f>
        <v>210</v>
      </c>
      <c r="Q10" s="16">
        <f>P10*1.25^M10</f>
        <v>210</v>
      </c>
      <c r="S10">
        <f>10+表2_2[[#This Row],[限制等级]]*0.2</f>
        <v>12</v>
      </c>
      <c r="T10">
        <f>25+表2_2[[#This Row],[限制等级]]*0.2</f>
        <v>27</v>
      </c>
    </row>
    <row r="11" spans="1:20" x14ac:dyDescent="0.3">
      <c r="A11" s="15" t="s">
        <v>158</v>
      </c>
      <c r="B11" s="3"/>
      <c r="D11" s="3"/>
      <c r="E11" s="3"/>
      <c r="F11" s="3"/>
      <c r="G11" s="3"/>
      <c r="H11" s="3"/>
      <c r="I11" s="3"/>
      <c r="J11" s="3"/>
      <c r="K11" s="3"/>
      <c r="L11" s="3"/>
      <c r="M11" s="3"/>
    </row>
    <row r="12" spans="1:20" x14ac:dyDescent="0.3">
      <c r="A12" s="15" t="s">
        <v>194</v>
      </c>
      <c r="B12" s="3"/>
      <c r="C12" s="24" t="s">
        <v>234</v>
      </c>
      <c r="D12" s="2" t="s">
        <v>485</v>
      </c>
      <c r="E12" s="3"/>
      <c r="F12" s="3"/>
      <c r="G12" s="3"/>
      <c r="H12" s="3"/>
      <c r="I12" s="3"/>
      <c r="J12" s="3"/>
      <c r="K12" s="3"/>
      <c r="L12" s="3"/>
      <c r="M12" s="3"/>
    </row>
    <row r="13" spans="1:20" x14ac:dyDescent="0.3">
      <c r="B13" s="3"/>
      <c r="C13" s="2"/>
      <c r="D13" s="2" t="s">
        <v>486</v>
      </c>
      <c r="E13" s="3"/>
      <c r="F13" s="3"/>
      <c r="G13" s="3"/>
      <c r="H13" s="3"/>
      <c r="I13" s="3"/>
      <c r="J13" s="3"/>
      <c r="K13" s="3"/>
      <c r="L13" s="3"/>
      <c r="M13" s="3"/>
    </row>
    <row r="14" spans="1:20" x14ac:dyDescent="0.3">
      <c r="B14" s="3"/>
      <c r="C14" s="2"/>
      <c r="D14" s="2"/>
      <c r="E14" s="3"/>
      <c r="F14" s="3"/>
      <c r="G14" s="3"/>
      <c r="H14" s="3"/>
      <c r="I14" s="3"/>
      <c r="J14" s="3"/>
      <c r="K14" s="3"/>
      <c r="L14" s="3"/>
      <c r="M14" s="3"/>
      <c r="S14">
        <f>10+表2_2[[#This Row],[限制等级]]*0.2</f>
        <v>10</v>
      </c>
      <c r="T14">
        <f>25+表2_2[[#This Row],[限制等级]]*0.2</f>
        <v>25</v>
      </c>
    </row>
    <row r="15" spans="1:20" x14ac:dyDescent="0.3">
      <c r="B15" s="2" t="s">
        <v>484</v>
      </c>
      <c r="C15" s="1" t="s">
        <v>175</v>
      </c>
      <c r="D15" s="12">
        <v>10</v>
      </c>
      <c r="E15" s="12">
        <v>5</v>
      </c>
      <c r="F15" s="12">
        <v>0</v>
      </c>
      <c r="G15" s="12">
        <v>0</v>
      </c>
      <c r="H15" s="12">
        <v>0</v>
      </c>
      <c r="I15" s="12">
        <v>0</v>
      </c>
      <c r="J15" s="12">
        <v>1</v>
      </c>
      <c r="K15" s="12">
        <v>50</v>
      </c>
      <c r="L15" s="12">
        <v>0</v>
      </c>
      <c r="M15" s="12">
        <v>0</v>
      </c>
      <c r="O15"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Row],[加权总分]]*0.7,表2_2[[#This Row],[伤害加成]]*3+表2_2[[#This Row],[刀/枪总加成]]*3,表2_2[[#This Row],[伤害加成]]*3+表2_2[[#This Row],[刀/枪总加成]]*3+2*(表2_2[[#This Row],[伤害加成]]*3+表2_2[[#This Row],[刀/枪总加成]]*3-表2_2[[#This Row],[加权总分]]*0.7))+IF(表2_2[[#This Row],[刀/枪总加成]]*3&gt;表2_2[[#This Row],[加权总分]]*0.3,2*(表2_2[[#This Row],[刀/枪总加成]]*3-表2_2[[#This Row],[加权总分]]*0.3),0)+表2_2[[#This Row],[空手加成]]*4+表2_2[[#This Row],[法抗]]</f>
        <v>210</v>
      </c>
      <c r="P15">
        <f>表2_2[[#This Row],[限制等级]]*20+表2_2[[#This Row],[重量]]*10</f>
        <v>210</v>
      </c>
      <c r="Q15" s="16">
        <f>P15*1.25^M15</f>
        <v>210</v>
      </c>
      <c r="S15">
        <f>10+表2_2[[#This Row],[限制等级]]*0.2</f>
        <v>12</v>
      </c>
      <c r="T15">
        <f>25+表2_2[[#This Row],[限制等级]]*0.2</f>
        <v>27</v>
      </c>
    </row>
    <row r="16" spans="1:20" x14ac:dyDescent="0.3">
      <c r="B16" s="2"/>
      <c r="D16" s="3"/>
      <c r="E16" s="3"/>
      <c r="F16" s="3"/>
      <c r="G16" s="3"/>
      <c r="H16" s="3"/>
      <c r="I16" s="3"/>
      <c r="J16" s="3"/>
      <c r="K16" s="3"/>
      <c r="L16" s="3"/>
      <c r="M16" s="3"/>
    </row>
    <row r="17" spans="2:20" x14ac:dyDescent="0.3">
      <c r="B17" s="2" t="s">
        <v>192</v>
      </c>
      <c r="C17" t="s">
        <v>193</v>
      </c>
      <c r="D17">
        <v>20</v>
      </c>
      <c r="E17">
        <v>90</v>
      </c>
      <c r="F17">
        <v>120</v>
      </c>
      <c r="G17">
        <v>80</v>
      </c>
      <c r="H17">
        <v>35</v>
      </c>
      <c r="I17">
        <v>0</v>
      </c>
      <c r="J17">
        <v>0</v>
      </c>
      <c r="K17">
        <v>0</v>
      </c>
      <c r="L17">
        <v>0</v>
      </c>
      <c r="M17">
        <v>1</v>
      </c>
      <c r="O1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485</v>
      </c>
      <c r="P17">
        <f>表2_2[[#This Row],[限制等级]]*20</f>
        <v>400</v>
      </c>
      <c r="Q17">
        <f t="shared" ref="Q17:Q18" si="1">P17*1.25^M17</f>
        <v>500</v>
      </c>
      <c r="S17">
        <v>0</v>
      </c>
      <c r="T17">
        <v>0</v>
      </c>
    </row>
    <row r="18" spans="2:20" x14ac:dyDescent="0.3">
      <c r="B18" s="3"/>
      <c r="C18" s="1" t="s">
        <v>258</v>
      </c>
      <c r="D18" s="12">
        <v>35</v>
      </c>
      <c r="E18" s="12">
        <v>100</v>
      </c>
      <c r="F18" s="12">
        <v>250</v>
      </c>
      <c r="G18" s="12">
        <v>250</v>
      </c>
      <c r="H18" s="12">
        <v>0</v>
      </c>
      <c r="I18" s="12">
        <v>0</v>
      </c>
      <c r="J18" s="12">
        <v>0</v>
      </c>
      <c r="K18" s="12">
        <v>0</v>
      </c>
      <c r="L18" s="12">
        <v>0</v>
      </c>
      <c r="M18" s="12">
        <v>0</v>
      </c>
      <c r="O18"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700</v>
      </c>
      <c r="P18">
        <f>表2_2[[#This Row],[限制等级]]*20</f>
        <v>700</v>
      </c>
      <c r="Q18" s="16">
        <f t="shared" si="1"/>
        <v>700</v>
      </c>
      <c r="S18">
        <v>0</v>
      </c>
      <c r="T18">
        <v>0</v>
      </c>
    </row>
    <row r="19" spans="2:20" x14ac:dyDescent="0.3">
      <c r="B19" s="3"/>
      <c r="C19" s="1"/>
      <c r="D19" s="1"/>
      <c r="E19" s="1"/>
      <c r="F19" s="1"/>
      <c r="G19" s="1"/>
      <c r="H19" s="1"/>
      <c r="I19" s="1"/>
      <c r="J19" s="1"/>
      <c r="K19" s="1"/>
      <c r="L19" s="1"/>
      <c r="M19" s="1"/>
      <c r="N19" s="1"/>
      <c r="O19" s="1"/>
      <c r="P19" s="1"/>
      <c r="Q19" s="1"/>
      <c r="R19" s="1"/>
      <c r="S19" s="1"/>
      <c r="T19" s="1"/>
    </row>
    <row r="20" spans="2:20" x14ac:dyDescent="0.3">
      <c r="B20" s="3"/>
      <c r="C20" s="24" t="s">
        <v>234</v>
      </c>
      <c r="D20" s="2" t="s">
        <v>397</v>
      </c>
      <c r="E20" s="1"/>
      <c r="F20" s="1"/>
      <c r="G20" s="1"/>
      <c r="H20" s="1"/>
      <c r="I20" s="1"/>
      <c r="J20" s="1"/>
      <c r="K20" s="1"/>
      <c r="L20" s="1"/>
      <c r="M20" s="1"/>
      <c r="N20" s="1"/>
      <c r="O20" s="1"/>
      <c r="P20" s="1"/>
      <c r="Q20" s="1"/>
      <c r="R20" s="1"/>
      <c r="S20" s="1"/>
      <c r="T20" s="1"/>
    </row>
    <row r="21" spans="2:20" x14ac:dyDescent="0.3">
      <c r="B21" s="3"/>
    </row>
    <row r="22" spans="2:20" x14ac:dyDescent="0.3">
      <c r="B22" s="4" t="s">
        <v>39</v>
      </c>
      <c r="C22" s="2" t="s">
        <v>190</v>
      </c>
    </row>
    <row r="23" spans="2:20" x14ac:dyDescent="0.3">
      <c r="B23" s="3"/>
      <c r="C23" t="s">
        <v>205</v>
      </c>
    </row>
    <row r="24" spans="2:20" x14ac:dyDescent="0.3">
      <c r="B24" s="3"/>
    </row>
    <row r="25" spans="2:20" x14ac:dyDescent="0.3">
      <c r="B25" s="4" t="s">
        <v>40</v>
      </c>
      <c r="C25" t="s">
        <v>318</v>
      </c>
    </row>
    <row r="26" spans="2:20" x14ac:dyDescent="0.3">
      <c r="C26" t="s">
        <v>197</v>
      </c>
    </row>
    <row r="27" spans="2:20" x14ac:dyDescent="0.3">
      <c r="C27" t="s">
        <v>47</v>
      </c>
    </row>
    <row r="28" spans="2:20" x14ac:dyDescent="0.3">
      <c r="C28" t="s">
        <v>180</v>
      </c>
    </row>
    <row r="29" spans="2:20" x14ac:dyDescent="0.3">
      <c r="C29" t="s">
        <v>317</v>
      </c>
    </row>
    <row r="30" spans="2:20" x14ac:dyDescent="0.3">
      <c r="C30" t="s">
        <v>191</v>
      </c>
    </row>
    <row r="31" spans="2:20" x14ac:dyDescent="0.3">
      <c r="C31" t="s">
        <v>396</v>
      </c>
    </row>
    <row r="32" spans="2:20" x14ac:dyDescent="0.3">
      <c r="C32" t="s">
        <v>319</v>
      </c>
    </row>
  </sheetData>
  <phoneticPr fontId="1" type="noConversion"/>
  <pageMargins left="0.7" right="0.7" top="0.75" bottom="0.75" header="0.3" footer="0.3"/>
  <pageSetup paperSize="9" orientation="portrait" r:id="rId1"/>
  <ignoredErrors>
    <ignoredError sqref="S17:T17 S18:T18"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B5CA-E031-44AD-AD67-22BEED664136}">
  <dimension ref="A1:J22"/>
  <sheetViews>
    <sheetView tabSelected="1" workbookViewId="0">
      <selection activeCell="H19" sqref="H19"/>
    </sheetView>
  </sheetViews>
  <sheetFormatPr defaultRowHeight="14" x14ac:dyDescent="0.3"/>
  <cols>
    <col min="1" max="1" width="15.25" customWidth="1"/>
    <col min="3" max="3" width="10.5" customWidth="1"/>
    <col min="5" max="5" width="8.6640625" customWidth="1"/>
    <col min="6" max="6" width="11.75" customWidth="1"/>
    <col min="7" max="7" width="8.25" customWidth="1"/>
    <col min="10" max="10" width="9.6640625" customWidth="1"/>
  </cols>
  <sheetData>
    <row r="1" spans="1:10" x14ac:dyDescent="0.3">
      <c r="A1" t="s">
        <v>35</v>
      </c>
      <c r="D1" t="s">
        <v>45</v>
      </c>
      <c r="E1" t="s">
        <v>295</v>
      </c>
    </row>
    <row r="2" spans="1:10" x14ac:dyDescent="0.3">
      <c r="D2" t="s">
        <v>14</v>
      </c>
      <c r="E2" t="s">
        <v>168</v>
      </c>
      <c r="F2" t="s">
        <v>269</v>
      </c>
      <c r="G2" t="s">
        <v>36</v>
      </c>
      <c r="J2" t="s">
        <v>37</v>
      </c>
    </row>
    <row r="3" spans="1:10" x14ac:dyDescent="0.3">
      <c r="C3" t="s">
        <v>38</v>
      </c>
      <c r="D3">
        <v>13</v>
      </c>
      <c r="E3">
        <v>2</v>
      </c>
      <c r="F3">
        <v>1</v>
      </c>
      <c r="G3">
        <v>0</v>
      </c>
      <c r="J3">
        <f>(D3*10*1.25^G3+E3*3)/1.6^(F3-1)</f>
        <v>136</v>
      </c>
    </row>
    <row r="4" spans="1:10" x14ac:dyDescent="0.3">
      <c r="C4" s="1" t="s">
        <v>51</v>
      </c>
      <c r="D4" s="37">
        <v>35</v>
      </c>
      <c r="E4" s="37">
        <v>3</v>
      </c>
      <c r="F4" s="37">
        <v>1</v>
      </c>
      <c r="G4" s="37">
        <v>0</v>
      </c>
      <c r="J4" s="40">
        <f>(D4*10*1.25^G4+E4*3)/1.6^(F4-1)</f>
        <v>359</v>
      </c>
    </row>
    <row r="5" spans="1:10" x14ac:dyDescent="0.3">
      <c r="A5" s="2" t="s">
        <v>147</v>
      </c>
    </row>
    <row r="6" spans="1:10" x14ac:dyDescent="0.3">
      <c r="A6" s="6" t="s">
        <v>149</v>
      </c>
    </row>
    <row r="7" spans="1:10" x14ac:dyDescent="0.3">
      <c r="A7" s="6" t="s">
        <v>150</v>
      </c>
    </row>
    <row r="8" spans="1:10" x14ac:dyDescent="0.3">
      <c r="A8" s="6" t="s">
        <v>157</v>
      </c>
    </row>
    <row r="9" spans="1:10" x14ac:dyDescent="0.3">
      <c r="A9" s="15" t="s">
        <v>148</v>
      </c>
      <c r="C9" t="s">
        <v>54</v>
      </c>
    </row>
    <row r="10" spans="1:10" x14ac:dyDescent="0.3">
      <c r="A10" s="15" t="s">
        <v>536</v>
      </c>
      <c r="C10" t="s">
        <v>529</v>
      </c>
    </row>
    <row r="11" spans="1:10" x14ac:dyDescent="0.3">
      <c r="C11" s="2" t="s">
        <v>314</v>
      </c>
    </row>
    <row r="12" spans="1:10" x14ac:dyDescent="0.3">
      <c r="C12" t="s">
        <v>324</v>
      </c>
    </row>
    <row r="13" spans="1:10" x14ac:dyDescent="0.3">
      <c r="C13" s="1" t="s">
        <v>316</v>
      </c>
    </row>
    <row r="17" spans="2:10" x14ac:dyDescent="0.3">
      <c r="B17" t="s">
        <v>530</v>
      </c>
      <c r="E17" t="s">
        <v>533</v>
      </c>
      <c r="F17" t="s">
        <v>531</v>
      </c>
      <c r="G17" t="s">
        <v>532</v>
      </c>
      <c r="H17" t="s">
        <v>111</v>
      </c>
      <c r="J17" t="s">
        <v>534</v>
      </c>
    </row>
    <row r="18" spans="2:10" x14ac:dyDescent="0.3">
      <c r="B18" t="s">
        <v>535</v>
      </c>
      <c r="E18" s="37">
        <v>250</v>
      </c>
      <c r="F18" s="37">
        <v>100</v>
      </c>
      <c r="G18" s="37">
        <v>100</v>
      </c>
      <c r="H18" s="37">
        <v>60</v>
      </c>
      <c r="J18" s="52">
        <f>E18+F18/3+G18/3+H18/1.5</f>
        <v>356.66666666666663</v>
      </c>
    </row>
    <row r="21" spans="2:10" x14ac:dyDescent="0.3">
      <c r="B21" t="s">
        <v>320</v>
      </c>
      <c r="E21" t="s">
        <v>14</v>
      </c>
      <c r="F21" t="s">
        <v>322</v>
      </c>
      <c r="J21" t="s">
        <v>321</v>
      </c>
    </row>
    <row r="22" spans="2:10" x14ac:dyDescent="0.3">
      <c r="B22" t="s">
        <v>323</v>
      </c>
      <c r="E22" s="37">
        <v>20</v>
      </c>
      <c r="F22" s="37">
        <v>30</v>
      </c>
      <c r="J22" s="40">
        <f>F22*E22/16</f>
        <v>37.5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AECF-80DC-495D-9C67-D5E0928DCAA6}">
  <dimension ref="A1:K17"/>
  <sheetViews>
    <sheetView workbookViewId="0">
      <selection activeCell="D26" sqref="D26"/>
    </sheetView>
  </sheetViews>
  <sheetFormatPr defaultRowHeight="14" x14ac:dyDescent="0.3"/>
  <cols>
    <col min="1" max="1" width="16.25" customWidth="1"/>
    <col min="3" max="3" width="10.1640625" customWidth="1"/>
    <col min="7" max="7" width="11.58203125" customWidth="1"/>
    <col min="8" max="8" width="11.4140625" customWidth="1"/>
  </cols>
  <sheetData>
    <row r="1" spans="1:11" x14ac:dyDescent="0.3">
      <c r="A1" t="s">
        <v>29</v>
      </c>
      <c r="B1" s="2" t="s">
        <v>315</v>
      </c>
    </row>
    <row r="2" spans="1:11" x14ac:dyDescent="0.3">
      <c r="A2" t="s">
        <v>28</v>
      </c>
      <c r="B2" t="s">
        <v>34</v>
      </c>
      <c r="D2" s="2" t="s">
        <v>30</v>
      </c>
      <c r="E2" s="2" t="s">
        <v>10</v>
      </c>
      <c r="F2" s="2" t="s">
        <v>3</v>
      </c>
      <c r="G2" s="2" t="s">
        <v>14</v>
      </c>
      <c r="H2" s="2" t="s">
        <v>88</v>
      </c>
      <c r="I2" s="2"/>
      <c r="K2" s="2" t="s">
        <v>31</v>
      </c>
    </row>
    <row r="3" spans="1:11" x14ac:dyDescent="0.3">
      <c r="D3">
        <v>3000</v>
      </c>
      <c r="E3">
        <v>7500</v>
      </c>
      <c r="F3">
        <v>2</v>
      </c>
      <c r="G3">
        <v>15</v>
      </c>
      <c r="H3">
        <v>0</v>
      </c>
      <c r="K3" s="50">
        <f>1.5*E3*1.25^H3*SQRT(G3/30)/(F3+0.5)</f>
        <v>3181.9805153394641</v>
      </c>
    </row>
    <row r="4" spans="1:11" x14ac:dyDescent="0.3">
      <c r="D4">
        <v>1800</v>
      </c>
      <c r="E4">
        <v>7500</v>
      </c>
      <c r="F4">
        <v>6</v>
      </c>
      <c r="G4">
        <v>33</v>
      </c>
      <c r="H4">
        <v>0</v>
      </c>
      <c r="K4" s="50">
        <f>1.5*E4*1.25^H4*SQRT(G4/30)/(F4+0.5)</f>
        <v>1815.2460833714163</v>
      </c>
    </row>
    <row r="5" spans="1:11" x14ac:dyDescent="0.3">
      <c r="C5" s="1" t="s">
        <v>52</v>
      </c>
      <c r="D5">
        <v>3000</v>
      </c>
      <c r="E5">
        <v>7500</v>
      </c>
      <c r="F5">
        <v>5</v>
      </c>
      <c r="G5">
        <v>50</v>
      </c>
      <c r="H5">
        <v>0</v>
      </c>
      <c r="K5" s="48">
        <f>1.5*E5*1.25^H5*SQRT(G5/30)/(F5+0.5)</f>
        <v>2640.6704633232384</v>
      </c>
    </row>
    <row r="8" spans="1:11" x14ac:dyDescent="0.3">
      <c r="C8" t="s">
        <v>139</v>
      </c>
    </row>
    <row r="11" spans="1:11" x14ac:dyDescent="0.3">
      <c r="B11" t="s">
        <v>32</v>
      </c>
      <c r="D11" s="2" t="s">
        <v>30</v>
      </c>
      <c r="E11" s="2" t="s">
        <v>33</v>
      </c>
      <c r="F11" s="2" t="s">
        <v>14</v>
      </c>
      <c r="G11" s="2" t="s">
        <v>399</v>
      </c>
      <c r="K11" s="2" t="s">
        <v>31</v>
      </c>
    </row>
    <row r="12" spans="1:11" x14ac:dyDescent="0.3">
      <c r="D12">
        <v>1000</v>
      </c>
      <c r="E12">
        <v>1000</v>
      </c>
      <c r="F12">
        <v>1</v>
      </c>
      <c r="G12">
        <v>1</v>
      </c>
      <c r="K12" s="50">
        <f>IF(E12 &gt; 800 +F12 * 200 + IF(F12 &gt;=30,1200 * (F12 - 29) * (F12 - 29),0), 800 +F12 * 200+ IF(F12 &gt;=30,1200  * (F12 - 29) * (F12 - 29),0) + (E12 - 800 -F12 * 200-IF(F12 &gt;=30,1200 * (F12 - 29) * (F12 - 29),0))/10,E12 )/G12</f>
        <v>1000</v>
      </c>
    </row>
    <row r="13" spans="1:11" ht="13" customHeight="1" x14ac:dyDescent="0.3">
      <c r="C13" s="1" t="s">
        <v>53</v>
      </c>
      <c r="D13">
        <v>8000</v>
      </c>
      <c r="E13">
        <v>8000</v>
      </c>
      <c r="F13">
        <v>30</v>
      </c>
      <c r="G13">
        <v>1</v>
      </c>
      <c r="K13" s="48">
        <f>IF(E13 &gt; 800 +F13 * 200 + IF(F13 &gt;=30,1200 * (F13 - 29) * (F13 - 29),0), 800 +F13 * 200+ IF(F13 &gt;=30,1200  * (F13 - 29) * (F13 - 29),0) + (E13 - 800 -F13 * 200-IF(F13 &gt;=30,1200 * (F13 - 29) * (F13 - 29),0))/10,E13 )/G13</f>
        <v>8000</v>
      </c>
    </row>
    <row r="17" spans="3:4" x14ac:dyDescent="0.3">
      <c r="C17" s="42" t="s">
        <v>274</v>
      </c>
      <c r="D17" t="s">
        <v>400</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4D0C1-9717-419C-89F7-CC28A4B63F17}">
  <dimension ref="A1:N29"/>
  <sheetViews>
    <sheetView workbookViewId="0">
      <selection activeCell="D13" sqref="D13"/>
    </sheetView>
  </sheetViews>
  <sheetFormatPr defaultRowHeight="14" x14ac:dyDescent="0.3"/>
  <cols>
    <col min="8" max="8" width="11.75" customWidth="1"/>
  </cols>
  <sheetData>
    <row r="1" spans="1:14" x14ac:dyDescent="0.3">
      <c r="A1" t="s">
        <v>78</v>
      </c>
    </row>
    <row r="4" spans="1:14" x14ac:dyDescent="0.3">
      <c r="B4" t="s">
        <v>79</v>
      </c>
      <c r="D4" s="2" t="s">
        <v>14</v>
      </c>
      <c r="E4" s="2" t="s">
        <v>36</v>
      </c>
      <c r="F4" s="2" t="s">
        <v>6</v>
      </c>
      <c r="G4" s="2" t="s">
        <v>87</v>
      </c>
      <c r="H4" s="2" t="s">
        <v>269</v>
      </c>
      <c r="J4" s="2" t="s">
        <v>81</v>
      </c>
      <c r="K4" s="2" t="s">
        <v>82</v>
      </c>
      <c r="N4" t="s">
        <v>100</v>
      </c>
    </row>
    <row r="5" spans="1:14" x14ac:dyDescent="0.3">
      <c r="C5" t="s">
        <v>86</v>
      </c>
      <c r="D5">
        <v>5</v>
      </c>
      <c r="E5">
        <v>0</v>
      </c>
      <c r="F5">
        <v>1</v>
      </c>
      <c r="G5">
        <v>1</v>
      </c>
      <c r="H5">
        <v>1</v>
      </c>
      <c r="J5">
        <f>D5*3900*(1.6)^(E5)*G5*1.6^(H5-1)/F5</f>
        <v>19500</v>
      </c>
      <c r="K5" s="5">
        <f>D5*120*(1.5)^E5*G5*1.6^(H5-1)/F5</f>
        <v>600</v>
      </c>
      <c r="N5">
        <f>J5/K5</f>
        <v>32.5</v>
      </c>
    </row>
    <row r="6" spans="1:14" x14ac:dyDescent="0.3">
      <c r="C6" t="s">
        <v>85</v>
      </c>
      <c r="D6">
        <v>20</v>
      </c>
      <c r="E6">
        <v>0</v>
      </c>
      <c r="F6">
        <v>1</v>
      </c>
      <c r="G6">
        <v>1</v>
      </c>
      <c r="H6">
        <v>1</v>
      </c>
      <c r="J6">
        <f t="shared" ref="J6:J8" si="0">D6*3900*(1.6)^(E6)*G6*1.6^(H6-1)/F6</f>
        <v>78000</v>
      </c>
      <c r="K6" s="5">
        <f t="shared" ref="K6:K8" si="1">D6*120*(1.5)^E6*G6*1.6^(H6-1)/F6</f>
        <v>2400</v>
      </c>
      <c r="N6">
        <f>J6/K6</f>
        <v>32.5</v>
      </c>
    </row>
    <row r="7" spans="1:14" x14ac:dyDescent="0.3">
      <c r="C7" t="s">
        <v>84</v>
      </c>
      <c r="D7">
        <v>2</v>
      </c>
      <c r="E7">
        <v>0</v>
      </c>
      <c r="F7">
        <v>1.5</v>
      </c>
      <c r="G7">
        <v>1</v>
      </c>
      <c r="H7">
        <v>1</v>
      </c>
      <c r="J7">
        <f t="shared" si="0"/>
        <v>5200</v>
      </c>
      <c r="K7" s="5">
        <f t="shared" si="1"/>
        <v>160</v>
      </c>
      <c r="N7">
        <f>J7/K7</f>
        <v>32.5</v>
      </c>
    </row>
    <row r="8" spans="1:14" x14ac:dyDescent="0.3">
      <c r="C8" s="1" t="s">
        <v>83</v>
      </c>
      <c r="D8">
        <v>20</v>
      </c>
      <c r="E8">
        <v>0</v>
      </c>
      <c r="F8">
        <v>1</v>
      </c>
      <c r="G8">
        <v>1</v>
      </c>
      <c r="H8">
        <v>1</v>
      </c>
      <c r="J8">
        <f t="shared" si="0"/>
        <v>78000</v>
      </c>
      <c r="K8" s="5">
        <f t="shared" si="1"/>
        <v>2400</v>
      </c>
      <c r="N8">
        <f>J8/K8</f>
        <v>32.5</v>
      </c>
    </row>
    <row r="11" spans="1:14" x14ac:dyDescent="0.3">
      <c r="C11" t="s">
        <v>272</v>
      </c>
      <c r="D11" t="s">
        <v>312</v>
      </c>
    </row>
    <row r="12" spans="1:14" x14ac:dyDescent="0.3">
      <c r="C12" t="s">
        <v>311</v>
      </c>
      <c r="D12" t="s">
        <v>516</v>
      </c>
    </row>
    <row r="13" spans="1:14" x14ac:dyDescent="0.3">
      <c r="D13" t="s">
        <v>528</v>
      </c>
    </row>
    <row r="14" spans="1:14" x14ac:dyDescent="0.3">
      <c r="C14" t="s">
        <v>313</v>
      </c>
    </row>
    <row r="16" spans="1:14" x14ac:dyDescent="0.3">
      <c r="B16" t="s">
        <v>80</v>
      </c>
      <c r="C16" t="s">
        <v>86</v>
      </c>
      <c r="D16">
        <v>5</v>
      </c>
      <c r="E16">
        <v>1</v>
      </c>
      <c r="G16">
        <v>1</v>
      </c>
      <c r="H16">
        <v>1</v>
      </c>
      <c r="J16">
        <f>D16*2600*(1.6)^E16*G16*1.6^(H16-1)</f>
        <v>20800</v>
      </c>
      <c r="K16" s="5">
        <f>D16*90*(1.5)^E16*1.6^(H16-1)</f>
        <v>675</v>
      </c>
      <c r="N16">
        <f>J16/K16</f>
        <v>30.814814814814813</v>
      </c>
    </row>
    <row r="17" spans="3:14" x14ac:dyDescent="0.3">
      <c r="D17">
        <v>10</v>
      </c>
      <c r="E17">
        <v>0</v>
      </c>
      <c r="G17">
        <v>1</v>
      </c>
      <c r="H17">
        <v>1</v>
      </c>
      <c r="J17">
        <f t="shared" ref="J17:J19" si="2">D17*2600*(1.6)^E17*G17*1.6^(H17-1)</f>
        <v>26000</v>
      </c>
      <c r="K17" s="5">
        <f t="shared" ref="K17:K19" si="3">D17*90*(1.5)^E17*1.6^(H17-1)</f>
        <v>900</v>
      </c>
      <c r="N17">
        <f>J17/K17</f>
        <v>28.888888888888889</v>
      </c>
    </row>
    <row r="18" spans="3:14" x14ac:dyDescent="0.3">
      <c r="D18">
        <v>32</v>
      </c>
      <c r="E18">
        <v>1</v>
      </c>
      <c r="G18">
        <v>1</v>
      </c>
      <c r="H18">
        <v>1</v>
      </c>
      <c r="J18">
        <f t="shared" si="2"/>
        <v>133120</v>
      </c>
      <c r="K18" s="5">
        <f t="shared" si="3"/>
        <v>4320</v>
      </c>
      <c r="N18">
        <f>J18/K18</f>
        <v>30.814814814814813</v>
      </c>
    </row>
    <row r="19" spans="3:14" x14ac:dyDescent="0.3">
      <c r="C19" s="1" t="s">
        <v>83</v>
      </c>
      <c r="D19">
        <v>20</v>
      </c>
      <c r="E19">
        <v>0</v>
      </c>
      <c r="G19">
        <v>1</v>
      </c>
      <c r="H19">
        <v>1</v>
      </c>
      <c r="J19">
        <f t="shared" si="2"/>
        <v>52000</v>
      </c>
      <c r="K19" s="5">
        <f t="shared" si="3"/>
        <v>1800</v>
      </c>
      <c r="N19">
        <f>J19/K19</f>
        <v>28.888888888888889</v>
      </c>
    </row>
    <row r="22" spans="3:14" x14ac:dyDescent="0.3">
      <c r="C22" t="s">
        <v>517</v>
      </c>
    </row>
    <row r="25" spans="3:14" x14ac:dyDescent="0.3">
      <c r="C25" t="s">
        <v>130</v>
      </c>
    </row>
    <row r="26" spans="3:14" x14ac:dyDescent="0.3">
      <c r="D26" t="s">
        <v>128</v>
      </c>
    </row>
    <row r="27" spans="3:14" x14ac:dyDescent="0.3">
      <c r="D27" t="s">
        <v>129</v>
      </c>
    </row>
    <row r="28" spans="3:14" x14ac:dyDescent="0.3">
      <c r="D28" t="s">
        <v>309</v>
      </c>
    </row>
    <row r="29" spans="3:14" x14ac:dyDescent="0.3">
      <c r="D29" t="s">
        <v>310</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21AD2-DDB9-4BC1-9A90-C782109DDD58}">
  <dimension ref="A1:Q33"/>
  <sheetViews>
    <sheetView workbookViewId="0">
      <selection activeCell="F10" sqref="F10"/>
    </sheetView>
  </sheetViews>
  <sheetFormatPr defaultRowHeight="14" x14ac:dyDescent="0.3"/>
  <cols>
    <col min="1" max="1" width="17.5" customWidth="1"/>
    <col min="2" max="2" width="16.9140625" customWidth="1"/>
    <col min="3" max="3" width="14.75" customWidth="1"/>
    <col min="4" max="4" width="8.83203125" customWidth="1"/>
    <col min="5" max="5" width="8.5" style="21" customWidth="1"/>
    <col min="6" max="6" width="8" customWidth="1"/>
    <col min="7" max="7" width="12.08203125" customWidth="1"/>
    <col min="8" max="8" width="8.58203125" customWidth="1"/>
    <col min="9" max="9" width="11.83203125" customWidth="1"/>
    <col min="10" max="10" width="13.6640625" customWidth="1"/>
    <col min="11" max="11" width="11.5" customWidth="1"/>
    <col min="12" max="12" width="12.08203125" customWidth="1"/>
    <col min="13" max="13" width="6.08203125" customWidth="1"/>
    <col min="14" max="14" width="13.83203125" customWidth="1"/>
    <col min="15" max="15" width="11.25" customWidth="1"/>
    <col min="16" max="16" width="13.9140625" customWidth="1"/>
    <col min="17" max="17" width="12.5" customWidth="1"/>
    <col min="18" max="18" width="10.6640625" customWidth="1"/>
  </cols>
  <sheetData>
    <row r="1" spans="1:17" x14ac:dyDescent="0.3">
      <c r="A1" t="s">
        <v>199</v>
      </c>
      <c r="D1" t="s">
        <v>45</v>
      </c>
      <c r="E1" s="21" t="s">
        <v>200</v>
      </c>
      <c r="F1" t="s">
        <v>42</v>
      </c>
      <c r="G1" t="s">
        <v>43</v>
      </c>
      <c r="H1" t="s">
        <v>44</v>
      </c>
      <c r="N1" t="s">
        <v>217</v>
      </c>
    </row>
    <row r="2" spans="1:17" x14ac:dyDescent="0.3">
      <c r="B2" s="10" t="s">
        <v>48</v>
      </c>
      <c r="C2" s="10" t="s">
        <v>195</v>
      </c>
      <c r="D2" s="8" t="s">
        <v>14</v>
      </c>
      <c r="E2" s="20" t="s">
        <v>36</v>
      </c>
      <c r="F2" s="8" t="s">
        <v>210</v>
      </c>
      <c r="G2" s="8" t="s">
        <v>211</v>
      </c>
      <c r="H2" s="8" t="s">
        <v>208</v>
      </c>
      <c r="I2" s="8" t="s">
        <v>209</v>
      </c>
      <c r="J2" s="8" t="s">
        <v>244</v>
      </c>
      <c r="K2" s="11" t="s">
        <v>218</v>
      </c>
      <c r="L2" s="11" t="s">
        <v>220</v>
      </c>
      <c r="M2" s="11" t="s">
        <v>219</v>
      </c>
      <c r="N2" s="26" t="s">
        <v>201</v>
      </c>
      <c r="O2" s="26" t="s">
        <v>202</v>
      </c>
      <c r="P2" s="26" t="s">
        <v>203</v>
      </c>
      <c r="Q2" s="11" t="s">
        <v>153</v>
      </c>
    </row>
    <row r="3" spans="1:17" x14ac:dyDescent="0.3">
      <c r="B3" s="2" t="s">
        <v>174</v>
      </c>
      <c r="C3" t="s">
        <v>225</v>
      </c>
      <c r="D3">
        <v>21</v>
      </c>
      <c r="E3" s="21">
        <v>1</v>
      </c>
      <c r="F3">
        <v>2000</v>
      </c>
      <c r="G3">
        <v>0</v>
      </c>
      <c r="H3">
        <v>10000</v>
      </c>
      <c r="I3">
        <v>6500</v>
      </c>
      <c r="J3">
        <v>23400</v>
      </c>
      <c r="N3">
        <f>表2_4[[#This Row],[金币需求]]+表2_4[[#This Row],[K点需求]]*30+表2_4[[#This Row],[材料价格]]+表2_4[[#This Row],[装备折算价格]]+表2_4[[#This Row],[掉落物折算价格]]</f>
        <v>41900</v>
      </c>
      <c r="O3">
        <f>表2_4[[#This Row],[限制等级]]*2000</f>
        <v>42000</v>
      </c>
      <c r="P3">
        <f>IF(表2_4[[#This Row],[加权层数]]&gt;=1,O3*1.6^(E3-1),O3*1.6^(E3*3-3))</f>
        <v>42000</v>
      </c>
    </row>
    <row r="4" spans="1:17" x14ac:dyDescent="0.3">
      <c r="B4" s="3"/>
      <c r="C4" s="1" t="s">
        <v>175</v>
      </c>
      <c r="D4" s="12">
        <v>35</v>
      </c>
      <c r="E4" s="22">
        <v>1</v>
      </c>
      <c r="F4" s="12">
        <v>70000</v>
      </c>
      <c r="G4" s="12">
        <v>0</v>
      </c>
      <c r="H4" s="12">
        <v>0</v>
      </c>
      <c r="I4" s="12">
        <v>0</v>
      </c>
      <c r="J4" s="12">
        <v>0</v>
      </c>
      <c r="N4" s="17">
        <f>表2_4[[#This Row],[金币需求]]+表2_4[[#This Row],[K点需求]]*30+表2_4[[#This Row],[材料价格]]+表2_4[[#This Row],[装备折算价格]]+表2_4[[#This Row],[掉落物折算价格]]</f>
        <v>70000</v>
      </c>
      <c r="O4">
        <f>表2_4[[#This Row],[限制等级]]*2000</f>
        <v>70000</v>
      </c>
      <c r="P4" s="17">
        <f>IF(表2_4[[#This Row],[加权层数]]&gt;=1,O4*1.6^(E4-1),O4*1.6^(E4*3-3))</f>
        <v>70000</v>
      </c>
    </row>
    <row r="5" spans="1:17" x14ac:dyDescent="0.3">
      <c r="A5" s="2" t="s">
        <v>147</v>
      </c>
      <c r="B5" s="3"/>
      <c r="D5" s="3"/>
      <c r="E5" s="23"/>
      <c r="F5" s="3"/>
      <c r="G5" s="3"/>
      <c r="H5" s="3"/>
      <c r="I5" s="3"/>
      <c r="J5" s="3"/>
    </row>
    <row r="6" spans="1:17" x14ac:dyDescent="0.3">
      <c r="A6" s="6" t="s">
        <v>149</v>
      </c>
      <c r="B6" s="3"/>
      <c r="C6" s="24" t="s">
        <v>234</v>
      </c>
      <c r="D6" s="2" t="s">
        <v>255</v>
      </c>
      <c r="E6" s="23"/>
      <c r="F6" s="3"/>
      <c r="G6" s="3"/>
      <c r="H6" s="3"/>
      <c r="I6" s="3"/>
      <c r="J6" s="3"/>
    </row>
    <row r="7" spans="1:17" x14ac:dyDescent="0.3">
      <c r="A7" s="6" t="s">
        <v>150</v>
      </c>
      <c r="B7" s="3"/>
      <c r="D7" s="3"/>
      <c r="E7" s="23"/>
      <c r="F7" s="3"/>
      <c r="G7" s="3"/>
      <c r="H7" s="3"/>
      <c r="I7" s="3"/>
      <c r="J7" s="3"/>
    </row>
    <row r="8" spans="1:17" x14ac:dyDescent="0.3">
      <c r="A8" s="6" t="s">
        <v>157</v>
      </c>
      <c r="B8" s="2" t="s">
        <v>215</v>
      </c>
      <c r="D8" s="8" t="s">
        <v>212</v>
      </c>
      <c r="E8" s="20" t="s">
        <v>213</v>
      </c>
      <c r="F8" s="8" t="s">
        <v>214</v>
      </c>
      <c r="G8" s="3"/>
      <c r="I8" s="3"/>
      <c r="J8" s="3"/>
      <c r="N8" s="14" t="s">
        <v>208</v>
      </c>
    </row>
    <row r="9" spans="1:17" x14ac:dyDescent="0.3">
      <c r="A9" s="15" t="s">
        <v>148</v>
      </c>
      <c r="B9" s="3"/>
      <c r="C9" t="s">
        <v>198</v>
      </c>
      <c r="D9" s="3">
        <v>5</v>
      </c>
      <c r="E9" s="23">
        <v>0</v>
      </c>
      <c r="F9" s="3">
        <v>1</v>
      </c>
      <c r="G9" s="3"/>
      <c r="I9" s="3"/>
      <c r="J9" s="3"/>
      <c r="N9" s="3">
        <f>1000*表2_4[[#This Row],[限制等级]]+3000*表2_4[[#This Row],[加权层数]]+5000*表2_4[[#This Row],[金币需求]]</f>
        <v>10000</v>
      </c>
    </row>
    <row r="10" spans="1:17" x14ac:dyDescent="0.3">
      <c r="A10" s="15" t="s">
        <v>158</v>
      </c>
      <c r="B10" s="3"/>
      <c r="C10" s="1" t="s">
        <v>175</v>
      </c>
      <c r="D10" s="12">
        <v>0</v>
      </c>
      <c r="E10" s="22">
        <v>0</v>
      </c>
      <c r="F10" s="12">
        <v>0</v>
      </c>
      <c r="G10" s="3"/>
      <c r="N10" s="17">
        <f>1000*表2_4[[#This Row],[限制等级]]+3000*表2_4[[#This Row],[加权层数]]+5000*表2_4[[#This Row],[金币需求]]</f>
        <v>0</v>
      </c>
    </row>
    <row r="11" spans="1:17" x14ac:dyDescent="0.3">
      <c r="A11" s="15" t="s">
        <v>366</v>
      </c>
      <c r="B11" s="3"/>
      <c r="D11" s="3"/>
      <c r="E11" s="23"/>
      <c r="F11" s="3"/>
      <c r="G11" s="3"/>
      <c r="H11" s="3"/>
      <c r="I11" s="3"/>
      <c r="J11" s="3"/>
    </row>
    <row r="12" spans="1:17" x14ac:dyDescent="0.3">
      <c r="B12" s="2" t="s">
        <v>221</v>
      </c>
      <c r="D12" s="20" t="s">
        <v>223</v>
      </c>
      <c r="E12" s="20" t="s">
        <v>14</v>
      </c>
      <c r="F12" s="8" t="s">
        <v>36</v>
      </c>
      <c r="G12" s="8" t="s">
        <v>227</v>
      </c>
      <c r="H12" s="8" t="s">
        <v>87</v>
      </c>
      <c r="I12" s="8" t="s">
        <v>222</v>
      </c>
      <c r="J12" s="14" t="s">
        <v>228</v>
      </c>
      <c r="K12" s="3"/>
      <c r="L12" s="3"/>
      <c r="M12" s="3"/>
      <c r="N12" s="14" t="s">
        <v>209</v>
      </c>
      <c r="O12" s="2"/>
    </row>
    <row r="13" spans="1:17" x14ac:dyDescent="0.3">
      <c r="B13" s="2"/>
      <c r="C13" t="s">
        <v>225</v>
      </c>
      <c r="D13" t="s">
        <v>224</v>
      </c>
      <c r="E13" s="21">
        <v>10</v>
      </c>
      <c r="F13">
        <v>0</v>
      </c>
      <c r="G13">
        <v>1.5</v>
      </c>
      <c r="H13">
        <v>1</v>
      </c>
      <c r="I13">
        <v>1</v>
      </c>
      <c r="J13" s="3">
        <f>表2_4[[#This Row],[装备折算价格]]*0.25 * E13*3900*(1.6)^(F13)*H13/G13</f>
        <v>6500</v>
      </c>
      <c r="K13" s="3"/>
      <c r="L13" s="3"/>
      <c r="M13" s="3"/>
      <c r="N13">
        <f>表2_4[[#This Row],[掉落物折算价格]]+J14</f>
        <v>6500</v>
      </c>
    </row>
    <row r="14" spans="1:17" x14ac:dyDescent="0.3">
      <c r="B14" s="3"/>
      <c r="D14" t="s">
        <v>226</v>
      </c>
      <c r="E14" s="21">
        <v>0</v>
      </c>
      <c r="F14">
        <v>0</v>
      </c>
      <c r="G14">
        <v>1</v>
      </c>
      <c r="H14">
        <v>1</v>
      </c>
      <c r="I14">
        <v>0</v>
      </c>
      <c r="J14" s="3">
        <f>表2_4[[#This Row],[装备折算价格]]*0.25 * E14*3900*(1.6)^(F14)*H14/G14</f>
        <v>0</v>
      </c>
    </row>
    <row r="15" spans="1:17" x14ac:dyDescent="0.3">
      <c r="B15" s="3"/>
      <c r="C15" s="1" t="s">
        <v>175</v>
      </c>
      <c r="D15" t="s">
        <v>229</v>
      </c>
      <c r="E15" s="22">
        <v>1</v>
      </c>
      <c r="F15" s="12">
        <v>0</v>
      </c>
      <c r="G15" s="12">
        <v>1</v>
      </c>
      <c r="H15" s="12">
        <v>1</v>
      </c>
      <c r="I15" s="12">
        <v>0</v>
      </c>
      <c r="J15" s="3">
        <f>表2_4[[#This Row],[装备折算价格]]*0.25 * E15*3900*(1.6)^(F15)*H15/G15</f>
        <v>0</v>
      </c>
      <c r="N15" s="17">
        <f>表2_4[[#This Row],[掉落物折算价格]]+J16+J17+J18</f>
        <v>0</v>
      </c>
    </row>
    <row r="16" spans="1:17" x14ac:dyDescent="0.3">
      <c r="B16" s="3"/>
      <c r="D16" t="s">
        <v>230</v>
      </c>
      <c r="E16" s="22">
        <v>1</v>
      </c>
      <c r="F16" s="12">
        <v>0</v>
      </c>
      <c r="G16" s="12">
        <v>1</v>
      </c>
      <c r="H16" s="12">
        <v>1</v>
      </c>
      <c r="I16" s="12">
        <v>0</v>
      </c>
      <c r="J16" s="3">
        <f>表2_4[[#This Row],[装备折算价格]]*0.25 * E16*3900*(1.6)^(F16)*H16/G16</f>
        <v>0</v>
      </c>
    </row>
    <row r="17" spans="2:17" x14ac:dyDescent="0.3">
      <c r="B17" s="3"/>
      <c r="D17" t="s">
        <v>231</v>
      </c>
      <c r="E17" s="22">
        <v>1</v>
      </c>
      <c r="F17" s="12">
        <v>0</v>
      </c>
      <c r="G17" s="12">
        <v>1</v>
      </c>
      <c r="H17" s="12">
        <v>1</v>
      </c>
      <c r="I17" s="12">
        <v>0</v>
      </c>
      <c r="J17" s="3">
        <f>表2_4[[#This Row],[装备折算价格]]*0.25 * E17*3900*(1.6)^(F17)*H17/G17</f>
        <v>0</v>
      </c>
    </row>
    <row r="18" spans="2:17" x14ac:dyDescent="0.3">
      <c r="B18" s="3"/>
      <c r="C18" s="2"/>
      <c r="D18" t="s">
        <v>232</v>
      </c>
      <c r="E18" s="22">
        <v>1</v>
      </c>
      <c r="F18" s="12">
        <v>0</v>
      </c>
      <c r="G18" s="12">
        <v>1</v>
      </c>
      <c r="H18" s="12">
        <v>1</v>
      </c>
      <c r="I18" s="12">
        <v>0</v>
      </c>
      <c r="J18" s="3">
        <f>表2_4[[#This Row],[装备折算价格]]*0.25 * E18*3900*(1.6)^(F18)*H18/G18</f>
        <v>0</v>
      </c>
    </row>
    <row r="19" spans="2:17" x14ac:dyDescent="0.3">
      <c r="B19" s="3"/>
      <c r="C19" s="24" t="s">
        <v>234</v>
      </c>
      <c r="D19" s="2" t="s">
        <v>235</v>
      </c>
    </row>
    <row r="20" spans="2:17" x14ac:dyDescent="0.3">
      <c r="B20" s="3"/>
      <c r="D20" s="2" t="s">
        <v>233</v>
      </c>
    </row>
    <row r="21" spans="2:17" x14ac:dyDescent="0.3">
      <c r="B21" s="3"/>
    </row>
    <row r="22" spans="2:17" x14ac:dyDescent="0.3">
      <c r="B22" s="2" t="s">
        <v>365</v>
      </c>
      <c r="D22" s="20" t="s">
        <v>223</v>
      </c>
      <c r="E22" s="20" t="s">
        <v>246</v>
      </c>
      <c r="F22" s="20" t="s">
        <v>236</v>
      </c>
      <c r="G22" s="20" t="s">
        <v>237</v>
      </c>
      <c r="H22" s="20" t="s">
        <v>238</v>
      </c>
      <c r="I22" s="20" t="s">
        <v>239</v>
      </c>
      <c r="J22" s="20" t="s">
        <v>240</v>
      </c>
      <c r="K22" s="25" t="s">
        <v>241</v>
      </c>
      <c r="L22" s="25" t="s">
        <v>242</v>
      </c>
      <c r="N22" s="26" t="s">
        <v>244</v>
      </c>
      <c r="P22" s="26" t="s">
        <v>248</v>
      </c>
      <c r="Q22" s="26" t="s">
        <v>243</v>
      </c>
    </row>
    <row r="23" spans="2:17" x14ac:dyDescent="0.3">
      <c r="B23" s="3"/>
      <c r="C23" t="s">
        <v>225</v>
      </c>
      <c r="D23" t="s">
        <v>251</v>
      </c>
      <c r="E23" s="21">
        <v>1</v>
      </c>
      <c r="F23" s="21">
        <v>4</v>
      </c>
      <c r="G23">
        <v>1.5</v>
      </c>
      <c r="H23">
        <v>1.5</v>
      </c>
      <c r="I23">
        <v>0.5</v>
      </c>
      <c r="J23">
        <v>0.1</v>
      </c>
      <c r="K23">
        <v>30000</v>
      </c>
      <c r="L23">
        <v>1100</v>
      </c>
      <c r="N23">
        <f>IF(表2_4[[#This Row],[列2]],MIN(表2_4[[#This Row],[列2]],表2_4[[#This Row],[加权成本]]),表2_4[[#This Row],[加权成本]])</f>
        <v>23400</v>
      </c>
      <c r="P23">
        <f>(表2_4[[#This Row],[加权层数]]*表2_4[[#This Row],[金币需求]]*13000*表2_4[[#This Row],[K点需求]]*表2_4[[#This Row],[材料价格]]*表2_4[[#This Row],[掉落物折算价格]])/(表2_4[[#This Row],[装备折算价格]])</f>
        <v>23400</v>
      </c>
      <c r="Q23">
        <f>MIN(表2_4[[#This Row],[列3]],表2_4[[#This Row],[列4]]*30)</f>
        <v>30000</v>
      </c>
    </row>
    <row r="24" spans="2:17" x14ac:dyDescent="0.3">
      <c r="B24" s="3"/>
      <c r="C24" s="1" t="s">
        <v>25</v>
      </c>
      <c r="D24" t="s">
        <v>252</v>
      </c>
      <c r="E24" s="22">
        <v>0</v>
      </c>
      <c r="F24" s="12">
        <v>1</v>
      </c>
      <c r="G24" s="12">
        <v>1</v>
      </c>
      <c r="H24" s="12">
        <v>1</v>
      </c>
      <c r="I24" s="12">
        <v>1</v>
      </c>
      <c r="J24" s="12">
        <v>1</v>
      </c>
      <c r="K24">
        <v>0</v>
      </c>
      <c r="L24">
        <v>0</v>
      </c>
      <c r="N24" s="17">
        <f>IF(表2_4[[#This Row],[列2]],MIN(表2_4[[#This Row],[列2]],表2_4[[#This Row],[加权成本]]),表2_4[[#This Row],[加权成本]])+IF(Q25,MIN(Q25,P25),P25)+IF(Q26,MIN(Q26,P26),P26)</f>
        <v>0</v>
      </c>
      <c r="P24">
        <f>(表2_4[[#This Row],[加权层数]]*表2_4[[#This Row],[金币需求]]*13000*表2_4[[#This Row],[K点需求]]*表2_4[[#This Row],[材料价格]]*表2_4[[#This Row],[掉落物折算价格]])/(表2_4[[#This Row],[装备折算价格]])</f>
        <v>0</v>
      </c>
      <c r="Q24">
        <f>MIN(表2_4[[#This Row],[列3]],表2_4[[#This Row],[列4]]*30)</f>
        <v>0</v>
      </c>
    </row>
    <row r="25" spans="2:17" x14ac:dyDescent="0.3">
      <c r="B25" s="3"/>
      <c r="C25" s="1"/>
      <c r="D25" t="s">
        <v>253</v>
      </c>
      <c r="E25" s="22">
        <v>0</v>
      </c>
      <c r="F25" s="12">
        <v>1</v>
      </c>
      <c r="G25" s="12">
        <v>1</v>
      </c>
      <c r="H25" s="12">
        <v>1</v>
      </c>
      <c r="I25" s="12">
        <v>1</v>
      </c>
      <c r="J25" s="12">
        <v>1</v>
      </c>
      <c r="K25">
        <v>0</v>
      </c>
      <c r="L25">
        <v>0</v>
      </c>
      <c r="P25">
        <f>(表2_4[[#This Row],[加权层数]]*表2_4[[#This Row],[金币需求]]*13000*表2_4[[#This Row],[K点需求]]*表2_4[[#This Row],[材料价格]]*表2_4[[#This Row],[掉落物折算价格]])/(表2_4[[#This Row],[装备折算价格]])</f>
        <v>0</v>
      </c>
      <c r="Q25">
        <f>MIN(表2_4[[#This Row],[列3]],表2_4[[#This Row],[列4]]*30)</f>
        <v>0</v>
      </c>
    </row>
    <row r="26" spans="2:17" x14ac:dyDescent="0.3">
      <c r="B26" s="3"/>
      <c r="C26" s="1"/>
      <c r="D26" t="s">
        <v>254</v>
      </c>
      <c r="E26" s="22">
        <v>0</v>
      </c>
      <c r="F26" s="12">
        <v>1</v>
      </c>
      <c r="G26" s="12">
        <v>1</v>
      </c>
      <c r="H26" s="12">
        <v>1</v>
      </c>
      <c r="I26" s="12">
        <v>1</v>
      </c>
      <c r="J26" s="12">
        <v>1</v>
      </c>
      <c r="K26">
        <v>0</v>
      </c>
      <c r="L26">
        <v>0</v>
      </c>
      <c r="P26">
        <f>(表2_4[[#This Row],[加权层数]]*表2_4[[#This Row],[金币需求]]*13000*表2_4[[#This Row],[K点需求]]*表2_4[[#This Row],[材料价格]]*表2_4[[#This Row],[掉落物折算价格]])/(表2_4[[#This Row],[装备折算价格]])</f>
        <v>0</v>
      </c>
      <c r="Q26">
        <f>MIN(表2_4[[#This Row],[列3]],表2_4[[#This Row],[列4]]*30)</f>
        <v>0</v>
      </c>
    </row>
    <row r="27" spans="2:17" x14ac:dyDescent="0.3">
      <c r="B27" s="3"/>
      <c r="C27" s="24" t="s">
        <v>234</v>
      </c>
      <c r="D27" s="2" t="s">
        <v>250</v>
      </c>
      <c r="F27" s="21"/>
      <c r="G27" s="21"/>
      <c r="H27" s="21"/>
      <c r="I27" s="21"/>
      <c r="J27" s="21"/>
      <c r="N27" s="3" t="s">
        <v>363</v>
      </c>
    </row>
    <row r="28" spans="2:17" x14ac:dyDescent="0.3">
      <c r="B28" s="3"/>
      <c r="C28" s="24"/>
      <c r="D28" s="2" t="s">
        <v>247</v>
      </c>
      <c r="F28" s="21"/>
      <c r="G28" s="21"/>
      <c r="H28" s="21"/>
      <c r="I28" s="21"/>
      <c r="J28" s="21"/>
    </row>
    <row r="29" spans="2:17" x14ac:dyDescent="0.3">
      <c r="B29" s="3"/>
      <c r="D29" s="2" t="s">
        <v>249</v>
      </c>
    </row>
    <row r="30" spans="2:17" x14ac:dyDescent="0.3">
      <c r="B30" s="4" t="s">
        <v>39</v>
      </c>
      <c r="C30" s="2" t="s">
        <v>204</v>
      </c>
    </row>
    <row r="31" spans="2:17" x14ac:dyDescent="0.3">
      <c r="B31" s="3"/>
      <c r="C31" t="s">
        <v>207</v>
      </c>
    </row>
    <row r="32" spans="2:17" x14ac:dyDescent="0.3">
      <c r="B32" s="3"/>
    </row>
    <row r="33" spans="2:3" x14ac:dyDescent="0.3">
      <c r="B33" s="4" t="s">
        <v>40</v>
      </c>
      <c r="C33" t="s">
        <v>245</v>
      </c>
    </row>
  </sheetData>
  <phoneticPr fontId="1"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594B-8471-4760-8349-0BF477107C61}">
  <dimension ref="C2:P32"/>
  <sheetViews>
    <sheetView workbookViewId="0">
      <selection activeCell="M6" sqref="M6"/>
    </sheetView>
  </sheetViews>
  <sheetFormatPr defaultRowHeight="14" x14ac:dyDescent="0.3"/>
  <cols>
    <col min="3" max="3" width="13.1640625" customWidth="1"/>
    <col min="8" max="8" width="13.5" customWidth="1"/>
    <col min="9" max="9" width="9.1640625" customWidth="1"/>
    <col min="10" max="10" width="12.6640625" customWidth="1"/>
    <col min="16" max="16" width="8.25" customWidth="1"/>
    <col min="17" max="17" width="8.5" customWidth="1"/>
  </cols>
  <sheetData>
    <row r="2" spans="3:15" x14ac:dyDescent="0.3">
      <c r="D2" s="33" t="s">
        <v>422</v>
      </c>
      <c r="E2" s="33" t="s">
        <v>237</v>
      </c>
      <c r="F2" s="33" t="s">
        <v>238</v>
      </c>
      <c r="G2" s="33" t="s">
        <v>330</v>
      </c>
      <c r="H2" s="33" t="s">
        <v>348</v>
      </c>
      <c r="I2" s="33" t="s">
        <v>93</v>
      </c>
      <c r="J2" s="33" t="s">
        <v>349</v>
      </c>
      <c r="K2" s="33" t="s">
        <v>331</v>
      </c>
      <c r="M2" s="35" t="s">
        <v>329</v>
      </c>
      <c r="O2" s="35" t="s">
        <v>328</v>
      </c>
    </row>
    <row r="3" spans="3:15" x14ac:dyDescent="0.3">
      <c r="C3" t="s">
        <v>327</v>
      </c>
      <c r="D3" s="34">
        <v>1.5</v>
      </c>
      <c r="E3" s="27">
        <v>1.5</v>
      </c>
      <c r="F3" s="27">
        <v>1.5</v>
      </c>
      <c r="G3" s="45">
        <v>20000</v>
      </c>
      <c r="H3" s="27">
        <v>22000</v>
      </c>
      <c r="I3" s="27">
        <v>20000</v>
      </c>
      <c r="J3" s="45">
        <v>0</v>
      </c>
      <c r="K3" s="27">
        <v>0</v>
      </c>
      <c r="M3" s="45">
        <f>G3+H3*0.5+I3/D3+IF(D3&gt;4,K3*300/(D3-3),K3*300)+J3*0.5</f>
        <v>44333.333333333336</v>
      </c>
      <c r="O3" s="45">
        <f>(D3*13000*E3*F3)</f>
        <v>43875</v>
      </c>
    </row>
    <row r="4" spans="3:15" x14ac:dyDescent="0.3">
      <c r="C4" t="s">
        <v>347</v>
      </c>
      <c r="D4" s="34">
        <v>4</v>
      </c>
      <c r="E4" s="27">
        <v>2</v>
      </c>
      <c r="F4" s="27">
        <v>1.5</v>
      </c>
      <c r="G4" s="45">
        <v>50000</v>
      </c>
      <c r="H4" s="27">
        <v>10000</v>
      </c>
      <c r="I4" s="27">
        <v>60000</v>
      </c>
      <c r="J4" s="45">
        <v>0</v>
      </c>
      <c r="K4" s="27">
        <v>300</v>
      </c>
      <c r="M4" s="45">
        <f t="shared" ref="M4:M6" si="0">G4+H4*0.5+I4/D4+IF(D4&gt;4,K4*300/(D4-3),K4*300)+J4*0.5</f>
        <v>160000</v>
      </c>
      <c r="O4" s="45">
        <f t="shared" ref="O4:O6" si="1">(D4*13000*E4*F4)</f>
        <v>156000</v>
      </c>
    </row>
    <row r="5" spans="3:15" x14ac:dyDescent="0.3">
      <c r="C5" t="s">
        <v>351</v>
      </c>
      <c r="D5" s="34">
        <v>4</v>
      </c>
      <c r="E5" s="27">
        <v>2</v>
      </c>
      <c r="F5" s="27">
        <v>2</v>
      </c>
      <c r="G5" s="45">
        <v>50000</v>
      </c>
      <c r="H5" s="27">
        <v>4000</v>
      </c>
      <c r="I5" s="27">
        <v>50000</v>
      </c>
      <c r="J5" s="45">
        <v>260000</v>
      </c>
      <c r="K5" s="27">
        <v>0</v>
      </c>
      <c r="M5" s="45">
        <f t="shared" si="0"/>
        <v>194500</v>
      </c>
      <c r="O5" s="45">
        <f t="shared" si="1"/>
        <v>208000</v>
      </c>
    </row>
    <row r="6" spans="3:15" x14ac:dyDescent="0.3">
      <c r="C6" s="1" t="s">
        <v>326</v>
      </c>
      <c r="D6" s="36">
        <v>1</v>
      </c>
      <c r="E6" s="37">
        <v>1</v>
      </c>
      <c r="F6" s="37">
        <v>1</v>
      </c>
      <c r="G6" s="37">
        <v>0</v>
      </c>
      <c r="H6" s="37">
        <v>0</v>
      </c>
      <c r="I6" s="37">
        <v>0</v>
      </c>
      <c r="J6" s="37">
        <v>0</v>
      </c>
      <c r="K6" s="37">
        <v>0</v>
      </c>
      <c r="M6" s="40">
        <f t="shared" si="0"/>
        <v>0</v>
      </c>
      <c r="O6" s="40">
        <f t="shared" si="1"/>
        <v>13000</v>
      </c>
    </row>
    <row r="8" spans="3:15" x14ac:dyDescent="0.3">
      <c r="C8" s="24" t="s">
        <v>234</v>
      </c>
      <c r="D8" s="2" t="s">
        <v>423</v>
      </c>
    </row>
    <row r="9" spans="3:15" x14ac:dyDescent="0.3">
      <c r="D9" s="2" t="s">
        <v>364</v>
      </c>
    </row>
    <row r="10" spans="3:15" x14ac:dyDescent="0.3">
      <c r="D10" s="2" t="s">
        <v>350</v>
      </c>
    </row>
    <row r="11" spans="3:15" x14ac:dyDescent="0.3">
      <c r="I11" s="2" t="s">
        <v>352</v>
      </c>
    </row>
    <row r="12" spans="3:15" x14ac:dyDescent="0.3">
      <c r="I12" s="33" t="s">
        <v>332</v>
      </c>
      <c r="J12" s="33" t="s">
        <v>222</v>
      </c>
      <c r="K12" s="33" t="s">
        <v>345</v>
      </c>
      <c r="L12" s="33" t="s">
        <v>346</v>
      </c>
      <c r="M12" s="35" t="s">
        <v>334</v>
      </c>
    </row>
    <row r="13" spans="3:15" x14ac:dyDescent="0.3">
      <c r="D13" s="2" t="s">
        <v>421</v>
      </c>
      <c r="H13" t="s">
        <v>86</v>
      </c>
      <c r="I13" s="46" t="s">
        <v>335</v>
      </c>
      <c r="J13" s="45">
        <v>20</v>
      </c>
      <c r="K13" s="45">
        <v>500</v>
      </c>
      <c r="L13" s="45">
        <f t="shared" ref="L13:L22" si="2">J13*K13</f>
        <v>10000</v>
      </c>
      <c r="M13">
        <f>SUM(L13:L13)</f>
        <v>10000</v>
      </c>
    </row>
    <row r="14" spans="3:15" x14ac:dyDescent="0.3">
      <c r="D14" s="33" t="s">
        <v>402</v>
      </c>
      <c r="E14" s="35" t="s">
        <v>403</v>
      </c>
      <c r="F14" s="33" t="s">
        <v>406</v>
      </c>
      <c r="H14" s="1" t="s">
        <v>355</v>
      </c>
      <c r="I14" s="46" t="s">
        <v>336</v>
      </c>
      <c r="J14" s="45">
        <v>0</v>
      </c>
      <c r="K14" s="45">
        <v>0</v>
      </c>
      <c r="L14" s="45">
        <f t="shared" si="2"/>
        <v>0</v>
      </c>
      <c r="M14" s="40">
        <f>SUM(L14:L22)</f>
        <v>0</v>
      </c>
    </row>
    <row r="15" spans="3:15" x14ac:dyDescent="0.3">
      <c r="D15" t="s">
        <v>401</v>
      </c>
      <c r="E15" s="40">
        <v>1</v>
      </c>
      <c r="I15" s="46" t="s">
        <v>337</v>
      </c>
      <c r="J15" s="45">
        <v>0</v>
      </c>
      <c r="K15" s="45">
        <v>0</v>
      </c>
      <c r="L15" s="45">
        <f t="shared" si="2"/>
        <v>0</v>
      </c>
    </row>
    <row r="16" spans="3:15" x14ac:dyDescent="0.3">
      <c r="D16" t="s">
        <v>404</v>
      </c>
      <c r="E16" s="40">
        <v>2</v>
      </c>
      <c r="I16" s="46" t="s">
        <v>338</v>
      </c>
      <c r="J16" s="45">
        <v>0</v>
      </c>
      <c r="K16" s="45">
        <v>0</v>
      </c>
      <c r="L16" s="45">
        <f t="shared" si="2"/>
        <v>0</v>
      </c>
    </row>
    <row r="17" spans="4:16" x14ac:dyDescent="0.3">
      <c r="D17" t="s">
        <v>405</v>
      </c>
      <c r="E17" s="40">
        <v>3</v>
      </c>
      <c r="I17" s="46" t="s">
        <v>339</v>
      </c>
      <c r="J17" s="45">
        <v>0</v>
      </c>
      <c r="K17" s="45">
        <v>0</v>
      </c>
      <c r="L17" s="45">
        <f t="shared" si="2"/>
        <v>0</v>
      </c>
    </row>
    <row r="18" spans="4:16" x14ac:dyDescent="0.3">
      <c r="D18" t="s">
        <v>407</v>
      </c>
      <c r="E18" s="40">
        <v>4</v>
      </c>
      <c r="F18" t="s">
        <v>418</v>
      </c>
      <c r="I18" s="46" t="s">
        <v>340</v>
      </c>
      <c r="J18" s="45">
        <v>0</v>
      </c>
      <c r="K18" s="45">
        <v>0</v>
      </c>
      <c r="L18" s="45">
        <f t="shared" si="2"/>
        <v>0</v>
      </c>
    </row>
    <row r="19" spans="4:16" x14ac:dyDescent="0.3">
      <c r="D19" t="s">
        <v>408</v>
      </c>
      <c r="E19" s="40">
        <v>5</v>
      </c>
      <c r="F19" t="s">
        <v>415</v>
      </c>
      <c r="I19" s="46" t="s">
        <v>341</v>
      </c>
      <c r="J19" s="45">
        <v>0</v>
      </c>
      <c r="K19" s="45">
        <v>0</v>
      </c>
      <c r="L19" s="45">
        <f t="shared" si="2"/>
        <v>0</v>
      </c>
    </row>
    <row r="20" spans="4:16" x14ac:dyDescent="0.3">
      <c r="D20" t="s">
        <v>409</v>
      </c>
      <c r="E20" s="40">
        <v>6</v>
      </c>
      <c r="F20" t="s">
        <v>417</v>
      </c>
      <c r="I20" s="46" t="s">
        <v>342</v>
      </c>
      <c r="J20" s="45">
        <v>0</v>
      </c>
      <c r="K20" s="45">
        <v>0</v>
      </c>
      <c r="L20" s="45">
        <f t="shared" si="2"/>
        <v>0</v>
      </c>
    </row>
    <row r="21" spans="4:16" x14ac:dyDescent="0.3">
      <c r="D21" t="s">
        <v>410</v>
      </c>
      <c r="E21" s="40">
        <v>7</v>
      </c>
      <c r="F21" t="s">
        <v>416</v>
      </c>
      <c r="I21" s="46" t="s">
        <v>343</v>
      </c>
      <c r="J21" s="45">
        <v>0</v>
      </c>
      <c r="K21" s="45">
        <v>0</v>
      </c>
      <c r="L21" s="45">
        <f t="shared" si="2"/>
        <v>0</v>
      </c>
    </row>
    <row r="22" spans="4:16" x14ac:dyDescent="0.3">
      <c r="D22" t="s">
        <v>411</v>
      </c>
      <c r="E22" s="40">
        <v>8</v>
      </c>
      <c r="I22" s="46" t="s">
        <v>344</v>
      </c>
      <c r="J22" s="45">
        <v>0</v>
      </c>
      <c r="K22" s="45">
        <v>0</v>
      </c>
      <c r="L22" s="45">
        <f t="shared" si="2"/>
        <v>0</v>
      </c>
    </row>
    <row r="23" spans="4:16" x14ac:dyDescent="0.3">
      <c r="D23" t="s">
        <v>420</v>
      </c>
      <c r="E23" s="40">
        <v>9</v>
      </c>
    </row>
    <row r="24" spans="4:16" x14ac:dyDescent="0.3">
      <c r="D24" t="s">
        <v>413</v>
      </c>
      <c r="E24" s="43" t="s">
        <v>414</v>
      </c>
      <c r="I24" s="2" t="s">
        <v>362</v>
      </c>
    </row>
    <row r="25" spans="4:16" x14ac:dyDescent="0.3">
      <c r="I25" s="33" t="s">
        <v>223</v>
      </c>
      <c r="J25" s="33" t="s">
        <v>14</v>
      </c>
      <c r="K25" s="38" t="s">
        <v>36</v>
      </c>
      <c r="L25" s="38" t="s">
        <v>227</v>
      </c>
      <c r="M25" s="38" t="s">
        <v>87</v>
      </c>
      <c r="N25" s="38" t="s">
        <v>222</v>
      </c>
      <c r="O25" s="38" t="s">
        <v>354</v>
      </c>
      <c r="P25" s="39" t="s">
        <v>333</v>
      </c>
    </row>
    <row r="26" spans="4:16" x14ac:dyDescent="0.3">
      <c r="H26" t="s">
        <v>86</v>
      </c>
      <c r="I26" s="46" t="s">
        <v>353</v>
      </c>
      <c r="J26" s="45">
        <v>20</v>
      </c>
      <c r="K26" s="45">
        <v>0</v>
      </c>
      <c r="L26" s="45">
        <v>1.5</v>
      </c>
      <c r="M26" s="34">
        <v>1</v>
      </c>
      <c r="N26" s="45">
        <v>5</v>
      </c>
      <c r="O26" s="45">
        <f>N26 * J26*3900*(1.6)^(K26)*M26/L26</f>
        <v>260000</v>
      </c>
      <c r="P26">
        <f>SUM(O26:O26)</f>
        <v>260000</v>
      </c>
    </row>
    <row r="27" spans="4:16" x14ac:dyDescent="0.3">
      <c r="H27" s="1" t="s">
        <v>356</v>
      </c>
      <c r="I27" s="46" t="s">
        <v>357</v>
      </c>
      <c r="J27" s="45">
        <v>0</v>
      </c>
      <c r="K27" s="45">
        <v>0</v>
      </c>
      <c r="L27" s="45">
        <v>1</v>
      </c>
      <c r="M27" s="34">
        <v>1</v>
      </c>
      <c r="N27" s="45">
        <v>0</v>
      </c>
      <c r="O27" s="45">
        <f t="shared" ref="O27:O29" si="3">N27 * J27*3900*(1.6)^(K27)*M27/L27</f>
        <v>0</v>
      </c>
      <c r="P27" s="40">
        <f>SUM(O27:O32)</f>
        <v>0</v>
      </c>
    </row>
    <row r="28" spans="4:16" x14ac:dyDescent="0.3">
      <c r="I28" s="46" t="s">
        <v>358</v>
      </c>
      <c r="J28" s="45">
        <v>0</v>
      </c>
      <c r="K28" s="45">
        <v>0</v>
      </c>
      <c r="L28" s="45">
        <v>1</v>
      </c>
      <c r="M28" s="34">
        <v>1</v>
      </c>
      <c r="N28" s="45">
        <v>0</v>
      </c>
      <c r="O28" s="45">
        <f t="shared" si="3"/>
        <v>0</v>
      </c>
    </row>
    <row r="29" spans="4:16" x14ac:dyDescent="0.3">
      <c r="I29" s="46" t="s">
        <v>359</v>
      </c>
      <c r="J29" s="45">
        <v>0</v>
      </c>
      <c r="K29" s="45">
        <v>0</v>
      </c>
      <c r="L29" s="45">
        <v>1</v>
      </c>
      <c r="M29" s="34">
        <v>1</v>
      </c>
      <c r="N29" s="45">
        <v>0</v>
      </c>
      <c r="O29" s="45">
        <f t="shared" si="3"/>
        <v>0</v>
      </c>
    </row>
    <row r="30" spans="4:16" x14ac:dyDescent="0.3">
      <c r="I30" s="46" t="s">
        <v>360</v>
      </c>
      <c r="J30" s="45">
        <v>0</v>
      </c>
      <c r="K30" s="45">
        <v>0</v>
      </c>
      <c r="L30" s="45">
        <v>1</v>
      </c>
      <c r="M30" s="34">
        <v>1</v>
      </c>
      <c r="N30" s="45">
        <v>0</v>
      </c>
      <c r="O30" s="45">
        <f t="shared" ref="O30:O31" si="4">N30 * J30*3900*(1.6)^(K30)*M30/L30</f>
        <v>0</v>
      </c>
    </row>
    <row r="31" spans="4:16" x14ac:dyDescent="0.3">
      <c r="I31" s="46" t="s">
        <v>361</v>
      </c>
      <c r="J31" s="45">
        <v>0</v>
      </c>
      <c r="K31" s="45">
        <v>0</v>
      </c>
      <c r="L31" s="45">
        <v>1</v>
      </c>
      <c r="M31" s="34">
        <v>1</v>
      </c>
      <c r="N31" s="45">
        <v>0</v>
      </c>
      <c r="O31" s="45">
        <f t="shared" si="4"/>
        <v>0</v>
      </c>
    </row>
    <row r="32" spans="4:16" x14ac:dyDescent="0.3">
      <c r="I32" s="46" t="s">
        <v>419</v>
      </c>
      <c r="J32" s="45">
        <v>0</v>
      </c>
      <c r="K32" s="45">
        <v>0</v>
      </c>
      <c r="L32" s="45">
        <v>1</v>
      </c>
      <c r="M32" s="34">
        <v>1</v>
      </c>
      <c r="N32" s="45">
        <v>0</v>
      </c>
      <c r="O32" s="45">
        <f t="shared" ref="O32" si="5">N32 * J32*3900*(1.6)^(K32)*M32/L32</f>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34537-191E-473E-8F5E-E80A13E62C45}">
  <dimension ref="A1:W35"/>
  <sheetViews>
    <sheetView workbookViewId="0">
      <selection activeCell="E18" sqref="E18"/>
    </sheetView>
  </sheetViews>
  <sheetFormatPr defaultRowHeight="14" x14ac:dyDescent="0.3"/>
  <cols>
    <col min="1" max="1" width="4.4140625" customWidth="1"/>
    <col min="2" max="2" width="8.75" customWidth="1"/>
    <col min="3" max="3" width="5.9140625" customWidth="1"/>
    <col min="4" max="4" width="8.25" customWidth="1"/>
    <col min="5" max="5" width="7.9140625" customWidth="1"/>
    <col min="6" max="6" width="8.25" customWidth="1"/>
    <col min="7" max="7" width="8.08203125" customWidth="1"/>
    <col min="8" max="8" width="8.58203125" customWidth="1"/>
    <col min="9" max="9" width="8.5" customWidth="1"/>
    <col min="10" max="10" width="13.08203125" customWidth="1"/>
    <col min="11" max="11" width="7.9140625" customWidth="1"/>
    <col min="12" max="12" width="11.6640625" customWidth="1"/>
    <col min="13" max="13" width="6.58203125" customWidth="1"/>
    <col min="14" max="14" width="12" customWidth="1"/>
    <col min="15" max="15" width="11.5" customWidth="1"/>
    <col min="18" max="18" width="10.6640625" customWidth="1"/>
    <col min="19" max="19" width="9.9140625" customWidth="1"/>
    <col min="22" max="22" width="10" customWidth="1"/>
  </cols>
  <sheetData>
    <row r="1" spans="1:23" x14ac:dyDescent="0.3">
      <c r="N1" t="s">
        <v>471</v>
      </c>
    </row>
    <row r="2" spans="1:23" x14ac:dyDescent="0.3">
      <c r="C2" s="33" t="s">
        <v>402</v>
      </c>
      <c r="D2" s="33" t="s">
        <v>424</v>
      </c>
      <c r="E2" s="33" t="s">
        <v>468</v>
      </c>
      <c r="F2" s="33" t="s">
        <v>448</v>
      </c>
      <c r="G2" s="33" t="s">
        <v>449</v>
      </c>
      <c r="H2" s="33" t="s">
        <v>451</v>
      </c>
      <c r="I2" s="33" t="s">
        <v>447</v>
      </c>
      <c r="J2" s="33" t="s">
        <v>450</v>
      </c>
      <c r="K2" s="33" t="s">
        <v>511</v>
      </c>
      <c r="L2" s="33" t="s">
        <v>446</v>
      </c>
      <c r="N2" s="35" t="s">
        <v>456</v>
      </c>
      <c r="O2" s="35" t="s">
        <v>455</v>
      </c>
      <c r="P2" s="35" t="s">
        <v>457</v>
      </c>
      <c r="Q2" s="35" t="s">
        <v>454</v>
      </c>
      <c r="R2" s="35" t="s">
        <v>459</v>
      </c>
      <c r="S2" s="35" t="s">
        <v>458</v>
      </c>
      <c r="T2" s="35" t="s">
        <v>460</v>
      </c>
      <c r="U2" s="35" t="s">
        <v>461</v>
      </c>
      <c r="V2" s="35" t="s">
        <v>81</v>
      </c>
      <c r="W2" s="35" t="s">
        <v>470</v>
      </c>
    </row>
    <row r="3" spans="1:23" x14ac:dyDescent="0.3">
      <c r="B3" t="s">
        <v>472</v>
      </c>
      <c r="C3" s="34">
        <v>1</v>
      </c>
      <c r="D3" s="27">
        <v>1.5</v>
      </c>
      <c r="E3" s="27">
        <v>0.8</v>
      </c>
      <c r="F3" s="27">
        <v>3</v>
      </c>
      <c r="G3" s="27">
        <v>1</v>
      </c>
      <c r="H3" s="27">
        <v>1</v>
      </c>
      <c r="I3" s="27">
        <v>1</v>
      </c>
      <c r="J3" s="27">
        <v>0.8</v>
      </c>
      <c r="K3" s="27">
        <v>1</v>
      </c>
      <c r="L3" s="27">
        <v>1.3</v>
      </c>
      <c r="N3" s="49">
        <f t="shared" ref="N3:N8" si="0">5+C3*D3*9*1.25^(1-E3)*J3/(G3*SQRT(H3)*1.2^(F3-3)*1.1^(I3-2)*SQRT(E3))</f>
        <v>18.888439450165926</v>
      </c>
      <c r="O3" s="49">
        <f t="shared" ref="O3:O8" si="1">40+(50+C3*D3*23)*SQRT(E3)*1.25^(1-E3)*J3/(G3*SQRT(H3)*1.2^(F3-3)*1.1^(I3-2))</f>
        <v>109.54507458009012</v>
      </c>
      <c r="P3" s="49">
        <f>MAX(200*(D3-2)+C3*D3*293*1.3^(1-E3)/(1.2^(I3-2)*SQRT(E3)*J3*SQRT(L3)),50)*(IF(AND(K3&gt;3,D3&lt;9),1-K3/50,1))*(IF(AND(K3&lt;5,D3&gt;12),1+1/K3,1))</f>
        <v>581.27450879982621</v>
      </c>
      <c r="Q3" s="49">
        <f>MAX(180*(D3-2)+C3*D3*900*SQRT(E3)*1.3^(1-E3)/(1.2^(I3-2)*J3*SQRT(L3)),100)*(IF(AND(K3&gt;3,D3&lt;9),1-K3/50,1))*(IF(AND(K3&lt;5,D3&gt;12),1+1/K3,1))</f>
        <v>1584.1216598494022</v>
      </c>
      <c r="R3" s="49">
        <f t="shared" ref="R3:R8" si="2">30/SQRT(E3)+(50+C3*D3)*L3/(J3*SQRT(E3))+30*(L3-1)</f>
        <v>136.10648909600368</v>
      </c>
      <c r="S3" s="49">
        <f t="shared" ref="S3:S8" si="3">210+(190+C3*D3)*L3*SQRT(E3)/(J3*1.1^(I3-2))</f>
        <v>516.16801764921502</v>
      </c>
      <c r="T3" s="49">
        <f t="shared" ref="T3:T8" si="4">C3^1.15*D3^1.2*12*1.25^(1-E3)/(SQRT(E3))*IF(D3&gt;17,1.2^(D3-15),1)</f>
        <v>22.820637166202172</v>
      </c>
      <c r="U3" s="49">
        <f t="shared" ref="U3:U8" si="5">95+C3^1*D3^1.58*33*1.25^(1-E3)*SQRT(E3)/1+IF(C3&gt;=6,C3*200,0)</f>
        <v>153.56863807482276</v>
      </c>
      <c r="V3" s="49">
        <f t="shared" ref="V3:V8" si="6">_xlfn.FLOOR.MATH(2*C3^1.3*D3^1.3+IF(D3&gt;2,D3*10,0)+IF(D3&gt;8,C3^0.5*D3^0.7)+IF(D3&gt;16,C3^1.2*(D3-15)^2.5,0))*500</f>
        <v>1500</v>
      </c>
      <c r="W3" s="49">
        <f>_xlfn.FLOOR.MATH(V3/700)*20</f>
        <v>40</v>
      </c>
    </row>
    <row r="4" spans="1:23" x14ac:dyDescent="0.3">
      <c r="B4" t="s">
        <v>487</v>
      </c>
      <c r="C4" s="34">
        <v>1</v>
      </c>
      <c r="D4" s="27">
        <v>13</v>
      </c>
      <c r="E4" s="27">
        <v>0.9</v>
      </c>
      <c r="F4" s="27">
        <v>2</v>
      </c>
      <c r="G4" s="27">
        <v>1.7</v>
      </c>
      <c r="H4" s="27">
        <v>2</v>
      </c>
      <c r="I4" s="27">
        <v>1</v>
      </c>
      <c r="J4" s="27">
        <v>1.1000000000000001</v>
      </c>
      <c r="K4" s="27">
        <v>3</v>
      </c>
      <c r="L4" s="27">
        <v>3</v>
      </c>
      <c r="N4" s="49">
        <f t="shared" si="0"/>
        <v>81.165501413354804</v>
      </c>
      <c r="O4" s="49">
        <f t="shared" si="1"/>
        <v>244.47507687123712</v>
      </c>
      <c r="P4" s="49">
        <f t="shared" ref="P4:P8" si="7">MAX(200*(D4-2)+C4*D4*293*1.3^(1-E4)/(1.2^(I4-2)*SQRT(E4)*J4*SQRT(L4)),50)*(IF(AND(K4&gt;3,D4&lt;9),1-K4/50,1))*(IF(AND(K4&lt;5,D4&gt;12),1+1/K4,1))</f>
        <v>6394.7248368899818</v>
      </c>
      <c r="Q4" s="49">
        <f t="shared" ref="Q4:Q7" si="8">MAX(180*(D4-2)+C4*D4*900*SQRT(E4)*1.3^(1-E4)/(1.2^(I4-2)*J4*SQRT(L4)),100)*(IF(AND(K4&gt;3,D4&lt;9),1-K4/50,1))*(IF(AND(K4&lt;5,D4&gt;12),1+1/K4,1))</f>
        <v>12209.034532016676</v>
      </c>
      <c r="R4" s="49">
        <f t="shared" si="2"/>
        <v>272.73504259314552</v>
      </c>
      <c r="S4" s="49">
        <f t="shared" si="3"/>
        <v>787.74812851276283</v>
      </c>
      <c r="T4" s="49">
        <f t="shared" si="4"/>
        <v>280.8555532243625</v>
      </c>
      <c r="U4" s="49">
        <f t="shared" si="5"/>
        <v>1937.2844760253267</v>
      </c>
      <c r="V4" s="49">
        <f t="shared" si="6"/>
        <v>96000</v>
      </c>
      <c r="W4" s="49">
        <f t="shared" ref="W4:W8" si="9">_xlfn.FLOOR.MATH(V4/700)*20</f>
        <v>2740</v>
      </c>
    </row>
    <row r="5" spans="1:23" x14ac:dyDescent="0.3">
      <c r="B5" t="s">
        <v>474</v>
      </c>
      <c r="C5" s="34">
        <v>3</v>
      </c>
      <c r="D5" s="27">
        <v>13</v>
      </c>
      <c r="E5" s="27">
        <v>1.3</v>
      </c>
      <c r="F5" s="27">
        <v>4</v>
      </c>
      <c r="G5" s="27">
        <v>1.5</v>
      </c>
      <c r="H5" s="27">
        <v>3</v>
      </c>
      <c r="I5" s="27">
        <v>3</v>
      </c>
      <c r="J5" s="27">
        <v>0.9</v>
      </c>
      <c r="K5" s="27">
        <v>4</v>
      </c>
      <c r="L5" s="27">
        <v>2</v>
      </c>
      <c r="N5" s="49">
        <f t="shared" si="0"/>
        <v>80.557769388855888</v>
      </c>
      <c r="O5" s="49">
        <f t="shared" si="1"/>
        <v>305.01188004165385</v>
      </c>
      <c r="P5" s="49">
        <f t="shared" si="7"/>
        <v>10331.389426371348</v>
      </c>
      <c r="Q5" s="49">
        <f t="shared" si="8"/>
        <v>32748.807607011862</v>
      </c>
      <c r="R5" s="49">
        <f t="shared" si="2"/>
        <v>229.77432661993439</v>
      </c>
      <c r="S5" s="49">
        <f t="shared" si="3"/>
        <v>737.47509565192433</v>
      </c>
      <c r="T5" s="49">
        <f t="shared" si="4"/>
        <v>756.06308092998961</v>
      </c>
      <c r="U5" s="49">
        <f t="shared" si="5"/>
        <v>6170.2529291090304</v>
      </c>
      <c r="V5" s="49">
        <f t="shared" si="6"/>
        <v>187000</v>
      </c>
      <c r="W5" s="49">
        <f t="shared" si="9"/>
        <v>5340</v>
      </c>
    </row>
    <row r="6" spans="1:23" x14ac:dyDescent="0.3">
      <c r="B6" t="s">
        <v>476</v>
      </c>
      <c r="C6" s="34">
        <v>4</v>
      </c>
      <c r="D6" s="27">
        <v>4</v>
      </c>
      <c r="E6" s="27">
        <v>1.2</v>
      </c>
      <c r="F6" s="27">
        <v>3</v>
      </c>
      <c r="G6" s="27">
        <v>1</v>
      </c>
      <c r="H6" s="27">
        <v>3</v>
      </c>
      <c r="I6" s="27">
        <v>2</v>
      </c>
      <c r="J6" s="27">
        <v>2.2999999999999998</v>
      </c>
      <c r="K6" s="27">
        <v>3</v>
      </c>
      <c r="L6" s="27">
        <v>1.8</v>
      </c>
      <c r="N6" s="49">
        <f t="shared" si="0"/>
        <v>171.9387184223385</v>
      </c>
      <c r="O6" s="49">
        <f t="shared" si="1"/>
        <v>621.50320250447896</v>
      </c>
      <c r="P6" s="49">
        <f t="shared" si="7"/>
        <v>1715.9646431015246</v>
      </c>
      <c r="Q6" s="49">
        <f t="shared" si="8"/>
        <v>5210.6546571660292</v>
      </c>
      <c r="R6" s="49">
        <f t="shared" si="2"/>
        <v>98.537895869181312</v>
      </c>
      <c r="S6" s="49">
        <f t="shared" si="3"/>
        <v>386.60480375905706</v>
      </c>
      <c r="T6" s="49">
        <f t="shared" si="4"/>
        <v>272.30122809761059</v>
      </c>
      <c r="U6" s="49">
        <f t="shared" si="5"/>
        <v>1331.0536970509388</v>
      </c>
      <c r="V6" s="49">
        <f t="shared" si="6"/>
        <v>56500</v>
      </c>
      <c r="W6" s="49">
        <f t="shared" si="9"/>
        <v>1600</v>
      </c>
    </row>
    <row r="7" spans="1:23" x14ac:dyDescent="0.3">
      <c r="B7" t="s">
        <v>473</v>
      </c>
      <c r="C7" s="34">
        <v>5</v>
      </c>
      <c r="D7" s="27">
        <v>20</v>
      </c>
      <c r="E7" s="27">
        <v>1.5</v>
      </c>
      <c r="F7" s="27">
        <v>4</v>
      </c>
      <c r="G7" s="27">
        <v>1.2</v>
      </c>
      <c r="H7" s="27">
        <v>10</v>
      </c>
      <c r="I7" s="27">
        <v>3</v>
      </c>
      <c r="J7" s="27">
        <v>1</v>
      </c>
      <c r="K7" s="27">
        <v>5</v>
      </c>
      <c r="L7" s="27">
        <v>2</v>
      </c>
      <c r="N7" s="49">
        <f t="shared" si="0"/>
        <v>136.21597027036952</v>
      </c>
      <c r="O7" s="49">
        <f t="shared" si="1"/>
        <v>553.92921689228058</v>
      </c>
      <c r="P7" s="49">
        <f t="shared" si="7"/>
        <v>15963.859773146431</v>
      </c>
      <c r="Q7" s="49">
        <f t="shared" si="8"/>
        <v>60206.58939845625</v>
      </c>
      <c r="R7" s="49">
        <f t="shared" si="2"/>
        <v>299.44387170614959</v>
      </c>
      <c r="S7" s="49">
        <f t="shared" si="3"/>
        <v>855.77456855192861</v>
      </c>
      <c r="T7" s="49">
        <f t="shared" si="4"/>
        <v>5054.0361041989854</v>
      </c>
      <c r="U7" s="49">
        <f t="shared" si="5"/>
        <v>20639.802012802509</v>
      </c>
      <c r="V7" s="49">
        <f t="shared" si="6"/>
        <v>700000</v>
      </c>
      <c r="W7" s="49">
        <f t="shared" si="9"/>
        <v>20000</v>
      </c>
    </row>
    <row r="8" spans="1:23" x14ac:dyDescent="0.3">
      <c r="B8" s="1" t="s">
        <v>464</v>
      </c>
      <c r="C8" s="36">
        <v>1</v>
      </c>
      <c r="D8" s="37">
        <v>1</v>
      </c>
      <c r="E8" s="37">
        <v>1</v>
      </c>
      <c r="F8" s="37">
        <v>3</v>
      </c>
      <c r="G8" s="37">
        <v>2</v>
      </c>
      <c r="H8" s="37">
        <v>3</v>
      </c>
      <c r="I8" s="37">
        <v>2</v>
      </c>
      <c r="J8" s="37">
        <v>1</v>
      </c>
      <c r="K8" s="37">
        <v>1</v>
      </c>
      <c r="L8" s="37">
        <v>1</v>
      </c>
      <c r="N8" s="48">
        <f t="shared" si="0"/>
        <v>7.598076211353316</v>
      </c>
      <c r="O8" s="48">
        <f t="shared" si="1"/>
        <v>61.073284825421339</v>
      </c>
      <c r="P8" s="48">
        <f t="shared" si="7"/>
        <v>93</v>
      </c>
      <c r="Q8" s="48">
        <f>MAX(180*(D8-2)+C8*D8*900*SQRT(E8)*1.3^(1-E8)/(1.2^(I8-2)*J8*SQRT(L8)),100)*(IF(AND(K8&gt;3,D8&lt;9),1-K8/50,1))*(IF(AND(K8&lt;5,D8&gt;12),1+1/K8,1))</f>
        <v>720</v>
      </c>
      <c r="R8" s="48">
        <f t="shared" si="2"/>
        <v>81</v>
      </c>
      <c r="S8" s="48">
        <f t="shared" si="3"/>
        <v>401</v>
      </c>
      <c r="T8" s="48">
        <f t="shared" si="4"/>
        <v>12</v>
      </c>
      <c r="U8" s="48">
        <f t="shared" si="5"/>
        <v>128</v>
      </c>
      <c r="V8" s="48">
        <f t="shared" si="6"/>
        <v>1000</v>
      </c>
      <c r="W8" s="48">
        <f t="shared" si="9"/>
        <v>20</v>
      </c>
    </row>
    <row r="10" spans="1:23" x14ac:dyDescent="0.3">
      <c r="A10" s="2" t="s">
        <v>475</v>
      </c>
      <c r="C10" s="24" t="s">
        <v>234</v>
      </c>
      <c r="D10" s="2" t="s">
        <v>512</v>
      </c>
    </row>
    <row r="11" spans="1:23" x14ac:dyDescent="0.3">
      <c r="A11" s="6" t="s">
        <v>149</v>
      </c>
      <c r="B11" s="6"/>
      <c r="C11" s="24"/>
      <c r="D11" s="2" t="s">
        <v>469</v>
      </c>
    </row>
    <row r="12" spans="1:23" x14ac:dyDescent="0.3">
      <c r="A12" s="15" t="s">
        <v>148</v>
      </c>
      <c r="B12" s="15"/>
      <c r="D12" s="2" t="s">
        <v>483</v>
      </c>
    </row>
    <row r="13" spans="1:23" x14ac:dyDescent="0.3">
      <c r="D13" s="2" t="s">
        <v>482</v>
      </c>
    </row>
    <row r="14" spans="1:23" x14ac:dyDescent="0.3">
      <c r="D14" s="2" t="s">
        <v>462</v>
      </c>
    </row>
    <row r="15" spans="1:23" x14ac:dyDescent="0.3">
      <c r="D15" s="2" t="s">
        <v>452</v>
      </c>
    </row>
    <row r="16" spans="1:23" x14ac:dyDescent="0.3">
      <c r="D16" s="2" t="s">
        <v>481</v>
      </c>
    </row>
    <row r="17" spans="2:12" x14ac:dyDescent="0.3">
      <c r="D17" s="2" t="s">
        <v>453</v>
      </c>
    </row>
    <row r="18" spans="2:12" x14ac:dyDescent="0.3">
      <c r="D18" s="2"/>
    </row>
    <row r="19" spans="2:12" x14ac:dyDescent="0.3">
      <c r="B19" s="2" t="s">
        <v>402</v>
      </c>
      <c r="J19" s="2" t="s">
        <v>424</v>
      </c>
    </row>
    <row r="20" spans="2:12" x14ac:dyDescent="0.3">
      <c r="B20" s="33" t="s">
        <v>402</v>
      </c>
      <c r="C20" s="35" t="s">
        <v>403</v>
      </c>
      <c r="D20" s="33" t="s">
        <v>406</v>
      </c>
      <c r="J20" s="33" t="s">
        <v>425</v>
      </c>
      <c r="K20" s="35" t="s">
        <v>403</v>
      </c>
      <c r="L20" s="33" t="s">
        <v>436</v>
      </c>
    </row>
    <row r="21" spans="2:12" x14ac:dyDescent="0.3">
      <c r="B21" t="s">
        <v>401</v>
      </c>
      <c r="C21" s="40">
        <v>1</v>
      </c>
      <c r="J21" t="s">
        <v>426</v>
      </c>
      <c r="K21" s="40">
        <v>1</v>
      </c>
      <c r="L21" t="s">
        <v>438</v>
      </c>
    </row>
    <row r="22" spans="2:12" x14ac:dyDescent="0.3">
      <c r="B22" t="s">
        <v>404</v>
      </c>
      <c r="C22" s="40">
        <v>2</v>
      </c>
      <c r="J22" t="s">
        <v>427</v>
      </c>
      <c r="K22" s="40">
        <v>1.5</v>
      </c>
      <c r="L22" t="s">
        <v>465</v>
      </c>
    </row>
    <row r="23" spans="2:12" x14ac:dyDescent="0.3">
      <c r="B23" t="s">
        <v>405</v>
      </c>
      <c r="C23" s="40">
        <v>3</v>
      </c>
      <c r="J23" t="s">
        <v>428</v>
      </c>
      <c r="K23" s="40">
        <v>2</v>
      </c>
      <c r="L23" t="s">
        <v>439</v>
      </c>
    </row>
    <row r="24" spans="2:12" x14ac:dyDescent="0.3">
      <c r="B24" t="s">
        <v>407</v>
      </c>
      <c r="C24" s="40">
        <v>4</v>
      </c>
      <c r="D24" t="s">
        <v>418</v>
      </c>
      <c r="J24" t="s">
        <v>429</v>
      </c>
      <c r="K24" s="44" t="s">
        <v>478</v>
      </c>
      <c r="L24" t="s">
        <v>477</v>
      </c>
    </row>
    <row r="25" spans="2:12" x14ac:dyDescent="0.3">
      <c r="B25" t="s">
        <v>408</v>
      </c>
      <c r="C25" s="40">
        <v>5</v>
      </c>
      <c r="D25" t="s">
        <v>415</v>
      </c>
      <c r="J25" t="s">
        <v>430</v>
      </c>
      <c r="K25" s="44" t="s">
        <v>479</v>
      </c>
      <c r="L25" t="s">
        <v>440</v>
      </c>
    </row>
    <row r="26" spans="2:12" x14ac:dyDescent="0.3">
      <c r="B26" t="s">
        <v>409</v>
      </c>
      <c r="C26" s="40">
        <v>6</v>
      </c>
      <c r="D26" t="s">
        <v>417</v>
      </c>
      <c r="G26" s="2" t="s">
        <v>511</v>
      </c>
      <c r="J26" t="s">
        <v>431</v>
      </c>
      <c r="K26" s="44" t="s">
        <v>480</v>
      </c>
      <c r="L26" t="s">
        <v>441</v>
      </c>
    </row>
    <row r="27" spans="2:12" x14ac:dyDescent="0.3">
      <c r="B27" t="s">
        <v>410</v>
      </c>
      <c r="C27" s="40">
        <v>7</v>
      </c>
      <c r="D27" t="s">
        <v>416</v>
      </c>
      <c r="G27" s="33" t="s">
        <v>402</v>
      </c>
      <c r="H27" s="35" t="s">
        <v>403</v>
      </c>
      <c r="J27" t="s">
        <v>432</v>
      </c>
      <c r="K27" s="40">
        <v>9</v>
      </c>
      <c r="L27" t="s">
        <v>444</v>
      </c>
    </row>
    <row r="28" spans="2:12" x14ac:dyDescent="0.3">
      <c r="B28" t="s">
        <v>411</v>
      </c>
      <c r="C28" s="40">
        <v>8</v>
      </c>
      <c r="G28" s="42" t="s">
        <v>489</v>
      </c>
      <c r="H28" s="40">
        <v>1</v>
      </c>
      <c r="J28" t="s">
        <v>433</v>
      </c>
      <c r="K28" s="40">
        <v>13</v>
      </c>
      <c r="L28" t="s">
        <v>445</v>
      </c>
    </row>
    <row r="29" spans="2:12" x14ac:dyDescent="0.3">
      <c r="B29" t="s">
        <v>412</v>
      </c>
      <c r="C29" s="40">
        <v>9</v>
      </c>
      <c r="G29" s="42" t="s">
        <v>488</v>
      </c>
      <c r="H29" s="40">
        <v>2</v>
      </c>
      <c r="J29" t="s">
        <v>434</v>
      </c>
      <c r="K29" s="40">
        <v>16</v>
      </c>
      <c r="L29" t="s">
        <v>463</v>
      </c>
    </row>
    <row r="30" spans="2:12" x14ac:dyDescent="0.3">
      <c r="B30" t="s">
        <v>413</v>
      </c>
      <c r="C30" s="44" t="s">
        <v>414</v>
      </c>
      <c r="G30" s="42" t="s">
        <v>490</v>
      </c>
      <c r="H30" s="40">
        <v>3</v>
      </c>
      <c r="J30" t="s">
        <v>435</v>
      </c>
      <c r="K30" s="40">
        <v>20</v>
      </c>
      <c r="L30" t="s">
        <v>443</v>
      </c>
    </row>
    <row r="31" spans="2:12" x14ac:dyDescent="0.3">
      <c r="G31" s="42" t="s">
        <v>491</v>
      </c>
      <c r="H31" s="40">
        <v>4</v>
      </c>
    </row>
    <row r="32" spans="2:12" x14ac:dyDescent="0.3">
      <c r="B32" t="s">
        <v>466</v>
      </c>
      <c r="C32" s="47" t="s">
        <v>467</v>
      </c>
      <c r="D32" s="44"/>
      <c r="G32" s="42" t="s">
        <v>492</v>
      </c>
      <c r="H32" s="40">
        <v>5</v>
      </c>
      <c r="J32" s="24" t="s">
        <v>510</v>
      </c>
      <c r="K32" s="2" t="s">
        <v>442</v>
      </c>
    </row>
    <row r="33" spans="7:11" x14ac:dyDescent="0.3">
      <c r="K33" s="2" t="s">
        <v>437</v>
      </c>
    </row>
    <row r="34" spans="7:11" x14ac:dyDescent="0.3">
      <c r="G34" s="24" t="s">
        <v>513</v>
      </c>
      <c r="H34" s="2" t="s">
        <v>514</v>
      </c>
    </row>
    <row r="35" spans="7:11" x14ac:dyDescent="0.3">
      <c r="G35" s="2"/>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62D51-4A85-49A4-AACE-F79C8F6223AF}">
  <dimension ref="A2:R68"/>
  <sheetViews>
    <sheetView workbookViewId="0">
      <selection activeCell="I16" sqref="I16"/>
    </sheetView>
  </sheetViews>
  <sheetFormatPr defaultRowHeight="14" x14ac:dyDescent="0.3"/>
  <cols>
    <col min="3" max="3" width="13.33203125" customWidth="1"/>
    <col min="4" max="4" width="13.83203125" customWidth="1"/>
    <col min="5" max="5" width="19.33203125" customWidth="1"/>
    <col min="8" max="8" width="9.9140625" customWidth="1"/>
    <col min="11" max="11" width="4.9140625" customWidth="1"/>
    <col min="12" max="12" width="9.4140625" customWidth="1"/>
    <col min="13" max="13" width="9.58203125" customWidth="1"/>
    <col min="14" max="14" width="11.25" customWidth="1"/>
  </cols>
  <sheetData>
    <row r="2" spans="1:15" x14ac:dyDescent="0.3">
      <c r="A2" t="s">
        <v>101</v>
      </c>
    </row>
    <row r="6" spans="1:15" x14ac:dyDescent="0.3">
      <c r="J6" t="s">
        <v>99</v>
      </c>
    </row>
    <row r="7" spans="1:15" x14ac:dyDescent="0.3">
      <c r="B7" t="s">
        <v>89</v>
      </c>
      <c r="C7" t="s">
        <v>90</v>
      </c>
      <c r="D7" t="s">
        <v>91</v>
      </c>
      <c r="E7" t="s">
        <v>92</v>
      </c>
      <c r="F7" t="s">
        <v>93</v>
      </c>
      <c r="K7" t="s">
        <v>89</v>
      </c>
      <c r="L7" t="s">
        <v>90</v>
      </c>
      <c r="M7" t="s">
        <v>91</v>
      </c>
      <c r="N7" t="s">
        <v>92</v>
      </c>
      <c r="O7" t="s">
        <v>93</v>
      </c>
    </row>
    <row r="8" spans="1:15" x14ac:dyDescent="0.3">
      <c r="A8" t="s">
        <v>95</v>
      </c>
      <c r="B8">
        <v>1</v>
      </c>
      <c r="C8">
        <v>10000</v>
      </c>
      <c r="D8">
        <v>55000</v>
      </c>
      <c r="E8">
        <v>60</v>
      </c>
      <c r="F8">
        <f>(C8+(D8-C8)/(E8-1)*B8)</f>
        <v>10762.71186440678</v>
      </c>
      <c r="K8">
        <v>1</v>
      </c>
      <c r="L8">
        <v>10000</v>
      </c>
      <c r="M8">
        <v>55000</v>
      </c>
      <c r="N8">
        <v>60</v>
      </c>
      <c r="O8">
        <f>(L8+(M8-L8)/(N8-1)*K8)</f>
        <v>10762.71186440678</v>
      </c>
    </row>
    <row r="9" spans="1:15" x14ac:dyDescent="0.3">
      <c r="B9">
        <v>2</v>
      </c>
      <c r="C9">
        <v>10000</v>
      </c>
      <c r="D9">
        <v>55000</v>
      </c>
      <c r="E9">
        <v>60</v>
      </c>
      <c r="F9">
        <f>(C9+(D9-C9)/(E9-1)*B9)</f>
        <v>11525.423728813559</v>
      </c>
      <c r="K9">
        <v>2</v>
      </c>
      <c r="L9">
        <v>10000</v>
      </c>
      <c r="M9">
        <v>55000</v>
      </c>
      <c r="N9">
        <v>60</v>
      </c>
      <c r="O9">
        <f>(L9+(M9-L9)/(N9-1)*K9)</f>
        <v>11525.423728813559</v>
      </c>
    </row>
    <row r="10" spans="1:15" x14ac:dyDescent="0.3">
      <c r="B10">
        <v>3</v>
      </c>
      <c r="C10">
        <v>10000</v>
      </c>
      <c r="D10">
        <v>55000</v>
      </c>
      <c r="E10">
        <v>60</v>
      </c>
      <c r="F10">
        <f t="shared" ref="F10:F17" si="0">(C10+(D10-C10)/(E10-1)*B10)</f>
        <v>12288.135593220339</v>
      </c>
      <c r="K10">
        <v>3</v>
      </c>
      <c r="L10">
        <v>10000</v>
      </c>
      <c r="M10">
        <v>55000</v>
      </c>
      <c r="N10">
        <v>60</v>
      </c>
      <c r="O10">
        <f t="shared" ref="O10" si="1">(L10+(M10-L10)/(N10-1)*K10)</f>
        <v>12288.135593220339</v>
      </c>
    </row>
    <row r="11" spans="1:15" x14ac:dyDescent="0.3">
      <c r="B11">
        <v>4</v>
      </c>
      <c r="C11">
        <v>10000</v>
      </c>
      <c r="D11">
        <v>55000</v>
      </c>
      <c r="E11">
        <v>60</v>
      </c>
      <c r="F11">
        <f t="shared" si="0"/>
        <v>13050.847457627118</v>
      </c>
    </row>
    <row r="12" spans="1:15" x14ac:dyDescent="0.3">
      <c r="B12">
        <v>5</v>
      </c>
      <c r="C12">
        <v>10000</v>
      </c>
      <c r="D12">
        <v>55000</v>
      </c>
      <c r="E12">
        <v>60</v>
      </c>
      <c r="F12">
        <f t="shared" si="0"/>
        <v>13813.559322033898</v>
      </c>
    </row>
    <row r="13" spans="1:15" x14ac:dyDescent="0.3">
      <c r="B13">
        <v>6</v>
      </c>
      <c r="C13">
        <v>10000</v>
      </c>
      <c r="D13">
        <v>55000</v>
      </c>
      <c r="E13">
        <v>60</v>
      </c>
      <c r="F13">
        <f t="shared" si="0"/>
        <v>14576.271186440677</v>
      </c>
    </row>
    <row r="14" spans="1:15" x14ac:dyDescent="0.3">
      <c r="B14">
        <v>7</v>
      </c>
      <c r="C14">
        <v>10000</v>
      </c>
      <c r="D14">
        <v>55000</v>
      </c>
      <c r="E14">
        <v>60</v>
      </c>
      <c r="F14">
        <f t="shared" si="0"/>
        <v>15338.983050847459</v>
      </c>
    </row>
    <row r="15" spans="1:15" x14ac:dyDescent="0.3">
      <c r="B15">
        <v>8</v>
      </c>
      <c r="C15">
        <v>10000</v>
      </c>
      <c r="D15">
        <v>55000</v>
      </c>
      <c r="E15">
        <v>60</v>
      </c>
      <c r="F15">
        <f t="shared" si="0"/>
        <v>16101.694915254237</v>
      </c>
    </row>
    <row r="16" spans="1:15" x14ac:dyDescent="0.3">
      <c r="B16">
        <v>9</v>
      </c>
      <c r="C16">
        <v>10000</v>
      </c>
      <c r="D16">
        <v>55000</v>
      </c>
      <c r="E16">
        <v>60</v>
      </c>
      <c r="F16">
        <f t="shared" si="0"/>
        <v>16864.406779661018</v>
      </c>
    </row>
    <row r="17" spans="1:18" x14ac:dyDescent="0.3">
      <c r="B17">
        <v>10</v>
      </c>
      <c r="C17">
        <v>10000</v>
      </c>
      <c r="D17">
        <v>55000</v>
      </c>
      <c r="E17">
        <v>60</v>
      </c>
      <c r="F17">
        <f t="shared" si="0"/>
        <v>17627.118644067796</v>
      </c>
    </row>
    <row r="20" spans="1:18" x14ac:dyDescent="0.3">
      <c r="A20" t="s">
        <v>96</v>
      </c>
      <c r="B20">
        <v>1</v>
      </c>
      <c r="C20">
        <v>10</v>
      </c>
      <c r="D20">
        <v>20000</v>
      </c>
      <c r="E20">
        <v>60</v>
      </c>
      <c r="F20">
        <f>(C20+(D20-C20)/(E20-1)*B20)</f>
        <v>348.81355932203388</v>
      </c>
    </row>
    <row r="21" spans="1:18" x14ac:dyDescent="0.3">
      <c r="B21">
        <v>2</v>
      </c>
      <c r="C21">
        <v>10</v>
      </c>
      <c r="D21">
        <v>20000</v>
      </c>
      <c r="E21">
        <v>60</v>
      </c>
      <c r="F21">
        <f>(C21+(D21-C21)/(E21-1)*B21)</f>
        <v>687.62711864406776</v>
      </c>
    </row>
    <row r="22" spans="1:18" x14ac:dyDescent="0.3">
      <c r="B22">
        <v>3</v>
      </c>
      <c r="C22">
        <v>10</v>
      </c>
      <c r="D22">
        <v>20000</v>
      </c>
      <c r="E22">
        <v>60</v>
      </c>
      <c r="F22">
        <f t="shared" ref="F22:F29" si="2">(C22+(D22-C22)/(E22-1)*B22)</f>
        <v>1026.4406779661017</v>
      </c>
    </row>
    <row r="23" spans="1:18" x14ac:dyDescent="0.3">
      <c r="B23">
        <v>4</v>
      </c>
      <c r="C23">
        <v>10</v>
      </c>
      <c r="D23">
        <v>20000</v>
      </c>
      <c r="E23">
        <v>60</v>
      </c>
      <c r="F23">
        <f t="shared" si="2"/>
        <v>1365.2542372881355</v>
      </c>
    </row>
    <row r="24" spans="1:18" x14ac:dyDescent="0.3">
      <c r="B24">
        <v>5</v>
      </c>
      <c r="C24">
        <v>10</v>
      </c>
      <c r="D24">
        <v>20000</v>
      </c>
      <c r="E24">
        <v>60</v>
      </c>
      <c r="F24">
        <f t="shared" si="2"/>
        <v>1704.0677966101694</v>
      </c>
    </row>
    <row r="25" spans="1:18" x14ac:dyDescent="0.3">
      <c r="B25">
        <v>6</v>
      </c>
      <c r="C25">
        <v>10</v>
      </c>
      <c r="D25">
        <v>20000</v>
      </c>
      <c r="E25">
        <v>60</v>
      </c>
      <c r="F25">
        <f t="shared" si="2"/>
        <v>2042.8813559322034</v>
      </c>
    </row>
    <row r="26" spans="1:18" x14ac:dyDescent="0.3">
      <c r="B26">
        <v>7</v>
      </c>
      <c r="C26">
        <v>10</v>
      </c>
      <c r="D26">
        <v>20000</v>
      </c>
      <c r="E26">
        <v>60</v>
      </c>
      <c r="F26">
        <f t="shared" si="2"/>
        <v>2381.694915254237</v>
      </c>
    </row>
    <row r="27" spans="1:18" x14ac:dyDescent="0.3">
      <c r="B27">
        <v>8</v>
      </c>
      <c r="C27">
        <v>10</v>
      </c>
      <c r="D27">
        <v>20000</v>
      </c>
      <c r="E27">
        <v>60</v>
      </c>
      <c r="F27">
        <f t="shared" si="2"/>
        <v>2720.5084745762711</v>
      </c>
      <c r="Q27">
        <f>SUM(O8:O119)</f>
        <v>34576.271186440674</v>
      </c>
      <c r="R27" t="s">
        <v>97</v>
      </c>
    </row>
    <row r="28" spans="1:18" x14ac:dyDescent="0.3">
      <c r="B28">
        <v>9</v>
      </c>
      <c r="C28">
        <v>10</v>
      </c>
      <c r="D28">
        <v>20000</v>
      </c>
      <c r="E28">
        <v>60</v>
      </c>
      <c r="F28">
        <f t="shared" si="2"/>
        <v>3059.3220338983051</v>
      </c>
    </row>
    <row r="29" spans="1:18" x14ac:dyDescent="0.3">
      <c r="B29">
        <v>10</v>
      </c>
      <c r="C29">
        <v>10</v>
      </c>
      <c r="D29">
        <v>20000</v>
      </c>
      <c r="E29">
        <v>60</v>
      </c>
      <c r="F29">
        <f t="shared" si="2"/>
        <v>3398.1355932203387</v>
      </c>
    </row>
    <row r="30" spans="1:18" x14ac:dyDescent="0.3">
      <c r="B30">
        <v>11</v>
      </c>
      <c r="C30">
        <v>10</v>
      </c>
      <c r="D30">
        <v>20000</v>
      </c>
      <c r="E30">
        <v>60</v>
      </c>
      <c r="F30">
        <f>(C30+(D30-C30)/(E30-1)*B30)</f>
        <v>3736.9491525423728</v>
      </c>
    </row>
    <row r="31" spans="1:18" x14ac:dyDescent="0.3">
      <c r="B31">
        <v>12</v>
      </c>
      <c r="C31">
        <v>10</v>
      </c>
      <c r="D31">
        <v>20000</v>
      </c>
      <c r="E31">
        <v>60</v>
      </c>
      <c r="F31">
        <f>(C31+(D31-C31)/(E31-1)*B31)</f>
        <v>4075.7627118644068</v>
      </c>
    </row>
    <row r="32" spans="1:18" x14ac:dyDescent="0.3">
      <c r="B32">
        <v>13</v>
      </c>
      <c r="C32">
        <v>10</v>
      </c>
      <c r="D32">
        <v>20000</v>
      </c>
      <c r="E32">
        <v>60</v>
      </c>
      <c r="F32">
        <f t="shared" ref="F32:F38" si="3">(C32+(D32-C32)/(E32-1)*B32)</f>
        <v>4414.5762711864409</v>
      </c>
    </row>
    <row r="33" spans="2:6" x14ac:dyDescent="0.3">
      <c r="B33">
        <v>14</v>
      </c>
      <c r="C33">
        <v>10</v>
      </c>
      <c r="D33">
        <v>20000</v>
      </c>
      <c r="E33">
        <v>60</v>
      </c>
      <c r="F33">
        <f t="shared" si="3"/>
        <v>4753.389830508474</v>
      </c>
    </row>
    <row r="34" spans="2:6" x14ac:dyDescent="0.3">
      <c r="B34">
        <v>15</v>
      </c>
      <c r="C34">
        <v>10</v>
      </c>
      <c r="D34">
        <v>20000</v>
      </c>
      <c r="E34">
        <v>60</v>
      </c>
      <c r="F34">
        <f t="shared" si="3"/>
        <v>5092.2033898305081</v>
      </c>
    </row>
    <row r="35" spans="2:6" x14ac:dyDescent="0.3">
      <c r="B35">
        <v>16</v>
      </c>
      <c r="C35">
        <v>10</v>
      </c>
      <c r="D35">
        <v>20000</v>
      </c>
      <c r="E35">
        <v>60</v>
      </c>
      <c r="F35">
        <f t="shared" si="3"/>
        <v>5431.0169491525421</v>
      </c>
    </row>
    <row r="36" spans="2:6" x14ac:dyDescent="0.3">
      <c r="B36">
        <v>17</v>
      </c>
      <c r="C36">
        <v>10</v>
      </c>
      <c r="D36">
        <v>20000</v>
      </c>
      <c r="E36">
        <v>60</v>
      </c>
      <c r="F36">
        <f t="shared" si="3"/>
        <v>5769.8305084745762</v>
      </c>
    </row>
    <row r="37" spans="2:6" x14ac:dyDescent="0.3">
      <c r="B37">
        <v>18</v>
      </c>
      <c r="C37">
        <v>10</v>
      </c>
      <c r="D37">
        <v>20000</v>
      </c>
      <c r="E37">
        <v>60</v>
      </c>
      <c r="F37">
        <f t="shared" si="3"/>
        <v>6108.6440677966102</v>
      </c>
    </row>
    <row r="38" spans="2:6" x14ac:dyDescent="0.3">
      <c r="B38">
        <v>19</v>
      </c>
      <c r="C38">
        <v>10</v>
      </c>
      <c r="D38">
        <v>20000</v>
      </c>
      <c r="E38">
        <v>60</v>
      </c>
      <c r="F38">
        <f t="shared" si="3"/>
        <v>6447.4576271186434</v>
      </c>
    </row>
    <row r="39" spans="2:6" x14ac:dyDescent="0.3">
      <c r="B39">
        <v>20</v>
      </c>
      <c r="C39">
        <v>10</v>
      </c>
      <c r="D39">
        <v>20000</v>
      </c>
      <c r="E39">
        <v>60</v>
      </c>
      <c r="F39">
        <f>(C39+(D39-C39)/(E39-1)*B39)</f>
        <v>6786.2711864406774</v>
      </c>
    </row>
    <row r="40" spans="2:6" x14ac:dyDescent="0.3">
      <c r="B40">
        <v>21</v>
      </c>
      <c r="C40">
        <v>10</v>
      </c>
      <c r="D40">
        <v>20000</v>
      </c>
      <c r="E40">
        <v>60</v>
      </c>
      <c r="F40">
        <f>(C40+(D40-C40)/(E40-1)*B40)</f>
        <v>7125.0847457627115</v>
      </c>
    </row>
    <row r="41" spans="2:6" x14ac:dyDescent="0.3">
      <c r="B41">
        <v>22</v>
      </c>
      <c r="C41">
        <v>10</v>
      </c>
      <c r="D41">
        <v>20000</v>
      </c>
      <c r="E41">
        <v>60</v>
      </c>
      <c r="F41">
        <f t="shared" ref="F41:F48" si="4">(C41+(D41-C41)/(E41-1)*B41)</f>
        <v>7463.8983050847455</v>
      </c>
    </row>
    <row r="42" spans="2:6" x14ac:dyDescent="0.3">
      <c r="B42">
        <v>23</v>
      </c>
      <c r="C42">
        <v>10</v>
      </c>
      <c r="D42">
        <v>20000</v>
      </c>
      <c r="E42">
        <v>60</v>
      </c>
      <c r="F42">
        <f t="shared" si="4"/>
        <v>7802.7118644067796</v>
      </c>
    </row>
    <row r="43" spans="2:6" x14ac:dyDescent="0.3">
      <c r="B43">
        <v>24</v>
      </c>
      <c r="C43">
        <v>10</v>
      </c>
      <c r="D43">
        <v>20000</v>
      </c>
      <c r="E43">
        <v>60</v>
      </c>
      <c r="F43">
        <f t="shared" si="4"/>
        <v>8141.5254237288136</v>
      </c>
    </row>
    <row r="44" spans="2:6" x14ac:dyDescent="0.3">
      <c r="B44">
        <v>25</v>
      </c>
      <c r="C44">
        <v>10</v>
      </c>
      <c r="D44">
        <v>20000</v>
      </c>
      <c r="E44">
        <v>60</v>
      </c>
      <c r="F44">
        <f t="shared" si="4"/>
        <v>8480.3389830508477</v>
      </c>
    </row>
    <row r="45" spans="2:6" x14ac:dyDescent="0.3">
      <c r="B45">
        <v>26</v>
      </c>
      <c r="C45">
        <v>10</v>
      </c>
      <c r="D45">
        <v>20000</v>
      </c>
      <c r="E45">
        <v>60</v>
      </c>
      <c r="F45">
        <f t="shared" si="4"/>
        <v>8819.1525423728817</v>
      </c>
    </row>
    <row r="46" spans="2:6" x14ac:dyDescent="0.3">
      <c r="B46">
        <v>27</v>
      </c>
      <c r="C46">
        <v>10</v>
      </c>
      <c r="D46">
        <v>20000</v>
      </c>
      <c r="E46">
        <v>60</v>
      </c>
      <c r="F46">
        <f t="shared" si="4"/>
        <v>9157.966101694914</v>
      </c>
    </row>
    <row r="47" spans="2:6" x14ac:dyDescent="0.3">
      <c r="B47">
        <v>28</v>
      </c>
      <c r="C47">
        <v>10</v>
      </c>
      <c r="D47">
        <v>20000</v>
      </c>
      <c r="E47">
        <v>60</v>
      </c>
      <c r="F47">
        <f t="shared" si="4"/>
        <v>9496.779661016948</v>
      </c>
    </row>
    <row r="48" spans="2:6" x14ac:dyDescent="0.3">
      <c r="B48">
        <v>29</v>
      </c>
      <c r="C48">
        <v>10</v>
      </c>
      <c r="D48">
        <v>20000</v>
      </c>
      <c r="E48">
        <v>60</v>
      </c>
      <c r="F48">
        <f t="shared" si="4"/>
        <v>9835.5932203389821</v>
      </c>
    </row>
    <row r="49" spans="2:9" x14ac:dyDescent="0.3">
      <c r="B49">
        <v>30</v>
      </c>
      <c r="C49">
        <v>10</v>
      </c>
      <c r="D49">
        <v>20000</v>
      </c>
      <c r="E49">
        <v>60</v>
      </c>
      <c r="F49">
        <f>(C49+(D49-C49)/(E49-1)*B49)</f>
        <v>10174.406779661016</v>
      </c>
      <c r="H49">
        <f>SUM(F20:F49)</f>
        <v>157848.30508474578</v>
      </c>
      <c r="I49" t="s">
        <v>94</v>
      </c>
    </row>
    <row r="50" spans="2:9" x14ac:dyDescent="0.3">
      <c r="B50">
        <v>31</v>
      </c>
      <c r="C50">
        <v>10</v>
      </c>
      <c r="D50">
        <v>20000</v>
      </c>
      <c r="E50">
        <v>60</v>
      </c>
      <c r="F50">
        <f t="shared" ref="F50:F59" si="5">(C50+(D50-C50)/(E50-1)*B50)</f>
        <v>10513.22033898305</v>
      </c>
    </row>
    <row r="51" spans="2:9" x14ac:dyDescent="0.3">
      <c r="B51">
        <v>32</v>
      </c>
      <c r="C51">
        <v>10</v>
      </c>
      <c r="D51">
        <v>20000</v>
      </c>
      <c r="E51">
        <v>60</v>
      </c>
      <c r="F51">
        <f t="shared" si="5"/>
        <v>10852.033898305084</v>
      </c>
    </row>
    <row r="52" spans="2:9" x14ac:dyDescent="0.3">
      <c r="B52">
        <v>33</v>
      </c>
      <c r="C52">
        <v>10</v>
      </c>
      <c r="D52">
        <v>20000</v>
      </c>
      <c r="E52">
        <v>60</v>
      </c>
      <c r="F52">
        <f t="shared" si="5"/>
        <v>11190.847457627118</v>
      </c>
    </row>
    <row r="53" spans="2:9" x14ac:dyDescent="0.3">
      <c r="B53">
        <v>34</v>
      </c>
      <c r="C53">
        <v>10</v>
      </c>
      <c r="D53">
        <v>20000</v>
      </c>
      <c r="E53">
        <v>60</v>
      </c>
      <c r="F53">
        <f t="shared" si="5"/>
        <v>11529.661016949152</v>
      </c>
    </row>
    <row r="54" spans="2:9" x14ac:dyDescent="0.3">
      <c r="B54">
        <v>35</v>
      </c>
      <c r="C54">
        <v>10</v>
      </c>
      <c r="D54">
        <v>20000</v>
      </c>
      <c r="E54">
        <v>60</v>
      </c>
      <c r="F54">
        <f t="shared" si="5"/>
        <v>11868.474576271186</v>
      </c>
    </row>
    <row r="55" spans="2:9" x14ac:dyDescent="0.3">
      <c r="B55">
        <v>36</v>
      </c>
      <c r="C55">
        <v>10</v>
      </c>
      <c r="D55">
        <v>20000</v>
      </c>
      <c r="E55">
        <v>60</v>
      </c>
      <c r="F55">
        <f t="shared" si="5"/>
        <v>12207.28813559322</v>
      </c>
    </row>
    <row r="56" spans="2:9" x14ac:dyDescent="0.3">
      <c r="B56">
        <v>37</v>
      </c>
      <c r="C56">
        <v>10</v>
      </c>
      <c r="D56">
        <v>20000</v>
      </c>
      <c r="E56">
        <v>60</v>
      </c>
      <c r="F56">
        <f t="shared" si="5"/>
        <v>12546.101694915254</v>
      </c>
    </row>
    <row r="57" spans="2:9" x14ac:dyDescent="0.3">
      <c r="B57">
        <v>38</v>
      </c>
      <c r="C57">
        <v>10</v>
      </c>
      <c r="D57">
        <v>20000</v>
      </c>
      <c r="E57">
        <v>60</v>
      </c>
      <c r="F57">
        <f t="shared" si="5"/>
        <v>12884.915254237287</v>
      </c>
    </row>
    <row r="58" spans="2:9" x14ac:dyDescent="0.3">
      <c r="B58">
        <v>39</v>
      </c>
      <c r="C58">
        <v>10</v>
      </c>
      <c r="D58">
        <v>20000</v>
      </c>
      <c r="E58">
        <v>60</v>
      </c>
      <c r="F58">
        <f t="shared" si="5"/>
        <v>13223.728813559321</v>
      </c>
    </row>
    <row r="59" spans="2:9" x14ac:dyDescent="0.3">
      <c r="B59">
        <v>40</v>
      </c>
      <c r="C59">
        <v>10</v>
      </c>
      <c r="D59">
        <v>20000</v>
      </c>
      <c r="E59">
        <v>60</v>
      </c>
      <c r="F59">
        <f t="shared" si="5"/>
        <v>13562.542372881355</v>
      </c>
      <c r="H59">
        <f>SUM(F20:F59)</f>
        <v>278227.11864406784</v>
      </c>
      <c r="I59" t="s">
        <v>94</v>
      </c>
    </row>
    <row r="68" spans="8:9" x14ac:dyDescent="0.3">
      <c r="H68">
        <f>SUM(F20:F128)</f>
        <v>278227.11864406784</v>
      </c>
      <c r="I68" t="s">
        <v>98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枪械</vt:lpstr>
      <vt:lpstr>防具</vt:lpstr>
      <vt:lpstr>刀</vt:lpstr>
      <vt:lpstr>爆炸类</vt:lpstr>
      <vt:lpstr>装备价格</vt:lpstr>
      <vt:lpstr>合成表成本</vt:lpstr>
      <vt:lpstr>副本收益</vt:lpstr>
      <vt:lpstr>怪物大致面板</vt:lpstr>
      <vt:lpstr>经验辅助计算</vt:lpstr>
      <vt:lpstr>技能格式</vt:lpstr>
      <vt:lpstr>等级计算怪物属性</vt:lpstr>
      <vt:lpstr>伤害公式</vt:lpstr>
      <vt:lpstr>其余计算</vt:lpstr>
      <vt:lpstr>旧版-枪械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Akatosh</dc:creator>
  <cp:lastModifiedBy>伏羲 人皇</cp:lastModifiedBy>
  <dcterms:created xsi:type="dcterms:W3CDTF">2015-06-05T18:19:34Z</dcterms:created>
  <dcterms:modified xsi:type="dcterms:W3CDTF">2025-07-25T12:12:21Z</dcterms:modified>
</cp:coreProperties>
</file>