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6CCA1257-7474-4B02-9D3D-1A0682F98D8D}"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6" i="12" l="1"/>
  <c r="AC4" i="12"/>
  <c r="AC5" i="12"/>
  <c r="AC6" i="12"/>
  <c r="AC7" i="12"/>
  <c r="AC8" i="12"/>
  <c r="AC10" i="12"/>
  <c r="AC11" i="12"/>
  <c r="AC12" i="12"/>
  <c r="AC13" i="12"/>
  <c r="AC14" i="12"/>
  <c r="AC15" i="12"/>
  <c r="AC3" i="12"/>
  <c r="K4" i="3"/>
  <c r="K5" i="3"/>
  <c r="K3" i="3"/>
  <c r="AB3" i="12" l="1"/>
  <c r="AB4" i="12"/>
  <c r="AB5" i="12"/>
  <c r="AB6" i="12"/>
  <c r="AB7" i="12"/>
  <c r="AB8" i="12"/>
  <c r="AB10" i="12"/>
  <c r="AB11" i="12"/>
  <c r="AB12" i="12"/>
  <c r="AB13" i="12"/>
  <c r="AB14" i="12"/>
  <c r="AB15" i="12"/>
  <c r="K13" i="3"/>
  <c r="J18" i="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H10" i="12"/>
  <c r="AF3" i="12"/>
  <c r="AF4" i="12"/>
  <c r="AF5" i="12"/>
  <c r="AF6" i="12"/>
  <c r="AF7" i="12"/>
  <c r="AF8" i="12"/>
  <c r="AF10" i="12"/>
  <c r="AF11" i="12"/>
  <c r="AF12" i="12"/>
  <c r="AF13" i="12"/>
  <c r="AF14" i="12"/>
  <c r="AF15" i="12"/>
  <c r="AG4" i="12"/>
  <c r="AH4" i="12" s="1"/>
  <c r="AG5" i="12"/>
  <c r="AH5" i="12" s="1"/>
  <c r="AG6" i="12"/>
  <c r="AH6" i="12" s="1"/>
  <c r="AG7" i="12"/>
  <c r="AH7" i="12" s="1"/>
  <c r="AG8" i="12"/>
  <c r="AH8" i="12" s="1"/>
  <c r="AG10" i="12"/>
  <c r="AG11" i="12"/>
  <c r="AH11" i="12" s="1"/>
  <c r="AG12" i="12"/>
  <c r="AH12" i="12" s="1"/>
  <c r="AG13" i="12"/>
  <c r="AH13" i="12" s="1"/>
  <c r="AG14" i="12"/>
  <c r="AH14" i="12" s="1"/>
  <c r="AG15" i="12"/>
  <c r="AH15" i="12" s="1"/>
  <c r="AG3" i="12"/>
  <c r="AH3" i="12" s="1"/>
  <c r="AK4" i="12"/>
  <c r="AK5" i="12"/>
  <c r="AK6" i="12"/>
  <c r="AK7" i="12"/>
  <c r="AK8" i="12"/>
  <c r="AK10" i="12"/>
  <c r="AK11" i="12"/>
  <c r="AK12" i="12"/>
  <c r="AK13" i="12"/>
  <c r="AK14" i="12"/>
  <c r="AK15" i="12"/>
  <c r="AK3" i="12"/>
  <c r="AP26" i="12"/>
  <c r="AP27" i="12"/>
  <c r="AP28" i="12"/>
  <c r="AP29" i="12"/>
  <c r="AP30" i="12"/>
  <c r="AO32" i="12"/>
  <c r="AO31" i="12"/>
  <c r="AP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22" i="2"/>
  <c r="J4" i="2"/>
  <c r="J3" i="2"/>
  <c r="J16" i="5"/>
  <c r="K17" i="5"/>
  <c r="K18" i="5"/>
  <c r="K19" i="5"/>
  <c r="K16" i="5"/>
  <c r="J17" i="5"/>
  <c r="J18" i="5"/>
  <c r="J19" i="5"/>
  <c r="K6" i="5"/>
  <c r="K7" i="5"/>
  <c r="N7" i="5" s="1"/>
  <c r="K8" i="5"/>
  <c r="K5" i="5"/>
  <c r="J6" i="5"/>
  <c r="J7" i="5"/>
  <c r="J8" i="5"/>
  <c r="J5" i="5"/>
  <c r="P5" i="1"/>
  <c r="AM4" i="12"/>
  <c r="AM5" i="12"/>
  <c r="AM6" i="12"/>
  <c r="AM7" i="12"/>
  <c r="AM8" i="12"/>
  <c r="AM10" i="12"/>
  <c r="AM11" i="12"/>
  <c r="AM12" i="12"/>
  <c r="AM13" i="12"/>
  <c r="AM14" i="12"/>
  <c r="AM15" i="12"/>
  <c r="AM3" i="12"/>
  <c r="AL8" i="12"/>
  <c r="AD8" i="12" s="1"/>
  <c r="T5" i="1"/>
  <c r="V5" i="1" s="1"/>
  <c r="AL3" i="12"/>
  <c r="AD3" i="12" s="1"/>
  <c r="AL4" i="12"/>
  <c r="AD4" i="12" s="1"/>
  <c r="AL5" i="12"/>
  <c r="AD5" i="12" s="1"/>
  <c r="AL10" i="12"/>
  <c r="AD10" i="12" s="1"/>
  <c r="AL11" i="12"/>
  <c r="AD11" i="12" s="1"/>
  <c r="AL12" i="12"/>
  <c r="AD12" i="12" s="1"/>
  <c r="AL6" i="12"/>
  <c r="AD6" i="12" s="1"/>
  <c r="AL13" i="12"/>
  <c r="AD13" i="12" s="1"/>
  <c r="AL7" i="12"/>
  <c r="AD7" i="12" s="1"/>
  <c r="AL14" i="12"/>
  <c r="AD14" i="12" s="1"/>
  <c r="AL15" i="12"/>
  <c r="AD15" i="12" s="1"/>
  <c r="AQ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L21" i="4"/>
  <c r="L22" i="4"/>
  <c r="L20" i="4"/>
  <c r="L3" i="4"/>
  <c r="L4" i="4"/>
  <c r="L5" i="4"/>
  <c r="O32" i="8" l="1"/>
  <c r="AO15" i="12"/>
  <c r="AO13" i="12"/>
  <c r="AO11" i="12"/>
  <c r="AO12" i="12"/>
  <c r="AO8" i="12"/>
  <c r="AO10" i="12"/>
  <c r="AO5" i="12"/>
  <c r="AO14" i="12"/>
  <c r="AO6" i="12"/>
  <c r="AO7" i="12"/>
  <c r="X10" i="12"/>
  <c r="Y10" i="12" s="1"/>
  <c r="AO4" i="12"/>
  <c r="X11" i="12"/>
  <c r="Y11" i="12" s="1"/>
  <c r="X8" i="12"/>
  <c r="Y8" i="12" s="1"/>
  <c r="AO3" i="12"/>
  <c r="X6" i="12"/>
  <c r="Y6" i="12" s="1"/>
  <c r="X5" i="12"/>
  <c r="Y5" i="12" s="1"/>
  <c r="X12" i="12"/>
  <c r="Y12" i="12" s="1"/>
  <c r="X4" i="12"/>
  <c r="Y4" i="12" s="1"/>
  <c r="X7" i="12"/>
  <c r="Y7" i="12" s="1"/>
  <c r="X3" i="12"/>
  <c r="Y3" i="12" s="1"/>
  <c r="X15" i="12"/>
  <c r="Y15" i="12" s="1"/>
  <c r="X14" i="12"/>
  <c r="Y14" i="12" s="1"/>
  <c r="X13" i="12"/>
  <c r="Y13" i="12" s="1"/>
  <c r="N6" i="5"/>
  <c r="W6" i="12"/>
  <c r="AP6" i="12" s="1"/>
  <c r="N17" i="5"/>
  <c r="N5" i="5"/>
  <c r="W8" i="12"/>
  <c r="AP8" i="12" s="1"/>
  <c r="W3" i="12"/>
  <c r="AP3" i="12" s="1"/>
  <c r="W7" i="12"/>
  <c r="AP7" i="12" s="1"/>
  <c r="W4" i="12"/>
  <c r="AP4" i="12" s="1"/>
  <c r="W5" i="12"/>
  <c r="AP5" i="12" s="1"/>
  <c r="W14" i="12"/>
  <c r="AP14" i="12" s="1"/>
  <c r="W11" i="12"/>
  <c r="AP11" i="12" s="1"/>
  <c r="W12" i="12"/>
  <c r="AP12" i="12" s="1"/>
  <c r="W10" i="12"/>
  <c r="AP10" i="12" s="1"/>
  <c r="W13" i="12"/>
  <c r="AP13" i="12" s="1"/>
  <c r="W15" i="12"/>
  <c r="AP15" i="12" s="1"/>
  <c r="AJ8" i="12"/>
  <c r="AJ14" i="12"/>
  <c r="AJ13" i="12"/>
  <c r="AJ6" i="12"/>
  <c r="AJ10" i="12"/>
  <c r="AJ15" i="12"/>
  <c r="AJ12" i="12"/>
  <c r="AJ11" i="12"/>
  <c r="AJ3" i="12"/>
  <c r="AJ4" i="12"/>
  <c r="AJ7" i="12"/>
  <c r="AJ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N12" i="12" l="1"/>
  <c r="AA12" i="12" s="1"/>
  <c r="Q15" i="12"/>
  <c r="AN11" i="12"/>
  <c r="AA11" i="12" s="1"/>
  <c r="Q11" i="12"/>
  <c r="Q5" i="12"/>
  <c r="AN4" i="12"/>
  <c r="AN5" i="12"/>
  <c r="AN10" i="12"/>
  <c r="Q10" i="12"/>
  <c r="AN14" i="12"/>
  <c r="AA14" i="12" s="1"/>
  <c r="Q6" i="12"/>
  <c r="AN6" i="12"/>
  <c r="AA6" i="12" s="1"/>
  <c r="AN3" i="12"/>
  <c r="AA3" i="12" s="1"/>
  <c r="Q13" i="12"/>
  <c r="AN13" i="12"/>
  <c r="AN15" i="12"/>
  <c r="AA15" i="12" s="1"/>
  <c r="AN7" i="12"/>
  <c r="AA7" i="12" s="1"/>
  <c r="AN8" i="12"/>
  <c r="AA8" i="12" s="1"/>
  <c r="Q3" i="12"/>
  <c r="Q7" i="12"/>
  <c r="Q8" i="12"/>
  <c r="Q14" i="12"/>
  <c r="Q12" i="12"/>
  <c r="Q4" i="12"/>
  <c r="O17" i="8"/>
  <c r="L19" i="8"/>
  <c r="L22" i="8"/>
  <c r="O21" i="8"/>
  <c r="L21" i="8"/>
  <c r="O18" i="8"/>
  <c r="L18" i="8"/>
  <c r="K46" i="8"/>
  <c r="O43" i="8"/>
  <c r="AA4" i="12" l="1"/>
  <c r="AE4" i="12" s="1"/>
  <c r="V4" i="12" s="1"/>
  <c r="AQ4" i="12" s="1"/>
  <c r="AA13" i="12"/>
  <c r="AE13" i="12" s="1"/>
  <c r="V13" i="12" s="1"/>
  <c r="AQ13" i="12" s="1"/>
  <c r="AA10" i="12"/>
  <c r="AE10" i="12" s="1"/>
  <c r="V10" i="12" s="1"/>
  <c r="AQ10" i="12" s="1"/>
  <c r="AA5" i="12"/>
  <c r="AE5" i="12" s="1"/>
  <c r="V5" i="12" s="1"/>
  <c r="AQ5" i="12" s="1"/>
  <c r="AE12" i="12"/>
  <c r="V12" i="12" s="1"/>
  <c r="AQ12" i="12" s="1"/>
  <c r="AE14" i="12"/>
  <c r="V14" i="12" s="1"/>
  <c r="AQ14" i="12" s="1"/>
  <c r="AE15" i="12"/>
  <c r="V15" i="12" s="1"/>
  <c r="AQ15" i="12" s="1"/>
  <c r="AE11" i="12"/>
  <c r="AE8" i="12"/>
  <c r="V8" i="12" s="1"/>
  <c r="AQ8" i="12" s="1"/>
  <c r="AE7" i="12"/>
  <c r="AE6" i="12"/>
  <c r="AE3" i="12"/>
  <c r="V3" i="12" s="1"/>
  <c r="AQ3" i="12" s="1"/>
  <c r="AI14" i="12"/>
  <c r="AI12" i="12"/>
  <c r="AI13" i="12"/>
  <c r="AI5" i="12"/>
  <c r="AI7" i="12"/>
  <c r="AI10" i="12"/>
  <c r="AI8" i="12"/>
  <c r="AI15" i="12"/>
  <c r="AI6" i="12"/>
  <c r="AI4" i="12"/>
  <c r="AI11" i="12"/>
  <c r="AI3" i="12"/>
  <c r="V6" i="12" l="1"/>
  <c r="AQ6" i="12" s="1"/>
  <c r="V11" i="12"/>
  <c r="AQ11" i="12" s="1"/>
  <c r="V7" i="12"/>
  <c r="AQ7" i="12" s="1"/>
  <c r="S8" i="12"/>
  <c r="S13" i="12"/>
  <c r="S4" i="12"/>
  <c r="S15" i="12"/>
  <c r="S10" i="12"/>
  <c r="S5" i="12"/>
  <c r="S12" i="12"/>
  <c r="S3" i="12"/>
  <c r="S11" i="12" l="1"/>
  <c r="S6" i="12"/>
  <c r="S7" i="12"/>
  <c r="S14" i="12"/>
</calcChain>
</file>

<file path=xl/sharedStrings.xml><?xml version="1.0" encoding="utf-8"?>
<sst xmlns="http://schemas.openxmlformats.org/spreadsheetml/2006/main" count="822" uniqueCount="541">
  <si>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</si>
  <si>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</si>
  <si>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</si>
  <si>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</si>
  <si>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</si>
  <si>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</si>
  <si>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</si>
  <si>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</si>
  <si>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</si>
  <si>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</si>
  <si>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</si>
  <si>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</si>
  <si>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</si>
  <si>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</si>
  <si>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</si>
  <si>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</si>
  <si>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</si>
  <si>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</si>
  <si>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</si>
  <si>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</si>
  <si>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</si>
  <si>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</si>
  <si>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</si>
  <si>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</si>
  <si>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</si>
  <si>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</si>
  <si>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</si>
  <si>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</si>
  <si>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</si>
  <si>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</si>
  <si>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</si>
  <si>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</si>
  <si>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</si>
  <si>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</si>
  <si>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</si>
  <si>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</si>
  <si>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</si>
  <si>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</si>
  <si>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</si>
  <si>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</si>
  <si>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</si>
  <si>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</si>
  <si>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</si>
  <si>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</si>
  <si>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</si>
  <si>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</si>
  <si>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</si>
  <si>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</si>
  <si>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</si>
  <si>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</si>
  <si>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</si>
  <si>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</si>
  <si>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</si>
  <si>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</si>
  <si>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</si>
  <si>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</si>
  <si>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</si>
  <si>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</si>
  <si>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</si>
  <si>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</si>
  <si>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</si>
  <si>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</si>
  <si>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</si>
  <si>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</si>
  <si>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</si>
  <si>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</si>
  <si>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</si>
  <si>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</si>
  <si>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</si>
  <si>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</si>
  <si>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</si>
  <si>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</si>
  <si>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</si>
  <si>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</si>
  <si>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</si>
  <si>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</si>
  <si>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</si>
  <si>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</si>
  <si>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</si>
  <si>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</si>
  <si>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</si>
  <si>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</si>
  <si>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</si>
  <si>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</si>
  <si>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</si>
  <si>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</si>
  <si>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</si>
  <si>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</si>
  <si>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</si>
  <si>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</si>
  <si>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</si>
  <si>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</si>
  <si>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</si>
  <si>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</si>
  <si>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</si>
  <si>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</si>
  <si>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</si>
  <si>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</si>
  <si>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</si>
  <si>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</si>
  <si>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</si>
  <si>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</si>
  <si>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</si>
  <si>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</si>
  <si>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</si>
  <si>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</si>
  <si>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</si>
  <si>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</si>
  <si>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</si>
  <si>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</si>
  <si>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</si>
  <si>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</si>
  <si>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</si>
  <si>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</si>
  <si>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</si>
  <si>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</si>
  <si>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</si>
  <si>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</si>
  <si>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</si>
  <si>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</si>
  <si>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</si>
  <si>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</si>
  <si>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</si>
  <si>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</si>
  <si>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</si>
  <si>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</si>
  <si>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</si>
  <si>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</si>
  <si>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</si>
  <si>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</si>
  <si>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</si>
  <si>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</si>
  <si>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</si>
  <si>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</si>
  <si>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</si>
  <si>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</si>
  <si>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</si>
  <si>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</si>
  <si>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</si>
  <si>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</si>
  <si>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</si>
  <si>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</si>
  <si>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</si>
  <si>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</si>
  <si>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</si>
  <si>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</si>
  <si>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</si>
  <si>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</si>
  <si>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</si>
  <si>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</si>
  <si>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</si>
  <si>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</si>
  <si>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</si>
  <si>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</si>
  <si>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</si>
  <si>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</si>
  <si>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</si>
  <si>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</si>
  <si>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</si>
  <si>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</si>
  <si>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</si>
  <si>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</si>
  <si>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</si>
  <si>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</si>
  <si>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</si>
  <si>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</si>
  <si>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</si>
  <si>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</si>
  <si>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</si>
  <si>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</si>
  <si>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</si>
  <si>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</si>
  <si>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</si>
  <si>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</si>
  <si>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</si>
  <si>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</si>
  <si>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</si>
  <si>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</si>
  <si>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</si>
  <si>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</si>
  <si>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</si>
  <si>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</si>
  <si>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</si>
  <si>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</si>
  <si>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</si>
  <si>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</si>
  <si>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</si>
  <si>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</si>
  <si>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</si>
  <si>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</si>
  <si>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</si>
  <si>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</si>
  <si>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</si>
  <si>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</si>
  <si>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</si>
  <si>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</si>
  <si>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</si>
  <si>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</si>
  <si>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</si>
  <si>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</si>
  <si>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</si>
  <si>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</si>
  <si>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</si>
  <si>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</si>
  <si>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</si>
  <si>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</si>
  <si>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</si>
  <si>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</si>
  <si>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</si>
  <si>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</si>
  <si>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</si>
  <si>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</si>
  <si>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</si>
  <si>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</si>
  <si>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</si>
  <si>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</si>
  <si>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</si>
  <si>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</si>
  <si>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</si>
  <si>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</si>
  <si>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</si>
  <si>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</si>
  <si>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</si>
  <si>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</si>
  <si>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</si>
  <si>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</si>
  <si>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</si>
  <si>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</si>
  <si>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</si>
  <si>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</si>
  <si>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</si>
  <si>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</si>
  <si>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</si>
  <si>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</si>
  <si>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</si>
  <si>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</si>
  <si>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</si>
  <si>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</si>
  <si>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</si>
  <si>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</si>
  <si>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</si>
  <si>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</si>
  <si>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</si>
  <si>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</si>
  <si>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</si>
  <si>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</si>
  <si>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</si>
  <si>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</si>
  <si>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</si>
  <si>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</si>
  <si>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</si>
  <si>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</si>
  <si>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</si>
  <si>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</si>
  <si>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</si>
  <si>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</si>
  <si>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</si>
  <si>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</si>
  <si>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</si>
  <si>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</si>
  <si>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</si>
  <si>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</si>
  <si>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</si>
  <si>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</si>
  <si>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</si>
  <si>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</si>
  <si>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</si>
  <si>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</si>
  <si>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</si>
  <si>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</si>
  <si>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</si>
  <si>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</si>
  <si>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</si>
  <si>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</si>
  <si>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</si>
  <si>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</si>
  <si>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</si>
  <si>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</si>
  <si>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</si>
  <si>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</si>
  <si>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</si>
  <si>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</si>
  <si>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</si>
  <si>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</si>
  <si>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</si>
  <si>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</si>
  <si>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</si>
  <si>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</si>
  <si>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</si>
  <si>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</si>
  <si>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</si>
  <si>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</si>
  <si>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</si>
  <si>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</si>
  <si>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</si>
  <si>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</si>
  <si>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</si>
  <si>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</si>
  <si>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</si>
  <si>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</si>
  <si>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</si>
  <si>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</si>
  <si>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</si>
  <si>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</si>
  <si>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</si>
  <si>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</si>
  <si>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</si>
  <si>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</si>
  <si>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</si>
  <si>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</si>
  <si>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</si>
  <si>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</si>
  <si>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</si>
  <si>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</si>
  <si>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</si>
  <si>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</si>
  <si>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</si>
  <si>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</si>
  <si>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</si>
  <si>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</si>
  <si>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</si>
  <si>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</si>
  <si>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</si>
  <si>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</si>
  <si>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</si>
  <si>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</si>
  <si>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</si>
  <si>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</si>
  <si>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</si>
  <si>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</si>
  <si>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</si>
  <si>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</si>
  <si>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</si>
  <si>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</si>
  <si>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</si>
  <si>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</si>
  <si>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</si>
  <si>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</si>
  <si>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</si>
  <si>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</si>
  <si>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</si>
  <si>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</si>
  <si>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</si>
  <si>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</si>
  <si>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</si>
  <si>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</si>
  <si>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</si>
  <si>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</si>
  <si>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</si>
  <si>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</si>
  <si>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</si>
  <si>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</si>
  <si>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</si>
  <si>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</si>
  <si>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</si>
  <si>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</si>
  <si>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</si>
  <si>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</si>
  <si>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</si>
  <si>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</si>
  <si>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</si>
  <si>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</si>
  <si>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</si>
  <si>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</si>
  <si>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</si>
  <si>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</si>
  <si>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</si>
  <si>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</si>
  <si>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</si>
  <si>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</si>
  <si>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</si>
  <si>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</si>
  <si>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</si>
  <si>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</si>
  <si>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</si>
  <si>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</si>
  <si>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</si>
  <si>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</si>
  <si>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</si>
  <si>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</si>
  <si>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</si>
  <si>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</si>
  <si>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</si>
  <si>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</si>
  <si>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</si>
  <si>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</si>
  <si>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</si>
  <si>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</si>
  <si>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</si>
  <si>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</si>
  <si>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</si>
  <si>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</si>
  <si>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</si>
  <si>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</si>
  <si>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</si>
  <si>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</si>
  <si>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</si>
  <si>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</si>
  <si>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</si>
  <si>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</si>
  <si>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</si>
  <si>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</si>
  <si>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</si>
  <si>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</si>
  <si>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</si>
  <si>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</si>
  <si>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</si>
  <si>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</si>
  <si>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</si>
  <si>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</si>
  <si>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</si>
  <si>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</si>
  <si>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</si>
  <si>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</si>
  <si>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</si>
  <si>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</si>
  <si>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</si>
  <si>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</si>
  <si>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</si>
  <si>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</si>
  <si>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</si>
  <si>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</si>
  <si>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</si>
  <si>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</si>
  <si>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</si>
  <si>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</si>
  <si>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</si>
  <si>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</si>
  <si>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</si>
  <si>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</si>
  <si>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</si>
  <si>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</si>
  <si>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</si>
  <si>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</si>
  <si>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</si>
  <si>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</si>
  <si>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</si>
  <si>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</si>
  <si>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</si>
  <si>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</si>
  <si>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</si>
  <si>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</si>
  <si>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</si>
  <si>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</si>
  <si>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</si>
  <si>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</si>
  <si>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</si>
  <si>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</si>
  <si>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</si>
  <si>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</si>
  <si>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</si>
  <si>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</si>
  <si>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</si>
  <si>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</si>
  <si>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</si>
  <si>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</si>
  <si>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</si>
  <si>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</si>
  <si>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</si>
  <si>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</si>
  <si>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</si>
  <si>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</si>
  <si>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</si>
  <si>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</si>
  <si>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</si>
  <si>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</si>
  <si>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</si>
  <si>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</si>
  <si>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</si>
  <si>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</si>
  <si>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</si>
  <si>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</si>
  <si>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</si>
  <si>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</si>
  <si>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</si>
  <si>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</si>
  <si>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</si>
  <si>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</si>
  <si>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</si>
  <si>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</si>
  <si>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</si>
  <si>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</si>
  <si>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</si>
  <si>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</si>
  <si>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</si>
  <si>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</si>
  <si>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</si>
  <si>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</si>
  <si>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</si>
  <si>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</si>
  <si>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</si>
  <si>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</si>
  <si>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</si>
  <si>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</si>
  <si>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</si>
  <si>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</si>
  <si>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</si>
  <si>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</si>
  <si>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</si>
  <si>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</si>
  <si>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</si>
  <si>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</si>
  <si>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</si>
  <si>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</si>
  <si>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</si>
  <si>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</si>
  <si>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</si>
  <si>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</si>
  <si>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</si>
  <si>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</si>
  <si>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</si>
  <si>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</si>
  <si>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</si>
  <si>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</si>
  <si>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</si>
  <si>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</si>
  <si>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</si>
  <si>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</si>
  <si>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</si>
  <si>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</si>
  <si>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</si>
  <si>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</si>
  <si>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</si>
  <si>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</si>
  <si>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</si>
  <si>
    <t>面板转换的基本计算参考下方，公式暂定为1攻=1.5防=3hp=3mp，1重量=3.3攻=5防=10hp=10mp，1攻=0.8空手加成=1伤害加成。以此为依据可进行面板转换。</t>
    <phoneticPr fontId="1" type="noConversion"/>
  </si>
  <si>
    <t>面板转换</t>
    <phoneticPr fontId="1" type="noConversion"/>
  </si>
  <si>
    <t>hp</t>
    <phoneticPr fontId="1" type="noConversion"/>
  </si>
  <si>
    <t>mp</t>
    <phoneticPr fontId="1" type="noConversion"/>
  </si>
  <si>
    <t>攻击</t>
    <phoneticPr fontId="1" type="noConversion"/>
  </si>
  <si>
    <t>换算的总攻击</t>
    <phoneticPr fontId="1" type="noConversion"/>
  </si>
  <si>
    <t>换算的总攻击≈上方推荐锋利度</t>
    <phoneticPr fontId="1" type="noConversion"/>
  </si>
  <si>
    <t>无需修改。</t>
    <phoneticPr fontId="1" type="noConversion"/>
  </si>
  <si>
    <t>武器类型解锁等级:10级:特效刀/次级穿刺枪/普通霰弹枪;20级:慢射速穿刺枪;30级:高射速穿刺枪/穿刺霰弹枪;35级:属性刀/慢射速属性枪/高射速穿刺霰弹枪;40级:普通属性枪/慢射速穿刺属性枪;45级:高射速穿刺属性枪。</t>
    <phoneticPr fontId="1" type="noConversion"/>
  </si>
  <si>
    <t>限制等级低于35级的全属性伤害冷兵器视为超前武器（如果是冲伤则为30级），需减少一层加权等级，可减到负数。如果是混伤，属性伤害占总伤比例低于50%的解锁等级为20级，低于30%则为10级。</t>
    <phoneticPr fontId="1" type="noConversion"/>
  </si>
  <si>
    <t>攻击倍率以物理伤害为准，法伤、真伤招式最好降低倍率。计算填入此处的攻击倍率（大致平均值）时，要将实际的法伤招式的倍率*2，真伤招式的倍率*3来折算计算。怪物魔抗属性目前没有硬性限制，根据情况配置即可。</t>
    <phoneticPr fontId="1" type="noConversion"/>
  </si>
  <si>
    <t>20~25</t>
    <phoneticPr fontId="1" type="noConversion"/>
  </si>
  <si>
    <t>单发类射击间隔：长枪固定填800，短枪固定填400</t>
    <phoneticPr fontId="1" type="noConversion"/>
  </si>
  <si>
    <t>平衡基础dps</t>
    <phoneticPr fontId="1" type="noConversion"/>
  </si>
  <si>
    <t>经济加成dps</t>
    <phoneticPr fontId="1" type="noConversion"/>
  </si>
  <si>
    <t>榴弹类子弹抛物线难以瞄准，可以以2倍弹药价格填入作为强度补正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</si>
</sst>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3">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Q22" totalsRowShown="0" headerRowDxfId="32">
  <tableColumns count="42">
    <tableColumn id="1" xr3:uid="{9622EC47-0B3C-4F87-80A9-38E2551B5BEB}" name="示例类型" dataDxfId="31"/>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30">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9">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8"/>
    <tableColumn id="14" xr3:uid="{4E0BF69B-7EA4-42AA-ACAB-4DD530D9863F}" name="平衡dps" dataDxfId="27">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6">
      <calculatedColumnFormula>表2_5[[#This Row],[限制等级]]*250*表2_5[[#This Row],[射击间隔]]*表2_5[[#This Row],[弹容量]]/1000</calculatedColumnFormula>
    </tableColumn>
    <tableColumn id="18" xr3:uid="{1D45EC77-0BCE-4784-8749-FF6132165C8B}" name="平衡周期伤害" dataDxfId="25">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4">
      <calculatedColumnFormula>表2_5[[#This Row],[平衡周期伤害]]*1.25^表2_5[[#This Row],[额外加权层数]]</calculatedColumnFormula>
    </tableColumn>
    <tableColumn id="16" xr3:uid="{07F68A49-F531-49B9-BE7A-451B8108367A}" name="裸伤dps" dataDxfId="23">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42" xr3:uid="{78149331-6766-4B21-97F5-6543BE2E0064}" name="平衡基础dps" dataDxfId="22">
      <calculatedColumnFormula>( 表2_5[[#This Row],[限制等级]]*120*表2_5[[#This Row],[冲击力系数]]*表2_5[[#This Row],[周期伤害系数]]/1.6^(表2_5[[#This Row],[伤害类型系数]]-1)+表2_5[[#This Row],[重量]]*66/表2_5[[#This Row],[伤害类型系数]] )/1.5^(表2_5[[#This Row],[双枪系数]]-1)</calculatedColumnFormula>
    </tableColumn>
    <tableColumn id="43" xr3:uid="{7C5DC5B5-FB5B-43A3-A51A-F9427B7AB40B}" name="经济加成dps" dataDxfId="21">
      <calculatedColumnFormula xml:space="preserve"> (1000*(表2_5[[#This Row],[弹夹价格]]*6/表2_5[[#This Row],[伤害类型系数]])/(表2_5[[#This Row],[射击间隔]]*(表2_5[[#This Row],[弹容量]]-1)+900*表2_5[[#This Row],[双枪系数]]))/1.5^(表2_5[[#This Row],[双枪系数]]-1)</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IF(AN31&gt;=35,15*AN31-300,5*AN31+25)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O25:AQ30" totalsRowShown="0">
  <autoFilter ref="AO25:AQ30" xr:uid="{55FA9E23-8BFC-46D4-BAD9-82BF30D0709B}"/>
  <tableColumns count="3">
    <tableColumn id="1" xr3:uid="{175B7766-4B20-4B31-932D-D2FDAD403F44}" name="伤害加成" dataDxfId="10"/>
    <tableColumn id="2" xr3:uid="{E828ECFB-EC93-47F0-9A6F-7E5C622BFDC8}" name="强化" dataDxfId="9">
      <calculatedColumnFormula>表5[[#This Row],[伤害加成]]*IF(AN26&gt;=25, 1 + (MIN(13,(AN26-18)/3.5) - 1) * (MIN(13,(AN26-18)/3.5)  - 1) / 100 + 0.05 * (MIN(13,(AN26-18)/3.5)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Q33"/>
  <sheetViews>
    <sheetView tabSelected="1" zoomScaleNormal="100" workbookViewId="0">
      <selection activeCell="D8" sqref="D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8" width="11.1640625" customWidth="1"/>
    <col min="29" max="29" width="10.83203125" customWidth="1"/>
    <col min="30" max="30" width="7.6640625" customWidth="1"/>
    <col min="31" max="31" width="10.83203125" customWidth="1"/>
    <col min="32" max="32" width="8.08203125" customWidth="1"/>
    <col min="33" max="33" width="6.58203125" customWidth="1"/>
    <col min="34" max="34" width="7.75" customWidth="1"/>
    <col min="35" max="35" width="10.83203125" customWidth="1"/>
    <col min="36" max="37" width="8.08203125" customWidth="1"/>
    <col min="38" max="38" width="4.58203125" customWidth="1"/>
    <col min="39" max="39" width="9.83203125" customWidth="1"/>
    <col min="40" max="40" width="11.5" customWidth="1"/>
    <col min="41" max="41" width="9.5" customWidth="1"/>
    <col min="42" max="42" width="7.1640625" customWidth="1"/>
    <col min="43" max="43" width="11.33203125" customWidth="1"/>
  </cols>
  <sheetData>
    <row r="1" spans="1:43" x14ac:dyDescent="0.3">
      <c r="A1" t="s">
        <v>262</v>
      </c>
      <c r="D1" t="s">
        <v>45</v>
      </c>
      <c r="E1" t="s">
        <v>42</v>
      </c>
      <c r="F1" t="s">
        <v>43</v>
      </c>
      <c r="G1" t="s">
        <v>44</v>
      </c>
      <c r="I1" t="s">
        <v>294</v>
      </c>
      <c r="L1" t="s">
        <v>269</v>
      </c>
      <c r="M1" t="s">
        <v>41</v>
      </c>
      <c r="N1" t="s">
        <v>292</v>
      </c>
      <c r="O1" t="s">
        <v>163</v>
      </c>
      <c r="Q1" s="1" t="s">
        <v>366</v>
      </c>
      <c r="V1" t="s">
        <v>305</v>
      </c>
    </row>
    <row r="2" spans="1:43" x14ac:dyDescent="0.3">
      <c r="A2" t="s">
        <v>306</v>
      </c>
      <c r="B2" s="10" t="s">
        <v>277</v>
      </c>
      <c r="C2" s="10" t="s">
        <v>49</v>
      </c>
      <c r="D2" s="8" t="s">
        <v>14</v>
      </c>
      <c r="E2" s="8" t="s">
        <v>1</v>
      </c>
      <c r="F2" s="8" t="s">
        <v>2</v>
      </c>
      <c r="G2" s="8" t="s">
        <v>3</v>
      </c>
      <c r="H2" s="8" t="s">
        <v>10</v>
      </c>
      <c r="I2" s="8" t="s">
        <v>167</v>
      </c>
      <c r="J2" s="9" t="s">
        <v>6</v>
      </c>
      <c r="K2" s="9" t="s">
        <v>4</v>
      </c>
      <c r="L2" s="9" t="s">
        <v>268</v>
      </c>
      <c r="M2" s="8" t="s">
        <v>160</v>
      </c>
      <c r="N2" s="8" t="s">
        <v>291</v>
      </c>
      <c r="O2" s="8" t="s">
        <v>12</v>
      </c>
      <c r="P2" s="11" t="s">
        <v>218</v>
      </c>
      <c r="Q2" s="14" t="s">
        <v>286</v>
      </c>
      <c r="R2" s="11" t="s">
        <v>219</v>
      </c>
      <c r="S2" s="14" t="s">
        <v>290</v>
      </c>
      <c r="T2" s="11" t="s">
        <v>302</v>
      </c>
      <c r="U2" s="11" t="s">
        <v>217</v>
      </c>
      <c r="V2" s="14" t="s">
        <v>289</v>
      </c>
      <c r="W2" s="14" t="s">
        <v>287</v>
      </c>
      <c r="X2" s="14" t="s">
        <v>295</v>
      </c>
      <c r="Y2" s="14" t="s">
        <v>303</v>
      </c>
      <c r="Z2" s="14" t="s">
        <v>367</v>
      </c>
      <c r="AA2" s="14" t="s">
        <v>538</v>
      </c>
      <c r="AB2" s="14" t="s">
        <v>539</v>
      </c>
      <c r="AC2" s="14" t="s">
        <v>368</v>
      </c>
      <c r="AD2" s="14" t="s">
        <v>369</v>
      </c>
      <c r="AE2" s="14" t="s">
        <v>370</v>
      </c>
      <c r="AF2" s="14" t="s">
        <v>375</v>
      </c>
      <c r="AG2" s="14" t="s">
        <v>374</v>
      </c>
      <c r="AH2" s="14" t="s">
        <v>376</v>
      </c>
      <c r="AI2" s="14" t="s">
        <v>371</v>
      </c>
      <c r="AJ2" s="14" t="s">
        <v>285</v>
      </c>
      <c r="AK2" s="14" t="s">
        <v>166</v>
      </c>
      <c r="AL2" s="14" t="s">
        <v>267</v>
      </c>
      <c r="AM2" s="14" t="s">
        <v>293</v>
      </c>
      <c r="AN2" s="14" t="s">
        <v>304</v>
      </c>
      <c r="AO2" s="14" t="s">
        <v>288</v>
      </c>
      <c r="AP2" s="14" t="s">
        <v>284</v>
      </c>
      <c r="AQ2" s="14" t="s">
        <v>323</v>
      </c>
    </row>
    <row r="3" spans="1:43"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2025.708644772579</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Row],[伤害类型系数]]-1)+表2_5[[#This Row],[重量]]*66/表2_5[[#This Row],[伤害类型系数]] )/1.5^(表2_5[[#This Row],[双枪系数]]-1)</f>
        <v>1072.1268978886758</v>
      </c>
      <c r="AB3">
        <f xml:space="preserve"> (1000*(表2_5[[#This Row],[弹夹价格]]*6/表2_5[[#This Row],[伤害类型系数]])/(表2_5[[#This Row],[射击间隔]]*(表2_5[[#This Row],[弹容量]]-1)+900*表2_5[[#This Row],[双枪系数]]))/1.5^(表2_5[[#This Row],[双枪系数]]-1)</f>
        <v>273.97260273972603</v>
      </c>
      <c r="AC3">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1346.0995006284018</v>
      </c>
      <c r="AD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E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F3">
        <f>1000*表2_5[[#This Row],[弹容量]]/(表2_5[[#This Row],[射击间隔]]*(表2_5[[#This Row],[弹容量]]-1)+900*表2_5[[#This Row],[双枪系数]])</f>
        <v>6.8493150684931505</v>
      </c>
      <c r="AG3">
        <f>1000*(表2_5[[#This Row],[穿刺系数]]*表2_5[[#This Row],[弹容量]]*(1+(表2_5[[#This Row],[霰弹值]]-1)*0.5)/(表2_5[[#This Row],[射击间隔]]*(表2_5[[#This Row],[弹容量]]-1)+900*表2_5[[#This Row],[双枪系数]]))</f>
        <v>6.8493150684931505</v>
      </c>
      <c r="AH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J3">
        <f>(表2_5[[#This Row],[子弹威力]]*1.5+30+表2_5[[#This Row],[子弹威力]]*2*表2_5[[#This Row],[限制等级]]/256+表2_5[[#This Row],[伤害加成]]+表2_5[[#This Row],[剧毒]]/表2_5[[#This Row],[霰弹值]])</f>
        <v>295.015625</v>
      </c>
      <c r="AK3">
        <f>IF(表2_5[[#This Row],[限制等级]]&gt;=35,17*表2_5[[#This Row],[限制等级]]-330,7*表2_5[[#This Row],[限制等级]]+15) * IF(表2_5[[#This Row],[限制等级]]&gt;=25, 1 + (MIN(13,(表2_5[[#This Row],[限制等级]]-18)/3.5) - 1) * (MIN(13,(表2_5[[#This Row],[限制等级]]-18)/3.5)  - 1) / 100 + 0.05 * (MIN(13,(表2_5[[#This Row],[限制等级]]-18)/3.5)  - 1),1)</f>
        <v>64</v>
      </c>
      <c r="AL3">
        <f>IF(表2_5[[#This Row],[限制等级]]&gt;=30,120,30)</f>
        <v>30</v>
      </c>
      <c r="AM3">
        <f>0.9+(1.1-0.9)*表2_5[[#This Row],[冲击力]]/(表2_5[[#This Row],[冲击力]]+50)</f>
        <v>0.97500000000000009</v>
      </c>
      <c r="AN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O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P3">
        <f>1000*表2_5[[#This Row],[周期伤害]]/MAX(表2_5[[#This Row],[射击间隔]]*(表2_5[[#This Row],[弹容量]]-1),100/表2_5[[#This Row],[双枪系数]])</f>
        <v>2543.2381465517242</v>
      </c>
      <c r="AQ3">
        <f>IF(表2_5[[#This Row],[周期dps]]&lt;=表2_5[[#This Row],[平衡dps]] * 2,0.85+0.3365/(1+EXP(-(表2_5[[#This Row],[平衡dps]]-表2_5[[#This Row],[周期dps]])/(表2_5[[#This Row],[平衡dps]]))),0.75+0.7/(1+EXP(-(表2_5[[#This Row],[平衡dps]]-表2_5[[#This Row],[周期dps]])/(表2_5[[#This Row],[平衡dps]]))))</f>
        <v>0.99716815739795128</v>
      </c>
    </row>
    <row r="4" spans="1:43"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5000.5997200472148</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Row],[伤害类型系数]]-1)+表2_5[[#This Row],[重量]]*66/表2_5[[#This Row],[伤害类型系数]] )/1.5^(表2_5[[#This Row],[双枪系数]]-1)</f>
        <v>2912.1732048760132</v>
      </c>
      <c r="AB4">
        <f xml:space="preserve"> (1000*(表2_5[[#This Row],[弹夹价格]]*6/表2_5[[#This Row],[伤害类型系数]])/(表2_5[[#This Row],[射击间隔]]*(表2_5[[#This Row],[弹容量]]-1)+900*表2_5[[#This Row],[双枪系数]]))/1.5^(表2_5[[#This Row],[双枪系数]]-1)</f>
        <v>177.77777777777777</v>
      </c>
      <c r="AC4">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3089.950982653791</v>
      </c>
      <c r="AD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E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F4">
        <f>1000*表2_5[[#This Row],[弹容量]]/(表2_5[[#This Row],[射击间隔]]*(表2_5[[#This Row],[弹容量]]-1)+900*表2_5[[#This Row],[双枪系数]])</f>
        <v>5.9259259259259256</v>
      </c>
      <c r="AG4">
        <f>1000*(表2_5[[#This Row],[穿刺系数]]*表2_5[[#This Row],[弹容量]]*(1+(表2_5[[#This Row],[霰弹值]]-1)*0.5)/(表2_5[[#This Row],[射击间隔]]*(表2_5[[#This Row],[弹容量]]-1)+900*表2_5[[#This Row],[双枪系数]]))</f>
        <v>11.851851851851851</v>
      </c>
      <c r="AH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I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J4">
        <f>(表2_5[[#This Row],[子弹威力]]*1.5+30+表2_5[[#This Row],[子弹威力]]*2*表2_5[[#This Row],[限制等级]]/256+表2_5[[#This Row],[伤害加成]]+表2_5[[#This Row],[剧毒]]/表2_5[[#This Row],[霰弹值]])</f>
        <v>446.34375</v>
      </c>
      <c r="AK4">
        <f>IF(表2_5[[#This Row],[限制等级]]&gt;=35,17*表2_5[[#This Row],[限制等级]]-330,7*表2_5[[#This Row],[限制等级]]+15) * IF(表2_5[[#This Row],[限制等级]]&gt;=25, 1 + (MIN(13,(表2_5[[#This Row],[限制等级]]-18)/3.5) - 1) * (MIN(13,(表2_5[[#This Row],[限制等级]]-18)/3.5)  - 1) / 100 + 0.05 * (MIN(13,(表2_5[[#This Row],[限制等级]]-18)/3.5)  - 1),1)</f>
        <v>169</v>
      </c>
      <c r="AL4">
        <f>IF(表2_5[[#This Row],[限制等级]]&gt;=30,120,30)</f>
        <v>30</v>
      </c>
      <c r="AM4">
        <f>0.9+(1.1-0.9)*表2_5[[#This Row],[冲击力]]/(表2_5[[#This Row],[冲击力]]+50)</f>
        <v>0.99473684210526325</v>
      </c>
      <c r="AN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O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P4">
        <f>1000*表2_5[[#This Row],[周期伤害]]/MAX(表2_5[[#This Row],[射击间隔]]*(表2_5[[#This Row],[弹容量]]-1),100/表2_5[[#This Row],[双枪系数]])</f>
        <v>5830.3418803418799</v>
      </c>
      <c r="AQ4">
        <f>IF(表2_5[[#This Row],[周期dps]]&lt;=表2_5[[#This Row],[平衡dps]] * 2,0.85+0.3365/(1+EXP(-(表2_5[[#This Row],[平衡dps]]-表2_5[[#This Row],[周期dps]])/(表2_5[[#This Row],[平衡dps]]))),0.75+0.7/(1+EXP(-(表2_5[[#This Row],[平衡dps]]-表2_5[[#This Row],[周期dps]])/(表2_5[[#This Row],[平衡dps]]))))</f>
        <v>1.0029158992510199</v>
      </c>
    </row>
    <row r="5" spans="1:43" x14ac:dyDescent="0.3">
      <c r="A5" s="2" t="s">
        <v>146</v>
      </c>
      <c r="B5" s="2" t="s">
        <v>270</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4086.4074043371693</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Row],[伤害类型系数]]-1)+表2_5[[#This Row],[重量]]*66/表2_5[[#This Row],[伤害类型系数]] )/1.5^(表2_5[[#This Row],[双枪系数]]-1)</f>
        <v>2081.9840799978415</v>
      </c>
      <c r="AB5">
        <f xml:space="preserve"> (1000*(表2_5[[#This Row],[弹夹价格]]*6/表2_5[[#This Row],[伤害类型系数]])/(表2_5[[#This Row],[射击间隔]]*(表2_5[[#This Row],[弹容量]]-1)+900*表2_5[[#This Row],[双枪系数]]))/1.5^(表2_5[[#This Row],[双枪系数]]-1)</f>
        <v>834.20229405630869</v>
      </c>
      <c r="AC5">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2916.1863740541503</v>
      </c>
      <c r="AD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E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F5">
        <f>1000*表2_5[[#This Row],[弹容量]]/(表2_5[[#This Row],[射击间隔]]*(表2_5[[#This Row],[弹容量]]-1)+900*表2_5[[#This Row],[双枪系数]])</f>
        <v>8.342022940563087</v>
      </c>
      <c r="AG5">
        <f>1000*(表2_5[[#This Row],[穿刺系数]]*表2_5[[#This Row],[弹容量]]*(1+(表2_5[[#This Row],[霰弹值]]-1)*0.5)/(表2_5[[#This Row],[射击间隔]]*(表2_5[[#This Row],[弹容量]]-1)+900*表2_5[[#This Row],[双枪系数]]))</f>
        <v>12.513034410844631</v>
      </c>
      <c r="AH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J5">
        <f>(表2_5[[#This Row],[子弹威力]]*1.5+30+表2_5[[#This Row],[子弹威力]]*2*表2_5[[#This Row],[限制等级]]/256+表2_5[[#This Row],[伤害加成]]+表2_5[[#This Row],[剧毒]]/表2_5[[#This Row],[霰弹值]])</f>
        <v>326.15625</v>
      </c>
      <c r="AK5">
        <f>IF(表2_5[[#This Row],[限制等级]]&gt;=35,17*表2_5[[#This Row],[限制等级]]-330,7*表2_5[[#This Row],[限制等级]]+15) * IF(表2_5[[#This Row],[限制等级]]&gt;=25, 1 + (MIN(13,(表2_5[[#This Row],[限制等级]]-18)/3.5) - 1) * (MIN(13,(表2_5[[#This Row],[限制等级]]-18)/3.5)  - 1) / 100 + 0.05 * (MIN(13,(表2_5[[#This Row],[限制等级]]-18)/3.5)  - 1),1)</f>
        <v>106</v>
      </c>
      <c r="AL5">
        <f>IF(表2_5[[#This Row],[限制等级]]&gt;=30,120,30)</f>
        <v>30</v>
      </c>
      <c r="AM5">
        <f>0.9+(1.1-0.9)*表2_5[[#This Row],[冲击力]]/(表2_5[[#This Row],[冲击力]]+50)</f>
        <v>1.0990049751243782</v>
      </c>
      <c r="AN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O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P5">
        <f>1000*表2_5[[#This Row],[周期伤害]]/MAX(表2_5[[#This Row],[射击间隔]]*(表2_5[[#This Row],[弹容量]]-1),100/表2_5[[#This Row],[双枪系数]])</f>
        <v>4328.7929768794766</v>
      </c>
      <c r="AQ5">
        <f>IF(表2_5[[#This Row],[周期dps]]&lt;=表2_5[[#This Row],[平衡dps]] * 2,0.85+0.3365/(1+EXP(-(表2_5[[#This Row],[平衡dps]]-表2_5[[#This Row],[周期dps]])/(表2_5[[#This Row],[平衡dps]]))),0.75+0.7/(1+EXP(-(表2_5[[#This Row],[平衡dps]]-表2_5[[#This Row],[周期dps]])/(表2_5[[#This Row],[平衡dps]]))))</f>
        <v>1.0039916274153877</v>
      </c>
    </row>
    <row r="6" spans="1:43" x14ac:dyDescent="0.3">
      <c r="A6" s="2"/>
      <c r="B6" s="1" t="s">
        <v>25</v>
      </c>
      <c r="C6" t="s">
        <v>278</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8093.757784481234</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Row],[伤害类型系数]]-1)+表2_5[[#This Row],[重量]]*66/表2_5[[#This Row],[伤害类型系数]] )/1.5^(表2_5[[#This Row],[双枪系数]]-1)</f>
        <v>3649.6101907985617</v>
      </c>
      <c r="AB6">
        <f xml:space="preserve"> (1000*(表2_5[[#This Row],[弹夹价格]]*6/表2_5[[#This Row],[伤害类型系数]])/(表2_5[[#This Row],[射击间隔]]*(表2_5[[#This Row],[弹容量]]-1)+900*表2_5[[#This Row],[双枪系数]]))/1.5^(表2_5[[#This Row],[双枪系数]]-1)</f>
        <v>225.98870056497177</v>
      </c>
      <c r="AC6">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3875.5988913635333</v>
      </c>
      <c r="AD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E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F6">
        <f>1000*表2_5[[#This Row],[弹容量]]/(表2_5[[#This Row],[射击间隔]]*(表2_5[[#This Row],[弹容量]]-1)+900*表2_5[[#This Row],[双枪系数]])</f>
        <v>9.4161958568738235</v>
      </c>
      <c r="AG6">
        <f>1000*(表2_5[[#This Row],[穿刺系数]]*表2_5[[#This Row],[弹容量]]*(1+(表2_5[[#This Row],[霰弹值]]-1)*0.5)/(表2_5[[#This Row],[射击间隔]]*(表2_5[[#This Row],[弹容量]]-1)+900*表2_5[[#This Row],[双枪系数]]))</f>
        <v>9.4161958568738218</v>
      </c>
      <c r="AH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J6">
        <f>(表2_5[[#This Row],[子弹威力]]*1.5+30+表2_5[[#This Row],[子弹威力]]*2*表2_5[[#This Row],[限制等级]]/256+表2_5[[#This Row],[伤害加成]]+表2_5[[#This Row],[剧毒]]/表2_5[[#This Row],[霰弹值]])</f>
        <v>866.52933673469386</v>
      </c>
      <c r="AK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6">
        <f>IF(表2_5[[#This Row],[限制等级]]&gt;=30,120,30)</f>
        <v>120</v>
      </c>
      <c r="AM6">
        <f>0.9+(1.1-0.9)*表2_5[[#This Row],[冲击力]]/(表2_5[[#This Row],[冲击力]]+50)</f>
        <v>0.98235294117647065</v>
      </c>
      <c r="AN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O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P6">
        <f>1000*表2_5[[#This Row],[周期伤害]]/MAX(表2_5[[#This Row],[射击间隔]]*(表2_5[[#This Row],[弹容量]]-1),100/表2_5[[#This Row],[双枪系数]])</f>
        <v>9824.5956545883655</v>
      </c>
      <c r="AQ6">
        <f>IF(表2_5[[#This Row],[周期dps]]&lt;=表2_5[[#This Row],[平衡dps]] * 2,0.85+0.3365/(1+EXP(-(表2_5[[#This Row],[平衡dps]]-表2_5[[#This Row],[周期dps]])/(表2_5[[#This Row],[平衡dps]]))),0.75+0.7/(1+EXP(-(表2_5[[#This Row],[平衡dps]]-表2_5[[#This Row],[周期dps]])/(表2_5[[#This Row],[平衡dps]]))))</f>
        <v>1.0002981435603826</v>
      </c>
    </row>
    <row r="7" spans="1:43" x14ac:dyDescent="0.3">
      <c r="A7" s="6" t="s">
        <v>148</v>
      </c>
      <c r="B7" s="3"/>
      <c r="C7" t="s">
        <v>280</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7465.0324315059643</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Row],[伤害类型系数]]-1)+表2_5[[#This Row],[重量]]*66/表2_5[[#This Row],[伤害类型系数]] )/1.5^(表2_5[[#This Row],[双枪系数]]-1)</f>
        <v>3513.6969711868874</v>
      </c>
      <c r="AB7">
        <f xml:space="preserve"> (1000*(表2_5[[#This Row],[弹夹价格]]*6/表2_5[[#This Row],[伤害类型系数]])/(表2_5[[#This Row],[射击间隔]]*(表2_5[[#This Row],[弹容量]]-1)+900*表2_5[[#This Row],[双枪系数]]))/1.5^(表2_5[[#This Row],[双枪系数]]-1)</f>
        <v>983.60655737704917</v>
      </c>
      <c r="AC7">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4497.3035285639362</v>
      </c>
      <c r="AD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E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F7">
        <f>1000*表2_5[[#This Row],[弹容量]]/(表2_5[[#This Row],[射击间隔]]*(表2_5[[#This Row],[弹容量]]-1)+900*表2_5[[#This Row],[双枪系数]])</f>
        <v>1.4754098360655739</v>
      </c>
      <c r="AG7">
        <f>1000*(表2_5[[#This Row],[穿刺系数]]*表2_5[[#This Row],[弹容量]]*(1+(表2_5[[#This Row],[霰弹值]]-1)*0.5)/(表2_5[[#This Row],[射击间隔]]*(表2_5[[#This Row],[弹容量]]-1)+900*表2_5[[#This Row],[双枪系数]]))</f>
        <v>2.9508196721311477</v>
      </c>
      <c r="AH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J7">
        <f>(表2_5[[#This Row],[子弹威力]]*1.5+30+表2_5[[#This Row],[子弹威力]]*2*表2_5[[#This Row],[限制等级]]/256+表2_5[[#This Row],[伤害加成]]+表2_5[[#This Row],[剧毒]]/表2_5[[#This Row],[霰弹值]])</f>
        <v>2532.2452040816329</v>
      </c>
      <c r="AK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L7">
        <f>IF(表2_5[[#This Row],[限制等级]]&gt;=30,120,30)</f>
        <v>30</v>
      </c>
      <c r="AM7">
        <f>0.9+(1.1-0.9)*表2_5[[#This Row],[冲击力]]/(表2_5[[#This Row],[冲击力]]+50)</f>
        <v>0.91132075471698115</v>
      </c>
      <c r="AN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O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P7">
        <f>1000*表2_5[[#This Row],[周期伤害]]/MAX(表2_5[[#This Row],[射击间隔]]*(表2_5[[#This Row],[弹容量]]-1),100/表2_5[[#This Row],[双枪系数]])</f>
        <v>8696.2333987441125</v>
      </c>
      <c r="AQ7">
        <f>IF(表2_5[[#This Row],[周期dps]]&lt;=表2_5[[#This Row],[平衡dps]] * 2,0.85+0.3365/(1+EXP(-(表2_5[[#This Row],[平衡dps]]-表2_5[[#This Row],[周期dps]])/(表2_5[[#This Row],[平衡dps]]))),0.75+0.7/(1+EXP(-(表2_5[[#This Row],[平衡dps]]-表2_5[[#This Row],[周期dps]])/(表2_5[[#This Row],[平衡dps]]))))</f>
        <v>1.0040158907555403</v>
      </c>
    </row>
    <row r="8" spans="1:43" x14ac:dyDescent="0.3">
      <c r="A8" s="6" t="s">
        <v>149</v>
      </c>
      <c r="B8" s="3"/>
      <c r="C8" t="s">
        <v>282</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11263.353178290545</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Row],[伤害类型系数]]-1)+表2_5[[#This Row],[重量]]*66/表2_5[[#This Row],[伤害类型系数]] )/1.5^(表2_5[[#This Row],[双枪系数]]-1)</f>
        <v>4411.0403174750154</v>
      </c>
      <c r="AB8">
        <f xml:space="preserve"> (1000*(表2_5[[#This Row],[弹夹价格]]*6/表2_5[[#This Row],[伤害类型系数]])/(表2_5[[#This Row],[射击间隔]]*(表2_5[[#This Row],[弹容量]]-1)+900*表2_5[[#This Row],[双枪系数]]))/1.5^(表2_5[[#This Row],[双枪系数]]-1)</f>
        <v>1666.6666666666667</v>
      </c>
      <c r="AC8">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6077.7069841416824</v>
      </c>
      <c r="AD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E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F8">
        <f>1000*表2_5[[#This Row],[弹容量]]/(表2_5[[#This Row],[射击间隔]]*(表2_5[[#This Row],[弹容量]]-1)+900*表2_5[[#This Row],[双枪系数]])</f>
        <v>5.5555555555555554</v>
      </c>
      <c r="AG8">
        <f>1000*(表2_5[[#This Row],[穿刺系数]]*表2_5[[#This Row],[弹容量]]*(1+(表2_5[[#This Row],[霰弹值]]-1)*0.5)/(表2_5[[#This Row],[射击间隔]]*(表2_5[[#This Row],[弹容量]]-1)+900*表2_5[[#This Row],[双枪系数]]))</f>
        <v>5.5555555555555554</v>
      </c>
      <c r="AH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J8">
        <f>(表2_5[[#This Row],[子弹威力]]*1.5+30+表2_5[[#This Row],[子弹威力]]*2*表2_5[[#This Row],[限制等级]]/256+表2_5[[#This Row],[伤害加成]]+表2_5[[#This Row],[剧毒]]/表2_5[[#This Row],[霰弹值]])</f>
        <v>2101.6264030612247</v>
      </c>
      <c r="AK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L8">
        <f>IF(表2_5[[#This Row],[限制等级]]&gt;=30,120,30)</f>
        <v>120</v>
      </c>
      <c r="AM8">
        <f>0.9+(1.1-0.9)*表2_5[[#This Row],[冲击力]]/(表2_5[[#This Row],[冲击力]]+50)</f>
        <v>0.93333333333333335</v>
      </c>
      <c r="AN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O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P8">
        <f>1000*表2_5[[#This Row],[周期伤害]]/MAX(表2_5[[#This Row],[射击间隔]]*(表2_5[[#This Row],[弹容量]]-1),100/表2_5[[#This Row],[双枪系数]])</f>
        <v>23351.404478458055</v>
      </c>
      <c r="AQ8">
        <f>IF(表2_5[[#This Row],[周期dps]]&lt;=表2_5[[#This Row],[平衡dps]] * 2,0.85+0.3365/(1+EXP(-(表2_5[[#This Row],[平衡dps]]-表2_5[[#This Row],[周期dps]])/(表2_5[[#This Row],[平衡dps]]))),0.75+0.7/(1+EXP(-(表2_5[[#This Row],[平衡dps]]-表2_5[[#This Row],[周期dps]])/(表2_5[[#This Row],[平衡dps]]))))</f>
        <v>0.94344180679552681</v>
      </c>
    </row>
    <row r="9" spans="1:43" x14ac:dyDescent="0.3">
      <c r="A9" s="6" t="s">
        <v>156</v>
      </c>
      <c r="B9" s="3"/>
    </row>
    <row r="10" spans="1:43" x14ac:dyDescent="0.3">
      <c r="A10" s="7" t="s">
        <v>153</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2225.6978612163011</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Row],[伤害类型系数]]-1)+表2_5[[#This Row],[重量]]*66/表2_5[[#This Row],[伤害类型系数]] )/1.5^(表2_5[[#This Row],[双枪系数]]-1)</f>
        <v>1207.4638084421704</v>
      </c>
      <c r="AB10">
        <f xml:space="preserve"> (1000*(表2_5[[#This Row],[弹夹价格]]*6/表2_5[[#This Row],[伤害类型系数]])/(表2_5[[#This Row],[射击间隔]]*(表2_5[[#This Row],[弹容量]]-1)+900*表2_5[[#This Row],[双枪系数]]))/1.5^(表2_5[[#This Row],[双枪系数]]-1)</f>
        <v>114.72275334608031</v>
      </c>
      <c r="AC10">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1322.1865617882506</v>
      </c>
      <c r="AD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E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F10">
        <f>1000*表2_5[[#This Row],[弹容量]]/(表2_5[[#This Row],[射击间隔]]*(表2_5[[#This Row],[弹容量]]-1)+900*表2_5[[#This Row],[双枪系数]])</f>
        <v>9.5602294455066925</v>
      </c>
      <c r="AG10">
        <f>1000*(表2_5[[#This Row],[穿刺系数]]*表2_5[[#This Row],[弹容量]]*(1+(表2_5[[#This Row],[霰弹值]]-1)*0.5)/(表2_5[[#This Row],[射击间隔]]*(表2_5[[#This Row],[弹容量]]-1)+900*表2_5[[#This Row],[双枪系数]]))</f>
        <v>9.5602294455066925</v>
      </c>
      <c r="AH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J10" s="27">
        <f>(表2_5[[#This Row],[子弹威力]]+20+表2_5[[#This Row],[子弹威力]]*2*表2_5[[#This Row],[限制等级]]/256+表2_5[[#This Row],[伤害加成]]+表2_5[[#This Row],[剧毒]]/表2_5[[#This Row],[霰弹值]])</f>
        <v>233.109375</v>
      </c>
      <c r="AK10">
        <f>IF(表2_5[[#This Row],[限制等级]]&gt;=35,17*表2_5[[#This Row],[限制等级]]-330,7*表2_5[[#This Row],[限制等级]]+15) * IF(表2_5[[#This Row],[限制等级]]&gt;=25, 1 + (MIN(13,(表2_5[[#This Row],[限制等级]]-18)/3.5) - 1) * (MIN(13,(表2_5[[#This Row],[限制等级]]-18)/3.5)  - 1) / 100 + 0.05 * (MIN(13,(表2_5[[#This Row],[限制等级]]-18)/3.5)  - 1),1)</f>
        <v>106</v>
      </c>
      <c r="AL10" s="32">
        <f>IF(表2_5[[#This Row],[限制等级]]&gt;=30,120,30)</f>
        <v>30</v>
      </c>
      <c r="AM10">
        <f>0.9+(1.1-0.9)*表2_5[[#This Row],[冲击力]]/(表2_5[[#This Row],[冲击力]]+50)</f>
        <v>1</v>
      </c>
      <c r="AN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O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P10">
        <f>1000*表2_5[[#This Row],[周期伤害]]/MAX(表2_5[[#This Row],[射击间隔]]*(表2_5[[#This Row],[弹容量]]-1),100/表2_5[[#This Row],[双枪系数]])</f>
        <v>3398.0958454810498</v>
      </c>
      <c r="AQ10">
        <f>IF(表2_5[[#This Row],[周期dps]]&lt;=表2_5[[#This Row],[平衡dps]] * 2,0.85+0.3365/(1+EXP(-(表2_5[[#This Row],[平衡dps]]-表2_5[[#This Row],[周期dps]])/(表2_5[[#This Row],[平衡dps]]))),0.75+0.7/(1+EXP(-(表2_5[[#This Row],[平衡dps]]-表2_5[[#This Row],[周期dps]])/(表2_5[[#This Row],[平衡dps]]))))</f>
        <v>0.97762822485203782</v>
      </c>
    </row>
    <row r="11" spans="1:43" x14ac:dyDescent="0.3">
      <c r="A11" s="7" t="s">
        <v>154</v>
      </c>
      <c r="B11" s="30" t="s">
        <v>21</v>
      </c>
      <c r="C11" s="27" t="s">
        <v>26</v>
      </c>
      <c r="D11" s="27">
        <v>22</v>
      </c>
      <c r="E11" s="27">
        <v>750</v>
      </c>
      <c r="F11" s="27">
        <v>320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3804.375</v>
      </c>
      <c r="S11">
        <f>表2_5[[#This Row],[平衡dps]]*表2_5[[#This Row],[周期dps系数]]*表2_5[[#This Row],[吃拐系数]]*1.1^表2_5[[#This Row],[额外加权层数]]</f>
        <v>3802.8763919297667</v>
      </c>
      <c r="T11" s="27"/>
      <c r="U11" s="27"/>
      <c r="V11">
        <f>表2_5[[#This Row],[平衡裸伤dps]]+表2_5[[#This Row],[平衡增益dps]]</f>
        <v>3763.5454610303132</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2717.6470588235293</v>
      </c>
      <c r="AA11">
        <f>( 表2_5[[#This Row],[限制等级]]*120*表2_5[[#This Row],[冲击力系数]]*表2_5[[#This Row],[周期伤害系数]]/1.6^(表2_5[[#This Row],[伤害类型系数]]-1)+表2_5[[#This Row],[重量]]*66/表2_5[[#This Row],[伤害类型系数]] )/1.5^(表2_5[[#This Row],[双枪系数]]-1)</f>
        <v>1781.9018674990593</v>
      </c>
      <c r="AB11">
        <f xml:space="preserve"> (1000*(表2_5[[#This Row],[弹夹价格]]*6/表2_5[[#This Row],[伤害类型系数]])/(表2_5[[#This Row],[射击间隔]]*(表2_5[[#This Row],[弹容量]]-1)+900*表2_5[[#This Row],[双枪系数]]))/1.5^(表2_5[[#This Row],[双枪系数]]-1)</f>
        <v>352.94117647058823</v>
      </c>
      <c r="AC11">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2134.8430439696476</v>
      </c>
      <c r="AD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1086.7279411764705</v>
      </c>
      <c r="AE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1628.7024170606655</v>
      </c>
      <c r="AF11">
        <f>1000*表2_5[[#This Row],[弹容量]]/(表2_5[[#This Row],[射击间隔]]*(表2_5[[#This Row],[弹容量]]-1)+900*表2_5[[#This Row],[双枪系数]])</f>
        <v>1.7647058823529411</v>
      </c>
      <c r="AG11">
        <f>1000*(表2_5[[#This Row],[穿刺系数]]*表2_5[[#This Row],[弹容量]]*(1+(表2_5[[#This Row],[霰弹值]]-1)*0.5)/(表2_5[[#This Row],[射击间隔]]*(表2_5[[#This Row],[弹容量]]-1)+900*表2_5[[#This Row],[双枪系数]]))</f>
        <v>3.5294117647058827</v>
      </c>
      <c r="AH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3232.1885901409573</v>
      </c>
      <c r="AJ11" s="27">
        <f>(表2_5[[#This Row],[子弹威力]]+20+表2_5[[#This Row],[子弹威力]]*2*表2_5[[#This Row],[限制等级]]/256+表2_5[[#This Row],[伤害加成]]+表2_5[[#This Row],[剧毒]]/表2_5[[#This Row],[霰弹值]])</f>
        <v>1097.90625</v>
      </c>
      <c r="AK11">
        <f>IF(表2_5[[#This Row],[限制等级]]&gt;=35,17*表2_5[[#This Row],[限制等级]]-330,7*表2_5[[#This Row],[限制等级]]+15) * IF(表2_5[[#This Row],[限制等级]]&gt;=25, 1 + (MIN(13,(表2_5[[#This Row],[限制等级]]-18)/3.5) - 1) * (MIN(13,(表2_5[[#This Row],[限制等级]]-18)/3.5)  - 1) / 100 + 0.05 * (MIN(13,(表2_5[[#This Row],[限制等级]]-18)/3.5)  - 1),1)</f>
        <v>169</v>
      </c>
      <c r="AL11" s="32">
        <f>IF(表2_5[[#This Row],[限制等级]]&gt;=30,120,30)</f>
        <v>30</v>
      </c>
      <c r="AM11">
        <f>0.9+(1.1-0.9)*表2_5[[#This Row],[冲击力]]/(表2_5[[#This Row],[冲击力]]+50)</f>
        <v>0.93333333333333335</v>
      </c>
      <c r="AN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O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3804.375</v>
      </c>
      <c r="AP11">
        <f>1000*表2_5[[#This Row],[周期伤害]]/MAX(表2_5[[#This Row],[射击间隔]]*(表2_5[[#This Row],[弹容量]]-1),100/表2_5[[#This Row],[双枪系数]])</f>
        <v>8084.296875</v>
      </c>
      <c r="AQ11">
        <f>IF(表2_5[[#This Row],[周期dps]]&lt;=表2_5[[#This Row],[平衡dps]] * 2,0.85+0.3365/(1+EXP(-(表2_5[[#This Row],[平衡dps]]-表2_5[[#This Row],[周期dps]])/(表2_5[[#This Row],[平衡dps]]))),0.75+0.7/(1+EXP(-(表2_5[[#This Row],[平衡dps]]-表2_5[[#This Row],[周期dps]])/(表2_5[[#This Row],[平衡dps]]))))</f>
        <v>0.91859136340905279</v>
      </c>
    </row>
    <row r="12" spans="1:43" x14ac:dyDescent="0.3">
      <c r="A12" s="7" t="s">
        <v>155</v>
      </c>
      <c r="B12" s="30" t="s">
        <v>276</v>
      </c>
      <c r="C12" s="27" t="s">
        <v>46</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2007.3625073720866</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Row],[伤害类型系数]]-1)+表2_5[[#This Row],[重量]]*66/表2_5[[#This Row],[伤害类型系数]] )/1.5^(表2_5[[#This Row],[双枪系数]]-1)</f>
        <v>1162.3469516135772</v>
      </c>
      <c r="AB12">
        <f xml:space="preserve"> (1000*(表2_5[[#This Row],[弹夹价格]]*6/表2_5[[#This Row],[伤害类型系数]])/(表2_5[[#This Row],[射击间隔]]*(表2_5[[#This Row],[弹容量]]-1)+900*表2_5[[#This Row],[双枪系数]]))/1.5^(表2_5[[#This Row],[双枪系数]]-1)</f>
        <v>145.98540145985402</v>
      </c>
      <c r="AC12">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1308.3323530734312</v>
      </c>
      <c r="AD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E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F12">
        <f>1000*表2_5[[#This Row],[弹容量]]/(表2_5[[#This Row],[射击间隔]]*(表2_5[[#This Row],[弹容量]]-1)+900*表2_5[[#This Row],[双枪系数]])</f>
        <v>1.9464720194647203</v>
      </c>
      <c r="AG12">
        <f>1000*(表2_5[[#This Row],[穿刺系数]]*表2_5[[#This Row],[弹容量]]*(1+(表2_5[[#This Row],[霰弹值]]-1)*0.5)/(表2_5[[#This Row],[射击间隔]]*(表2_5[[#This Row],[弹容量]]-1)+900*表2_5[[#This Row],[双枪系数]]))</f>
        <v>10.70559610705596</v>
      </c>
      <c r="AH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J12" s="27">
        <f>(表2_5[[#This Row],[子弹威力]]+20+表2_5[[#This Row],[子弹威力]]*2*表2_5[[#This Row],[限制等级]]/256+表2_5[[#This Row],[伤害加成]]+表2_5[[#This Row],[剧毒]]/表2_5[[#This Row],[霰弹值]])</f>
        <v>184.078125</v>
      </c>
      <c r="AK12">
        <f>IF(表2_5[[#This Row],[限制等级]]&gt;=35,17*表2_5[[#This Row],[限制等级]]-330,7*表2_5[[#This Row],[限制等级]]+15) * IF(表2_5[[#This Row],[限制等级]]&gt;=25, 1 + (MIN(13,(表2_5[[#This Row],[限制等级]]-18)/3.5) - 1) * (MIN(13,(表2_5[[#This Row],[限制等级]]-18)/3.5)  - 1) / 100 + 0.05 * (MIN(13,(表2_5[[#This Row],[限制等级]]-18)/3.5)  - 1),1)</f>
        <v>106</v>
      </c>
      <c r="AL12" s="32">
        <f>IF(表2_5[[#This Row],[限制等级]]&gt;=30,120,30)</f>
        <v>30</v>
      </c>
      <c r="AM12">
        <f>0.9+(1.1-0.9)*表2_5[[#This Row],[冲击力]]/(表2_5[[#This Row],[冲击力]]+50)</f>
        <v>0.95714285714285718</v>
      </c>
      <c r="AN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O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P12">
        <f>1000*表2_5[[#This Row],[周期伤害]]/MAX(表2_5[[#This Row],[射击间隔]]*(表2_5[[#This Row],[弹容量]]-1),100/表2_5[[#This Row],[双枪系数]])</f>
        <v>3506.25</v>
      </c>
      <c r="AQ12">
        <f>IF(表2_5[[#This Row],[周期dps]]&lt;=表2_5[[#This Row],[平衡dps]] * 2,0.85+0.3365/(1+EXP(-(表2_5[[#This Row],[平衡dps]]-表2_5[[#This Row],[周期dps]])/(表2_5[[#This Row],[平衡dps]]))),0.75+0.7/(1+EXP(-(表2_5[[#This Row],[平衡dps]]-表2_5[[#This Row],[周期dps]])/(表2_5[[#This Row],[平衡dps]]))))</f>
        <v>0.96299710274747996</v>
      </c>
    </row>
    <row r="13" spans="1:43" x14ac:dyDescent="0.3">
      <c r="A13" s="15" t="s">
        <v>147</v>
      </c>
      <c r="B13" s="1" t="s">
        <v>25</v>
      </c>
      <c r="C13" t="s">
        <v>279</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5910.2106841534269</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Row],[伤害类型系数]]-1)+表2_5[[#This Row],[重量]]*66/表2_5[[#This Row],[伤害类型系数]] )/1.5^(表2_5[[#This Row],[双枪系数]]-1)</f>
        <v>2374.3133959568554</v>
      </c>
      <c r="AB13">
        <f xml:space="preserve"> (1000*(表2_5[[#This Row],[弹夹价格]]*6/表2_5[[#This Row],[伤害类型系数]])/(表2_5[[#This Row],[射击间隔]]*(表2_5[[#This Row],[弹容量]]-1)+900*表2_5[[#This Row],[双枪系数]]))/1.5^(表2_5[[#This Row],[双枪系数]]-1)</f>
        <v>114.72275334608031</v>
      </c>
      <c r="AC13">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2489.0361493029359</v>
      </c>
      <c r="AD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E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F13">
        <f>1000*表2_5[[#This Row],[弹容量]]/(表2_5[[#This Row],[射击间隔]]*(表2_5[[#This Row],[弹容量]]-1)+900*表2_5[[#This Row],[双枪系数]])</f>
        <v>9.5602294455066925</v>
      </c>
      <c r="AG13">
        <f>1000*(表2_5[[#This Row],[穿刺系数]]*表2_5[[#This Row],[弹容量]]*(1+(表2_5[[#This Row],[霰弹值]]-1)*0.5)/(表2_5[[#This Row],[射击间隔]]*(表2_5[[#This Row],[弹容量]]-1)+900*表2_5[[#This Row],[双枪系数]]))</f>
        <v>9.5602294455066925</v>
      </c>
      <c r="AH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J13" s="27">
        <f>(表2_5[[#This Row],[子弹威力]]+20+表2_5[[#This Row],[子弹威力]]*2*表2_5[[#This Row],[限制等级]]/256+表2_5[[#This Row],[伤害加成]]+表2_5[[#This Row],[剧毒]]/表2_5[[#This Row],[霰弹值]])</f>
        <v>615.43558673469386</v>
      </c>
      <c r="AK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L13">
        <f>IF(表2_5[[#This Row],[限制等级]]&gt;=30,120,30)</f>
        <v>120</v>
      </c>
      <c r="AM13">
        <f>0.9+(1.1-0.9)*表2_5[[#This Row],[冲击力]]/(表2_5[[#This Row],[冲击力]]+50)</f>
        <v>0.98636363636363644</v>
      </c>
      <c r="AN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O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P13">
        <f>1000*表2_5[[#This Row],[周期伤害]]/MAX(表2_5[[#This Row],[射击间隔]]*(表2_5[[#This Row],[弹容量]]-1),100/表2_5[[#This Row],[双枪系数]])</f>
        <v>8971.3642381150712</v>
      </c>
      <c r="AQ13">
        <f>IF(表2_5[[#This Row],[周期dps]]&lt;=表2_5[[#This Row],[平衡dps]] * 2,0.85+0.3365/(1+EXP(-(表2_5[[#This Row],[平衡dps]]-表2_5[[#This Row],[周期dps]])/(表2_5[[#This Row],[平衡dps]]))),0.75+0.7/(1+EXP(-(表2_5[[#This Row],[平衡dps]]-表2_5[[#This Row],[周期dps]])/(表2_5[[#This Row],[平衡dps]]))))</f>
        <v>0.97823794688521748</v>
      </c>
    </row>
    <row r="14" spans="1:43" x14ac:dyDescent="0.3">
      <c r="A14" s="15" t="s">
        <v>157</v>
      </c>
      <c r="B14" s="3"/>
      <c r="C14" t="s">
        <v>281</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5830.968602560748</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Row],[伤害类型系数]]-1)+表2_5[[#This Row],[重量]]*66/表2_5[[#This Row],[伤害类型系数]] )/1.5^(表2_5[[#This Row],[双枪系数]]-1)</f>
        <v>2392.8419603256721</v>
      </c>
      <c r="AB14">
        <f xml:space="preserve"> (1000*(表2_5[[#This Row],[弹夹价格]]*6/表2_5[[#This Row],[伤害类型系数]])/(表2_5[[#This Row],[射击间隔]]*(表2_5[[#This Row],[弹容量]]-1)+900*表2_5[[#This Row],[双枪系数]]))/1.5^(表2_5[[#This Row],[双枪系数]]-1)</f>
        <v>174.86338797814207</v>
      </c>
      <c r="AC14">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2567.7053483038139</v>
      </c>
      <c r="AD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E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F14">
        <f>1000*表2_5[[#This Row],[弹容量]]/(表2_5[[#This Row],[射击间隔]]*(表2_5[[#This Row],[弹容量]]-1)+900*表2_5[[#This Row],[双枪系数]])</f>
        <v>5.4644808743169397</v>
      </c>
      <c r="AG14">
        <f>1000*(表2_5[[#This Row],[穿刺系数]]*表2_5[[#This Row],[弹容量]]*(1+(表2_5[[#This Row],[霰弹值]]-1)*0.5)/(表2_5[[#This Row],[射击间隔]]*(表2_5[[#This Row],[弹容量]]-1)+900*表2_5[[#This Row],[双枪系数]]))</f>
        <v>10.928961748633879</v>
      </c>
      <c r="AH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J14" s="27">
        <f>(表2_5[[#This Row],[子弹威力]]+20+表2_5[[#This Row],[子弹威力]]*2*表2_5[[#This Row],[限制等级]]/256+表2_5[[#This Row],[伤害加成]]+表2_5[[#This Row],[剧毒]]/表2_5[[#This Row],[霰弹值]])</f>
        <v>605.11000000000013</v>
      </c>
      <c r="AK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L14">
        <f>IF(表2_5[[#This Row],[限制等级]]&gt;=30,120,30)</f>
        <v>120</v>
      </c>
      <c r="AM14">
        <f>0.9+(1.1-0.9)*表2_5[[#This Row],[冲击力]]/(表2_5[[#This Row],[冲击力]]+50)</f>
        <v>1</v>
      </c>
      <c r="AN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O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P14">
        <f>1000*表2_5[[#This Row],[周期伤害]]/MAX(表2_5[[#This Row],[射击间隔]]*(表2_5[[#This Row],[弹容量]]-1),100/表2_5[[#This Row],[双枪系数]])</f>
        <v>7144.3537414966004</v>
      </c>
      <c r="AQ14">
        <f>IF(表2_5[[#This Row],[周期dps]]&lt;=表2_5[[#This Row],[平衡dps]] * 2,0.85+0.3365/(1+EXP(-(表2_5[[#This Row],[平衡dps]]-表2_5[[#This Row],[周期dps]])/(表2_5[[#This Row],[平衡dps]]))),0.75+0.7/(1+EXP(-(表2_5[[#This Row],[平衡dps]]-表2_5[[#This Row],[周期dps]])/(表2_5[[#This Row],[平衡dps]]))))</f>
        <v>0.99943830615938578</v>
      </c>
    </row>
    <row r="15" spans="1:43" x14ac:dyDescent="0.3">
      <c r="A15" s="15" t="s">
        <v>301</v>
      </c>
      <c r="B15" s="3"/>
      <c r="C15" t="s">
        <v>282</v>
      </c>
      <c r="D15" s="12">
        <v>15</v>
      </c>
      <c r="E15" s="12">
        <v>900</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2518.8616071428573</v>
      </c>
      <c r="S15" s="17">
        <f>表2_5[[#This Row],[平衡dps]]*表2_5[[#This Row],[周期dps系数]]*表2_5[[#This Row],[吃拐系数]]*1.1^表2_5[[#This Row],[额外加权层数]]</f>
        <v>2525.8674031406331</v>
      </c>
      <c r="V15">
        <f>表2_5[[#This Row],[平衡裸伤dps]]+表2_5[[#This Row],[平衡增益dps]]</f>
        <v>2864.7134057614348</v>
      </c>
      <c r="W15">
        <f>(表2_5[[#This Row],[子弹威力]]+20+表2_5[[#This Row],[子弹威力]]*2*表2_5[[#This Row],[限制等级]]/256+表2_5[[#This Row],[伤害加成]]+表2_5[[#This Row],[剧毒]]/(表2_5[[#This Row],[霰弹值]]*3^(表2_5[[#This Row],[穿刺系数]]-1)))*表2_5[[#This Row],[穿刺系数]]*表2_5[[#This Row],[弹容量]]*(1+(表2_5[[#This Row],[霰弹值]]-1)*0.5)</f>
        <v>7052.8125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1971.4285714285713</v>
      </c>
      <c r="AA15">
        <f>( 表2_5[[#This Row],[限制等级]]*120*表2_5[[#This Row],[冲击力系数]]*表2_5[[#This Row],[周期伤害系数]]/1.6^(表2_5[[#This Row],[伤害类型系数]]-1)+表2_5[[#This Row],[重量]]*66/表2_5[[#This Row],[伤害类型系数]] )/1.5^(表2_5[[#This Row],[双枪系数]]-1)</f>
        <v>1274.9421789023793</v>
      </c>
      <c r="AB15">
        <f xml:space="preserve"> (1000*(表2_5[[#This Row],[弹夹价格]]*6/表2_5[[#This Row],[伤害类型系数]])/(表2_5[[#This Row],[射击间隔]]*(表2_5[[#This Row],[弹容量]]-1)+900*表2_5[[#This Row],[双枪系数]]))/1.5^(表2_5[[#This Row],[双枪系数]]-1)</f>
        <v>428.57142857142861</v>
      </c>
      <c r="AC15">
        <f>IF(表2_5[[#This Row],[经济加成dps]] &lt;= 表2_5[[#This Row],[平衡基础dps]],表2_5[[#This Row],[经济加成dps]],  表2_5[[#This Row],[平衡基础dps]] + 12 * 表2_5[[#This Row],[平衡基础dps]] * (1 - EXP(-(表2_5[[#This Row],[经济加成dps]] - 表2_5[[#This Row],[平衡基础dps]]) / (6 * 表2_5[[#This Row],[平衡基础dps]]))) ) + 表2_5[[#This Row],[平衡基础dps]]</f>
        <v>1703.513607473808</v>
      </c>
      <c r="AD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547.43303571428567</v>
      </c>
      <c r="AE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1161.1997982876269</v>
      </c>
      <c r="AF15">
        <f>1000*表2_5[[#This Row],[弹容量]]/(表2_5[[#This Row],[射击间隔]]*(表2_5[[#This Row],[弹容量]]-1)+900*表2_5[[#This Row],[双枪系数]])</f>
        <v>2.1428571428571428</v>
      </c>
      <c r="AG15">
        <f>1000*(表2_5[[#This Row],[穿刺系数]]*表2_5[[#This Row],[弹容量]]*(1+(表2_5[[#This Row],[霰弹值]]-1)*0.5)/(表2_5[[#This Row],[射击间隔]]*(表2_5[[#This Row],[弹容量]]-1)+900*表2_5[[#This Row],[双枪系数]]))</f>
        <v>2.1428571428571428</v>
      </c>
      <c r="AH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I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2424.1138395025869</v>
      </c>
      <c r="AJ15" s="27">
        <f>(表2_5[[#This Row],[子弹威力]]+20+表2_5[[#This Row],[子弹威力]]*2*表2_5[[#This Row],[限制等级]]/256+表2_5[[#This Row],[伤害加成]]+表2_5[[#This Row],[剧毒]]/表2_5[[#This Row],[霰弹值]])</f>
        <v>1175.46875</v>
      </c>
      <c r="AK15">
        <f>IF(表2_5[[#This Row],[限制等级]]&gt;=35,17*表2_5[[#This Row],[限制等级]]-330,7*表2_5[[#This Row],[限制等级]]+15) * IF(表2_5[[#This Row],[限制等级]]&gt;=25, 1 + (MIN(13,(表2_5[[#This Row],[限制等级]]-18)/3.5) - 1) * (MIN(13,(表2_5[[#This Row],[限制等级]]-18)/3.5)  - 1) / 100 + 0.05 * (MIN(13,(表2_5[[#This Row],[限制等级]]-18)/3.5)  - 1),1)</f>
        <v>120</v>
      </c>
      <c r="AL15">
        <f>IF(表2_5[[#This Row],[限制等级]]&gt;=30,120,30)</f>
        <v>30</v>
      </c>
      <c r="AM15">
        <f>0.9+(1.1-0.9)*表2_5[[#This Row],[冲击力]]/(表2_5[[#This Row],[冲击力]]+50)</f>
        <v>0.93333333333333335</v>
      </c>
      <c r="AN15">
        <f>IF(表2_5[[#This Row],[周期伤害]] &lt;=表2_5[[#This Row],[加权周期伤害]]* 5,0.7+0.6/(1+EXP(-(表2_5[[#This Row],[加权周期伤害]]-表2_5[[#This Row],[周期伤害]])/(表2_5[[#This Row],[加权周期伤害]]))),0.1+1.5/(1+EXP(-(表2_5[[#This Row],[加权周期伤害]]-表2_5[[#This Row],[周期伤害]])/(表2_5[[#This Row],[加权周期伤害]]*10))))</f>
        <v>1.05976980259141</v>
      </c>
      <c r="AO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2518.8616071428573</v>
      </c>
      <c r="AP15">
        <f>1000*表2_5[[#This Row],[周期伤害]]/MAX(表2_5[[#This Row],[射击间隔]]*(表2_5[[#This Row],[弹容量]]-1),100/表2_5[[#This Row],[双枪系数]])</f>
        <v>7052.8125</v>
      </c>
      <c r="AQ15">
        <f>IF(表2_5[[#This Row],[周期dps]]&lt;=表2_5[[#This Row],[平衡dps]] * 2,0.85+0.3365/(1+EXP(-(表2_5[[#This Row],[平衡dps]]-表2_5[[#This Row],[周期dps]])/(表2_5[[#This Row],[平衡dps]]))),0.75+0.7/(1+EXP(-(表2_5[[#This Row],[平衡dps]]-表2_5[[#This Row],[周期dps]])/(表2_5[[#This Row],[平衡dps]]))))</f>
        <v>0.88171731177739332</v>
      </c>
    </row>
    <row r="16" spans="1:43" x14ac:dyDescent="0.3">
      <c r="B16" s="3"/>
      <c r="D16" s="3"/>
      <c r="E16" s="3"/>
      <c r="F16" s="2" t="s">
        <v>537</v>
      </c>
      <c r="G16" s="3"/>
      <c r="H16" s="3"/>
      <c r="I16" s="3"/>
      <c r="L16" s="2"/>
      <c r="M16" s="2" t="s">
        <v>516</v>
      </c>
    </row>
    <row r="17" spans="2:43" x14ac:dyDescent="0.3">
      <c r="B17" s="3"/>
      <c r="C17" s="2" t="s">
        <v>233</v>
      </c>
      <c r="D17" s="3"/>
      <c r="E17" s="3"/>
      <c r="F17" s="4" t="str">
        <f>IF(OR(AH6&lt;0.7,AH7&lt;0.7,AH8&lt;0.7,AH13&lt;0.7,AH14&lt;0.7,AH15&lt;0.7),"异常提示：你的武器相对于当前限制等级的吃拐率过高，会导致dps惩罚过重，请降低射速、段数或穿刺能力！","")</f>
        <v/>
      </c>
      <c r="G17" s="3"/>
      <c r="H17" s="3"/>
      <c r="I17" s="3"/>
    </row>
    <row r="18" spans="2:43" x14ac:dyDescent="0.3">
      <c r="B18" s="3"/>
      <c r="C18" s="2" t="s">
        <v>271</v>
      </c>
      <c r="D18" s="2" t="s">
        <v>275</v>
      </c>
    </row>
    <row r="19" spans="2:43" x14ac:dyDescent="0.3">
      <c r="B19" s="3"/>
      <c r="C19" s="2" t="s">
        <v>272</v>
      </c>
      <c r="D19" s="2" t="s">
        <v>514</v>
      </c>
    </row>
    <row r="20" spans="2:43" x14ac:dyDescent="0.3">
      <c r="B20" s="3"/>
      <c r="C20" s="2" t="s">
        <v>273</v>
      </c>
      <c r="D20" s="2" t="s">
        <v>296</v>
      </c>
      <c r="O20" s="29" t="s">
        <v>283</v>
      </c>
    </row>
    <row r="21" spans="2:43" x14ac:dyDescent="0.3">
      <c r="B21" s="3"/>
      <c r="C21" s="2" t="s">
        <v>274</v>
      </c>
      <c r="D21" s="2" t="s">
        <v>365</v>
      </c>
    </row>
    <row r="22" spans="2:43" x14ac:dyDescent="0.3">
      <c r="B22" s="3"/>
    </row>
    <row r="23" spans="2:43" x14ac:dyDescent="0.3">
      <c r="B23" s="4" t="s">
        <v>39</v>
      </c>
      <c r="C23" s="2" t="s">
        <v>300</v>
      </c>
    </row>
    <row r="24" spans="2:43" x14ac:dyDescent="0.3">
      <c r="B24" s="3"/>
      <c r="C24" t="s">
        <v>307</v>
      </c>
      <c r="Q24" s="51" t="s">
        <v>521</v>
      </c>
      <c r="AN24" s="2" t="s">
        <v>264</v>
      </c>
    </row>
    <row r="25" spans="2:43" x14ac:dyDescent="0.3">
      <c r="B25" s="3"/>
      <c r="Q25" s="38" t="s">
        <v>519</v>
      </c>
      <c r="R25" s="38" t="s">
        <v>517</v>
      </c>
      <c r="S25" s="39" t="s">
        <v>518</v>
      </c>
      <c r="AN25" t="s">
        <v>89</v>
      </c>
      <c r="AO25" t="s">
        <v>166</v>
      </c>
      <c r="AP25" t="s">
        <v>372</v>
      </c>
      <c r="AQ25" t="s">
        <v>267</v>
      </c>
    </row>
    <row r="26" spans="2:43" x14ac:dyDescent="0.3">
      <c r="B26" s="4" t="s">
        <v>40</v>
      </c>
      <c r="C26" t="s">
        <v>297</v>
      </c>
      <c r="Q26" s="37">
        <v>3</v>
      </c>
      <c r="R26" s="37">
        <v>1</v>
      </c>
      <c r="S26" s="52">
        <f>Q26*1.1+Q26*0.5/R26-0.8</f>
        <v>4.0000000000000009</v>
      </c>
      <c r="AM26" s="2" t="s">
        <v>265</v>
      </c>
      <c r="AN26" s="28">
        <v>10</v>
      </c>
      <c r="AO26" s="28">
        <v>85</v>
      </c>
      <c r="AP26" s="28">
        <f>表5[[#This Row],[伤害加成]]*IF(AN26&gt;=25, 1 + (MIN(13,(AN26-18)/3.5) - 1) * (MIN(13,(AN26-18)/3.5)  - 1) / 100 + 0.05 * (MIN(13,(AN26-18)/3.5)  - 1),1)-表5[[#This Row],[伤害加成]]</f>
        <v>0</v>
      </c>
      <c r="AQ26" s="28">
        <v>30</v>
      </c>
    </row>
    <row r="27" spans="2:43" x14ac:dyDescent="0.3">
      <c r="C27" t="s">
        <v>298</v>
      </c>
      <c r="Q27" t="s">
        <v>520</v>
      </c>
      <c r="AN27" s="28">
        <v>20</v>
      </c>
      <c r="AO27" s="28">
        <v>160</v>
      </c>
      <c r="AP27" s="28">
        <f>表5[[#This Row],[伤害加成]]*IF(AN27&gt;=25, 1 + (MIN(13,(AN27-18)/3.5) - 1) * (MIN(13,(AN27-18)/3.5)  - 1) / 100 + 0.05 * (MIN(13,(AN27-18)/3.5)  - 1),1)-表5[[#This Row],[伤害加成]]</f>
        <v>0</v>
      </c>
      <c r="AQ27" s="28">
        <v>30</v>
      </c>
    </row>
    <row r="28" spans="2:43" x14ac:dyDescent="0.3">
      <c r="C28" t="s">
        <v>178</v>
      </c>
      <c r="Q28" t="s">
        <v>522</v>
      </c>
      <c r="AN28" s="28">
        <v>30</v>
      </c>
      <c r="AO28" s="28">
        <v>200</v>
      </c>
      <c r="AP28" s="28">
        <f>表5[[#This Row],[伤害加成]]*IF(AN28&gt;=25, 1 + (MIN(13,(AN28-18)/3.5) - 1) * (MIN(13,(AN28-18)/3.5)  - 1) / 100 + 0.05 * (MIN(13,(AN28-18)/3.5)  - 1),1)-表5[[#This Row],[伤害加成]]</f>
        <v>36.081632653061206</v>
      </c>
      <c r="AQ28" s="28">
        <v>120</v>
      </c>
    </row>
    <row r="29" spans="2:43" x14ac:dyDescent="0.3">
      <c r="C29" t="s">
        <v>47</v>
      </c>
      <c r="AN29" s="28">
        <v>40</v>
      </c>
      <c r="AO29" s="28">
        <v>350</v>
      </c>
      <c r="AP29" s="28">
        <f>表5[[#This Row],[伤害加成]]*IF(AN29&gt;=25, 1 + (MIN(13,(AN29-18)/3.5) - 1) * (MIN(13,(AN29-18)/3.5)  - 1) / 100 + 0.05 * (MIN(13,(AN29-18)/3.5)  - 1),1)-表5[[#This Row],[伤害加成]]</f>
        <v>190.28571428571422</v>
      </c>
      <c r="AQ29" s="28">
        <v>120</v>
      </c>
    </row>
    <row r="30" spans="2:43" x14ac:dyDescent="0.3">
      <c r="C30" t="s">
        <v>299</v>
      </c>
      <c r="AN30" s="28">
        <v>50</v>
      </c>
      <c r="AO30" s="28">
        <v>530</v>
      </c>
      <c r="AP30" s="28">
        <f>表5[[#This Row],[伤害加成]]*IF(AN30&gt;=25, 1 + (MIN(13,(AN30-18)/3.5) - 1) * (MIN(13,(AN30-18)/3.5)  - 1) / 100 + 0.05 * (MIN(13,(AN30-18)/3.5)  - 1),1)-表5[[#This Row],[伤害加成]]</f>
        <v>567.20816326530621</v>
      </c>
      <c r="AQ30" s="28">
        <v>120</v>
      </c>
    </row>
    <row r="31" spans="2:43" x14ac:dyDescent="0.3">
      <c r="C31" t="s">
        <v>523</v>
      </c>
      <c r="AM31" s="2" t="s">
        <v>266</v>
      </c>
      <c r="AN31" s="12">
        <v>35</v>
      </c>
      <c r="AO31" s="16">
        <f>IF(AN31&gt;=35,17*AN31-330,7*AN31+15)</f>
        <v>265</v>
      </c>
      <c r="AP31" s="16">
        <f>IF(AN31&gt;=35,17*AN31-330,7*AN31+15) * IF(AN31&gt;=25, 1 + (MIN(13,(AN31-18)/3.5) - 1) * (MIN(13,(AN31-18)/3.5)  - 1) / 100 + 0.05 * (MIN(13,(AN31-18)/3.5)  - 1),1)-AO31</f>
        <v>90.532653061224437</v>
      </c>
      <c r="AQ31" s="16">
        <f>IF(AN31&gt;=30,120,30)</f>
        <v>120</v>
      </c>
    </row>
    <row r="32" spans="2:43" x14ac:dyDescent="0.3">
      <c r="C32" t="s">
        <v>515</v>
      </c>
      <c r="AN32" s="2" t="s">
        <v>373</v>
      </c>
      <c r="AO32" s="16">
        <f>IF(AN31&gt;=35,17*AN31-330,7*AN31+15) * IF(AN31&gt;=25, 1 + (MIN(13,(AN31-18)/3.5) - 1) * (MIN(13,(AN31-18)/3.5)  - 1) / 100 + 0.05 * (MIN(13,(AN31-18)/3.5)  - 1),1)</f>
        <v>355.53265306122444</v>
      </c>
    </row>
    <row r="33" spans="3:3" x14ac:dyDescent="0.3">
      <c r="C33" s="2" t="s">
        <v>533</v>
      </c>
    </row>
  </sheetData>
  <phoneticPr fontId="1" type="noConversion"/>
  <pageMargins left="0.7" right="0.7" top="0.75" bottom="0.75" header="0.3" footer="0.3"/>
  <pageSetup paperSize="9" orientation="portrait" r:id="rId1"/>
  <ignoredErrors>
    <ignoredError sqref="W10:W15 W3:W8 AN3:AN15 X3:X15 Z3:Z15 AD3:AD15 AK3:AK15 AG3:AG15 V3:V15 AE3:AE15 AH3:AH15 AC3:AC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75</v>
      </c>
    </row>
    <row r="2" spans="1:12" x14ac:dyDescent="0.3">
      <c r="D2" s="2" t="s">
        <v>56</v>
      </c>
      <c r="E2" s="2" t="s">
        <v>57</v>
      </c>
      <c r="F2" s="2" t="s">
        <v>58</v>
      </c>
      <c r="G2" s="2" t="s">
        <v>59</v>
      </c>
      <c r="H2" s="2" t="s">
        <v>73</v>
      </c>
      <c r="I2" s="2" t="s">
        <v>60</v>
      </c>
      <c r="J2" s="2" t="s">
        <v>70</v>
      </c>
      <c r="K2" s="2"/>
      <c r="L2" s="2" t="s">
        <v>65</v>
      </c>
    </row>
    <row r="3" spans="1:12" x14ac:dyDescent="0.3">
      <c r="B3" t="s">
        <v>134</v>
      </c>
      <c r="C3" t="s">
        <v>135</v>
      </c>
      <c r="D3" t="s">
        <v>136</v>
      </c>
      <c r="E3" s="5" t="s">
        <v>74</v>
      </c>
      <c r="F3" t="s">
        <v>62</v>
      </c>
      <c r="G3" t="s">
        <v>62</v>
      </c>
      <c r="J3" s="5" t="s">
        <v>71</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64</v>
      </c>
      <c r="E4" s="5" t="s">
        <v>74</v>
      </c>
      <c r="F4" t="s">
        <v>62</v>
      </c>
      <c r="G4" t="s">
        <v>62</v>
      </c>
      <c r="L4" t="str">
        <f>"子弹威力 = "&amp;D4&amp;" ( _parent._parent.空手攻击力 "&amp;F4&amp;E4&amp;" ) "&amp;"*(1+_parent._parent.技能等级"&amp;G4&amp;")"&amp;J4</f>
        <v>子弹威力 =  ( _parent._parent.空手攻击力 *1+100 ) *(1+_parent._parent.技能等级*1)</v>
      </c>
    </row>
    <row r="5" spans="1:12" x14ac:dyDescent="0.3">
      <c r="C5" s="1" t="s">
        <v>68</v>
      </c>
      <c r="E5" s="5" t="s">
        <v>74</v>
      </c>
      <c r="F5" t="s">
        <v>62</v>
      </c>
      <c r="G5" t="s">
        <v>62</v>
      </c>
      <c r="L5" t="str">
        <f>"子弹威力 = "&amp;D5&amp;" ( _parent._parent.空手攻击力 "&amp;F5&amp;E5&amp;" ) "&amp;"*(1+_parent._parent.技能等级"&amp;G5&amp;")"&amp;J5</f>
        <v>子弹威力 =  ( _parent._parent.空手攻击力 *1+100 ) *(1+_parent._parent.技能等级*1)</v>
      </c>
    </row>
    <row r="8" spans="1:12" x14ac:dyDescent="0.3">
      <c r="K8" s="1" t="s">
        <v>66</v>
      </c>
      <c r="L8" s="4"/>
    </row>
    <row r="9" spans="1:12" x14ac:dyDescent="0.3">
      <c r="K9" s="4"/>
      <c r="L9" s="4" t="s">
        <v>72</v>
      </c>
    </row>
    <row r="12" spans="1:12" x14ac:dyDescent="0.3">
      <c r="B12" t="s">
        <v>132</v>
      </c>
      <c r="C12" t="s">
        <v>69</v>
      </c>
      <c r="D12" t="s">
        <v>61</v>
      </c>
      <c r="E12" s="5" t="s">
        <v>74</v>
      </c>
      <c r="F12" t="s">
        <v>137</v>
      </c>
      <c r="G12" t="s">
        <v>62</v>
      </c>
      <c r="J12" s="5" t="s">
        <v>71</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64</v>
      </c>
      <c r="E13" s="5" t="s">
        <v>74</v>
      </c>
      <c r="F13" t="s">
        <v>138</v>
      </c>
      <c r="G13" t="s">
        <v>62</v>
      </c>
      <c r="L13" t="str">
        <f>"子弹威力 = "&amp;D13&amp;" ( _parent._parent.空手攻击力 "&amp;F13&amp;E13&amp;" ) "&amp;"*(1+_parent._parent.技能等级"&amp;G13&amp;")"&amp;J13</f>
        <v>子弹威力 =  ( _parent._parent.空手攻击力 /3+100 ) *(1+_parent._parent.技能等级*1)</v>
      </c>
    </row>
    <row r="14" spans="1:12" x14ac:dyDescent="0.3">
      <c r="C14" s="1" t="s">
        <v>68</v>
      </c>
      <c r="E14" s="5" t="s">
        <v>74</v>
      </c>
      <c r="F14" t="s">
        <v>138</v>
      </c>
      <c r="G14" t="s">
        <v>62</v>
      </c>
      <c r="L14" t="str">
        <f>"子弹威力 = "&amp;D14&amp;" ( _parent._parent.空手攻击力 "&amp;F14&amp;E14&amp;" ) "&amp;"*(1+_parent._parent.技能等级"&amp;G14&amp;")"&amp;J14</f>
        <v>子弹威力 =  ( _parent._parent.空手攻击力 /3+100 ) *(1+_parent._parent.技能等级*1)</v>
      </c>
    </row>
    <row r="17" spans="2:29" x14ac:dyDescent="0.3">
      <c r="K17" s="1" t="s">
        <v>66</v>
      </c>
      <c r="L17" s="4"/>
    </row>
    <row r="18" spans="2:29" x14ac:dyDescent="0.3">
      <c r="K18" s="4"/>
      <c r="L18" s="4" t="s">
        <v>72</v>
      </c>
    </row>
    <row r="20" spans="2:29" x14ac:dyDescent="0.3">
      <c r="B20" t="s">
        <v>133</v>
      </c>
      <c r="C20" t="s">
        <v>69</v>
      </c>
      <c r="D20" t="s">
        <v>61</v>
      </c>
      <c r="E20" s="5" t="s">
        <v>74</v>
      </c>
      <c r="F20" t="s">
        <v>131</v>
      </c>
      <c r="G20" t="s">
        <v>62</v>
      </c>
      <c r="H20" s="5" t="s">
        <v>74</v>
      </c>
      <c r="I20" s="5" t="s">
        <v>63</v>
      </c>
      <c r="J20" s="5" t="s">
        <v>71</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67</v>
      </c>
      <c r="E21" s="5"/>
      <c r="F21" t="s">
        <v>131</v>
      </c>
      <c r="G21" t="s">
        <v>62</v>
      </c>
      <c r="H21" s="5"/>
      <c r="I21" s="5" t="s">
        <v>63</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68</v>
      </c>
      <c r="E22" s="5" t="s">
        <v>74</v>
      </c>
      <c r="F22" t="s">
        <v>131</v>
      </c>
      <c r="G22" t="s">
        <v>62</v>
      </c>
      <c r="H22" s="5"/>
      <c r="I22" s="5" t="s">
        <v>63</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66</v>
      </c>
      <c r="L25" s="4"/>
    </row>
    <row r="26" spans="2:29" x14ac:dyDescent="0.3">
      <c r="K26" s="4"/>
      <c r="L26" s="4" t="s">
        <v>72</v>
      </c>
    </row>
    <row r="30" spans="2:29" x14ac:dyDescent="0.3">
      <c r="C30" s="1" t="s">
        <v>76</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105</v>
      </c>
    </row>
    <row r="3" spans="2:34" x14ac:dyDescent="0.3">
      <c r="B3" t="s">
        <v>102</v>
      </c>
    </row>
    <row r="6" spans="2:34" x14ac:dyDescent="0.3">
      <c r="B6" t="s">
        <v>89</v>
      </c>
      <c r="C6" t="s">
        <v>103</v>
      </c>
      <c r="D6" t="s">
        <v>104</v>
      </c>
      <c r="E6" t="s">
        <v>92</v>
      </c>
      <c r="F6" t="s">
        <v>106</v>
      </c>
      <c r="H6" t="s">
        <v>89</v>
      </c>
      <c r="I6" t="s">
        <v>103</v>
      </c>
      <c r="J6" t="s">
        <v>104</v>
      </c>
      <c r="K6" t="s">
        <v>92</v>
      </c>
      <c r="L6" t="s">
        <v>106</v>
      </c>
      <c r="N6" t="s">
        <v>89</v>
      </c>
      <c r="O6" t="s">
        <v>90</v>
      </c>
      <c r="P6" t="s">
        <v>91</v>
      </c>
      <c r="Q6" t="s">
        <v>92</v>
      </c>
      <c r="R6" t="s">
        <v>107</v>
      </c>
      <c r="S6" t="s">
        <v>93</v>
      </c>
      <c r="U6" t="s">
        <v>119</v>
      </c>
      <c r="Y6" t="s">
        <v>89</v>
      </c>
      <c r="Z6" t="s">
        <v>90</v>
      </c>
      <c r="AA6" t="s">
        <v>91</v>
      </c>
      <c r="AB6" t="s">
        <v>92</v>
      </c>
      <c r="AC6" t="s">
        <v>107</v>
      </c>
      <c r="AD6" t="s">
        <v>93</v>
      </c>
      <c r="AF6" t="s">
        <v>119</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108</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121</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120</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108</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258</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143</v>
      </c>
      <c r="R1" t="s">
        <v>142</v>
      </c>
    </row>
    <row r="2" spans="1:23" x14ac:dyDescent="0.3">
      <c r="B2" t="s">
        <v>109</v>
      </c>
      <c r="S2" t="s">
        <v>144</v>
      </c>
    </row>
    <row r="5" spans="1:23" x14ac:dyDescent="0.3">
      <c r="C5" t="s">
        <v>110</v>
      </c>
      <c r="D5" t="s">
        <v>111</v>
      </c>
      <c r="E5" t="s">
        <v>113</v>
      </c>
      <c r="F5" t="s">
        <v>115</v>
      </c>
      <c r="G5" t="s">
        <v>116</v>
      </c>
      <c r="H5" t="s">
        <v>117</v>
      </c>
      <c r="J5" t="s">
        <v>112</v>
      </c>
      <c r="K5" t="s">
        <v>118</v>
      </c>
      <c r="M5" t="s">
        <v>114</v>
      </c>
      <c r="O5" t="s">
        <v>140</v>
      </c>
      <c r="R5" t="s">
        <v>110</v>
      </c>
      <c r="S5" t="s">
        <v>145</v>
      </c>
      <c r="T5" t="s">
        <v>112</v>
      </c>
      <c r="U5" t="s">
        <v>118</v>
      </c>
      <c r="W5" t="s">
        <v>114</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125</v>
      </c>
      <c r="I2" t="s">
        <v>377</v>
      </c>
    </row>
    <row r="3" spans="2:22" x14ac:dyDescent="0.3">
      <c r="C3" t="s">
        <v>122</v>
      </c>
      <c r="D3" t="s">
        <v>123</v>
      </c>
      <c r="E3" t="s">
        <v>124</v>
      </c>
      <c r="J3" t="s">
        <v>378</v>
      </c>
      <c r="K3" t="s">
        <v>379</v>
      </c>
      <c r="L3" t="s">
        <v>380</v>
      </c>
      <c r="M3" t="s">
        <v>384</v>
      </c>
      <c r="N3" t="s">
        <v>385</v>
      </c>
      <c r="O3" t="s">
        <v>383</v>
      </c>
      <c r="P3" t="s">
        <v>386</v>
      </c>
      <c r="Q3" t="s">
        <v>381</v>
      </c>
      <c r="R3" t="s">
        <v>389</v>
      </c>
      <c r="S3" t="s">
        <v>390</v>
      </c>
      <c r="T3" t="s">
        <v>382</v>
      </c>
      <c r="U3" t="s">
        <v>387</v>
      </c>
      <c r="V3" t="s">
        <v>388</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126</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89</v>
      </c>
      <c r="D9" t="s">
        <v>127</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498</v>
      </c>
      <c r="I24" t="s">
        <v>496</v>
      </c>
      <c r="J24" t="s">
        <v>490</v>
      </c>
    </row>
    <row r="25" spans="3:15" x14ac:dyDescent="0.3">
      <c r="C25">
        <v>16</v>
      </c>
      <c r="D25">
        <f t="shared" si="11"/>
        <v>60000</v>
      </c>
      <c r="I25" t="s">
        <v>499</v>
      </c>
      <c r="K25" t="s">
        <v>491</v>
      </c>
      <c r="M25" t="s">
        <v>492</v>
      </c>
      <c r="O25" t="s">
        <v>493</v>
      </c>
    </row>
    <row r="26" spans="3:15" x14ac:dyDescent="0.3">
      <c r="C26">
        <v>17</v>
      </c>
      <c r="D26">
        <f t="shared" si="11"/>
        <v>65000</v>
      </c>
      <c r="J26" t="s">
        <v>494</v>
      </c>
      <c r="K26" t="str">
        <f>I25&amp;K25&amp;J26</f>
        <v>通用重甲攻击套</v>
      </c>
      <c r="M26" t="str">
        <f>I25&amp;M25&amp;J26</f>
        <v>通用中甲攻击套</v>
      </c>
      <c r="O26" t="str">
        <f>I25&amp;O25&amp;J26</f>
        <v>通用轻甲攻击套</v>
      </c>
    </row>
    <row r="27" spans="3:15" x14ac:dyDescent="0.3">
      <c r="C27">
        <v>18</v>
      </c>
      <c r="D27">
        <f t="shared" si="11"/>
        <v>70000</v>
      </c>
      <c r="J27" t="s">
        <v>495</v>
      </c>
      <c r="K27" t="str">
        <f>I25&amp;K25&amp;J27</f>
        <v>通用重甲一般套</v>
      </c>
      <c r="M27" t="str">
        <f>I25&amp;M25&amp;J27</f>
        <v>通用中甲一般套</v>
      </c>
      <c r="O27" t="str">
        <f>I25&amp;O25&amp;J27</f>
        <v>通用轻甲一般套</v>
      </c>
    </row>
    <row r="28" spans="3:15" x14ac:dyDescent="0.3">
      <c r="C28">
        <v>19</v>
      </c>
      <c r="D28">
        <f t="shared" si="11"/>
        <v>75000</v>
      </c>
      <c r="J28" t="s">
        <v>504</v>
      </c>
      <c r="K28" t="str">
        <f>I25&amp;K25&amp;J28</f>
        <v>通用重甲物防套</v>
      </c>
      <c r="M28" t="str">
        <f>I25&amp;M25&amp;J28</f>
        <v>通用中甲物防套</v>
      </c>
      <c r="O28" t="str">
        <f>I25&amp;O25&amp;J28</f>
        <v>通用轻甲物防套</v>
      </c>
    </row>
    <row r="29" spans="3:15" x14ac:dyDescent="0.3">
      <c r="C29">
        <v>20</v>
      </c>
      <c r="D29">
        <f t="shared" si="11"/>
        <v>80000</v>
      </c>
      <c r="J29" t="s">
        <v>505</v>
      </c>
      <c r="K29" t="str">
        <f>I25&amp;K25&amp;J29</f>
        <v>通用重甲魔抗套</v>
      </c>
      <c r="M29" t="str">
        <f>I25&amp;M25&amp;J29</f>
        <v>通用中甲魔抗套</v>
      </c>
      <c r="O29" t="str">
        <f>I25&amp;O25&amp;J29</f>
        <v>通用轻甲魔抗套</v>
      </c>
    </row>
    <row r="30" spans="3:15" x14ac:dyDescent="0.3">
      <c r="C30">
        <v>21</v>
      </c>
      <c r="D30">
        <f t="shared" si="11"/>
        <v>85000</v>
      </c>
      <c r="J30" t="s">
        <v>506</v>
      </c>
      <c r="K30" t="str">
        <f>I25&amp;K25&amp;J30</f>
        <v>通用重甲血防套</v>
      </c>
      <c r="M30" t="str">
        <f>I25&amp;M25&amp;J30</f>
        <v>通用中甲血防套</v>
      </c>
      <c r="O30" t="str">
        <f>I25&amp;O25&amp;J30</f>
        <v>通用轻甲血防套</v>
      </c>
    </row>
    <row r="31" spans="3:15" x14ac:dyDescent="0.3">
      <c r="C31">
        <v>22</v>
      </c>
      <c r="D31">
        <f t="shared" si="11"/>
        <v>90000</v>
      </c>
      <c r="I31" t="s">
        <v>497</v>
      </c>
      <c r="K31" t="s">
        <v>491</v>
      </c>
      <c r="M31" t="s">
        <v>492</v>
      </c>
      <c r="O31" t="s">
        <v>493</v>
      </c>
    </row>
    <row r="32" spans="3:15" x14ac:dyDescent="0.3">
      <c r="C32">
        <v>23</v>
      </c>
      <c r="D32">
        <f t="shared" si="11"/>
        <v>95000</v>
      </c>
      <c r="J32" t="s">
        <v>494</v>
      </c>
      <c r="K32" t="str">
        <f>I31&amp;K31&amp;J32</f>
        <v>刀剑重甲攻击套</v>
      </c>
      <c r="M32" t="str">
        <f>I31&amp;M31&amp;J32</f>
        <v>刀剑中甲攻击套</v>
      </c>
      <c r="O32" t="str">
        <f>I31&amp;O31&amp;J32</f>
        <v>刀剑轻甲攻击套</v>
      </c>
    </row>
    <row r="33" spans="3:15" x14ac:dyDescent="0.3">
      <c r="C33">
        <v>24</v>
      </c>
      <c r="D33">
        <f t="shared" si="11"/>
        <v>100000</v>
      </c>
      <c r="J33" t="s">
        <v>495</v>
      </c>
      <c r="K33" t="str">
        <f>I31&amp;K31&amp;J33</f>
        <v>刀剑重甲一般套</v>
      </c>
      <c r="M33" t="str">
        <f>I31&amp;M31&amp;J33</f>
        <v>刀剑中甲一般套</v>
      </c>
      <c r="O33" t="str">
        <f>I31&amp;O31&amp;J33</f>
        <v>刀剑轻甲一般套</v>
      </c>
    </row>
    <row r="34" spans="3:15" x14ac:dyDescent="0.3">
      <c r="C34">
        <v>25</v>
      </c>
      <c r="D34">
        <f t="shared" si="11"/>
        <v>105000</v>
      </c>
      <c r="J34" t="s">
        <v>504</v>
      </c>
      <c r="K34" t="str">
        <f>I31&amp;K31&amp;J34</f>
        <v>刀剑重甲物防套</v>
      </c>
      <c r="M34" t="str">
        <f>I31&amp;M31&amp;J34</f>
        <v>刀剑中甲物防套</v>
      </c>
      <c r="O34" t="str">
        <f>I31&amp;O31&amp;J34</f>
        <v>刀剑轻甲物防套</v>
      </c>
    </row>
    <row r="35" spans="3:15" x14ac:dyDescent="0.3">
      <c r="C35">
        <v>26</v>
      </c>
      <c r="D35">
        <f t="shared" si="11"/>
        <v>110000</v>
      </c>
      <c r="J35" t="s">
        <v>505</v>
      </c>
      <c r="K35" t="str">
        <f>I31&amp;K31&amp;J35</f>
        <v>刀剑重甲魔抗套</v>
      </c>
      <c r="M35" t="str">
        <f>I31&amp;M31&amp;J35</f>
        <v>刀剑中甲魔抗套</v>
      </c>
      <c r="O35" t="str">
        <f>I31&amp;O31&amp;J35</f>
        <v>刀剑轻甲魔抗套</v>
      </c>
    </row>
    <row r="36" spans="3:15" x14ac:dyDescent="0.3">
      <c r="C36">
        <v>27</v>
      </c>
      <c r="D36">
        <f t="shared" si="11"/>
        <v>115000</v>
      </c>
      <c r="J36" t="s">
        <v>506</v>
      </c>
      <c r="K36" t="str">
        <f>I31&amp;K31&amp;J36</f>
        <v>刀剑重甲血防套</v>
      </c>
      <c r="M36" t="str">
        <f>I31&amp;M31&amp;J36</f>
        <v>刀剑中甲血防套</v>
      </c>
      <c r="O36" t="str">
        <f>I31&amp;O31&amp;J36</f>
        <v>刀剑轻甲血防套</v>
      </c>
    </row>
    <row r="37" spans="3:15" x14ac:dyDescent="0.3">
      <c r="C37">
        <v>28</v>
      </c>
      <c r="D37">
        <f t="shared" si="11"/>
        <v>120000</v>
      </c>
      <c r="I37" t="s">
        <v>500</v>
      </c>
      <c r="K37" t="s">
        <v>491</v>
      </c>
      <c r="M37" t="s">
        <v>492</v>
      </c>
      <c r="O37" t="s">
        <v>493</v>
      </c>
    </row>
    <row r="38" spans="3:15" x14ac:dyDescent="0.3">
      <c r="C38">
        <v>29</v>
      </c>
      <c r="D38">
        <f t="shared" si="11"/>
        <v>125000</v>
      </c>
      <c r="J38" t="s">
        <v>494</v>
      </c>
      <c r="K38" t="str">
        <f>I37&amp;K37&amp;J38</f>
        <v>枪械重甲攻击套</v>
      </c>
      <c r="M38" t="str">
        <f>I37&amp;M37&amp;J38</f>
        <v>枪械中甲攻击套</v>
      </c>
      <c r="O38" t="str">
        <f>I37&amp;O37&amp;J38</f>
        <v>枪械轻甲攻击套</v>
      </c>
    </row>
    <row r="39" spans="3:15" x14ac:dyDescent="0.3">
      <c r="C39">
        <v>30</v>
      </c>
      <c r="D39">
        <f t="shared" si="11"/>
        <v>130000</v>
      </c>
      <c r="J39" t="s">
        <v>495</v>
      </c>
      <c r="K39" t="str">
        <f>I37&amp;K37&amp;J39</f>
        <v>枪械重甲一般套</v>
      </c>
      <c r="M39" t="str">
        <f>I37&amp;M37&amp;J39</f>
        <v>枪械中甲一般套</v>
      </c>
      <c r="O39" t="str">
        <f>I37&amp;O37&amp;J39</f>
        <v>枪械轻甲一般套</v>
      </c>
    </row>
    <row r="40" spans="3:15" x14ac:dyDescent="0.3">
      <c r="C40">
        <v>31</v>
      </c>
      <c r="D40">
        <f t="shared" si="11"/>
        <v>135000</v>
      </c>
      <c r="J40" t="s">
        <v>504</v>
      </c>
      <c r="K40" t="str">
        <f>I37&amp;K37&amp;J40</f>
        <v>枪械重甲物防套</v>
      </c>
      <c r="M40" t="str">
        <f>I37&amp;M37&amp;J40</f>
        <v>枪械中甲物防套</v>
      </c>
      <c r="O40" t="str">
        <f>I37&amp;O37&amp;J40</f>
        <v>枪械轻甲物防套</v>
      </c>
    </row>
    <row r="41" spans="3:15" x14ac:dyDescent="0.3">
      <c r="C41">
        <v>32</v>
      </c>
      <c r="D41">
        <f t="shared" si="11"/>
        <v>140000</v>
      </c>
      <c r="J41" t="s">
        <v>505</v>
      </c>
      <c r="K41" t="str">
        <f>I37&amp;K37&amp;J41</f>
        <v>枪械重甲魔抗套</v>
      </c>
      <c r="M41" t="str">
        <f>I37&amp;M37&amp;J41</f>
        <v>枪械中甲魔抗套</v>
      </c>
      <c r="O41" t="str">
        <f>I37&amp;O37&amp;J41</f>
        <v>枪械轻甲魔抗套</v>
      </c>
    </row>
    <row r="42" spans="3:15" x14ac:dyDescent="0.3">
      <c r="C42">
        <v>33</v>
      </c>
      <c r="D42">
        <f t="shared" si="11"/>
        <v>145000</v>
      </c>
      <c r="J42" t="s">
        <v>506</v>
      </c>
      <c r="K42" t="str">
        <f>I37&amp;K37&amp;J42</f>
        <v>枪械重甲血防套</v>
      </c>
      <c r="M42" t="str">
        <f>I37&amp;M37&amp;J42</f>
        <v>枪械中甲血防套</v>
      </c>
      <c r="O42" t="str">
        <f>I37&amp;O37&amp;J42</f>
        <v>枪械轻甲血防套</v>
      </c>
    </row>
    <row r="43" spans="3:15" x14ac:dyDescent="0.3">
      <c r="C43">
        <v>34</v>
      </c>
      <c r="D43">
        <f>C43*5000-20000</f>
        <v>150000</v>
      </c>
      <c r="I43" t="s">
        <v>501</v>
      </c>
      <c r="K43" t="s">
        <v>491</v>
      </c>
      <c r="M43" t="s">
        <v>492</v>
      </c>
      <c r="O43" t="s">
        <v>493</v>
      </c>
    </row>
    <row r="44" spans="3:15" x14ac:dyDescent="0.3">
      <c r="C44">
        <v>35</v>
      </c>
      <c r="D44">
        <f t="shared" si="11"/>
        <v>155000</v>
      </c>
      <c r="J44" t="s">
        <v>494</v>
      </c>
      <c r="K44" t="str">
        <f>I43&amp;K43&amp;J44</f>
        <v>拳皇重甲攻击套</v>
      </c>
      <c r="M44" t="str">
        <f>I43&amp;M43&amp;J44</f>
        <v>拳皇中甲攻击套</v>
      </c>
      <c r="O44" t="str">
        <f>I43&amp;O43&amp;J44</f>
        <v>拳皇轻甲攻击套</v>
      </c>
    </row>
    <row r="45" spans="3:15" x14ac:dyDescent="0.3">
      <c r="C45">
        <v>36</v>
      </c>
      <c r="D45">
        <f t="shared" si="11"/>
        <v>160000</v>
      </c>
      <c r="J45" t="s">
        <v>495</v>
      </c>
      <c r="K45" t="str">
        <f>I43&amp;K43&amp;J45</f>
        <v>拳皇重甲一般套</v>
      </c>
      <c r="M45" t="str">
        <f>I43&amp;M43&amp;J45</f>
        <v>拳皇中甲一般套</v>
      </c>
      <c r="O45" t="str">
        <f>I43&amp;O43&amp;J45</f>
        <v>拳皇轻甲一般套</v>
      </c>
    </row>
    <row r="46" spans="3:15" x14ac:dyDescent="0.3">
      <c r="C46">
        <v>37</v>
      </c>
      <c r="D46">
        <f t="shared" si="11"/>
        <v>165000</v>
      </c>
      <c r="J46" t="s">
        <v>504</v>
      </c>
      <c r="K46" t="str">
        <f>I43&amp;K43&amp;J46</f>
        <v>拳皇重甲物防套</v>
      </c>
      <c r="M46" t="str">
        <f>I43&amp;M43&amp;J46</f>
        <v>拳皇中甲物防套</v>
      </c>
      <c r="O46" t="str">
        <f>I43&amp;O43&amp;J46</f>
        <v>拳皇轻甲物防套</v>
      </c>
    </row>
    <row r="47" spans="3:15" x14ac:dyDescent="0.3">
      <c r="C47">
        <v>38</v>
      </c>
      <c r="D47">
        <f t="shared" si="11"/>
        <v>170000</v>
      </c>
      <c r="J47" t="s">
        <v>505</v>
      </c>
      <c r="K47" t="str">
        <f>I43&amp;K43&amp;J47</f>
        <v>拳皇重甲魔抗套</v>
      </c>
      <c r="M47" t="str">
        <f>I43&amp;M43&amp;J47</f>
        <v>拳皇中甲魔抗套</v>
      </c>
      <c r="O47" t="str">
        <f>I43&amp;O43&amp;J47</f>
        <v>拳皇轻甲魔抗套</v>
      </c>
    </row>
    <row r="48" spans="3:15" x14ac:dyDescent="0.3">
      <c r="C48">
        <v>39</v>
      </c>
      <c r="D48">
        <f t="shared" si="11"/>
        <v>175000</v>
      </c>
      <c r="J48" t="s">
        <v>506</v>
      </c>
      <c r="K48" t="str">
        <f>I43&amp;K43&amp;J48</f>
        <v>拳皇重甲血防套</v>
      </c>
      <c r="M48" t="str">
        <f>I43&amp;M43&amp;J48</f>
        <v>拳皇中甲血防套</v>
      </c>
      <c r="O48" t="str">
        <f>I43&amp;O43&amp;J48</f>
        <v>拳皇轻甲血防套</v>
      </c>
    </row>
    <row r="49" spans="3:15" x14ac:dyDescent="0.3">
      <c r="C49">
        <v>40</v>
      </c>
      <c r="D49">
        <f t="shared" si="11"/>
        <v>180000</v>
      </c>
      <c r="I49" t="s">
        <v>502</v>
      </c>
      <c r="K49" t="s">
        <v>491</v>
      </c>
      <c r="M49" t="s">
        <v>492</v>
      </c>
      <c r="O49" t="s">
        <v>493</v>
      </c>
    </row>
    <row r="50" spans="3:15" x14ac:dyDescent="0.3">
      <c r="C50">
        <v>41</v>
      </c>
      <c r="D50">
        <f t="shared" si="11"/>
        <v>185000</v>
      </c>
      <c r="J50" t="s">
        <v>494</v>
      </c>
      <c r="K50" t="str">
        <f>I49&amp;K49&amp;J50</f>
        <v>刀内力重甲攻击套</v>
      </c>
      <c r="M50" t="str">
        <f>I49&amp;M49&amp;J50</f>
        <v>刀内力中甲攻击套</v>
      </c>
      <c r="O50" t="str">
        <f>I49&amp;O49&amp;J50</f>
        <v>刀内力轻甲攻击套</v>
      </c>
    </row>
    <row r="51" spans="3:15" x14ac:dyDescent="0.3">
      <c r="C51">
        <v>42</v>
      </c>
      <c r="D51">
        <f t="shared" si="11"/>
        <v>190000</v>
      </c>
      <c r="J51" t="s">
        <v>495</v>
      </c>
      <c r="K51" t="str">
        <f>I49&amp;K49&amp;J51</f>
        <v>刀内力重甲一般套</v>
      </c>
      <c r="M51" t="str">
        <f>I49&amp;M49&amp;J51</f>
        <v>刀内力中甲一般套</v>
      </c>
      <c r="O51" t="str">
        <f>I49&amp;O49&amp;J51</f>
        <v>刀内力轻甲一般套</v>
      </c>
    </row>
    <row r="52" spans="3:15" x14ac:dyDescent="0.3">
      <c r="C52">
        <v>43</v>
      </c>
      <c r="D52">
        <f t="shared" si="11"/>
        <v>195000</v>
      </c>
      <c r="J52" t="s">
        <v>504</v>
      </c>
      <c r="K52" t="str">
        <f>I49&amp;K49&amp;J52</f>
        <v>刀内力重甲物防套</v>
      </c>
      <c r="M52" t="str">
        <f>I49&amp;M49&amp;J52</f>
        <v>刀内力中甲物防套</v>
      </c>
      <c r="O52" t="str">
        <f>I49&amp;O49&amp;J52</f>
        <v>刀内力轻甲物防套</v>
      </c>
    </row>
    <row r="53" spans="3:15" x14ac:dyDescent="0.3">
      <c r="C53">
        <v>44</v>
      </c>
      <c r="D53">
        <f t="shared" si="11"/>
        <v>200000</v>
      </c>
      <c r="J53" t="s">
        <v>505</v>
      </c>
      <c r="K53" t="str">
        <f>I49&amp;K49&amp;J53</f>
        <v>刀内力重甲魔抗套</v>
      </c>
      <c r="M53" t="str">
        <f>I49&amp;M49&amp;J53</f>
        <v>刀内力中甲魔抗套</v>
      </c>
      <c r="O53" t="str">
        <f>I49&amp;O49&amp;J53</f>
        <v>刀内力轻甲魔抗套</v>
      </c>
    </row>
    <row r="54" spans="3:15" x14ac:dyDescent="0.3">
      <c r="C54">
        <v>45</v>
      </c>
      <c r="D54">
        <f t="shared" si="11"/>
        <v>205000</v>
      </c>
      <c r="J54" t="s">
        <v>506</v>
      </c>
      <c r="K54" t="str">
        <f>I49&amp;K49&amp;J54</f>
        <v>刀内力重甲血防套</v>
      </c>
      <c r="M54" t="str">
        <f>I49&amp;M49&amp;J54</f>
        <v>刀内力中甲血防套</v>
      </c>
      <c r="O54" t="str">
        <f>I49&amp;O49&amp;J54</f>
        <v>刀内力轻甲血防套</v>
      </c>
    </row>
    <row r="55" spans="3:15" x14ac:dyDescent="0.3">
      <c r="C55">
        <v>46</v>
      </c>
      <c r="D55">
        <f t="shared" si="11"/>
        <v>210000</v>
      </c>
      <c r="I55" t="s">
        <v>503</v>
      </c>
      <c r="K55" t="s">
        <v>491</v>
      </c>
      <c r="M55" t="s">
        <v>492</v>
      </c>
      <c r="O55" t="s">
        <v>493</v>
      </c>
    </row>
    <row r="56" spans="3:15" x14ac:dyDescent="0.3">
      <c r="C56">
        <v>47</v>
      </c>
      <c r="D56">
        <f t="shared" si="11"/>
        <v>215000</v>
      </c>
      <c r="J56" t="s">
        <v>494</v>
      </c>
      <c r="K56" t="str">
        <f>I55&amp;K55&amp;J56</f>
        <v>拳内力重甲攻击套</v>
      </c>
      <c r="M56" t="str">
        <f>I55&amp;M55&amp;J56</f>
        <v>拳内力中甲攻击套</v>
      </c>
      <c r="O56" t="str">
        <f>I55&amp;O55&amp;J56</f>
        <v>拳内力轻甲攻击套</v>
      </c>
    </row>
    <row r="57" spans="3:15" x14ac:dyDescent="0.3">
      <c r="C57">
        <v>48</v>
      </c>
      <c r="D57">
        <f t="shared" si="11"/>
        <v>220000</v>
      </c>
      <c r="J57" t="s">
        <v>495</v>
      </c>
      <c r="K57" t="str">
        <f>I55&amp;K55&amp;J57</f>
        <v>拳内力重甲一般套</v>
      </c>
      <c r="M57" t="str">
        <f>I55&amp;M55&amp;J57</f>
        <v>拳内力中甲一般套</v>
      </c>
      <c r="O57" t="str">
        <f>I55&amp;O55&amp;J57</f>
        <v>拳内力轻甲一般套</v>
      </c>
    </row>
    <row r="58" spans="3:15" x14ac:dyDescent="0.3">
      <c r="C58">
        <v>49</v>
      </c>
      <c r="D58">
        <f t="shared" si="11"/>
        <v>225000</v>
      </c>
      <c r="J58" t="s">
        <v>504</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505</v>
      </c>
      <c r="K59" t="str">
        <f>I55&amp;K55&amp;J59</f>
        <v>拳内力重甲魔抗套</v>
      </c>
      <c r="M59" t="str">
        <f>I55&amp;M55&amp;J59</f>
        <v>拳内力中甲魔抗套</v>
      </c>
      <c r="O59" t="str">
        <f>I55&amp;O55&amp;J59</f>
        <v>拳内力轻甲魔抗套</v>
      </c>
    </row>
    <row r="60" spans="3:15" x14ac:dyDescent="0.3">
      <c r="C60">
        <v>51</v>
      </c>
      <c r="D60">
        <f t="shared" si="12"/>
        <v>275000</v>
      </c>
      <c r="J60" t="s">
        <v>506</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260</v>
      </c>
    </row>
    <row r="2" spans="2:23" x14ac:dyDescent="0.3">
      <c r="C2" s="2" t="s">
        <v>261</v>
      </c>
    </row>
    <row r="3" spans="2:23" x14ac:dyDescent="0.3">
      <c r="B3" t="s">
        <v>0</v>
      </c>
      <c r="E3" t="s">
        <v>42</v>
      </c>
      <c r="F3" t="s">
        <v>43</v>
      </c>
      <c r="G3" t="s">
        <v>44</v>
      </c>
      <c r="I3" t="s">
        <v>45</v>
      </c>
      <c r="L3" t="s">
        <v>41</v>
      </c>
      <c r="M3" t="s">
        <v>163</v>
      </c>
      <c r="O3" t="s">
        <v>55</v>
      </c>
      <c r="T3" t="s">
        <v>50</v>
      </c>
    </row>
    <row r="4" spans="2:23" x14ac:dyDescent="0.3">
      <c r="B4" t="s">
        <v>23</v>
      </c>
      <c r="C4" s="10" t="s">
        <v>48</v>
      </c>
      <c r="D4" s="10" t="s">
        <v>49</v>
      </c>
      <c r="E4" s="8" t="s">
        <v>1</v>
      </c>
      <c r="F4" s="8" t="s">
        <v>2</v>
      </c>
      <c r="G4" s="8" t="s">
        <v>3</v>
      </c>
      <c r="H4" s="8" t="s">
        <v>10</v>
      </c>
      <c r="I4" s="8" t="s">
        <v>14</v>
      </c>
      <c r="J4" s="9" t="s">
        <v>6</v>
      </c>
      <c r="K4" s="9" t="s">
        <v>4</v>
      </c>
      <c r="L4" s="8" t="s">
        <v>160</v>
      </c>
      <c r="M4" s="8" t="s">
        <v>12</v>
      </c>
      <c r="N4" s="11" t="s">
        <v>150</v>
      </c>
      <c r="O4" s="14" t="s">
        <v>7</v>
      </c>
      <c r="P4" s="14" t="s">
        <v>8</v>
      </c>
      <c r="Q4" s="14" t="s">
        <v>11</v>
      </c>
      <c r="R4" s="11" t="s">
        <v>152</v>
      </c>
      <c r="S4" s="11" t="s">
        <v>151</v>
      </c>
      <c r="T4" s="14" t="s">
        <v>9</v>
      </c>
      <c r="U4" s="14" t="s">
        <v>5</v>
      </c>
      <c r="V4" s="14" t="s">
        <v>27</v>
      </c>
      <c r="W4" s="14" t="s">
        <v>22</v>
      </c>
    </row>
    <row r="5" spans="2:23" x14ac:dyDescent="0.3">
      <c r="B5" t="s">
        <v>263</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146</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148</v>
      </c>
      <c r="C9" s="3"/>
      <c r="D9" t="s">
        <v>46</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149</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156</v>
      </c>
      <c r="C11" s="3"/>
      <c r="E11" s="3"/>
      <c r="F11" s="3"/>
      <c r="G11" s="3"/>
      <c r="H11" s="3"/>
      <c r="I11" s="3"/>
      <c r="J11" s="3"/>
      <c r="K11" s="3"/>
      <c r="L11" s="3"/>
      <c r="M11" s="3"/>
    </row>
    <row r="12" spans="2:23" x14ac:dyDescent="0.3">
      <c r="B12" s="7" t="s">
        <v>153</v>
      </c>
      <c r="C12" s="3"/>
      <c r="D12" s="2" t="s">
        <v>162</v>
      </c>
      <c r="E12" s="3"/>
      <c r="F12" s="3"/>
      <c r="G12" s="3"/>
      <c r="H12" s="3"/>
      <c r="I12" s="3"/>
      <c r="J12" s="3"/>
      <c r="K12" s="3"/>
      <c r="L12" s="3"/>
      <c r="M12" s="3"/>
    </row>
    <row r="13" spans="2:23" x14ac:dyDescent="0.3">
      <c r="B13" s="7" t="s">
        <v>154</v>
      </c>
      <c r="C13" s="3"/>
      <c r="E13" s="3"/>
      <c r="F13" s="3"/>
      <c r="G13" s="3"/>
      <c r="H13" s="3"/>
      <c r="I13" s="3"/>
      <c r="J13" s="3"/>
      <c r="K13" s="3"/>
      <c r="L13" s="3"/>
      <c r="M13" s="3"/>
    </row>
    <row r="14" spans="2:23" x14ac:dyDescent="0.3">
      <c r="B14" s="7" t="s">
        <v>155</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147</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157</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158</v>
      </c>
      <c r="C17" s="3"/>
    </row>
    <row r="18" spans="2:23" x14ac:dyDescent="0.3">
      <c r="C18" s="3"/>
    </row>
    <row r="19" spans="2:23" x14ac:dyDescent="0.3">
      <c r="C19" s="3"/>
      <c r="D19" s="2" t="s">
        <v>161</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39</v>
      </c>
      <c r="D24" s="2" t="s">
        <v>159</v>
      </c>
    </row>
    <row r="25" spans="2:23" x14ac:dyDescent="0.3">
      <c r="C25" s="3"/>
      <c r="D25" t="s">
        <v>205</v>
      </c>
    </row>
    <row r="26" spans="2:23" x14ac:dyDescent="0.3">
      <c r="C26" s="3"/>
    </row>
    <row r="27" spans="2:23" x14ac:dyDescent="0.3">
      <c r="C27" s="4" t="s">
        <v>40</v>
      </c>
      <c r="D27" t="s">
        <v>195</v>
      </c>
    </row>
    <row r="28" spans="2:23" x14ac:dyDescent="0.3">
      <c r="D28" t="s">
        <v>196</v>
      </c>
    </row>
    <row r="29" spans="2:23" x14ac:dyDescent="0.3">
      <c r="D29" t="s">
        <v>47</v>
      </c>
    </row>
    <row r="30" spans="2:23" x14ac:dyDescent="0.3">
      <c r="D30" t="s">
        <v>178</v>
      </c>
    </row>
    <row r="31" spans="2:23" x14ac:dyDescent="0.3">
      <c r="D31" t="s">
        <v>177</v>
      </c>
    </row>
    <row r="32" spans="2:23" x14ac:dyDescent="0.3">
      <c r="D32" t="s">
        <v>255</v>
      </c>
    </row>
    <row r="33" spans="4:4" x14ac:dyDescent="0.3">
      <c r="D33" t="s">
        <v>77</v>
      </c>
    </row>
    <row r="34" spans="4:4" x14ac:dyDescent="0.3">
      <c r="D34" t="s">
        <v>141</v>
      </c>
    </row>
    <row r="35" spans="4:4" x14ac:dyDescent="0.3">
      <c r="D35" t="s">
        <v>139</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A6" sqref="A6:A12"/>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181</v>
      </c>
      <c r="D1" t="s">
        <v>45</v>
      </c>
      <c r="E1" t="s">
        <v>184</v>
      </c>
      <c r="H1" t="s">
        <v>185</v>
      </c>
      <c r="J1" t="s">
        <v>186</v>
      </c>
      <c r="K1" t="s">
        <v>187</v>
      </c>
      <c r="L1" t="s">
        <v>188</v>
      </c>
      <c r="M1" t="s">
        <v>163</v>
      </c>
      <c r="O1" t="s">
        <v>215</v>
      </c>
    </row>
    <row r="2" spans="1:20" x14ac:dyDescent="0.3">
      <c r="A2" t="s">
        <v>180</v>
      </c>
      <c r="B2" s="10" t="s">
        <v>48</v>
      </c>
      <c r="C2" s="10" t="s">
        <v>194</v>
      </c>
      <c r="D2" s="8" t="s">
        <v>14</v>
      </c>
      <c r="E2" s="8" t="s">
        <v>111</v>
      </c>
      <c r="F2" s="8" t="s">
        <v>164</v>
      </c>
      <c r="G2" s="8" t="s">
        <v>165</v>
      </c>
      <c r="H2" s="8" t="s">
        <v>166</v>
      </c>
      <c r="I2" s="8" t="s">
        <v>391</v>
      </c>
      <c r="J2" s="8" t="s">
        <v>167</v>
      </c>
      <c r="K2" s="8" t="s">
        <v>168</v>
      </c>
      <c r="L2" s="8" t="s">
        <v>169</v>
      </c>
      <c r="M2" s="8" t="s">
        <v>12</v>
      </c>
      <c r="N2" s="11" t="s">
        <v>150</v>
      </c>
      <c r="O2" s="14" t="s">
        <v>170</v>
      </c>
      <c r="P2" s="14" t="s">
        <v>171</v>
      </c>
      <c r="Q2" s="14" t="s">
        <v>172</v>
      </c>
      <c r="R2" s="11" t="s">
        <v>152</v>
      </c>
      <c r="S2" s="14" t="s">
        <v>392</v>
      </c>
      <c r="T2" s="14" t="s">
        <v>393</v>
      </c>
    </row>
    <row r="3" spans="1:20" x14ac:dyDescent="0.3">
      <c r="B3" s="2" t="s">
        <v>173</v>
      </c>
      <c r="C3" t="s">
        <v>176</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175</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259</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146</v>
      </c>
      <c r="B6" s="2"/>
      <c r="C6" t="s">
        <v>396</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148</v>
      </c>
      <c r="B7" s="3"/>
      <c r="C7" s="19" t="s">
        <v>182</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149</v>
      </c>
      <c r="B8" s="3"/>
      <c r="C8" t="s">
        <v>183</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156</v>
      </c>
      <c r="B9" s="3"/>
      <c r="C9" t="s">
        <v>256</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147</v>
      </c>
      <c r="B10" s="3"/>
      <c r="C10" s="1" t="s">
        <v>174</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157</v>
      </c>
      <c r="B11" s="3"/>
      <c r="D11" s="3"/>
      <c r="E11" s="3"/>
      <c r="F11" s="3"/>
      <c r="G11" s="3"/>
      <c r="H11" s="3"/>
      <c r="I11" s="3"/>
      <c r="J11" s="3"/>
      <c r="K11" s="3"/>
      <c r="L11" s="3"/>
      <c r="M11" s="3"/>
    </row>
    <row r="12" spans="1:20" x14ac:dyDescent="0.3">
      <c r="A12" s="15" t="s">
        <v>193</v>
      </c>
      <c r="B12" s="3"/>
      <c r="C12" s="24" t="s">
        <v>233</v>
      </c>
      <c r="D12" s="2" t="s">
        <v>482</v>
      </c>
      <c r="E12" s="3"/>
      <c r="F12" s="3"/>
      <c r="G12" s="3"/>
      <c r="H12" s="3"/>
      <c r="I12" s="3"/>
      <c r="J12" s="3"/>
      <c r="K12" s="3"/>
      <c r="L12" s="3"/>
      <c r="M12" s="3"/>
    </row>
    <row r="13" spans="1:20" x14ac:dyDescent="0.3">
      <c r="B13" s="3"/>
      <c r="C13" s="2"/>
      <c r="D13" s="2" t="s">
        <v>483</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481</v>
      </c>
      <c r="C15" s="1" t="s">
        <v>174</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191</v>
      </c>
      <c r="C17" t="s">
        <v>192</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257</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233</v>
      </c>
      <c r="D20" s="2" t="s">
        <v>395</v>
      </c>
      <c r="E20" s="1"/>
      <c r="F20" s="1"/>
      <c r="G20" s="1"/>
      <c r="H20" s="1"/>
      <c r="I20" s="1"/>
      <c r="J20" s="1"/>
      <c r="K20" s="1"/>
      <c r="L20" s="1"/>
      <c r="M20" s="1"/>
      <c r="N20" s="1"/>
      <c r="O20" s="1"/>
      <c r="P20" s="1"/>
      <c r="Q20" s="1"/>
      <c r="R20" s="1"/>
      <c r="S20" s="1"/>
      <c r="T20" s="1"/>
    </row>
    <row r="21" spans="2:20" x14ac:dyDescent="0.3">
      <c r="B21" s="3"/>
    </row>
    <row r="22" spans="2:20" x14ac:dyDescent="0.3">
      <c r="B22" s="4" t="s">
        <v>39</v>
      </c>
      <c r="C22" s="2" t="s">
        <v>189</v>
      </c>
    </row>
    <row r="23" spans="2:20" x14ac:dyDescent="0.3">
      <c r="B23" s="3"/>
      <c r="C23" t="s">
        <v>204</v>
      </c>
    </row>
    <row r="24" spans="2:20" x14ac:dyDescent="0.3">
      <c r="B24" s="3"/>
    </row>
    <row r="25" spans="2:20" x14ac:dyDescent="0.3">
      <c r="B25" s="4" t="s">
        <v>40</v>
      </c>
      <c r="C25" t="s">
        <v>317</v>
      </c>
    </row>
    <row r="26" spans="2:20" x14ac:dyDescent="0.3">
      <c r="C26" t="s">
        <v>196</v>
      </c>
    </row>
    <row r="27" spans="2:20" x14ac:dyDescent="0.3">
      <c r="C27" t="s">
        <v>47</v>
      </c>
    </row>
    <row r="28" spans="2:20" x14ac:dyDescent="0.3">
      <c r="C28" t="s">
        <v>179</v>
      </c>
    </row>
    <row r="29" spans="2:20" x14ac:dyDescent="0.3">
      <c r="C29" t="s">
        <v>316</v>
      </c>
    </row>
    <row r="30" spans="2:20" x14ac:dyDescent="0.3">
      <c r="C30" t="s">
        <v>190</v>
      </c>
    </row>
    <row r="31" spans="2:20" x14ac:dyDescent="0.3">
      <c r="C31" t="s">
        <v>394</v>
      </c>
    </row>
    <row r="32" spans="2:20" x14ac:dyDescent="0.3">
      <c r="C32" t="s">
        <v>318</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22"/>
  <sheetViews>
    <sheetView workbookViewId="0">
      <selection activeCell="D16" sqref="D16"/>
    </sheetView>
  </sheetViews>
  <sheetFormatPr defaultRowHeight="14" x14ac:dyDescent="0.3"/>
  <cols>
    <col min="1" max="1" width="15.25" customWidth="1"/>
    <col min="3" max="3" width="10.5" customWidth="1"/>
    <col min="5" max="5" width="8.6640625" customWidth="1"/>
    <col min="6" max="6" width="11.75" customWidth="1"/>
    <col min="7" max="7" width="8.25" customWidth="1"/>
    <col min="10" max="10" width="9.6640625" customWidth="1"/>
  </cols>
  <sheetData>
    <row r="1" spans="1:10" x14ac:dyDescent="0.3">
      <c r="A1" t="s">
        <v>35</v>
      </c>
      <c r="D1" t="s">
        <v>45</v>
      </c>
      <c r="E1" t="s">
        <v>294</v>
      </c>
    </row>
    <row r="2" spans="1:10" x14ac:dyDescent="0.3">
      <c r="D2" t="s">
        <v>14</v>
      </c>
      <c r="E2" t="s">
        <v>167</v>
      </c>
      <c r="F2" t="s">
        <v>268</v>
      </c>
      <c r="G2" t="s">
        <v>36</v>
      </c>
      <c r="J2" t="s">
        <v>37</v>
      </c>
    </row>
    <row r="3" spans="1:10" x14ac:dyDescent="0.3">
      <c r="C3" t="s">
        <v>38</v>
      </c>
      <c r="D3">
        <v>13</v>
      </c>
      <c r="E3">
        <v>2</v>
      </c>
      <c r="F3">
        <v>1</v>
      </c>
      <c r="G3">
        <v>0</v>
      </c>
      <c r="J3">
        <f>(D3*10*1.25^G3+E3*3)/1.6^(F3-1)</f>
        <v>136</v>
      </c>
    </row>
    <row r="4" spans="1:10" x14ac:dyDescent="0.3">
      <c r="C4" s="1" t="s">
        <v>51</v>
      </c>
      <c r="D4" s="37">
        <v>35</v>
      </c>
      <c r="E4" s="37">
        <v>3</v>
      </c>
      <c r="F4" s="37">
        <v>1</v>
      </c>
      <c r="G4" s="37">
        <v>0</v>
      </c>
      <c r="J4" s="40">
        <f>(D4*10*1.25^G4+E4*3)/1.6^(F4-1)</f>
        <v>359</v>
      </c>
    </row>
    <row r="5" spans="1:10" x14ac:dyDescent="0.3">
      <c r="A5" s="2" t="s">
        <v>146</v>
      </c>
    </row>
    <row r="6" spans="1:10" x14ac:dyDescent="0.3">
      <c r="A6" s="6" t="s">
        <v>148</v>
      </c>
    </row>
    <row r="7" spans="1:10" x14ac:dyDescent="0.3">
      <c r="A7" s="6" t="s">
        <v>149</v>
      </c>
    </row>
    <row r="8" spans="1:10" x14ac:dyDescent="0.3">
      <c r="A8" s="6" t="s">
        <v>156</v>
      </c>
    </row>
    <row r="9" spans="1:10" x14ac:dyDescent="0.3">
      <c r="A9" s="15" t="s">
        <v>147</v>
      </c>
      <c r="C9" t="s">
        <v>54</v>
      </c>
    </row>
    <row r="10" spans="1:10" x14ac:dyDescent="0.3">
      <c r="A10" s="15" t="s">
        <v>532</v>
      </c>
      <c r="C10" t="s">
        <v>525</v>
      </c>
    </row>
    <row r="11" spans="1:10" x14ac:dyDescent="0.3">
      <c r="C11" s="2" t="s">
        <v>313</v>
      </c>
    </row>
    <row r="12" spans="1:10" x14ac:dyDescent="0.3">
      <c r="C12" t="s">
        <v>534</v>
      </c>
    </row>
    <row r="13" spans="1:10" x14ac:dyDescent="0.3">
      <c r="C13" s="1" t="s">
        <v>315</v>
      </c>
    </row>
    <row r="17" spans="2:10" x14ac:dyDescent="0.3">
      <c r="B17" t="s">
        <v>526</v>
      </c>
      <c r="E17" t="s">
        <v>529</v>
      </c>
      <c r="F17" t="s">
        <v>527</v>
      </c>
      <c r="G17" t="s">
        <v>528</v>
      </c>
      <c r="H17" t="s">
        <v>111</v>
      </c>
      <c r="J17" t="s">
        <v>530</v>
      </c>
    </row>
    <row r="18" spans="2:10" x14ac:dyDescent="0.3">
      <c r="B18" t="s">
        <v>531</v>
      </c>
      <c r="E18" s="37">
        <v>250</v>
      </c>
      <c r="F18" s="37">
        <v>100</v>
      </c>
      <c r="G18" s="37">
        <v>100</v>
      </c>
      <c r="H18" s="37">
        <v>60</v>
      </c>
      <c r="J18" s="52">
        <f>E18+F18/3+G18/3+H18/1.5</f>
        <v>356.66666666666663</v>
      </c>
    </row>
    <row r="21" spans="2:10" x14ac:dyDescent="0.3">
      <c r="B21" t="s">
        <v>319</v>
      </c>
      <c r="E21" t="s">
        <v>14</v>
      </c>
      <c r="F21" t="s">
        <v>321</v>
      </c>
      <c r="J21" t="s">
        <v>320</v>
      </c>
    </row>
    <row r="22" spans="2:10" x14ac:dyDescent="0.3">
      <c r="B22" t="s">
        <v>322</v>
      </c>
      <c r="E22" s="37">
        <v>20</v>
      </c>
      <c r="F22" s="37">
        <v>30</v>
      </c>
      <c r="J22" s="40">
        <f>F22*E22/16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D5" sqref="D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314</v>
      </c>
    </row>
    <row r="2" spans="1:11" x14ac:dyDescent="0.3">
      <c r="A2" t="s">
        <v>28</v>
      </c>
      <c r="B2" t="s">
        <v>34</v>
      </c>
      <c r="D2" s="2" t="s">
        <v>30</v>
      </c>
      <c r="E2" s="2" t="s">
        <v>10</v>
      </c>
      <c r="F2" s="2" t="s">
        <v>3</v>
      </c>
      <c r="G2" s="2" t="s">
        <v>14</v>
      </c>
      <c r="H2" s="2" t="s">
        <v>88</v>
      </c>
      <c r="I2" s="2"/>
      <c r="K2" s="2" t="s">
        <v>31</v>
      </c>
    </row>
    <row r="3" spans="1:11" x14ac:dyDescent="0.3">
      <c r="D3">
        <v>3000</v>
      </c>
      <c r="E3">
        <v>7500</v>
      </c>
      <c r="F3">
        <v>1</v>
      </c>
      <c r="G3">
        <v>15</v>
      </c>
      <c r="H3">
        <v>0</v>
      </c>
      <c r="K3" s="50">
        <f>IF(
    2.1*E3*1.25^H3*SQRT(G3/30)/(F3+0.5)^0.95 &lt;= G3*400,
    2.1*E3*1.25^H3*SQRT(G3/30)/(F3+0.5)^0.95,
    G3*400 + 0.2*G3*400 * (1 - EXP(- (2.1*E3*1.25^H3*SQRT(G3/30)/(F3+0.5)^0.95 - G3*400) / (G3*400)))
)</f>
        <v>6277.306535510872</v>
      </c>
    </row>
    <row r="4" spans="1:11" x14ac:dyDescent="0.3">
      <c r="D4">
        <v>1800</v>
      </c>
      <c r="E4">
        <v>5000</v>
      </c>
      <c r="F4">
        <v>6</v>
      </c>
      <c r="G4">
        <v>33</v>
      </c>
      <c r="H4">
        <v>0</v>
      </c>
      <c r="K4" s="50">
        <f t="shared" ref="K4:K5" si="0">IF(
    2.1*E4*1.25^H4*SQRT(G4/30)/(F4+0.5)^0.95 &lt;= G4*400,
    2.1*E4*1.25^H4*SQRT(G4/30)/(F4+0.5)^0.95,
    G4*400 + 0.2*G4*400 * (1 - EXP(- (2.1*E4*1.25^H4*SQRT(G4/30)/(F4+0.5)^0.95 - G4*400) / (G4*400)))
)</f>
        <v>1860.4497861632703</v>
      </c>
    </row>
    <row r="5" spans="1:11" x14ac:dyDescent="0.3">
      <c r="C5" s="1" t="s">
        <v>52</v>
      </c>
      <c r="D5">
        <v>3000</v>
      </c>
      <c r="E5">
        <v>7500</v>
      </c>
      <c r="F5">
        <v>5</v>
      </c>
      <c r="G5">
        <v>50</v>
      </c>
      <c r="H5">
        <v>0</v>
      </c>
      <c r="K5" s="48">
        <f t="shared" si="0"/>
        <v>4025.8758493764772</v>
      </c>
    </row>
    <row r="8" spans="1:11" x14ac:dyDescent="0.3">
      <c r="C8" t="s">
        <v>540</v>
      </c>
    </row>
    <row r="11" spans="1:11" x14ac:dyDescent="0.3">
      <c r="B11" t="s">
        <v>32</v>
      </c>
      <c r="D11" s="2" t="s">
        <v>30</v>
      </c>
      <c r="E11" s="2" t="s">
        <v>33</v>
      </c>
      <c r="F11" s="2" t="s">
        <v>14</v>
      </c>
      <c r="G11" s="2" t="s">
        <v>397</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53</v>
      </c>
      <c r="D13">
        <v>8000</v>
      </c>
      <c r="E13">
        <v>8000</v>
      </c>
      <c r="F13">
        <v>30</v>
      </c>
      <c r="G13">
        <v>1</v>
      </c>
      <c r="K13" s="48">
        <f>IF(E13 &gt; 800 +F13 * 200 + IF(F13 &gt;=30,350 * (F13 - 27) * (F13 - 27),0), 800 +F13 * 200+ IF(F13 &gt;=30,350  * (F13 - 27) * (F13 - 27),0) + (E13 - 800 -F13 * 200-IF(F13 &gt;=30,350 * (F13 - 27) * (F13 - 27),0))/10,E13 )/G13</f>
        <v>8000</v>
      </c>
    </row>
    <row r="17" spans="3:4" x14ac:dyDescent="0.3">
      <c r="C17" s="42" t="s">
        <v>273</v>
      </c>
      <c r="D17" t="s">
        <v>398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35" sqref="D35"/>
    </sheetView>
  </sheetViews>
  <sheetFormatPr defaultRowHeight="14" x14ac:dyDescent="0.3"/>
  <cols>
    <col min="8" max="8" width="11.75" customWidth="1"/>
  </cols>
  <sheetData>
    <row r="1" spans="1:14" x14ac:dyDescent="0.3">
      <c r="A1" t="s">
        <v>78</v>
      </c>
    </row>
    <row r="4" spans="1:14" x14ac:dyDescent="0.3">
      <c r="B4" t="s">
        <v>79</v>
      </c>
      <c r="D4" s="2" t="s">
        <v>14</v>
      </c>
      <c r="E4" s="2" t="s">
        <v>36</v>
      </c>
      <c r="F4" s="2" t="s">
        <v>6</v>
      </c>
      <c r="G4" s="2" t="s">
        <v>87</v>
      </c>
      <c r="H4" s="2" t="s">
        <v>268</v>
      </c>
      <c r="J4" s="2" t="s">
        <v>81</v>
      </c>
      <c r="K4" s="2" t="s">
        <v>82</v>
      </c>
      <c r="N4" t="s">
        <v>100</v>
      </c>
    </row>
    <row r="5" spans="1:14" x14ac:dyDescent="0.3">
      <c r="C5" t="s">
        <v>86</v>
      </c>
      <c r="D5">
        <v>5</v>
      </c>
      <c r="E5">
        <v>0</v>
      </c>
      <c r="F5">
        <v>1</v>
      </c>
      <c r="G5">
        <v>1</v>
      </c>
      <c r="H5">
        <v>1</v>
      </c>
      <c r="J5">
        <f>D5*3900*(1.6)^(E5)*G5*1.6^(H5-1)/F5</f>
        <v>19500</v>
      </c>
      <c r="K5" s="5">
        <f>D5*120*(1.5)^E5*G5*1.6^(H5-1)/F5</f>
        <v>600</v>
      </c>
      <c r="N5">
        <f>J5/K5</f>
        <v>32.5</v>
      </c>
    </row>
    <row r="6" spans="1:14" x14ac:dyDescent="0.3">
      <c r="C6" t="s">
        <v>85</v>
      </c>
      <c r="D6">
        <v>20</v>
      </c>
      <c r="E6">
        <v>0</v>
      </c>
      <c r="F6">
        <v>1</v>
      </c>
      <c r="G6">
        <v>1</v>
      </c>
      <c r="H6">
        <v>1</v>
      </c>
      <c r="J6">
        <f t="shared" ref="J6:J8" si="0">D6*3900*(1.6)^(E6)*G6*1.6^(H6-1)/F6</f>
        <v>78000</v>
      </c>
      <c r="K6" s="5">
        <f t="shared" ref="K6:K8" si="1">D6*120*(1.5)^E6*G6*1.6^(H6-1)/F6</f>
        <v>2400</v>
      </c>
      <c r="N6">
        <f>J6/K6</f>
        <v>32.5</v>
      </c>
    </row>
    <row r="7" spans="1:14" x14ac:dyDescent="0.3">
      <c r="C7" t="s">
        <v>84</v>
      </c>
      <c r="D7">
        <v>2</v>
      </c>
      <c r="E7">
        <v>0</v>
      </c>
      <c r="F7">
        <v>1.5</v>
      </c>
      <c r="G7">
        <v>1</v>
      </c>
      <c r="H7">
        <v>1</v>
      </c>
      <c r="J7">
        <f t="shared" si="0"/>
        <v>5200</v>
      </c>
      <c r="K7" s="5">
        <f t="shared" si="1"/>
        <v>160</v>
      </c>
      <c r="N7">
        <f>J7/K7</f>
        <v>32.5</v>
      </c>
    </row>
    <row r="8" spans="1:14" x14ac:dyDescent="0.3">
      <c r="C8" s="1" t="s">
        <v>83</v>
      </c>
      <c r="D8">
        <v>20</v>
      </c>
      <c r="E8">
        <v>0</v>
      </c>
      <c r="F8">
        <v>1</v>
      </c>
      <c r="G8">
        <v>1</v>
      </c>
      <c r="H8">
        <v>1</v>
      </c>
      <c r="J8">
        <f t="shared" si="0"/>
        <v>78000</v>
      </c>
      <c r="K8" s="5">
        <f t="shared" si="1"/>
        <v>2400</v>
      </c>
      <c r="N8">
        <f>J8/K8</f>
        <v>32.5</v>
      </c>
    </row>
    <row r="11" spans="1:14" x14ac:dyDescent="0.3">
      <c r="C11" t="s">
        <v>271</v>
      </c>
      <c r="D11" t="s">
        <v>311</v>
      </c>
    </row>
    <row r="12" spans="1:14" x14ac:dyDescent="0.3">
      <c r="C12" t="s">
        <v>310</v>
      </c>
      <c r="D12" t="s">
        <v>512</v>
      </c>
    </row>
    <row r="13" spans="1:14" x14ac:dyDescent="0.3">
      <c r="D13" t="s">
        <v>524</v>
      </c>
    </row>
    <row r="14" spans="1:14" x14ac:dyDescent="0.3">
      <c r="C14" t="s">
        <v>312</v>
      </c>
    </row>
    <row r="16" spans="1:14" x14ac:dyDescent="0.3">
      <c r="B16" t="s">
        <v>80</v>
      </c>
      <c r="C16" t="s">
        <v>86</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83</v>
      </c>
      <c r="D19">
        <v>20</v>
      </c>
      <c r="E19">
        <v>0</v>
      </c>
      <c r="G19">
        <v>1</v>
      </c>
      <c r="H19">
        <v>1</v>
      </c>
      <c r="J19">
        <f t="shared" si="2"/>
        <v>52000</v>
      </c>
      <c r="K19" s="5">
        <f t="shared" si="3"/>
        <v>1800</v>
      </c>
      <c r="N19">
        <f>J19/K19</f>
        <v>28.888888888888889</v>
      </c>
    </row>
    <row r="22" spans="3:14" x14ac:dyDescent="0.3">
      <c r="C22" t="s">
        <v>513</v>
      </c>
    </row>
    <row r="25" spans="3:14" x14ac:dyDescent="0.3">
      <c r="C25" t="s">
        <v>130</v>
      </c>
    </row>
    <row r="26" spans="3:14" x14ac:dyDescent="0.3">
      <c r="D26" t="s">
        <v>128</v>
      </c>
    </row>
    <row r="27" spans="3:14" x14ac:dyDescent="0.3">
      <c r="D27" t="s">
        <v>129</v>
      </c>
    </row>
    <row r="28" spans="3:14" x14ac:dyDescent="0.3">
      <c r="D28" t="s">
        <v>308</v>
      </c>
    </row>
    <row r="29" spans="3:14" x14ac:dyDescent="0.3">
      <c r="D29" t="s">
        <v>309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198</v>
      </c>
      <c r="D1" t="s">
        <v>45</v>
      </c>
      <c r="E1" s="21" t="s">
        <v>199</v>
      </c>
      <c r="F1" t="s">
        <v>42</v>
      </c>
      <c r="G1" t="s">
        <v>43</v>
      </c>
      <c r="H1" t="s">
        <v>44</v>
      </c>
      <c r="N1" t="s">
        <v>216</v>
      </c>
    </row>
    <row r="2" spans="1:17" x14ac:dyDescent="0.3">
      <c r="B2" s="10" t="s">
        <v>48</v>
      </c>
      <c r="C2" s="10" t="s">
        <v>194</v>
      </c>
      <c r="D2" s="8" t="s">
        <v>14</v>
      </c>
      <c r="E2" s="20" t="s">
        <v>36</v>
      </c>
      <c r="F2" s="8" t="s">
        <v>209</v>
      </c>
      <c r="G2" s="8" t="s">
        <v>210</v>
      </c>
      <c r="H2" s="8" t="s">
        <v>207</v>
      </c>
      <c r="I2" s="8" t="s">
        <v>208</v>
      </c>
      <c r="J2" s="8" t="s">
        <v>243</v>
      </c>
      <c r="K2" s="11" t="s">
        <v>217</v>
      </c>
      <c r="L2" s="11" t="s">
        <v>219</v>
      </c>
      <c r="M2" s="11" t="s">
        <v>218</v>
      </c>
      <c r="N2" s="26" t="s">
        <v>200</v>
      </c>
      <c r="O2" s="26" t="s">
        <v>201</v>
      </c>
      <c r="P2" s="26" t="s">
        <v>202</v>
      </c>
      <c r="Q2" s="11" t="s">
        <v>152</v>
      </c>
    </row>
    <row r="3" spans="1:17" x14ac:dyDescent="0.3">
      <c r="B3" s="2" t="s">
        <v>173</v>
      </c>
      <c r="C3" t="s">
        <v>224</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174</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146</v>
      </c>
      <c r="B5" s="3"/>
      <c r="D5" s="3"/>
      <c r="E5" s="23"/>
      <c r="F5" s="3"/>
      <c r="G5" s="3"/>
      <c r="H5" s="3"/>
      <c r="I5" s="3"/>
      <c r="J5" s="3"/>
    </row>
    <row r="6" spans="1:17" x14ac:dyDescent="0.3">
      <c r="A6" s="6" t="s">
        <v>148</v>
      </c>
      <c r="B6" s="3"/>
      <c r="C6" s="24" t="s">
        <v>233</v>
      </c>
      <c r="D6" s="2" t="s">
        <v>254</v>
      </c>
      <c r="E6" s="23"/>
      <c r="F6" s="3"/>
      <c r="G6" s="3"/>
      <c r="H6" s="3"/>
      <c r="I6" s="3"/>
      <c r="J6" s="3"/>
    </row>
    <row r="7" spans="1:17" x14ac:dyDescent="0.3">
      <c r="A7" s="6" t="s">
        <v>149</v>
      </c>
      <c r="B7" s="3"/>
      <c r="D7" s="3"/>
      <c r="E7" s="23"/>
      <c r="F7" s="3"/>
      <c r="G7" s="3"/>
      <c r="H7" s="3"/>
      <c r="I7" s="3"/>
      <c r="J7" s="3"/>
    </row>
    <row r="8" spans="1:17" x14ac:dyDescent="0.3">
      <c r="A8" s="6" t="s">
        <v>156</v>
      </c>
      <c r="B8" s="2" t="s">
        <v>214</v>
      </c>
      <c r="D8" s="8" t="s">
        <v>211</v>
      </c>
      <c r="E8" s="20" t="s">
        <v>212</v>
      </c>
      <c r="F8" s="8" t="s">
        <v>213</v>
      </c>
      <c r="G8" s="3"/>
      <c r="I8" s="3"/>
      <c r="J8" s="3"/>
      <c r="N8" s="14" t="s">
        <v>207</v>
      </c>
    </row>
    <row r="9" spans="1:17" x14ac:dyDescent="0.3">
      <c r="A9" s="15" t="s">
        <v>147</v>
      </c>
      <c r="B9" s="3"/>
      <c r="C9" t="s">
        <v>197</v>
      </c>
      <c r="D9" s="3">
        <v>5</v>
      </c>
      <c r="E9" s="23">
        <v>0</v>
      </c>
      <c r="F9" s="3">
        <v>1</v>
      </c>
      <c r="G9" s="3"/>
      <c r="I9" s="3"/>
      <c r="J9" s="3"/>
      <c r="N9" s="3">
        <f>1000*表2_4[[#This Row],[限制等级]]+3000*表2_4[[#This Row],[加权层数]]+5000*表2_4[[#This Row],[金币需求]]</f>
        <v>10000</v>
      </c>
    </row>
    <row r="10" spans="1:17" x14ac:dyDescent="0.3">
      <c r="A10" s="15" t="s">
        <v>157</v>
      </c>
      <c r="B10" s="3"/>
      <c r="C10" s="1" t="s">
        <v>174</v>
      </c>
      <c r="D10" s="12">
        <v>0</v>
      </c>
      <c r="E10" s="22">
        <v>0</v>
      </c>
      <c r="F10" s="12">
        <v>0</v>
      </c>
      <c r="G10" s="3"/>
      <c r="N10" s="17">
        <f>1000*表2_4[[#This Row],[限制等级]]+3000*表2_4[[#This Row],[加权层数]]+5000*表2_4[[#This Row],[金币需求]]</f>
        <v>0</v>
      </c>
    </row>
    <row r="11" spans="1:17" x14ac:dyDescent="0.3">
      <c r="A11" s="15" t="s">
        <v>364</v>
      </c>
      <c r="B11" s="3"/>
      <c r="D11" s="3"/>
      <c r="E11" s="23"/>
      <c r="F11" s="3"/>
      <c r="G11" s="3"/>
      <c r="H11" s="3"/>
      <c r="I11" s="3"/>
      <c r="J11" s="3"/>
    </row>
    <row r="12" spans="1:17" x14ac:dyDescent="0.3">
      <c r="B12" s="2" t="s">
        <v>220</v>
      </c>
      <c r="D12" s="20" t="s">
        <v>222</v>
      </c>
      <c r="E12" s="20" t="s">
        <v>14</v>
      </c>
      <c r="F12" s="8" t="s">
        <v>36</v>
      </c>
      <c r="G12" s="8" t="s">
        <v>226</v>
      </c>
      <c r="H12" s="8" t="s">
        <v>87</v>
      </c>
      <c r="I12" s="8" t="s">
        <v>221</v>
      </c>
      <c r="J12" s="14" t="s">
        <v>227</v>
      </c>
      <c r="K12" s="3"/>
      <c r="L12" s="3"/>
      <c r="M12" s="3"/>
      <c r="N12" s="14" t="s">
        <v>208</v>
      </c>
      <c r="O12" s="2"/>
    </row>
    <row r="13" spans="1:17" x14ac:dyDescent="0.3">
      <c r="B13" s="2"/>
      <c r="C13" t="s">
        <v>224</v>
      </c>
      <c r="D13" t="s">
        <v>223</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225</v>
      </c>
      <c r="E14" s="21">
        <v>0</v>
      </c>
      <c r="F14">
        <v>0</v>
      </c>
      <c r="G14">
        <v>1</v>
      </c>
      <c r="H14">
        <v>1</v>
      </c>
      <c r="I14">
        <v>0</v>
      </c>
      <c r="J14" s="3">
        <f>表2_4[[#This Row],[装备折算价格]]*0.25 * E14*3900*(1.6)^(F14)*H14/G14</f>
        <v>0</v>
      </c>
    </row>
    <row r="15" spans="1:17" x14ac:dyDescent="0.3">
      <c r="B15" s="3"/>
      <c r="C15" s="1" t="s">
        <v>174</v>
      </c>
      <c r="D15" t="s">
        <v>228</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229</v>
      </c>
      <c r="E16" s="22">
        <v>1</v>
      </c>
      <c r="F16" s="12">
        <v>0</v>
      </c>
      <c r="G16" s="12">
        <v>1</v>
      </c>
      <c r="H16" s="12">
        <v>1</v>
      </c>
      <c r="I16" s="12">
        <v>0</v>
      </c>
      <c r="J16" s="3">
        <f>表2_4[[#This Row],[装备折算价格]]*0.25 * E16*3900*(1.6)^(F16)*H16/G16</f>
        <v>0</v>
      </c>
    </row>
    <row r="17" spans="2:17" x14ac:dyDescent="0.3">
      <c r="B17" s="3"/>
      <c r="D17" t="s">
        <v>230</v>
      </c>
      <c r="E17" s="22">
        <v>1</v>
      </c>
      <c r="F17" s="12">
        <v>0</v>
      </c>
      <c r="G17" s="12">
        <v>1</v>
      </c>
      <c r="H17" s="12">
        <v>1</v>
      </c>
      <c r="I17" s="12">
        <v>0</v>
      </c>
      <c r="J17" s="3">
        <f>表2_4[[#This Row],[装备折算价格]]*0.25 * E17*3900*(1.6)^(F17)*H17/G17</f>
        <v>0</v>
      </c>
    </row>
    <row r="18" spans="2:17" x14ac:dyDescent="0.3">
      <c r="B18" s="3"/>
      <c r="C18" s="2"/>
      <c r="D18" t="s">
        <v>231</v>
      </c>
      <c r="E18" s="22">
        <v>1</v>
      </c>
      <c r="F18" s="12">
        <v>0</v>
      </c>
      <c r="G18" s="12">
        <v>1</v>
      </c>
      <c r="H18" s="12">
        <v>1</v>
      </c>
      <c r="I18" s="12">
        <v>0</v>
      </c>
      <c r="J18" s="3">
        <f>表2_4[[#This Row],[装备折算价格]]*0.25 * E18*3900*(1.6)^(F18)*H18/G18</f>
        <v>0</v>
      </c>
    </row>
    <row r="19" spans="2:17" x14ac:dyDescent="0.3">
      <c r="B19" s="3"/>
      <c r="C19" s="24" t="s">
        <v>233</v>
      </c>
      <c r="D19" s="2" t="s">
        <v>234</v>
      </c>
    </row>
    <row r="20" spans="2:17" x14ac:dyDescent="0.3">
      <c r="B20" s="3"/>
      <c r="D20" s="2" t="s">
        <v>232</v>
      </c>
    </row>
    <row r="21" spans="2:17" x14ac:dyDescent="0.3">
      <c r="B21" s="3"/>
    </row>
    <row r="22" spans="2:17" x14ac:dyDescent="0.3">
      <c r="B22" s="2" t="s">
        <v>363</v>
      </c>
      <c r="D22" s="20" t="s">
        <v>222</v>
      </c>
      <c r="E22" s="20" t="s">
        <v>245</v>
      </c>
      <c r="F22" s="20" t="s">
        <v>235</v>
      </c>
      <c r="G22" s="20" t="s">
        <v>236</v>
      </c>
      <c r="H22" s="20" t="s">
        <v>237</v>
      </c>
      <c r="I22" s="20" t="s">
        <v>238</v>
      </c>
      <c r="J22" s="20" t="s">
        <v>239</v>
      </c>
      <c r="K22" s="25" t="s">
        <v>240</v>
      </c>
      <c r="L22" s="25" t="s">
        <v>241</v>
      </c>
      <c r="N22" s="26" t="s">
        <v>243</v>
      </c>
      <c r="P22" s="26" t="s">
        <v>247</v>
      </c>
      <c r="Q22" s="26" t="s">
        <v>242</v>
      </c>
    </row>
    <row r="23" spans="2:17" x14ac:dyDescent="0.3">
      <c r="B23" s="3"/>
      <c r="C23" t="s">
        <v>224</v>
      </c>
      <c r="D23" t="s">
        <v>250</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251</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252</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253</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233</v>
      </c>
      <c r="D27" s="2" t="s">
        <v>249</v>
      </c>
      <c r="F27" s="21"/>
      <c r="G27" s="21"/>
      <c r="H27" s="21"/>
      <c r="I27" s="21"/>
      <c r="J27" s="21"/>
      <c r="N27" s="3" t="s">
        <v>361</v>
      </c>
    </row>
    <row r="28" spans="2:17" x14ac:dyDescent="0.3">
      <c r="B28" s="3"/>
      <c r="C28" s="24"/>
      <c r="D28" s="2" t="s">
        <v>246</v>
      </c>
      <c r="F28" s="21"/>
      <c r="G28" s="21"/>
      <c r="H28" s="21"/>
      <c r="I28" s="21"/>
      <c r="J28" s="21"/>
    </row>
    <row r="29" spans="2:17" x14ac:dyDescent="0.3">
      <c r="B29" s="3"/>
      <c r="D29" s="2" t="s">
        <v>248</v>
      </c>
    </row>
    <row r="30" spans="2:17" x14ac:dyDescent="0.3">
      <c r="B30" s="4" t="s">
        <v>39</v>
      </c>
      <c r="C30" s="2" t="s">
        <v>203</v>
      </c>
    </row>
    <row r="31" spans="2:17" x14ac:dyDescent="0.3">
      <c r="B31" s="3"/>
      <c r="C31" t="s">
        <v>206</v>
      </c>
    </row>
    <row r="32" spans="2:17" x14ac:dyDescent="0.3">
      <c r="B32" s="3"/>
    </row>
    <row r="33" spans="2:3" x14ac:dyDescent="0.3">
      <c r="B33" s="4" t="s">
        <v>40</v>
      </c>
      <c r="C33" t="s">
        <v>244</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420</v>
      </c>
      <c r="E2" s="33" t="s">
        <v>236</v>
      </c>
      <c r="F2" s="33" t="s">
        <v>237</v>
      </c>
      <c r="G2" s="33" t="s">
        <v>328</v>
      </c>
      <c r="H2" s="33" t="s">
        <v>346</v>
      </c>
      <c r="I2" s="33" t="s">
        <v>93</v>
      </c>
      <c r="J2" s="33" t="s">
        <v>347</v>
      </c>
      <c r="K2" s="33" t="s">
        <v>329</v>
      </c>
      <c r="M2" s="35" t="s">
        <v>327</v>
      </c>
      <c r="O2" s="35" t="s">
        <v>326</v>
      </c>
    </row>
    <row r="3" spans="3:15" x14ac:dyDescent="0.3">
      <c r="C3" t="s">
        <v>325</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345</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349</v>
      </c>
      <c r="D5" s="34">
        <v>4</v>
      </c>
      <c r="E5" s="27">
        <v>2</v>
      </c>
      <c r="F5" s="27">
        <v>2</v>
      </c>
      <c r="G5" s="45">
        <v>50000</v>
      </c>
      <c r="H5" s="27">
        <v>4000</v>
      </c>
      <c r="I5" s="27">
        <v>50000</v>
      </c>
      <c r="J5" s="45">
        <v>260000</v>
      </c>
      <c r="K5" s="27">
        <v>0</v>
      </c>
      <c r="M5" s="45">
        <f t="shared" si="0"/>
        <v>194500</v>
      </c>
      <c r="O5" s="45">
        <f t="shared" si="1"/>
        <v>208000</v>
      </c>
    </row>
    <row r="6" spans="3:15" x14ac:dyDescent="0.3">
      <c r="C6" s="1" t="s">
        <v>324</v>
      </c>
      <c r="D6" s="36">
        <v>1</v>
      </c>
      <c r="E6" s="37">
        <v>1</v>
      </c>
      <c r="F6" s="37">
        <v>1</v>
      </c>
      <c r="G6" s="37">
        <v>0</v>
      </c>
      <c r="H6" s="37">
        <v>0</v>
      </c>
      <c r="I6" s="37">
        <v>0</v>
      </c>
      <c r="J6" s="37">
        <v>0</v>
      </c>
      <c r="K6" s="37">
        <v>0</v>
      </c>
      <c r="M6" s="40">
        <f t="shared" si="0"/>
        <v>0</v>
      </c>
      <c r="O6" s="40">
        <f t="shared" si="1"/>
        <v>13000</v>
      </c>
    </row>
    <row r="8" spans="3:15" x14ac:dyDescent="0.3">
      <c r="C8" s="24" t="s">
        <v>233</v>
      </c>
      <c r="D8" s="2" t="s">
        <v>421</v>
      </c>
    </row>
    <row r="9" spans="3:15" x14ac:dyDescent="0.3">
      <c r="D9" s="2" t="s">
        <v>362</v>
      </c>
    </row>
    <row r="10" spans="3:15" x14ac:dyDescent="0.3">
      <c r="D10" s="2" t="s">
        <v>348</v>
      </c>
    </row>
    <row r="11" spans="3:15" x14ac:dyDescent="0.3">
      <c r="I11" s="2" t="s">
        <v>350</v>
      </c>
    </row>
    <row r="12" spans="3:15" x14ac:dyDescent="0.3">
      <c r="I12" s="33" t="s">
        <v>330</v>
      </c>
      <c r="J12" s="33" t="s">
        <v>221</v>
      </c>
      <c r="K12" s="33" t="s">
        <v>343</v>
      </c>
      <c r="L12" s="33" t="s">
        <v>344</v>
      </c>
      <c r="M12" s="35" t="s">
        <v>332</v>
      </c>
    </row>
    <row r="13" spans="3:15" x14ac:dyDescent="0.3">
      <c r="D13" s="2" t="s">
        <v>419</v>
      </c>
      <c r="H13" t="s">
        <v>86</v>
      </c>
      <c r="I13" s="46" t="s">
        <v>333</v>
      </c>
      <c r="J13" s="45">
        <v>20</v>
      </c>
      <c r="K13" s="45">
        <v>500</v>
      </c>
      <c r="L13" s="45">
        <f t="shared" ref="L13:L22" si="2">J13*K13</f>
        <v>10000</v>
      </c>
      <c r="M13">
        <f>SUM(L13:L13)</f>
        <v>10000</v>
      </c>
    </row>
    <row r="14" spans="3:15" x14ac:dyDescent="0.3">
      <c r="D14" s="33" t="s">
        <v>400</v>
      </c>
      <c r="E14" s="35" t="s">
        <v>401</v>
      </c>
      <c r="F14" s="33" t="s">
        <v>404</v>
      </c>
      <c r="H14" s="1" t="s">
        <v>353</v>
      </c>
      <c r="I14" s="46" t="s">
        <v>334</v>
      </c>
      <c r="J14" s="45">
        <v>0</v>
      </c>
      <c r="K14" s="45">
        <v>0</v>
      </c>
      <c r="L14" s="45">
        <f t="shared" si="2"/>
        <v>0</v>
      </c>
      <c r="M14" s="40">
        <f>SUM(L14:L22)</f>
        <v>0</v>
      </c>
    </row>
    <row r="15" spans="3:15" x14ac:dyDescent="0.3">
      <c r="D15" t="s">
        <v>399</v>
      </c>
      <c r="E15" s="40">
        <v>1</v>
      </c>
      <c r="I15" s="46" t="s">
        <v>335</v>
      </c>
      <c r="J15" s="45">
        <v>0</v>
      </c>
      <c r="K15" s="45">
        <v>0</v>
      </c>
      <c r="L15" s="45">
        <f t="shared" si="2"/>
        <v>0</v>
      </c>
    </row>
    <row r="16" spans="3:15" x14ac:dyDescent="0.3">
      <c r="D16" t="s">
        <v>402</v>
      </c>
      <c r="E16" s="40">
        <v>2</v>
      </c>
      <c r="I16" s="46" t="s">
        <v>336</v>
      </c>
      <c r="J16" s="45">
        <v>0</v>
      </c>
      <c r="K16" s="45">
        <v>0</v>
      </c>
      <c r="L16" s="45">
        <f t="shared" si="2"/>
        <v>0</v>
      </c>
    </row>
    <row r="17" spans="4:16" x14ac:dyDescent="0.3">
      <c r="D17" t="s">
        <v>403</v>
      </c>
      <c r="E17" s="40">
        <v>3</v>
      </c>
      <c r="I17" s="46" t="s">
        <v>337</v>
      </c>
      <c r="J17" s="45">
        <v>0</v>
      </c>
      <c r="K17" s="45">
        <v>0</v>
      </c>
      <c r="L17" s="45">
        <f t="shared" si="2"/>
        <v>0</v>
      </c>
    </row>
    <row r="18" spans="4:16" x14ac:dyDescent="0.3">
      <c r="D18" t="s">
        <v>405</v>
      </c>
      <c r="E18" s="40">
        <v>4</v>
      </c>
      <c r="F18" t="s">
        <v>416</v>
      </c>
      <c r="I18" s="46" t="s">
        <v>338</v>
      </c>
      <c r="J18" s="45">
        <v>0</v>
      </c>
      <c r="K18" s="45">
        <v>0</v>
      </c>
      <c r="L18" s="45">
        <f t="shared" si="2"/>
        <v>0</v>
      </c>
    </row>
    <row r="19" spans="4:16" x14ac:dyDescent="0.3">
      <c r="D19" t="s">
        <v>406</v>
      </c>
      <c r="E19" s="40">
        <v>5</v>
      </c>
      <c r="F19" t="s">
        <v>413</v>
      </c>
      <c r="I19" s="46" t="s">
        <v>339</v>
      </c>
      <c r="J19" s="45">
        <v>0</v>
      </c>
      <c r="K19" s="45">
        <v>0</v>
      </c>
      <c r="L19" s="45">
        <f t="shared" si="2"/>
        <v>0</v>
      </c>
    </row>
    <row r="20" spans="4:16" x14ac:dyDescent="0.3">
      <c r="D20" t="s">
        <v>407</v>
      </c>
      <c r="E20" s="40">
        <v>6</v>
      </c>
      <c r="F20" t="s">
        <v>415</v>
      </c>
      <c r="I20" s="46" t="s">
        <v>340</v>
      </c>
      <c r="J20" s="45">
        <v>0</v>
      </c>
      <c r="K20" s="45">
        <v>0</v>
      </c>
      <c r="L20" s="45">
        <f t="shared" si="2"/>
        <v>0</v>
      </c>
    </row>
    <row r="21" spans="4:16" x14ac:dyDescent="0.3">
      <c r="D21" t="s">
        <v>408</v>
      </c>
      <c r="E21" s="40">
        <v>7</v>
      </c>
      <c r="F21" t="s">
        <v>414</v>
      </c>
      <c r="I21" s="46" t="s">
        <v>341</v>
      </c>
      <c r="J21" s="45">
        <v>0</v>
      </c>
      <c r="K21" s="45">
        <v>0</v>
      </c>
      <c r="L21" s="45">
        <f t="shared" si="2"/>
        <v>0</v>
      </c>
    </row>
    <row r="22" spans="4:16" x14ac:dyDescent="0.3">
      <c r="D22" t="s">
        <v>409</v>
      </c>
      <c r="E22" s="40">
        <v>8</v>
      </c>
      <c r="I22" s="46" t="s">
        <v>342</v>
      </c>
      <c r="J22" s="45">
        <v>0</v>
      </c>
      <c r="K22" s="45">
        <v>0</v>
      </c>
      <c r="L22" s="45">
        <f t="shared" si="2"/>
        <v>0</v>
      </c>
    </row>
    <row r="23" spans="4:16" x14ac:dyDescent="0.3">
      <c r="D23" t="s">
        <v>418</v>
      </c>
      <c r="E23" s="40">
        <v>9</v>
      </c>
    </row>
    <row r="24" spans="4:16" x14ac:dyDescent="0.3">
      <c r="D24" t="s">
        <v>411</v>
      </c>
      <c r="E24" s="43" t="s">
        <v>412</v>
      </c>
      <c r="I24" s="2" t="s">
        <v>360</v>
      </c>
    </row>
    <row r="25" spans="4:16" x14ac:dyDescent="0.3">
      <c r="I25" s="33" t="s">
        <v>222</v>
      </c>
      <c r="J25" s="33" t="s">
        <v>14</v>
      </c>
      <c r="K25" s="38" t="s">
        <v>36</v>
      </c>
      <c r="L25" s="38" t="s">
        <v>226</v>
      </c>
      <c r="M25" s="38" t="s">
        <v>87</v>
      </c>
      <c r="N25" s="38" t="s">
        <v>221</v>
      </c>
      <c r="O25" s="38" t="s">
        <v>352</v>
      </c>
      <c r="P25" s="39" t="s">
        <v>331</v>
      </c>
    </row>
    <row r="26" spans="4:16" x14ac:dyDescent="0.3">
      <c r="H26" t="s">
        <v>86</v>
      </c>
      <c r="I26" s="46" t="s">
        <v>351</v>
      </c>
      <c r="J26" s="45">
        <v>20</v>
      </c>
      <c r="K26" s="45">
        <v>0</v>
      </c>
      <c r="L26" s="45">
        <v>1.5</v>
      </c>
      <c r="M26" s="34">
        <v>1</v>
      </c>
      <c r="N26" s="45">
        <v>5</v>
      </c>
      <c r="O26" s="45">
        <f>N26 * J26*3900*(1.6)^(K26)*M26/L26</f>
        <v>260000</v>
      </c>
      <c r="P26">
        <f>SUM(O26:O26)</f>
        <v>260000</v>
      </c>
    </row>
    <row r="27" spans="4:16" x14ac:dyDescent="0.3">
      <c r="H27" s="1" t="s">
        <v>354</v>
      </c>
      <c r="I27" s="46" t="s">
        <v>355</v>
      </c>
      <c r="J27" s="45">
        <v>0</v>
      </c>
      <c r="K27" s="45">
        <v>0</v>
      </c>
      <c r="L27" s="45">
        <v>1</v>
      </c>
      <c r="M27" s="34">
        <v>1</v>
      </c>
      <c r="N27" s="45">
        <v>0</v>
      </c>
      <c r="O27" s="45">
        <f t="shared" ref="O27:O29" si="3">N27 * J27*3900*(1.6)^(K27)*M27/L27</f>
        <v>0</v>
      </c>
      <c r="P27" s="40">
        <f>SUM(O27:O32)</f>
        <v>0</v>
      </c>
    </row>
    <row r="28" spans="4:16" x14ac:dyDescent="0.3">
      <c r="I28" s="46" t="s">
        <v>356</v>
      </c>
      <c r="J28" s="45">
        <v>0</v>
      </c>
      <c r="K28" s="45">
        <v>0</v>
      </c>
      <c r="L28" s="45">
        <v>1</v>
      </c>
      <c r="M28" s="34">
        <v>1</v>
      </c>
      <c r="N28" s="45">
        <v>0</v>
      </c>
      <c r="O28" s="45">
        <f t="shared" si="3"/>
        <v>0</v>
      </c>
    </row>
    <row r="29" spans="4:16" x14ac:dyDescent="0.3">
      <c r="I29" s="46" t="s">
        <v>357</v>
      </c>
      <c r="J29" s="45">
        <v>0</v>
      </c>
      <c r="K29" s="45">
        <v>0</v>
      </c>
      <c r="L29" s="45">
        <v>1</v>
      </c>
      <c r="M29" s="34">
        <v>1</v>
      </c>
      <c r="N29" s="45">
        <v>0</v>
      </c>
      <c r="O29" s="45">
        <f t="shared" si="3"/>
        <v>0</v>
      </c>
    </row>
    <row r="30" spans="4:16" x14ac:dyDescent="0.3">
      <c r="I30" s="46" t="s">
        <v>358</v>
      </c>
      <c r="J30" s="45">
        <v>0</v>
      </c>
      <c r="K30" s="45">
        <v>0</v>
      </c>
      <c r="L30" s="45">
        <v>1</v>
      </c>
      <c r="M30" s="34">
        <v>1</v>
      </c>
      <c r="N30" s="45">
        <v>0</v>
      </c>
      <c r="O30" s="45">
        <f t="shared" ref="O30:O31" si="4">N30 * J30*3900*(1.6)^(K30)*M30/L30</f>
        <v>0</v>
      </c>
    </row>
    <row r="31" spans="4:16" x14ac:dyDescent="0.3">
      <c r="I31" s="46" t="s">
        <v>359</v>
      </c>
      <c r="J31" s="45">
        <v>0</v>
      </c>
      <c r="K31" s="45">
        <v>0</v>
      </c>
      <c r="L31" s="45">
        <v>1</v>
      </c>
      <c r="M31" s="34">
        <v>1</v>
      </c>
      <c r="N31" s="45">
        <v>0</v>
      </c>
      <c r="O31" s="45">
        <f t="shared" si="4"/>
        <v>0</v>
      </c>
    </row>
    <row r="32" spans="4:16" x14ac:dyDescent="0.3">
      <c r="I32" s="46" t="s">
        <v>417</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K30" sqref="K30"/>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468</v>
      </c>
    </row>
    <row r="2" spans="1:23" x14ac:dyDescent="0.3">
      <c r="C2" s="33" t="s">
        <v>400</v>
      </c>
      <c r="D2" s="33" t="s">
        <v>422</v>
      </c>
      <c r="E2" s="33" t="s">
        <v>465</v>
      </c>
      <c r="F2" s="33" t="s">
        <v>446</v>
      </c>
      <c r="G2" s="33" t="s">
        <v>447</v>
      </c>
      <c r="H2" s="33" t="s">
        <v>449</v>
      </c>
      <c r="I2" s="33" t="s">
        <v>445</v>
      </c>
      <c r="J2" s="33" t="s">
        <v>448</v>
      </c>
      <c r="K2" s="33" t="s">
        <v>508</v>
      </c>
      <c r="L2" s="33" t="s">
        <v>444</v>
      </c>
      <c r="N2" s="35" t="s">
        <v>453</v>
      </c>
      <c r="O2" s="35" t="s">
        <v>452</v>
      </c>
      <c r="P2" s="35" t="s">
        <v>454</v>
      </c>
      <c r="Q2" s="35" t="s">
        <v>451</v>
      </c>
      <c r="R2" s="35" t="s">
        <v>456</v>
      </c>
      <c r="S2" s="35" t="s">
        <v>455</v>
      </c>
      <c r="T2" s="35" t="s">
        <v>457</v>
      </c>
      <c r="U2" s="35" t="s">
        <v>458</v>
      </c>
      <c r="V2" s="35" t="s">
        <v>81</v>
      </c>
      <c r="W2" s="35" t="s">
        <v>467</v>
      </c>
    </row>
    <row r="3" spans="1:23" x14ac:dyDescent="0.3">
      <c r="B3" t="s">
        <v>469</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484</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471</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473</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470</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461</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472</v>
      </c>
      <c r="C10" s="24" t="s">
        <v>233</v>
      </c>
      <c r="D10" s="2" t="s">
        <v>509</v>
      </c>
    </row>
    <row r="11" spans="1:23" x14ac:dyDescent="0.3">
      <c r="A11" s="6" t="s">
        <v>148</v>
      </c>
      <c r="B11" s="6"/>
      <c r="C11" s="24"/>
      <c r="D11" s="2" t="s">
        <v>466</v>
      </c>
    </row>
    <row r="12" spans="1:23" x14ac:dyDescent="0.3">
      <c r="A12" s="15" t="s">
        <v>147</v>
      </c>
      <c r="B12" s="15"/>
      <c r="D12" s="2" t="s">
        <v>480</v>
      </c>
    </row>
    <row r="13" spans="1:23" x14ac:dyDescent="0.3">
      <c r="D13" s="2" t="s">
        <v>479</v>
      </c>
    </row>
    <row r="14" spans="1:23" x14ac:dyDescent="0.3">
      <c r="D14" s="2" t="s">
        <v>535</v>
      </c>
    </row>
    <row r="15" spans="1:23" x14ac:dyDescent="0.3">
      <c r="D15" s="2" t="s">
        <v>459</v>
      </c>
    </row>
    <row r="16" spans="1:23" x14ac:dyDescent="0.3">
      <c r="D16" s="2" t="s">
        <v>450</v>
      </c>
    </row>
    <row r="17" spans="2:12" x14ac:dyDescent="0.3">
      <c r="D17" s="2" t="s">
        <v>478</v>
      </c>
    </row>
    <row r="18" spans="2:12" x14ac:dyDescent="0.3">
      <c r="D18" s="2"/>
    </row>
    <row r="19" spans="2:12" x14ac:dyDescent="0.3">
      <c r="B19" s="2" t="s">
        <v>400</v>
      </c>
      <c r="J19" s="2" t="s">
        <v>422</v>
      </c>
    </row>
    <row r="20" spans="2:12" x14ac:dyDescent="0.3">
      <c r="B20" s="33" t="s">
        <v>400</v>
      </c>
      <c r="C20" s="35" t="s">
        <v>401</v>
      </c>
      <c r="D20" s="33" t="s">
        <v>404</v>
      </c>
      <c r="J20" s="33" t="s">
        <v>423</v>
      </c>
      <c r="K20" s="35" t="s">
        <v>401</v>
      </c>
      <c r="L20" s="33" t="s">
        <v>434</v>
      </c>
    </row>
    <row r="21" spans="2:12" x14ac:dyDescent="0.3">
      <c r="B21" t="s">
        <v>399</v>
      </c>
      <c r="C21" s="40">
        <v>1</v>
      </c>
      <c r="J21" t="s">
        <v>424</v>
      </c>
      <c r="K21" s="40">
        <v>1</v>
      </c>
      <c r="L21" t="s">
        <v>436</v>
      </c>
    </row>
    <row r="22" spans="2:12" x14ac:dyDescent="0.3">
      <c r="B22" t="s">
        <v>402</v>
      </c>
      <c r="C22" s="40">
        <v>2</v>
      </c>
      <c r="J22" t="s">
        <v>425</v>
      </c>
      <c r="K22" s="40">
        <v>1.5</v>
      </c>
      <c r="L22" t="s">
        <v>462</v>
      </c>
    </row>
    <row r="23" spans="2:12" x14ac:dyDescent="0.3">
      <c r="B23" t="s">
        <v>403</v>
      </c>
      <c r="C23" s="40">
        <v>3</v>
      </c>
      <c r="J23" t="s">
        <v>426</v>
      </c>
      <c r="K23" s="40">
        <v>2</v>
      </c>
      <c r="L23" t="s">
        <v>437</v>
      </c>
    </row>
    <row r="24" spans="2:12" x14ac:dyDescent="0.3">
      <c r="B24" t="s">
        <v>405</v>
      </c>
      <c r="C24" s="40">
        <v>4</v>
      </c>
      <c r="D24" t="s">
        <v>416</v>
      </c>
      <c r="J24" t="s">
        <v>427</v>
      </c>
      <c r="K24" s="44" t="s">
        <v>475</v>
      </c>
      <c r="L24" t="s">
        <v>474</v>
      </c>
    </row>
    <row r="25" spans="2:12" x14ac:dyDescent="0.3">
      <c r="B25" t="s">
        <v>406</v>
      </c>
      <c r="C25" s="40">
        <v>5</v>
      </c>
      <c r="D25" t="s">
        <v>413</v>
      </c>
      <c r="J25" t="s">
        <v>428</v>
      </c>
      <c r="K25" s="44" t="s">
        <v>476</v>
      </c>
      <c r="L25" t="s">
        <v>438</v>
      </c>
    </row>
    <row r="26" spans="2:12" x14ac:dyDescent="0.3">
      <c r="B26" t="s">
        <v>407</v>
      </c>
      <c r="C26" s="40">
        <v>6</v>
      </c>
      <c r="D26" t="s">
        <v>415</v>
      </c>
      <c r="G26" s="2" t="s">
        <v>508</v>
      </c>
      <c r="J26" t="s">
        <v>429</v>
      </c>
      <c r="K26" s="44" t="s">
        <v>477</v>
      </c>
      <c r="L26" t="s">
        <v>439</v>
      </c>
    </row>
    <row r="27" spans="2:12" x14ac:dyDescent="0.3">
      <c r="B27" t="s">
        <v>408</v>
      </c>
      <c r="C27" s="40">
        <v>7</v>
      </c>
      <c r="D27" t="s">
        <v>414</v>
      </c>
      <c r="G27" s="33" t="s">
        <v>400</v>
      </c>
      <c r="H27" s="35" t="s">
        <v>401</v>
      </c>
      <c r="J27" t="s">
        <v>430</v>
      </c>
      <c r="K27" s="40">
        <v>9</v>
      </c>
      <c r="L27" t="s">
        <v>442</v>
      </c>
    </row>
    <row r="28" spans="2:12" x14ac:dyDescent="0.3">
      <c r="B28" t="s">
        <v>409</v>
      </c>
      <c r="C28" s="40">
        <v>8</v>
      </c>
      <c r="G28" s="42" t="s">
        <v>486</v>
      </c>
      <c r="H28" s="40">
        <v>1</v>
      </c>
      <c r="J28" t="s">
        <v>431</v>
      </c>
      <c r="K28" s="40">
        <v>13</v>
      </c>
      <c r="L28" t="s">
        <v>443</v>
      </c>
    </row>
    <row r="29" spans="2:12" x14ac:dyDescent="0.3">
      <c r="B29" t="s">
        <v>410</v>
      </c>
      <c r="C29" s="40">
        <v>9</v>
      </c>
      <c r="G29" s="42" t="s">
        <v>485</v>
      </c>
      <c r="H29" s="40">
        <v>2</v>
      </c>
      <c r="J29" t="s">
        <v>432</v>
      </c>
      <c r="K29" s="40">
        <v>16</v>
      </c>
      <c r="L29" t="s">
        <v>460</v>
      </c>
    </row>
    <row r="30" spans="2:12" x14ac:dyDescent="0.3">
      <c r="B30" t="s">
        <v>411</v>
      </c>
      <c r="C30" s="44" t="s">
        <v>412</v>
      </c>
      <c r="G30" s="42" t="s">
        <v>487</v>
      </c>
      <c r="H30" s="40">
        <v>3</v>
      </c>
      <c r="J30" t="s">
        <v>433</v>
      </c>
      <c r="K30" s="44" t="s">
        <v>536</v>
      </c>
      <c r="L30" t="s">
        <v>441</v>
      </c>
    </row>
    <row r="31" spans="2:12" x14ac:dyDescent="0.3">
      <c r="G31" s="42" t="s">
        <v>488</v>
      </c>
      <c r="H31" s="40">
        <v>4</v>
      </c>
    </row>
    <row r="32" spans="2:12" x14ac:dyDescent="0.3">
      <c r="B32" t="s">
        <v>463</v>
      </c>
      <c r="C32" s="47" t="s">
        <v>464</v>
      </c>
      <c r="D32" s="44"/>
      <c r="G32" s="42" t="s">
        <v>489</v>
      </c>
      <c r="H32" s="40">
        <v>5</v>
      </c>
      <c r="J32" s="24" t="s">
        <v>507</v>
      </c>
      <c r="K32" s="2" t="s">
        <v>440</v>
      </c>
    </row>
    <row r="33" spans="7:11" x14ac:dyDescent="0.3">
      <c r="K33" s="2" t="s">
        <v>435</v>
      </c>
    </row>
    <row r="34" spans="7:11" x14ac:dyDescent="0.3">
      <c r="G34" s="24" t="s">
        <v>510</v>
      </c>
      <c r="H34" s="2" t="s">
        <v>511</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101</v>
      </c>
    </row>
    <row r="6" spans="1:15" x14ac:dyDescent="0.3">
      <c r="J6" t="s">
        <v>99</v>
      </c>
    </row>
    <row r="7" spans="1:15" x14ac:dyDescent="0.3">
      <c r="B7" t="s">
        <v>89</v>
      </c>
      <c r="C7" t="s">
        <v>90</v>
      </c>
      <c r="D7" t="s">
        <v>91</v>
      </c>
      <c r="E7" t="s">
        <v>92</v>
      </c>
      <c r="F7" t="s">
        <v>93</v>
      </c>
      <c r="K7" t="s">
        <v>89</v>
      </c>
      <c r="L7" t="s">
        <v>90</v>
      </c>
      <c r="M7" t="s">
        <v>91</v>
      </c>
      <c r="N7" t="s">
        <v>92</v>
      </c>
      <c r="O7" t="s">
        <v>93</v>
      </c>
    </row>
    <row r="8" spans="1:15" x14ac:dyDescent="0.3">
      <c r="A8" t="s">
        <v>95</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96</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97</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94</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94</v>
      </c>
    </row>
    <row r="68" spans="8:9" x14ac:dyDescent="0.3">
      <c r="H68">
        <f>SUM(F20:F128)</f>
        <v>278227.11864406784</v>
      </c>
      <c r="I68" t="s">
        <v>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2025-10-13T19:52:08Z</dcterms:modified>
</cp:coreProperties>
</file>