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8800" windowHeight="16200"/>
  </bookViews>
  <sheets>
    <sheet name="Sheet1" sheetId="1" r:id="rId1"/>
    <sheet name="Sheet2" sheetId="2" r:id="rId2"/>
    <sheet name="Sheet3" sheetId="3" r:id="rId3"/>
    <sheet name="Sheet4" sheetId="4" r:id="rId4"/>
    <sheet name="Sheet5" sheetId="5" r:id="rId5"/>
  </sheets>
  <externalReferences>
    <externalReference r:id="rId6"/>
  </externalReferences>
  <definedNames>
    <definedName name="a">Sheet1!$B$26</definedName>
    <definedName name="aceleracion">Sheet1!$B$26</definedName>
    <definedName name="aceleracion_1">Sheet2!$A$7</definedName>
    <definedName name="aceleración_2">Sheet2!$A$20</definedName>
    <definedName name="aceleracion_3">Sheet2!$A$33</definedName>
    <definedName name="aceleracion_med">Sheet5!$M$7</definedName>
    <definedName name="aceleracion_media">Sheet5!$M$7</definedName>
    <definedName name="Angulo">Sheet1!$E$7</definedName>
    <definedName name="distancia_1">Sheet2!$G$10</definedName>
    <definedName name="distancia_2">Sheet2!$F$19</definedName>
    <definedName name="distancia_3">Sheet2!$A$30</definedName>
    <definedName name="Fk_1">Sheet1!$H$13</definedName>
    <definedName name="Fk_2">Sheet1!$H$15</definedName>
    <definedName name="Fn">Sheet1!$K$13</definedName>
    <definedName name="Fn_1">Sheet1!$K$13</definedName>
    <definedName name="Fn_2">Sheet1!$K$15</definedName>
    <definedName name="Gravedad">Sheet1!$E$6</definedName>
    <definedName name="Incremento">Sheet4!$E$2</definedName>
    <definedName name="mA">Sheet3!$B$14</definedName>
    <definedName name="mA_2">Sheet3!$B$26</definedName>
    <definedName name="mA_3">Sheet3!$B$37</definedName>
    <definedName name="Masa_1">Sheet1!$B$6</definedName>
    <definedName name="masa_2">Sheet1!$B$7</definedName>
    <definedName name="mB">Sheet3!$B$13</definedName>
    <definedName name="mB_2">Sheet3!$B$25</definedName>
    <definedName name="Mc1_">Sheet1!$H$6</definedName>
    <definedName name="Mc2_">Sheet1!$H$7</definedName>
    <definedName name="Peso_1">Sheet1!$B$13</definedName>
    <definedName name="Peso_2">Sheet1!$E$13</definedName>
    <definedName name="Peso_X1">Sheet1!$B$15</definedName>
    <definedName name="Peso_X2">Sheet1!$E$15</definedName>
    <definedName name="Peso_Y1">Sheet1!$B$17</definedName>
    <definedName name="Peso_Y2">Sheet1!$E$17</definedName>
    <definedName name="T">Sheet1!$K$6</definedName>
    <definedName name="T_1">Sheet5!$C$10</definedName>
    <definedName name="T_2">Sheet5!$C$22</definedName>
    <definedName name="tiempo_1">Sheet2!$A$10</definedName>
    <definedName name="tiempo_2">Sheet2!$M$19</definedName>
    <definedName name="tiempo_3">Sheet2!$M$28</definedName>
    <definedName name="tiempo_al_cuadrado">Sheet2!$I$7</definedName>
    <definedName name="Total_Fuerza_X2">Sheet1!$A$22</definedName>
    <definedName name="Total_Fuerzas_X">Sheet1!$A$20</definedName>
    <definedName name="V_final">Sheet5!$K$21</definedName>
    <definedName name="VAi">Sheet3!$B$16</definedName>
    <definedName name="VAi_3">Sheet3!$B$39</definedName>
    <definedName name="Val_1">Sheet5!$I$7</definedName>
    <definedName name="valor_1">Sheet5!$I$7</definedName>
    <definedName name="valor_a">Sheet4!$A$2</definedName>
    <definedName name="valor_b">Sheet4!$B$2</definedName>
    <definedName name="valor_c">Sheet4!$C$2</definedName>
    <definedName name="VBi">Sheet3!$B$15</definedName>
    <definedName name="velocidad_final">Sheet5!$K$21</definedName>
    <definedName name="velocidad_final_2">Sheet2!$A$23</definedName>
    <definedName name="velocidad_final_3">Sheet2!$F$29</definedName>
    <definedName name="Velocidad_inicial_1">Sheet2!$A$13</definedName>
    <definedName name="velocidad_inicial_2">Sheet2!$A$17</definedName>
    <definedName name="Velocidad_inicial_por_tiempo">Sheet2!$E$7</definedName>
    <definedName name="Vf">Sheet3!$B$29</definedName>
    <definedName name="VF_2">Sheet5!$E$12</definedName>
    <definedName name="Vf_3">Sheet3!$B$40</definedName>
    <definedName name="VI_2">Sheet5!$E$15</definedName>
    <definedName name="X_Inicial">Sheet4!$D$2</definedName>
    <definedName name="X_maximo">Sheet4!$E$23</definedName>
    <definedName name="X_minimo">Sheet4!$D$23</definedName>
    <definedName name="Y_maximo">Sheet4!$G$23</definedName>
    <definedName name="Y_minimo">Sheet4!$F$23</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5" l="1"/>
  <c r="C25" i="5"/>
  <c r="G21" i="5"/>
  <c r="E12" i="5"/>
  <c r="I7" i="5"/>
  <c r="M7" i="5"/>
  <c r="I21" i="5"/>
  <c r="K21" i="5"/>
  <c r="M23" i="5"/>
  <c r="I23" i="5"/>
  <c r="G23" i="5"/>
  <c r="C23" i="5"/>
  <c r="C15" i="5"/>
  <c r="C12" i="5"/>
  <c r="Q7" i="5"/>
  <c r="K7" i="5"/>
  <c r="Q6" i="5"/>
  <c r="G21"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6"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8" i="4"/>
  <c r="A7" i="4"/>
  <c r="A6" i="4"/>
  <c r="E2" i="4"/>
  <c r="D21" i="4" a="1"/>
  <c r="D21" i="4"/>
  <c r="G23" i="4"/>
  <c r="F23" i="4"/>
  <c r="E23" i="4"/>
  <c r="D23" i="4"/>
  <c r="E21" i="4"/>
  <c r="F21" i="4"/>
  <c r="F35" i="3"/>
  <c r="H25" i="3"/>
  <c r="H22" i="3"/>
  <c r="F15" i="3"/>
  <c r="F28" i="2"/>
  <c r="F29" i="2"/>
  <c r="N27" i="2"/>
  <c r="M28" i="2"/>
  <c r="L27" i="2"/>
  <c r="E18" i="2"/>
  <c r="G18" i="2"/>
  <c r="F19" i="2"/>
  <c r="F20" i="2"/>
  <c r="N18" i="2"/>
  <c r="M19" i="2"/>
  <c r="L18" i="2"/>
  <c r="N17" i="2"/>
  <c r="L17" i="2"/>
  <c r="T12" i="2"/>
  <c r="I7" i="2"/>
  <c r="H8" i="2"/>
  <c r="H9" i="2"/>
  <c r="E7" i="2"/>
  <c r="G10" i="2"/>
  <c r="G11" i="2"/>
  <c r="T10" i="2"/>
  <c r="E9" i="2"/>
  <c r="O7" i="2"/>
  <c r="O8" i="2"/>
  <c r="E8" i="2"/>
  <c r="T6" i="2"/>
  <c r="T7" i="2"/>
  <c r="N7" i="2"/>
  <c r="H7" i="2"/>
  <c r="B24" i="1"/>
  <c r="B22" i="1"/>
  <c r="B20" i="1"/>
  <c r="E13" i="1"/>
  <c r="E15" i="1"/>
  <c r="B13" i="1"/>
  <c r="B17" i="1"/>
  <c r="K13" i="1"/>
  <c r="H13" i="1"/>
  <c r="B15" i="1"/>
  <c r="A20" i="1"/>
  <c r="E17" i="1"/>
  <c r="K15" i="1"/>
  <c r="H15" i="1"/>
  <c r="A22" i="1"/>
  <c r="A24" i="1"/>
  <c r="B26" i="1"/>
  <c r="B28" i="1"/>
</calcChain>
</file>

<file path=xl/sharedStrings.xml><?xml version="1.0" encoding="utf-8"?>
<sst xmlns="http://schemas.openxmlformats.org/spreadsheetml/2006/main" count="229" uniqueCount="130">
  <si>
    <t>Datos</t>
  </si>
  <si>
    <t>Masa 1</t>
  </si>
  <si>
    <t>kg</t>
  </si>
  <si>
    <t>masa 2</t>
  </si>
  <si>
    <t>Aceleracion</t>
  </si>
  <si>
    <t>Peso 1</t>
  </si>
  <si>
    <t>Gravedad</t>
  </si>
  <si>
    <t>m/s2</t>
  </si>
  <si>
    <t>N</t>
  </si>
  <si>
    <t>Peso 2</t>
  </si>
  <si>
    <t>Peso X1</t>
  </si>
  <si>
    <t>Angulo</t>
  </si>
  <si>
    <t>grados</t>
  </si>
  <si>
    <t>Peso Y1</t>
  </si>
  <si>
    <t>Peso X2</t>
  </si>
  <si>
    <t>Peso Y2</t>
  </si>
  <si>
    <t>m*a</t>
  </si>
  <si>
    <t>Total Fuerzas X =</t>
  </si>
  <si>
    <t>Mc1</t>
  </si>
  <si>
    <t>Mc2</t>
  </si>
  <si>
    <t>Fk 1</t>
  </si>
  <si>
    <t>Fk 2</t>
  </si>
  <si>
    <t>Fn 1</t>
  </si>
  <si>
    <t>Fn 2</t>
  </si>
  <si>
    <t>*a</t>
  </si>
  <si>
    <t xml:space="preserve">Total Fuerza X2 = </t>
  </si>
  <si>
    <t>m/s^2</t>
  </si>
  <si>
    <t>Tencion</t>
  </si>
  <si>
    <t>Encontrar</t>
  </si>
  <si>
    <t>?</t>
  </si>
  <si>
    <t>Aceleracion       =</t>
  </si>
  <si>
    <t>Tiempo                =</t>
  </si>
  <si>
    <t>Dos bloques atados por una cuerda se deslizan hacia abajo por una pendiente de 10°. El bloque 2 tiene una masa de 0.8 kg</t>
  </si>
  <si>
    <t>y un coeficiente de rozamiento cinetico de 0.2. para el bloque superior la masa es de 0.25 kg y 0.3 de rozamiento. Determina</t>
  </si>
  <si>
    <t>a) el modulo y reccion de la aceleracion de los bloques y b) la tension de la cuerda.</t>
  </si>
  <si>
    <t>------------------------------------------------------------</t>
  </si>
  <si>
    <t>Un cohete es lanzado verticalmente hacia arriba con una aceleración de 20m/s2.Al cabo de 25 seg, el combustible se agota  y el cohete continua hasta llegar al suelo.</t>
  </si>
  <si>
    <t>a) ¿Llegará a 20 km de altura?, sino, determina la altura</t>
  </si>
  <si>
    <t>b) determina tiempo total que el cohete esta en el aire</t>
  </si>
  <si>
    <t>c)Calcula la velocidad del cohete antes de llegar al suelo</t>
  </si>
  <si>
    <t>Sistema 1</t>
  </si>
  <si>
    <t>Resultados</t>
  </si>
  <si>
    <t>aceleracion 1</t>
  </si>
  <si>
    <t>Distancia=(Velocidad inicial)(tiempo) + (aceleración)(tiempo)^2/2</t>
  </si>
  <si>
    <t>Velocidad final=SQRT velocidad inicial^2 + 2(aceleracion)(distancia)</t>
  </si>
  <si>
    <t>a)=</t>
  </si>
  <si>
    <t>m</t>
  </si>
  <si>
    <t>km</t>
  </si>
  <si>
    <t>velocidad final:</t>
  </si>
  <si>
    <t>m/s</t>
  </si>
  <si>
    <t>No llega a 20 km</t>
  </si>
  <si>
    <t>tiempo 1</t>
  </si>
  <si>
    <t>segundos</t>
  </si>
  <si>
    <t>distancia:</t>
  </si>
  <si>
    <t>b)=</t>
  </si>
  <si>
    <t>seg</t>
  </si>
  <si>
    <t>Velocidad inicial 1</t>
  </si>
  <si>
    <t>c)=</t>
  </si>
  <si>
    <t>Sistema 2</t>
  </si>
  <si>
    <t>velocidad inicial 2</t>
  </si>
  <si>
    <t>Velocidad final= SQRT velocidad inicial^2 + 2 (aceleracion)(distancia)</t>
  </si>
  <si>
    <t>tiempo= distancia/(velocidad final + velocidad inicial)/2</t>
  </si>
  <si>
    <t>distancia = -velocidad inicial^2/2(aceleracion)</t>
  </si>
  <si>
    <t>/</t>
  </si>
  <si>
    <t>-</t>
  </si>
  <si>
    <t>aceleración 2</t>
  </si>
  <si>
    <t>tiempo:</t>
  </si>
  <si>
    <t>velocidad final 2</t>
  </si>
  <si>
    <t>Sistema 3</t>
  </si>
  <si>
    <t>velocidad inicial 3</t>
  </si>
  <si>
    <t>Velocidad final= SQRT 2 (aceleracion)(distancia)</t>
  </si>
  <si>
    <t>distancia 3</t>
  </si>
  <si>
    <t>velocidad final=</t>
  </si>
  <si>
    <t>aceleracion 3</t>
  </si>
  <si>
    <t>( a )</t>
  </si>
  <si>
    <t>Planteamiento de la formula y despeje</t>
  </si>
  <si>
    <t xml:space="preserve">mB= </t>
  </si>
  <si>
    <t xml:space="preserve">mA=  </t>
  </si>
  <si>
    <t>mB VBi + mA VAi =  ( mA + mB ) Vf</t>
  </si>
  <si>
    <t xml:space="preserve">VBi= </t>
  </si>
  <si>
    <t xml:space="preserve"> m/s</t>
  </si>
  <si>
    <t>VAi=</t>
  </si>
  <si>
    <t>Vf= mB VB + mA VA / mA + mB</t>
  </si>
  <si>
    <t>Vf=</t>
  </si>
  <si>
    <t>( b )</t>
  </si>
  <si>
    <t>Planteamiento de la formula</t>
  </si>
  <si>
    <r>
      <t>Ksist i= kBi = 1/2mB V</t>
    </r>
    <r>
      <rPr>
        <sz val="11"/>
        <color theme="1"/>
        <rFont val="Calibri"/>
        <family val="2"/>
      </rPr>
      <t>Bi²</t>
    </r>
  </si>
  <si>
    <t>Ksist i=</t>
  </si>
  <si>
    <t>J</t>
  </si>
  <si>
    <r>
      <t>Ksist f= 1/2 (mB + mA)Vf</t>
    </r>
    <r>
      <rPr>
        <sz val="11"/>
        <color theme="1"/>
        <rFont val="Calibri"/>
        <family val="2"/>
      </rPr>
      <t>²</t>
    </r>
  </si>
  <si>
    <t>Ksist f=</t>
  </si>
  <si>
    <r>
      <rPr>
        <sz val="14"/>
        <color theme="1"/>
        <rFont val="Calibri"/>
        <family val="2"/>
        <scheme val="minor"/>
      </rPr>
      <t>I</t>
    </r>
    <r>
      <rPr>
        <sz val="10"/>
        <color theme="1"/>
        <rFont val="Calibri"/>
        <family val="2"/>
        <scheme val="minor"/>
      </rPr>
      <t xml:space="preserve">de B sobre A = </t>
    </r>
    <r>
      <rPr>
        <sz val="10"/>
        <color theme="1"/>
        <rFont val="Calibri"/>
        <family val="2"/>
      </rPr>
      <t>Δ</t>
    </r>
    <r>
      <rPr>
        <sz val="14"/>
        <color theme="1"/>
        <rFont val="Calibri"/>
        <family val="2"/>
      </rPr>
      <t>P</t>
    </r>
    <r>
      <rPr>
        <sz val="9"/>
        <color theme="1"/>
        <rFont val="Calibri"/>
        <family val="2"/>
      </rPr>
      <t xml:space="preserve">A </t>
    </r>
    <r>
      <rPr>
        <sz val="11"/>
        <color theme="1"/>
        <rFont val="Calibri"/>
        <family val="2"/>
      </rPr>
      <t>= mA Δ</t>
    </r>
    <r>
      <rPr>
        <sz val="11"/>
        <color theme="1"/>
        <rFont val="Calibri"/>
        <family val="2"/>
        <scheme val="minor"/>
      </rPr>
      <t>VA</t>
    </r>
  </si>
  <si>
    <t xml:space="preserve">Ide B sobre A = </t>
  </si>
  <si>
    <t>N*s</t>
  </si>
  <si>
    <t>A</t>
  </si>
  <si>
    <t>B</t>
  </si>
  <si>
    <t>C</t>
  </si>
  <si>
    <t>X inicial</t>
  </si>
  <si>
    <t>Incremento</t>
  </si>
  <si>
    <t>x</t>
  </si>
  <si>
    <t>y</t>
  </si>
  <si>
    <t>ECUACION</t>
  </si>
  <si>
    <t>X minimo</t>
  </si>
  <si>
    <t>X maximo</t>
  </si>
  <si>
    <t>Y minimo</t>
  </si>
  <si>
    <t>Y maximo</t>
  </si>
  <si>
    <t xml:space="preserve"> </t>
  </si>
  <si>
    <t>Un coche deportivo acelera con la 3era marcha de 48.3km/h a 80.5km/h en 3.70 seg</t>
  </si>
  <si>
    <r>
      <t>a) Cual es su aceleracion media en m/s</t>
    </r>
    <r>
      <rPr>
        <sz val="11"/>
        <color theme="1"/>
        <rFont val="Calibri"/>
        <family val="2"/>
      </rPr>
      <t>^2</t>
    </r>
  </si>
  <si>
    <t>b)Si el coche continua con esta aceleracion otro segundo, cual sera su velocidad?</t>
  </si>
  <si>
    <t>Aceleracion media = velocidad finall - velocidad inicial/ tiempo</t>
  </si>
  <si>
    <t>a)</t>
  </si>
  <si>
    <t>valor</t>
  </si>
  <si>
    <t>unidades</t>
  </si>
  <si>
    <t>Aceleracion media=</t>
  </si>
  <si>
    <t>=</t>
  </si>
  <si>
    <t>b)</t>
  </si>
  <si>
    <t>Velocidad inicial=</t>
  </si>
  <si>
    <t>km/h</t>
  </si>
  <si>
    <t>Velocidad final=</t>
  </si>
  <si>
    <t>tiempo=</t>
  </si>
  <si>
    <t>m/min</t>
  </si>
  <si>
    <t>Velocidad media = velocidad inicial + velocidad final /2</t>
  </si>
  <si>
    <t>Velocidad final= velocidad inicial + (aceleracion)(tiempo)</t>
  </si>
  <si>
    <t>datos</t>
  </si>
  <si>
    <t>vf=</t>
  </si>
  <si>
    <t>+</t>
  </si>
  <si>
    <t>aceleracion=</t>
  </si>
  <si>
    <t>vm=</t>
  </si>
  <si>
    <t>velocidad inicial=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</si>
</sst>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1"/>
      <color theme="1"/>
      <name val="Arial"/>
      <family val="2"/>
    </font>
    <font>
      <sz val="11"/>
      <color theme="1"/>
      <name val="Calibri"/>
      <family val="2"/>
    </font>
    <font>
      <sz val="14"/>
      <color theme="1"/>
      <name val="Calibri"/>
      <family val="2"/>
      <scheme val="minor"/>
    </font>
    <font>
      <sz val="10"/>
      <color theme="1"/>
      <name val="Calibri"/>
      <family val="2"/>
      <scheme val="minor"/>
    </font>
    <font>
      <sz val="10"/>
      <color theme="1"/>
      <name val="Calibri"/>
      <family val="2"/>
    </font>
    <font>
      <sz val="14"/>
      <color theme="1"/>
      <name val="Calibri"/>
      <family val="2"/>
    </font>
    <font>
      <sz val="9"/>
      <color theme="1"/>
      <name val="Calibri"/>
      <family val="2"/>
    </font>
    <font>
      <sz val="18"/>
      <color theme="9" tint="-0.249977111117893"/>
      <name val="Jokerman"/>
      <family val="5"/>
    </font>
    <font>
      <u/>
      <sz val="11"/>
      <color theme="10"/>
      <name val="Calibri"/>
      <family val="2"/>
      <scheme val="minor"/>
    </font>
    <font>
      <u/>
      <sz val="11"/>
      <color theme="11"/>
      <name val="Calibri"/>
      <family val="2"/>
      <scheme val="minor"/>
    </font>
    <font>
      <sz val="8"/>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tint="0.59999389629810485"/>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theme="8" tint="-0.249977111117893"/>
      </right>
      <top style="thin">
        <color auto="1"/>
      </top>
      <bottom style="thin">
        <color auto="1"/>
      </bottom>
      <diagonal/>
    </border>
    <border>
      <left style="thin">
        <color auto="1"/>
      </left>
      <right/>
      <top/>
      <bottom style="thin">
        <color theme="8" tint="-0.249977111117893"/>
      </bottom>
      <diagonal/>
    </border>
    <border>
      <left style="thin">
        <color auto="1"/>
      </left>
      <right style="thin">
        <color auto="1"/>
      </right>
      <top style="thin">
        <color auto="1"/>
      </top>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8">
    <xf numFmtId="0" fontId="0" fillId="0" borderId="0" xfId="0"/>
    <xf numFmtId="0" fontId="0" fillId="11" borderId="0" xfId="0" applyFill="1"/>
    <xf numFmtId="0" fontId="5" fillId="12" borderId="0" xfId="0" applyFont="1" applyFill="1" applyAlignment="1">
      <alignment horizontal="center" vertical="center"/>
    </xf>
    <xf numFmtId="0" fontId="0" fillId="12" borderId="0" xfId="0" applyFill="1"/>
    <xf numFmtId="0" fontId="0" fillId="12" borderId="0" xfId="0" applyFill="1" applyAlignment="1">
      <alignment vertical="center"/>
    </xf>
    <xf numFmtId="12" fontId="5" fillId="12" borderId="0" xfId="0" applyNumberFormat="1" applyFont="1" applyFill="1" applyAlignment="1">
      <alignment horizontal="center" vertical="center"/>
    </xf>
    <xf numFmtId="0" fontId="0" fillId="12" borderId="0" xfId="0" applyFill="1" applyAlignment="1">
      <alignment horizontal="center" vertical="center"/>
    </xf>
    <xf numFmtId="0" fontId="0" fillId="12" borderId="0" xfId="0" applyFill="1" applyAlignment="1">
      <alignment horizontal="right"/>
    </xf>
    <xf numFmtId="164" fontId="0" fillId="12" borderId="0" xfId="0" applyNumberFormat="1" applyFill="1" applyAlignment="1">
      <alignment horizontal="right" vertical="center"/>
    </xf>
    <xf numFmtId="0" fontId="0" fillId="13" borderId="0" xfId="0" applyFill="1" applyAlignment="1">
      <alignment vertical="center"/>
    </xf>
    <xf numFmtId="0" fontId="0" fillId="13" borderId="0" xfId="0" applyFill="1"/>
    <xf numFmtId="0" fontId="5" fillId="13" borderId="0" xfId="0" applyFont="1" applyFill="1" applyAlignment="1">
      <alignment horizontal="center" vertical="center"/>
    </xf>
    <xf numFmtId="12" fontId="5" fillId="13" borderId="0" xfId="0" applyNumberFormat="1" applyFont="1" applyFill="1" applyAlignment="1">
      <alignment horizontal="center" vertical="center"/>
    </xf>
    <xf numFmtId="0" fontId="0" fillId="13" borderId="0" xfId="0" applyFill="1" applyAlignment="1">
      <alignment horizontal="center" vertical="center"/>
    </xf>
    <xf numFmtId="0" fontId="0" fillId="13" borderId="0" xfId="0" applyFill="1" applyAlignment="1">
      <alignment horizontal="right" vertical="center"/>
    </xf>
    <xf numFmtId="0" fontId="0" fillId="13" borderId="0" xfId="0" applyFill="1" applyAlignment="1">
      <alignment horizontal="right"/>
    </xf>
    <xf numFmtId="0" fontId="4" fillId="4" borderId="0" xfId="3"/>
    <xf numFmtId="0" fontId="2" fillId="2" borderId="0" xfId="1"/>
    <xf numFmtId="0" fontId="2" fillId="2" borderId="0" xfId="1" applyAlignment="1">
      <alignment horizontal="right"/>
    </xf>
    <xf numFmtId="0" fontId="1" fillId="9" borderId="0" xfId="8"/>
    <xf numFmtId="0" fontId="1" fillId="7" borderId="0" xfId="6"/>
    <xf numFmtId="0" fontId="3" fillId="3" borderId="0" xfId="2"/>
    <xf numFmtId="0" fontId="3" fillId="3" borderId="0" xfId="2" quotePrefix="1"/>
    <xf numFmtId="0" fontId="0" fillId="0" borderId="3" xfId="0" applyBorder="1"/>
    <xf numFmtId="0" fontId="12" fillId="0" borderId="0" xfId="0" applyFont="1"/>
    <xf numFmtId="0" fontId="1" fillId="5" borderId="0" xfId="4"/>
    <xf numFmtId="0" fontId="1" fillId="5" borderId="0" xfId="4" applyAlignment="1">
      <alignment horizontal="center"/>
    </xf>
    <xf numFmtId="0" fontId="1" fillId="8" borderId="0" xfId="7"/>
    <xf numFmtId="0" fontId="1" fillId="6" borderId="0" xfId="5"/>
    <xf numFmtId="0" fontId="1" fillId="10" borderId="0" xfId="9"/>
    <xf numFmtId="0" fontId="1" fillId="10" borderId="0" xfId="9" applyAlignment="1">
      <alignment horizontal="center"/>
    </xf>
    <xf numFmtId="0" fontId="1" fillId="6" borderId="0" xfId="5" applyAlignment="1">
      <alignment horizontal="center"/>
    </xf>
    <xf numFmtId="0" fontId="3" fillId="3" borderId="1" xfId="2" applyBorder="1"/>
    <xf numFmtId="0" fontId="4" fillId="4" borderId="4" xfId="3" applyBorder="1"/>
    <xf numFmtId="0" fontId="4" fillId="4" borderId="1" xfId="3" applyBorder="1"/>
    <xf numFmtId="0" fontId="2" fillId="2" borderId="1" xfId="1" applyBorder="1"/>
    <xf numFmtId="0" fontId="2" fillId="2" borderId="2" xfId="1" applyBorder="1"/>
    <xf numFmtId="0" fontId="4" fillId="4" borderId="1" xfId="3" applyBorder="1" applyAlignment="1">
      <alignment horizontal="center"/>
    </xf>
  </cellXfs>
  <cellStyles count="12">
    <cellStyle name="20% - Accent3" xfId="6" builtinId="38"/>
    <cellStyle name="20% - Accent5" xfId="8" builtinId="46"/>
    <cellStyle name="40% - Accent1" xfId="4" builtinId="31"/>
    <cellStyle name="40% - Accent2" xfId="5" builtinId="35"/>
    <cellStyle name="40% - Accent4" xfId="7" builtinId="43"/>
    <cellStyle name="40% - Accent6" xfId="9" builtinId="51"/>
    <cellStyle name="Bad" xfId="2" builtinId="27"/>
    <cellStyle name="Followed Hyperlink" xfId="11" builtinId="9" hidden="1"/>
    <cellStyle name="Good" xfId="1" builtinId="26"/>
    <cellStyle name="Hyperlink" xfId="10" builtinId="8" hidden="1"/>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[1]Hoja1!$B$5</c:f>
              <c:strCache>
                <c:ptCount val="1"/>
                <c:pt idx="0">
                  <c:v>y</c:v>
                </c:pt>
              </c:strCache>
            </c:strRef>
          </c:tx>
          <c:spPr>
            <a:ln w="28575">
              <a:noFill/>
            </a:ln>
          </c:spPr>
          <c:trendline>
            <c:trendlineType val="poly"/>
            <c:order val="2"/>
            <c:dispRSqr val="1"/>
            <c:dispEq val="1"/>
            <c:trendlineLbl>
              <c:layout>
                <c:manualLayout>
                  <c:x val="0.238302263499114"/>
                  <c:y val="-0.188780478527141"/>
                </c:manualLayout>
              </c:layout>
              <c:numFmt formatCode="General" sourceLinked="0"/>
            </c:trendlineLbl>
          </c:trendline>
          <c:xVal>
            <c:numRef>
              <c:f>[1]Hoja1!$A$6:$A$47</c:f>
              <c:numCache>
                <c:formatCode>General</c:formatCode>
                <c:ptCount val="42"/>
                <c:pt idx="0">
                  <c:v>-40.0</c:v>
                </c:pt>
                <c:pt idx="1">
                  <c:v>-37.0</c:v>
                </c:pt>
                <c:pt idx="2">
                  <c:v>-34.0</c:v>
                </c:pt>
                <c:pt idx="3">
                  <c:v>-31.0</c:v>
                </c:pt>
                <c:pt idx="4">
                  <c:v>-28.0</c:v>
                </c:pt>
                <c:pt idx="5">
                  <c:v>-25.0</c:v>
                </c:pt>
                <c:pt idx="6">
                  <c:v>-22.0</c:v>
                </c:pt>
                <c:pt idx="7">
                  <c:v>-19.0</c:v>
                </c:pt>
                <c:pt idx="8">
                  <c:v>-16.0</c:v>
                </c:pt>
                <c:pt idx="9">
                  <c:v>-13.0</c:v>
                </c:pt>
                <c:pt idx="10">
                  <c:v>-10.0</c:v>
                </c:pt>
                <c:pt idx="11">
                  <c:v>-7.0</c:v>
                </c:pt>
                <c:pt idx="12">
                  <c:v>-4.0</c:v>
                </c:pt>
                <c:pt idx="13">
                  <c:v>-1.0</c:v>
                </c:pt>
                <c:pt idx="14">
                  <c:v>2.0</c:v>
                </c:pt>
                <c:pt idx="15">
                  <c:v>5.0</c:v>
                </c:pt>
                <c:pt idx="16">
                  <c:v>8.0</c:v>
                </c:pt>
                <c:pt idx="17">
                  <c:v>11.0</c:v>
                </c:pt>
                <c:pt idx="18">
                  <c:v>14.0</c:v>
                </c:pt>
                <c:pt idx="19">
                  <c:v>17.0</c:v>
                </c:pt>
                <c:pt idx="20">
                  <c:v>20.0</c:v>
                </c:pt>
                <c:pt idx="21">
                  <c:v>23.0</c:v>
                </c:pt>
                <c:pt idx="22">
                  <c:v>26.0</c:v>
                </c:pt>
                <c:pt idx="23">
                  <c:v>29.0</c:v>
                </c:pt>
                <c:pt idx="24">
                  <c:v>32.0</c:v>
                </c:pt>
                <c:pt idx="25">
                  <c:v>35.0</c:v>
                </c:pt>
                <c:pt idx="26">
                  <c:v>38.0</c:v>
                </c:pt>
                <c:pt idx="27">
                  <c:v>41.0</c:v>
                </c:pt>
                <c:pt idx="28">
                  <c:v>44.0</c:v>
                </c:pt>
                <c:pt idx="29">
                  <c:v>47.0</c:v>
                </c:pt>
                <c:pt idx="30">
                  <c:v>50.0</c:v>
                </c:pt>
                <c:pt idx="31">
                  <c:v>53.0</c:v>
                </c:pt>
                <c:pt idx="32">
                  <c:v>56.0</c:v>
                </c:pt>
                <c:pt idx="33">
                  <c:v>59.0</c:v>
                </c:pt>
                <c:pt idx="34">
                  <c:v>62.0</c:v>
                </c:pt>
                <c:pt idx="35">
                  <c:v>65.0</c:v>
                </c:pt>
                <c:pt idx="36">
                  <c:v>68.0</c:v>
                </c:pt>
                <c:pt idx="37">
                  <c:v>71.0</c:v>
                </c:pt>
                <c:pt idx="38">
                  <c:v>74.0</c:v>
                </c:pt>
                <c:pt idx="39">
                  <c:v>77.0</c:v>
                </c:pt>
                <c:pt idx="40">
                  <c:v>80.0</c:v>
                </c:pt>
                <c:pt idx="41">
                  <c:v>83.0</c:v>
                </c:pt>
              </c:numCache>
            </c:numRef>
          </c:xVal>
          <c:yVal>
            <c:numRef>
              <c:f>[1]Hoja1!$B$6:$B$47</c:f>
              <c:numCache>
                <c:formatCode>General</c:formatCode>
                <c:ptCount val="42"/>
                <c:pt idx="0">
                  <c:v>3008.0</c:v>
                </c:pt>
                <c:pt idx="1">
                  <c:v>2561.0</c:v>
                </c:pt>
                <c:pt idx="2">
                  <c:v>2150.0</c:v>
                </c:pt>
                <c:pt idx="3">
                  <c:v>1775.0</c:v>
                </c:pt>
                <c:pt idx="4">
                  <c:v>1436.0</c:v>
                </c:pt>
                <c:pt idx="5">
                  <c:v>1133.0</c:v>
                </c:pt>
                <c:pt idx="6">
                  <c:v>866.0</c:v>
                </c:pt>
                <c:pt idx="7">
                  <c:v>635.0</c:v>
                </c:pt>
                <c:pt idx="8">
                  <c:v>440.0</c:v>
                </c:pt>
                <c:pt idx="9">
                  <c:v>281.0</c:v>
                </c:pt>
                <c:pt idx="10">
                  <c:v>158.0</c:v>
                </c:pt>
                <c:pt idx="11">
                  <c:v>71.0</c:v>
                </c:pt>
                <c:pt idx="12">
                  <c:v>20.0</c:v>
                </c:pt>
                <c:pt idx="13">
                  <c:v>5.0</c:v>
                </c:pt>
                <c:pt idx="14">
                  <c:v>26.0</c:v>
                </c:pt>
                <c:pt idx="15">
                  <c:v>83.0</c:v>
                </c:pt>
                <c:pt idx="16">
                  <c:v>176.0</c:v>
                </c:pt>
                <c:pt idx="17">
                  <c:v>305.0</c:v>
                </c:pt>
                <c:pt idx="18">
                  <c:v>470.0</c:v>
                </c:pt>
                <c:pt idx="19">
                  <c:v>671.0</c:v>
                </c:pt>
                <c:pt idx="20">
                  <c:v>908.0</c:v>
                </c:pt>
                <c:pt idx="21">
                  <c:v>1181.0</c:v>
                </c:pt>
                <c:pt idx="22">
                  <c:v>1490.0</c:v>
                </c:pt>
                <c:pt idx="23">
                  <c:v>1835.0</c:v>
                </c:pt>
                <c:pt idx="24">
                  <c:v>2216.0</c:v>
                </c:pt>
                <c:pt idx="25">
                  <c:v>2633.0</c:v>
                </c:pt>
                <c:pt idx="26">
                  <c:v>3086.0</c:v>
                </c:pt>
                <c:pt idx="27">
                  <c:v>3575.0</c:v>
                </c:pt>
                <c:pt idx="28">
                  <c:v>4100.0</c:v>
                </c:pt>
                <c:pt idx="29">
                  <c:v>4661.0</c:v>
                </c:pt>
                <c:pt idx="30">
                  <c:v>5258.0</c:v>
                </c:pt>
                <c:pt idx="31">
                  <c:v>5891.0</c:v>
                </c:pt>
                <c:pt idx="32">
                  <c:v>6560.0</c:v>
                </c:pt>
                <c:pt idx="33">
                  <c:v>7265.0</c:v>
                </c:pt>
                <c:pt idx="34">
                  <c:v>8006.0</c:v>
                </c:pt>
                <c:pt idx="35">
                  <c:v>8783.0</c:v>
                </c:pt>
                <c:pt idx="36">
                  <c:v>9596.0</c:v>
                </c:pt>
                <c:pt idx="37">
                  <c:v>10445.0</c:v>
                </c:pt>
                <c:pt idx="38">
                  <c:v>11330.0</c:v>
                </c:pt>
                <c:pt idx="39">
                  <c:v>12251.0</c:v>
                </c:pt>
                <c:pt idx="40">
                  <c:v>13208.0</c:v>
                </c:pt>
                <c:pt idx="41">
                  <c:v>14201.0</c:v>
                </c:pt>
              </c:numCache>
            </c:numRef>
          </c:yVal>
          <c:smooth val="0"/>
        </c:ser>
        <c:dLbls>
          <c:showLegendKey val="0"/>
          <c:showVal val="0"/>
          <c:showCatName val="0"/>
          <c:showSerName val="0"/>
          <c:showPercent val="0"/>
          <c:showBubbleSize val="0"/>
        </c:dLbls>
        <c:axId val="2099881160"/>
        <c:axId val="2100760600"/>
      </c:scatterChart>
      <c:valAx>
        <c:axId val="2099881160"/>
        <c:scaling>
          <c:orientation val="minMax"/>
        </c:scaling>
        <c:delete val="0"/>
        <c:axPos val="b"/>
        <c:numFmt formatCode="General" sourceLinked="1"/>
        <c:majorTickMark val="out"/>
        <c:minorTickMark val="none"/>
        <c:tickLblPos val="nextTo"/>
        <c:crossAx val="2100760600"/>
        <c:crosses val="autoZero"/>
        <c:crossBetween val="midCat"/>
      </c:valAx>
      <c:valAx>
        <c:axId val="2100760600"/>
        <c:scaling>
          <c:orientation val="minMax"/>
        </c:scaling>
        <c:delete val="0"/>
        <c:axPos val="l"/>
        <c:majorGridlines/>
        <c:numFmt formatCode="General" sourceLinked="1"/>
        <c:majorTickMark val="out"/>
        <c:minorTickMark val="none"/>
        <c:tickLblPos val="nextTo"/>
        <c:crossAx val="209988116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9753600" cy="830997"/>
    <xdr:sp macro="" textlink="">
      <xdr:nvSpPr>
        <xdr:cNvPr id="4" name="CuadroTexto 1"/>
        <xdr:cNvSpPr txBox="1"/>
      </xdr:nvSpPr>
      <xdr:spPr>
        <a:xfrm>
          <a:off x="0" y="177800"/>
          <a:ext cx="9753600" cy="8309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en-US" sz="1200" b="0" cap="none" spc="0">
              <a:ln w="0"/>
              <a:solidFill>
                <a:schemeClr val="tx1"/>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Un astronauta de masa 60 kg da un paseo espacial para reparar un satelite de comunicaciones. De pronto necesita consultar el manual de reparaciones. Un compañero de equipo se lo lanza </a:t>
          </a:r>
          <a:r>
            <a:rPr lang="en-US" sz="1200" b="0" cap="none" spc="0" baseline="0">
              <a:ln w="0"/>
              <a:solidFill>
                <a:schemeClr val="tx1"/>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 con una velocidad de 4 m/s relativa al vehiculo espacial. Ella se encuentra en reposo respecto al vehiculo espacial justo antes de atrapar el libro, de masa 3,0 kg. Determinar (a) la velocidad de la astronauta  justo despues de atrapar el libro, (b) la energia mecanica unicial y final del sistema libro-astronauta y ( c ) el impulso ejercido por el libro sobre el autronauta.</a:t>
          </a:r>
          <a:endParaRPr lang="en-US" sz="1200" b="0" cap="none" spc="0">
            <a:ln w="0"/>
            <a:solidFill>
              <a:schemeClr val="tx1"/>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723900</xdr:colOff>
      <xdr:row>4</xdr:row>
      <xdr:rowOff>57150</xdr:rowOff>
    </xdr:from>
    <xdr:to>
      <xdr:col>8</xdr:col>
      <xdr:colOff>609600</xdr:colOff>
      <xdr:row>18</xdr:row>
      <xdr:rowOff>19050</xdr:rowOff>
    </xdr:to>
    <xdr:graphicFrame macro="">
      <xdr:nvGraphicFramePr>
        <xdr:cNvPr id="2"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nzamiento%20parabolico.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ja1"/>
      <sheetName val="Hoja2"/>
      <sheetName val="Hoja3"/>
    </sheetNames>
    <sheetDataSet>
      <sheetData sheetId="0">
        <row r="5">
          <cell r="B5" t="str">
            <v>y</v>
          </cell>
        </row>
        <row r="6">
          <cell r="A6">
            <v>-40</v>
          </cell>
          <cell r="B6">
            <v>3008</v>
          </cell>
        </row>
        <row r="7">
          <cell r="A7">
            <v>-37</v>
          </cell>
          <cell r="B7">
            <v>2561</v>
          </cell>
        </row>
        <row r="8">
          <cell r="A8">
            <v>-34</v>
          </cell>
          <cell r="B8">
            <v>2150</v>
          </cell>
        </row>
        <row r="9">
          <cell r="A9">
            <v>-31</v>
          </cell>
          <cell r="B9">
            <v>1775</v>
          </cell>
        </row>
        <row r="10">
          <cell r="A10">
            <v>-28</v>
          </cell>
          <cell r="B10">
            <v>1436</v>
          </cell>
        </row>
        <row r="11">
          <cell r="A11">
            <v>-25</v>
          </cell>
          <cell r="B11">
            <v>1133</v>
          </cell>
        </row>
        <row r="12">
          <cell r="A12">
            <v>-22</v>
          </cell>
          <cell r="B12">
            <v>866</v>
          </cell>
        </row>
        <row r="13">
          <cell r="A13">
            <v>-19</v>
          </cell>
          <cell r="B13">
            <v>635</v>
          </cell>
        </row>
        <row r="14">
          <cell r="A14">
            <v>-16</v>
          </cell>
          <cell r="B14">
            <v>440</v>
          </cell>
        </row>
        <row r="15">
          <cell r="A15">
            <v>-13</v>
          </cell>
          <cell r="B15">
            <v>281</v>
          </cell>
        </row>
        <row r="16">
          <cell r="A16">
            <v>-10</v>
          </cell>
          <cell r="B16">
            <v>158</v>
          </cell>
        </row>
        <row r="17">
          <cell r="A17">
            <v>-7</v>
          </cell>
          <cell r="B17">
            <v>71</v>
          </cell>
        </row>
        <row r="18">
          <cell r="A18">
            <v>-4</v>
          </cell>
          <cell r="B18">
            <v>20</v>
          </cell>
        </row>
        <row r="19">
          <cell r="A19">
            <v>-1</v>
          </cell>
          <cell r="B19">
            <v>5</v>
          </cell>
        </row>
        <row r="20">
          <cell r="A20">
            <v>2</v>
          </cell>
          <cell r="B20">
            <v>26</v>
          </cell>
        </row>
        <row r="21">
          <cell r="A21">
            <v>5</v>
          </cell>
          <cell r="B21">
            <v>83</v>
          </cell>
        </row>
        <row r="22">
          <cell r="A22">
            <v>8</v>
          </cell>
          <cell r="B22">
            <v>176</v>
          </cell>
        </row>
        <row r="23">
          <cell r="A23">
            <v>11</v>
          </cell>
          <cell r="B23">
            <v>305</v>
          </cell>
        </row>
        <row r="24">
          <cell r="A24">
            <v>14</v>
          </cell>
          <cell r="B24">
            <v>470</v>
          </cell>
        </row>
        <row r="25">
          <cell r="A25">
            <v>17</v>
          </cell>
          <cell r="B25">
            <v>671</v>
          </cell>
        </row>
        <row r="26">
          <cell r="A26">
            <v>20</v>
          </cell>
          <cell r="B26">
            <v>908</v>
          </cell>
        </row>
        <row r="27">
          <cell r="A27">
            <v>23</v>
          </cell>
          <cell r="B27">
            <v>1181</v>
          </cell>
        </row>
        <row r="28">
          <cell r="A28">
            <v>26</v>
          </cell>
          <cell r="B28">
            <v>1490</v>
          </cell>
        </row>
        <row r="29">
          <cell r="A29">
            <v>29</v>
          </cell>
          <cell r="B29">
            <v>1835</v>
          </cell>
        </row>
        <row r="30">
          <cell r="A30">
            <v>32</v>
          </cell>
          <cell r="B30">
            <v>2216</v>
          </cell>
        </row>
        <row r="31">
          <cell r="A31">
            <v>35</v>
          </cell>
          <cell r="B31">
            <v>2633</v>
          </cell>
        </row>
        <row r="32">
          <cell r="A32">
            <v>38</v>
          </cell>
          <cell r="B32">
            <v>3086</v>
          </cell>
        </row>
        <row r="33">
          <cell r="A33">
            <v>41</v>
          </cell>
          <cell r="B33">
            <v>3575</v>
          </cell>
        </row>
        <row r="34">
          <cell r="A34">
            <v>44</v>
          </cell>
          <cell r="B34">
            <v>4100</v>
          </cell>
        </row>
        <row r="35">
          <cell r="A35">
            <v>47</v>
          </cell>
          <cell r="B35">
            <v>4661</v>
          </cell>
        </row>
        <row r="36">
          <cell r="A36">
            <v>50</v>
          </cell>
          <cell r="B36">
            <v>5258</v>
          </cell>
        </row>
        <row r="37">
          <cell r="A37">
            <v>53</v>
          </cell>
          <cell r="B37">
            <v>5891</v>
          </cell>
        </row>
        <row r="38">
          <cell r="A38">
            <v>56</v>
          </cell>
          <cell r="B38">
            <v>6560</v>
          </cell>
        </row>
        <row r="39">
          <cell r="A39">
            <v>59</v>
          </cell>
          <cell r="B39">
            <v>7265</v>
          </cell>
        </row>
        <row r="40">
          <cell r="A40">
            <v>62</v>
          </cell>
          <cell r="B40">
            <v>8006</v>
          </cell>
        </row>
        <row r="41">
          <cell r="A41">
            <v>65</v>
          </cell>
          <cell r="B41">
            <v>8783</v>
          </cell>
        </row>
        <row r="42">
          <cell r="A42">
            <v>68</v>
          </cell>
          <cell r="B42">
            <v>9596</v>
          </cell>
        </row>
        <row r="43">
          <cell r="A43">
            <v>71</v>
          </cell>
          <cell r="B43">
            <v>10445</v>
          </cell>
        </row>
        <row r="44">
          <cell r="A44">
            <v>74</v>
          </cell>
          <cell r="B44">
            <v>11330</v>
          </cell>
        </row>
        <row r="45">
          <cell r="A45">
            <v>77</v>
          </cell>
          <cell r="B45">
            <v>12251</v>
          </cell>
        </row>
        <row r="46">
          <cell r="A46">
            <v>80</v>
          </cell>
          <cell r="B46">
            <v>13208</v>
          </cell>
        </row>
        <row r="47">
          <cell r="A47">
            <v>83</v>
          </cell>
          <cell r="B47">
            <v>14201</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
  <sheetViews>
    <sheetView tabSelected="1" workbookViewId="0">
      <selection activeCell="E34" sqref="E34"/>
    </sheetView>
  </sheetViews>
  <sheetFormatPr baseColWidth="10" defaultRowHeight="14" x14ac:dyDescent="0"/>
  <cols>
    <col min="1" max="1" width="18.5" customWidth="1"/>
    <col min="2" max="2" width="11.83203125" bestFit="1" customWidth="1"/>
    <col min="6" max="6" width="9.6640625" customWidth="1"/>
    <col min="7" max="7" width="7" customWidth="1"/>
    <col min="8" max="8" width="5.83203125" customWidth="1"/>
    <col min="9" max="9" width="11.83203125" bestFit="1" customWidth="1"/>
    <col min="12" max="12" width="11.83203125" bestFit="1" customWidth="1"/>
  </cols>
  <sheetData>
    <row r="2" spans="1:12">
      <c r="A2" t="s">
        <v>32</v>
      </c>
    </row>
    <row r="3" spans="1:12">
      <c r="A3" t="s">
        <v>33</v>
      </c>
    </row>
    <row r="4" spans="1:12">
      <c r="A4" t="s">
        <v>34</v>
      </c>
    </row>
    <row r="5" spans="1:12" ht="15">
      <c r="A5" s="19" t="s">
        <v>0</v>
      </c>
      <c r="B5" s="19"/>
      <c r="C5" s="19"/>
      <c r="D5" s="19"/>
      <c r="E5" s="19"/>
      <c r="F5" s="19"/>
      <c r="G5" s="19"/>
      <c r="H5" s="19"/>
    </row>
    <row r="6" spans="1:12" ht="15">
      <c r="A6" s="19" t="s">
        <v>1</v>
      </c>
      <c r="B6" s="19">
        <v>0.25</v>
      </c>
      <c r="C6" s="19" t="s">
        <v>2</v>
      </c>
      <c r="D6" s="19" t="s">
        <v>6</v>
      </c>
      <c r="E6" s="19">
        <v>9.8000000000000007</v>
      </c>
      <c r="F6" s="19" t="s">
        <v>7</v>
      </c>
      <c r="G6" s="19" t="s">
        <v>18</v>
      </c>
      <c r="H6" s="19">
        <v>0.3</v>
      </c>
    </row>
    <row r="7" spans="1:12" ht="15">
      <c r="A7" s="19" t="s">
        <v>3</v>
      </c>
      <c r="B7" s="19">
        <v>0.8</v>
      </c>
      <c r="C7" s="19" t="s">
        <v>2</v>
      </c>
      <c r="D7" s="19" t="s">
        <v>11</v>
      </c>
      <c r="E7" s="19">
        <v>10</v>
      </c>
      <c r="F7" s="19" t="s">
        <v>12</v>
      </c>
      <c r="G7" s="19" t="s">
        <v>19</v>
      </c>
      <c r="H7" s="19">
        <v>0.2</v>
      </c>
    </row>
    <row r="9" spans="1:12" ht="15">
      <c r="A9" s="16" t="s">
        <v>28</v>
      </c>
      <c r="B9" s="16"/>
    </row>
    <row r="10" spans="1:12" ht="15">
      <c r="A10" s="16" t="s">
        <v>30</v>
      </c>
      <c r="B10" s="16" t="s">
        <v>29</v>
      </c>
    </row>
    <row r="11" spans="1:12" ht="15">
      <c r="A11" s="16" t="s">
        <v>31</v>
      </c>
      <c r="B11" s="16" t="s">
        <v>29</v>
      </c>
    </row>
    <row r="13" spans="1:12" ht="15">
      <c r="A13" s="21" t="s">
        <v>5</v>
      </c>
      <c r="B13" s="21">
        <f>PRODUCT(Masa_1,Gravedad)</f>
        <v>2.4500000000000002</v>
      </c>
      <c r="C13" s="21" t="s">
        <v>8</v>
      </c>
      <c r="D13" s="21" t="s">
        <v>9</v>
      </c>
      <c r="E13" s="21">
        <f>PRODUCT(masa_2,Gravedad)</f>
        <v>7.8400000000000007</v>
      </c>
      <c r="F13" s="21" t="s">
        <v>8</v>
      </c>
      <c r="G13" s="21" t="s">
        <v>20</v>
      </c>
      <c r="H13" s="21">
        <f>PRODUCT(Mc1_,Fn_1)</f>
        <v>0.72383369846397294</v>
      </c>
      <c r="I13" s="21" t="s">
        <v>8</v>
      </c>
      <c r="J13" s="21" t="s">
        <v>22</v>
      </c>
      <c r="K13" s="21">
        <f>Peso_Y1</f>
        <v>2.4127789948799099</v>
      </c>
      <c r="L13" s="21" t="s">
        <v>8</v>
      </c>
    </row>
    <row r="14" spans="1:12" ht="15">
      <c r="A14" s="21"/>
      <c r="B14" s="21"/>
      <c r="C14" s="21"/>
      <c r="D14" s="21"/>
      <c r="E14" s="21"/>
      <c r="F14" s="21"/>
      <c r="G14" s="21"/>
      <c r="H14" s="21"/>
      <c r="I14" s="21"/>
      <c r="J14" s="21"/>
      <c r="K14" s="21"/>
      <c r="L14" s="21"/>
    </row>
    <row r="15" spans="1:12" ht="15">
      <c r="A15" s="21" t="s">
        <v>10</v>
      </c>
      <c r="B15" s="21">
        <f>PRODUCT(Peso_1,SIN(RADIANS(Angulo)))</f>
        <v>0.42543803528397933</v>
      </c>
      <c r="C15" s="21" t="s">
        <v>8</v>
      </c>
      <c r="D15" s="21" t="s">
        <v>14</v>
      </c>
      <c r="E15" s="21">
        <f>PRODUCT(Peso_2,SIN(RADIANS(Angulo)))</f>
        <v>1.3614017129087339</v>
      </c>
      <c r="F15" s="21" t="s">
        <v>8</v>
      </c>
      <c r="G15" s="21" t="s">
        <v>21</v>
      </c>
      <c r="H15" s="21">
        <f>PRODUCT(Mc2_,Fn_2)</f>
        <v>1.5441785567231425</v>
      </c>
      <c r="I15" s="21" t="s">
        <v>8</v>
      </c>
      <c r="J15" s="21" t="s">
        <v>23</v>
      </c>
      <c r="K15" s="21">
        <f>Peso_Y2</f>
        <v>7.720892783615712</v>
      </c>
      <c r="L15" s="21" t="s">
        <v>8</v>
      </c>
    </row>
    <row r="16" spans="1:12" ht="15">
      <c r="A16" s="21"/>
      <c r="B16" s="21"/>
      <c r="C16" s="21"/>
      <c r="D16" s="21"/>
      <c r="E16" s="21"/>
      <c r="F16" s="21"/>
      <c r="G16" s="21"/>
      <c r="H16" s="21"/>
      <c r="I16" s="21"/>
      <c r="J16" s="21"/>
      <c r="K16" s="21"/>
      <c r="L16" s="21"/>
    </row>
    <row r="17" spans="1:12" ht="15">
      <c r="A17" s="21" t="s">
        <v>13</v>
      </c>
      <c r="B17" s="21">
        <f>PRODUCT(Peso_1,COS(RADIANS(Angulo)))</f>
        <v>2.4127789948799099</v>
      </c>
      <c r="C17" s="21" t="s">
        <v>8</v>
      </c>
      <c r="D17" s="21" t="s">
        <v>15</v>
      </c>
      <c r="E17" s="21">
        <f>PRODUCT(Peso_2,COS(RADIANS(Angulo)))</f>
        <v>7.720892783615712</v>
      </c>
      <c r="F17" s="21" t="s">
        <v>8</v>
      </c>
      <c r="G17" s="21"/>
      <c r="H17" s="21"/>
      <c r="I17" s="21"/>
      <c r="J17" s="21"/>
      <c r="K17" s="21"/>
      <c r="L17" s="21"/>
    </row>
    <row r="18" spans="1:12" ht="15">
      <c r="A18" s="21"/>
      <c r="B18" s="21"/>
      <c r="C18" s="21"/>
      <c r="D18" s="21"/>
      <c r="E18" s="21"/>
      <c r="F18" s="21"/>
      <c r="G18" s="21"/>
      <c r="H18" s="21"/>
      <c r="I18" s="21"/>
      <c r="J18" s="21"/>
      <c r="K18" s="21"/>
      <c r="L18" s="21"/>
    </row>
    <row r="19" spans="1:12" ht="15">
      <c r="A19" s="21" t="s">
        <v>17</v>
      </c>
      <c r="B19" s="21" t="s">
        <v>16</v>
      </c>
      <c r="C19" s="21"/>
      <c r="D19" s="21"/>
      <c r="E19" s="21"/>
      <c r="F19" s="21"/>
      <c r="G19" s="21"/>
      <c r="H19" s="21"/>
      <c r="I19" s="21"/>
      <c r="J19" s="21"/>
      <c r="K19" s="21"/>
      <c r="L19" s="21"/>
    </row>
    <row r="20" spans="1:12" ht="15">
      <c r="A20" s="21">
        <f xml:space="preserve"> (Peso_X1-Fk_1)</f>
        <v>-0.29839566317999361</v>
      </c>
      <c r="B20" s="21">
        <f>Masa_1</f>
        <v>0.25</v>
      </c>
      <c r="C20" s="21" t="s">
        <v>24</v>
      </c>
      <c r="D20" s="21"/>
      <c r="E20" s="21"/>
      <c r="F20" s="21"/>
      <c r="G20" s="21"/>
      <c r="H20" s="21"/>
      <c r="I20" s="21"/>
      <c r="J20" s="21"/>
      <c r="K20" s="21"/>
      <c r="L20" s="21"/>
    </row>
    <row r="21" spans="1:12" ht="15">
      <c r="A21" s="21" t="s">
        <v>25</v>
      </c>
      <c r="B21" s="21" t="s">
        <v>16</v>
      </c>
      <c r="C21" s="21"/>
      <c r="D21" s="21"/>
      <c r="E21" s="21"/>
      <c r="F21" s="21"/>
      <c r="G21" s="21"/>
      <c r="H21" s="21"/>
      <c r="I21" s="21"/>
      <c r="J21" s="21"/>
      <c r="K21" s="21"/>
      <c r="L21" s="21"/>
    </row>
    <row r="22" spans="1:12" ht="15">
      <c r="A22" s="21">
        <f>Peso_X2-Fk_2</f>
        <v>-0.18277684381440862</v>
      </c>
      <c r="B22" s="21">
        <f>masa_2</f>
        <v>0.8</v>
      </c>
      <c r="C22" s="21" t="s">
        <v>24</v>
      </c>
      <c r="D22" s="21"/>
      <c r="E22" s="21"/>
      <c r="F22" s="21"/>
      <c r="G22" s="21"/>
      <c r="H22" s="21"/>
      <c r="I22" s="21"/>
      <c r="J22" s="21"/>
      <c r="K22" s="21"/>
      <c r="L22" s="21"/>
    </row>
    <row r="23" spans="1:12" ht="15">
      <c r="A23" s="22" t="s">
        <v>35</v>
      </c>
      <c r="B23" s="21"/>
      <c r="C23" s="21"/>
      <c r="D23" s="21"/>
      <c r="E23" s="21"/>
      <c r="F23" s="21"/>
      <c r="G23" s="21"/>
      <c r="H23" s="21"/>
      <c r="I23" s="21"/>
      <c r="J23" s="21"/>
      <c r="K23" s="21"/>
      <c r="L23" s="21"/>
    </row>
    <row r="24" spans="1:12" ht="15">
      <c r="A24" s="21">
        <f>Total_Fuerzas_X+Total_Fuerza_X2</f>
        <v>-0.48117250699440223</v>
      </c>
      <c r="B24" s="21">
        <f>Masa_1+masa_2</f>
        <v>1.05</v>
      </c>
      <c r="C24" s="21" t="s">
        <v>24</v>
      </c>
      <c r="D24" s="21"/>
      <c r="E24" s="21"/>
      <c r="F24" s="21"/>
      <c r="G24" s="21"/>
      <c r="H24" s="21"/>
      <c r="I24" s="21"/>
      <c r="J24" s="21"/>
      <c r="K24" s="21"/>
      <c r="L24" s="21"/>
    </row>
    <row r="26" spans="1:12" ht="15">
      <c r="A26" s="17" t="s">
        <v>4</v>
      </c>
      <c r="B26" s="17">
        <f>A24/B24</f>
        <v>-0.45825953047085927</v>
      </c>
      <c r="C26" s="17" t="s">
        <v>26</v>
      </c>
    </row>
    <row r="27" spans="1:12" ht="15">
      <c r="A27" s="17"/>
      <c r="B27" s="17"/>
      <c r="C27" s="17"/>
    </row>
    <row r="28" spans="1:12" ht="15">
      <c r="A28" s="17" t="s">
        <v>27</v>
      </c>
      <c r="B28" s="17">
        <f>PRODUCT(Masa_1*aceleracion+Fk_1-Peso_X1)</f>
        <v>0.18383078056227881</v>
      </c>
      <c r="C28" s="17" t="s">
        <v>8</v>
      </c>
    </row>
  </sheetData>
  <phoneticPr fontId="15" type="noConversion"/>
  <pageMargins left="0.7" right="0.7" top="0.75" bottom="0.75" header="0.3" footer="0.3"/>
  <pageSetup scale="65" orientation="portrait" horizontalDpi="4294967293" verticalDpi="4294967293"/>
  <rowBreaks count="1" manualBreakCount="1">
    <brk id="29" max="16383" man="1"/>
  </rowBreaks>
  <colBreaks count="1" manualBreakCount="1">
    <brk id="12"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workbookViewId="0">
      <selection activeCell="E34" sqref="E34"/>
    </sheetView>
  </sheetViews>
  <sheetFormatPr baseColWidth="10" defaultRowHeight="14" x14ac:dyDescent="0"/>
  <sheetData>
    <row r="1" spans="1:21">
      <c r="A1" t="s">
        <v>36</v>
      </c>
    </row>
    <row r="2" spans="1:21">
      <c r="A2" t="s">
        <v>37</v>
      </c>
    </row>
    <row r="3" spans="1:21">
      <c r="A3" t="s">
        <v>38</v>
      </c>
    </row>
    <row r="4" spans="1:21">
      <c r="A4" t="s">
        <v>39</v>
      </c>
    </row>
    <row r="5" spans="1:21" ht="15">
      <c r="A5" s="19" t="s">
        <v>40</v>
      </c>
      <c r="B5" s="19"/>
      <c r="C5" s="19"/>
      <c r="D5" s="19"/>
      <c r="E5" s="19"/>
      <c r="F5" s="19"/>
      <c r="G5" s="19"/>
      <c r="H5" s="19"/>
      <c r="I5" s="19"/>
      <c r="J5" s="19"/>
      <c r="K5" s="19"/>
      <c r="L5" s="19"/>
      <c r="M5" s="19"/>
      <c r="N5" s="19"/>
      <c r="O5" s="19"/>
      <c r="P5" s="19"/>
      <c r="Q5" s="19"/>
      <c r="S5" s="20" t="s">
        <v>41</v>
      </c>
      <c r="T5" s="20"/>
      <c r="U5" s="20"/>
    </row>
    <row r="6" spans="1:21" ht="15">
      <c r="A6" s="19" t="s">
        <v>42</v>
      </c>
      <c r="B6" s="19"/>
      <c r="C6" s="19"/>
      <c r="D6" s="19" t="s">
        <v>43</v>
      </c>
      <c r="E6" s="19"/>
      <c r="F6" s="19"/>
      <c r="G6" s="19"/>
      <c r="H6" s="19"/>
      <c r="I6" s="19"/>
      <c r="J6" s="19"/>
      <c r="K6" s="19" t="s">
        <v>44</v>
      </c>
      <c r="L6" s="19"/>
      <c r="M6" s="19"/>
      <c r="N6" s="19"/>
      <c r="O6" s="19"/>
      <c r="P6" s="19"/>
      <c r="Q6" s="19"/>
      <c r="S6" s="20" t="s">
        <v>45</v>
      </c>
      <c r="T6" s="20">
        <f>SUM(distancia_1,distancia_2)</f>
        <v>19005.102040816324</v>
      </c>
      <c r="U6" s="20" t="s">
        <v>46</v>
      </c>
    </row>
    <row r="7" spans="1:21" ht="15">
      <c r="A7" s="19">
        <v>20</v>
      </c>
      <c r="B7" s="19" t="s">
        <v>26</v>
      </c>
      <c r="C7" s="19"/>
      <c r="D7" s="19"/>
      <c r="E7" s="19">
        <f>PRODUCT(Velocidad_inicial_1,tiempo_1)</f>
        <v>0</v>
      </c>
      <c r="F7" s="19"/>
      <c r="G7" s="19"/>
      <c r="H7" s="19">
        <f>aceleracion_1</f>
        <v>20</v>
      </c>
      <c r="I7" s="19">
        <f>PRODUCT(tiempo_1)^2</f>
        <v>625</v>
      </c>
      <c r="J7" s="19"/>
      <c r="K7" s="19"/>
      <c r="L7" s="19"/>
      <c r="M7" s="19"/>
      <c r="N7" s="19">
        <f>Velocidad_inicial_1^2</f>
        <v>0</v>
      </c>
      <c r="O7" s="19">
        <f>PRODUCT(aceleracion_1,distancia_1,2)</f>
        <v>250000</v>
      </c>
      <c r="P7" s="19"/>
      <c r="Q7" s="19"/>
      <c r="S7" s="20"/>
      <c r="T7" s="20">
        <f>T6/1000</f>
        <v>19.005102040816325</v>
      </c>
      <c r="U7" s="20" t="s">
        <v>47</v>
      </c>
    </row>
    <row r="8" spans="1:21" ht="15">
      <c r="A8" s="19"/>
      <c r="B8" s="19"/>
      <c r="C8" s="19"/>
      <c r="D8" s="19"/>
      <c r="E8" s="19">
        <f>Velocidad_inicial_por_tiempo</f>
        <v>0</v>
      </c>
      <c r="F8" s="19"/>
      <c r="G8" s="19"/>
      <c r="H8" s="19">
        <f>PRODUCT(aceleracion_1,tiempo_al_cuadrado)</f>
        <v>12500</v>
      </c>
      <c r="I8" s="19"/>
      <c r="J8" s="19"/>
      <c r="K8" s="19"/>
      <c r="L8" s="19"/>
      <c r="M8" s="19" t="s">
        <v>48</v>
      </c>
      <c r="N8" s="19"/>
      <c r="O8" s="19">
        <f>SQRT(O7)</f>
        <v>500</v>
      </c>
      <c r="P8" s="19" t="s">
        <v>49</v>
      </c>
      <c r="Q8" s="19"/>
      <c r="S8" s="20"/>
      <c r="T8" s="20" t="s">
        <v>50</v>
      </c>
      <c r="U8" s="20"/>
    </row>
    <row r="9" spans="1:21" ht="15">
      <c r="A9" s="19" t="s">
        <v>51</v>
      </c>
      <c r="B9" s="19"/>
      <c r="C9" s="19"/>
      <c r="D9" s="19"/>
      <c r="E9" s="19">
        <f>Velocidad_inicial_por_tiempo</f>
        <v>0</v>
      </c>
      <c r="F9" s="19"/>
      <c r="G9" s="19"/>
      <c r="H9" s="19">
        <f>H8/2</f>
        <v>6250</v>
      </c>
      <c r="I9" s="19"/>
      <c r="J9" s="19"/>
      <c r="K9" s="19"/>
      <c r="L9" s="19"/>
      <c r="M9" s="19"/>
      <c r="N9" s="19"/>
      <c r="O9" s="19"/>
      <c r="P9" s="19"/>
      <c r="Q9" s="19"/>
      <c r="S9" s="20"/>
      <c r="T9" s="20"/>
      <c r="U9" s="20"/>
    </row>
    <row r="10" spans="1:21" ht="15">
      <c r="A10" s="19">
        <v>25</v>
      </c>
      <c r="B10" s="19" t="s">
        <v>52</v>
      </c>
      <c r="C10" s="19"/>
      <c r="D10" s="19"/>
      <c r="E10" s="19"/>
      <c r="F10" s="19" t="s">
        <v>53</v>
      </c>
      <c r="G10" s="19">
        <f>SUM(H9,Velocidad_inicial_por_tiempo)</f>
        <v>6250</v>
      </c>
      <c r="H10" s="19" t="s">
        <v>46</v>
      </c>
      <c r="I10" s="19"/>
      <c r="J10" s="19"/>
      <c r="K10" s="19"/>
      <c r="L10" s="19"/>
      <c r="M10" s="19"/>
      <c r="N10" s="19"/>
      <c r="O10" s="19"/>
      <c r="P10" s="19"/>
      <c r="Q10" s="19"/>
      <c r="S10" s="20" t="s">
        <v>54</v>
      </c>
      <c r="T10" s="20">
        <f>tiempo_1+tiempo_2+tiempo_3</f>
        <v>138.29858595108618</v>
      </c>
      <c r="U10" s="20" t="s">
        <v>55</v>
      </c>
    </row>
    <row r="11" spans="1:21" ht="15">
      <c r="A11" s="19"/>
      <c r="B11" s="19"/>
      <c r="C11" s="19"/>
      <c r="D11" s="19"/>
      <c r="E11" s="19"/>
      <c r="F11" s="19"/>
      <c r="G11" s="19">
        <f>distancia_1/1000</f>
        <v>6.25</v>
      </c>
      <c r="H11" s="19" t="s">
        <v>47</v>
      </c>
      <c r="I11" s="19"/>
      <c r="J11" s="19"/>
      <c r="K11" s="19"/>
      <c r="L11" s="19"/>
      <c r="M11" s="19"/>
      <c r="N11" s="19"/>
      <c r="O11" s="19"/>
      <c r="P11" s="19"/>
      <c r="Q11" s="19"/>
      <c r="S11" s="20"/>
      <c r="T11" s="20"/>
      <c r="U11" s="20"/>
    </row>
    <row r="12" spans="1:21" ht="15">
      <c r="A12" s="19" t="s">
        <v>56</v>
      </c>
      <c r="B12" s="19"/>
      <c r="C12" s="19"/>
      <c r="D12" s="19"/>
      <c r="E12" s="19"/>
      <c r="F12" s="19"/>
      <c r="G12" s="19"/>
      <c r="H12" s="19"/>
      <c r="I12" s="19"/>
      <c r="J12" s="19"/>
      <c r="K12" s="19"/>
      <c r="L12" s="19"/>
      <c r="M12" s="19"/>
      <c r="N12" s="19"/>
      <c r="O12" s="19"/>
      <c r="P12" s="19"/>
      <c r="Q12" s="19"/>
      <c r="S12" s="20" t="s">
        <v>57</v>
      </c>
      <c r="T12" s="20">
        <f>velocidad_final_3</f>
        <v>610.32614232064486</v>
      </c>
      <c r="U12" s="20" t="s">
        <v>49</v>
      </c>
    </row>
    <row r="13" spans="1:21" ht="15">
      <c r="A13" s="19">
        <v>0</v>
      </c>
      <c r="B13" s="19" t="s">
        <v>49</v>
      </c>
      <c r="C13" s="19"/>
      <c r="D13" s="19"/>
      <c r="E13" s="19"/>
      <c r="F13" s="19"/>
      <c r="G13" s="19"/>
      <c r="H13" s="19"/>
      <c r="I13" s="19"/>
      <c r="J13" s="19"/>
      <c r="K13" s="19"/>
      <c r="L13" s="19"/>
      <c r="M13" s="19"/>
      <c r="N13" s="19"/>
      <c r="O13" s="19"/>
      <c r="P13" s="19"/>
      <c r="Q13" s="19"/>
    </row>
    <row r="15" spans="1:21" ht="15">
      <c r="A15" s="17" t="s">
        <v>58</v>
      </c>
      <c r="B15" s="17"/>
      <c r="C15" s="17"/>
      <c r="D15" s="17"/>
      <c r="E15" s="17"/>
      <c r="F15" s="17"/>
      <c r="G15" s="17"/>
      <c r="H15" s="17"/>
      <c r="I15" s="17"/>
      <c r="J15" s="17"/>
      <c r="K15" s="17"/>
      <c r="L15" s="17"/>
      <c r="M15" s="17"/>
      <c r="N15" s="17"/>
      <c r="O15" s="17"/>
      <c r="P15" s="17"/>
      <c r="Q15" s="17"/>
    </row>
    <row r="16" spans="1:21" ht="15">
      <c r="A16" s="17" t="s">
        <v>59</v>
      </c>
      <c r="B16" s="17"/>
      <c r="C16" s="17"/>
      <c r="D16" s="17" t="s">
        <v>60</v>
      </c>
      <c r="E16" s="17"/>
      <c r="F16" s="17"/>
      <c r="G16" s="17"/>
      <c r="H16" s="17"/>
      <c r="I16" s="17"/>
      <c r="J16" s="17"/>
      <c r="K16" s="17" t="s">
        <v>61</v>
      </c>
      <c r="L16" s="17"/>
      <c r="M16" s="17"/>
      <c r="N16" s="17"/>
      <c r="O16" s="17"/>
      <c r="P16" s="17"/>
      <c r="Q16" s="17"/>
    </row>
    <row r="17" spans="1:17" ht="15">
      <c r="A17" s="17">
        <v>500</v>
      </c>
      <c r="B17" s="17" t="s">
        <v>49</v>
      </c>
      <c r="C17" s="17"/>
      <c r="D17" s="17" t="s">
        <v>62</v>
      </c>
      <c r="E17" s="17"/>
      <c r="F17" s="17"/>
      <c r="G17" s="17"/>
      <c r="H17" s="17"/>
      <c r="I17" s="17"/>
      <c r="J17" s="17"/>
      <c r="K17" s="17"/>
      <c r="L17" s="17">
        <f>distancia_2</f>
        <v>12755.102040816326</v>
      </c>
      <c r="M17" s="17" t="s">
        <v>63</v>
      </c>
      <c r="N17" s="17">
        <f>velocidad_final_2+velocidad_inicial_2</f>
        <v>500</v>
      </c>
      <c r="O17" s="17" t="s">
        <v>63</v>
      </c>
      <c r="P17" s="17">
        <v>2</v>
      </c>
      <c r="Q17" s="17"/>
    </row>
    <row r="18" spans="1:17" ht="15">
      <c r="A18" s="17"/>
      <c r="B18" s="17"/>
      <c r="C18" s="17"/>
      <c r="D18" s="18" t="s">
        <v>64</v>
      </c>
      <c r="E18" s="17">
        <f>velocidad_inicial_2^2</f>
        <v>250000</v>
      </c>
      <c r="F18" s="17" t="s">
        <v>63</v>
      </c>
      <c r="G18" s="17">
        <f>PRODUCT(aceleración_2,2)</f>
        <v>19.600000000000001</v>
      </c>
      <c r="H18" s="17"/>
      <c r="I18" s="17"/>
      <c r="J18" s="17"/>
      <c r="K18" s="17"/>
      <c r="L18" s="17">
        <f>distancia_2</f>
        <v>12755.102040816326</v>
      </c>
      <c r="M18" s="17" t="s">
        <v>63</v>
      </c>
      <c r="N18" s="17">
        <f>velocidad_inicial_2/2</f>
        <v>250</v>
      </c>
      <c r="O18" s="17"/>
      <c r="P18" s="17"/>
      <c r="Q18" s="17"/>
    </row>
    <row r="19" spans="1:17" ht="15">
      <c r="A19" s="17" t="s">
        <v>65</v>
      </c>
      <c r="B19" s="17"/>
      <c r="C19" s="17"/>
      <c r="D19" s="17"/>
      <c r="E19" s="17" t="s">
        <v>53</v>
      </c>
      <c r="F19" s="17">
        <f>E18/G18</f>
        <v>12755.102040816326</v>
      </c>
      <c r="G19" s="17" t="s">
        <v>46</v>
      </c>
      <c r="H19" s="17"/>
      <c r="I19" s="17"/>
      <c r="J19" s="17"/>
      <c r="K19" s="17"/>
      <c r="L19" s="17" t="s">
        <v>66</v>
      </c>
      <c r="M19" s="17">
        <f>distancia_2/N18</f>
        <v>51.020408163265301</v>
      </c>
      <c r="N19" s="17" t="s">
        <v>55</v>
      </c>
      <c r="O19" s="17"/>
      <c r="P19" s="17"/>
      <c r="Q19" s="17"/>
    </row>
    <row r="20" spans="1:17" ht="15">
      <c r="A20" s="17">
        <v>9.8000000000000007</v>
      </c>
      <c r="B20" s="17" t="s">
        <v>26</v>
      </c>
      <c r="C20" s="17"/>
      <c r="D20" s="17"/>
      <c r="E20" s="17"/>
      <c r="F20" s="17">
        <f>distancia_2/1000</f>
        <v>12.755102040816325</v>
      </c>
      <c r="G20" s="17" t="s">
        <v>47</v>
      </c>
      <c r="H20" s="17"/>
      <c r="I20" s="17"/>
      <c r="J20" s="17"/>
      <c r="K20" s="17"/>
      <c r="L20" s="17"/>
      <c r="M20" s="17"/>
      <c r="N20" s="17"/>
      <c r="O20" s="17"/>
      <c r="P20" s="17"/>
      <c r="Q20" s="17"/>
    </row>
    <row r="21" spans="1:17" ht="15">
      <c r="A21" s="17"/>
      <c r="B21" s="17"/>
      <c r="C21" s="17"/>
      <c r="D21" s="17"/>
      <c r="E21" s="17"/>
      <c r="F21" s="17"/>
      <c r="G21" s="17"/>
      <c r="H21" s="17"/>
      <c r="I21" s="17"/>
      <c r="J21" s="17"/>
      <c r="K21" s="17"/>
      <c r="L21" s="17"/>
      <c r="M21" s="17"/>
      <c r="N21" s="17"/>
      <c r="O21" s="17"/>
      <c r="P21" s="17"/>
      <c r="Q21" s="17"/>
    </row>
    <row r="22" spans="1:17" ht="15">
      <c r="A22" s="17" t="s">
        <v>67</v>
      </c>
      <c r="B22" s="17"/>
      <c r="C22" s="17"/>
      <c r="D22" s="17"/>
      <c r="E22" s="17"/>
      <c r="F22" s="17"/>
      <c r="G22" s="17"/>
      <c r="H22" s="17"/>
      <c r="I22" s="17"/>
      <c r="J22" s="17"/>
      <c r="K22" s="17"/>
      <c r="L22" s="17"/>
      <c r="M22" s="17"/>
      <c r="N22" s="17"/>
      <c r="O22" s="17"/>
      <c r="P22" s="17"/>
      <c r="Q22" s="17"/>
    </row>
    <row r="23" spans="1:17" ht="15">
      <c r="A23" s="17">
        <v>0</v>
      </c>
      <c r="B23" s="17" t="s">
        <v>49</v>
      </c>
      <c r="C23" s="17"/>
      <c r="D23" s="17"/>
      <c r="E23" s="17"/>
      <c r="F23" s="17"/>
      <c r="G23" s="17"/>
      <c r="H23" s="17"/>
      <c r="I23" s="17"/>
      <c r="J23" s="17"/>
      <c r="K23" s="17"/>
      <c r="L23" s="17"/>
      <c r="M23" s="17"/>
      <c r="N23" s="17"/>
      <c r="O23" s="17"/>
      <c r="P23" s="17"/>
      <c r="Q23" s="17"/>
    </row>
    <row r="25" spans="1:17" ht="15">
      <c r="A25" s="16" t="s">
        <v>68</v>
      </c>
      <c r="B25" s="16"/>
      <c r="C25" s="16"/>
      <c r="D25" s="16"/>
      <c r="E25" s="16"/>
      <c r="F25" s="16"/>
      <c r="G25" s="16"/>
      <c r="H25" s="16"/>
      <c r="I25" s="16"/>
      <c r="J25" s="16"/>
      <c r="K25" s="16"/>
      <c r="L25" s="16"/>
      <c r="M25" s="16"/>
      <c r="N25" s="16"/>
      <c r="O25" s="16"/>
      <c r="P25" s="16"/>
      <c r="Q25" s="16"/>
    </row>
    <row r="26" spans="1:17" ht="15">
      <c r="A26" s="16" t="s">
        <v>69</v>
      </c>
      <c r="B26" s="16"/>
      <c r="C26" s="16"/>
      <c r="D26" s="16" t="s">
        <v>60</v>
      </c>
      <c r="E26" s="16"/>
      <c r="F26" s="16"/>
      <c r="G26" s="16"/>
      <c r="H26" s="16"/>
      <c r="I26" s="16"/>
      <c r="J26" s="16"/>
      <c r="K26" s="16" t="s">
        <v>61</v>
      </c>
      <c r="L26" s="16"/>
      <c r="M26" s="16"/>
      <c r="N26" s="16"/>
      <c r="O26" s="16"/>
      <c r="P26" s="16"/>
      <c r="Q26" s="16"/>
    </row>
    <row r="27" spans="1:17" ht="15">
      <c r="A27" s="16">
        <v>0</v>
      </c>
      <c r="B27" s="16" t="s">
        <v>49</v>
      </c>
      <c r="C27" s="16"/>
      <c r="D27" s="16" t="s">
        <v>70</v>
      </c>
      <c r="E27" s="16"/>
      <c r="F27" s="16"/>
      <c r="G27" s="16"/>
      <c r="H27" s="16"/>
      <c r="I27" s="16"/>
      <c r="J27" s="16"/>
      <c r="K27" s="16"/>
      <c r="L27" s="16">
        <f>distancia_3</f>
        <v>19005</v>
      </c>
      <c r="M27" s="16" t="s">
        <v>63</v>
      </c>
      <c r="N27" s="16">
        <f>velocidad_final_3/2</f>
        <v>305.16307116032243</v>
      </c>
      <c r="O27" s="16"/>
      <c r="P27" s="16"/>
      <c r="Q27" s="16"/>
    </row>
    <row r="28" spans="1:17" ht="15">
      <c r="A28" s="16"/>
      <c r="B28" s="16"/>
      <c r="C28" s="16"/>
      <c r="D28" s="16"/>
      <c r="E28" s="16"/>
      <c r="F28" s="16">
        <f>PRODUCT(aceleracion_3,distancia_3,2)</f>
        <v>372498</v>
      </c>
      <c r="G28" s="16"/>
      <c r="H28" s="16"/>
      <c r="I28" s="16"/>
      <c r="J28" s="16"/>
      <c r="K28" s="16"/>
      <c r="L28" s="16" t="s">
        <v>66</v>
      </c>
      <c r="M28" s="16">
        <f>distancia_3/N27</f>
        <v>62.278177787820894</v>
      </c>
      <c r="N28" s="16" t="s">
        <v>55</v>
      </c>
      <c r="O28" s="16"/>
      <c r="P28" s="16"/>
      <c r="Q28" s="16"/>
    </row>
    <row r="29" spans="1:17" ht="15">
      <c r="A29" s="16" t="s">
        <v>71</v>
      </c>
      <c r="B29" s="16"/>
      <c r="C29" s="16"/>
      <c r="D29" s="16" t="s">
        <v>72</v>
      </c>
      <c r="E29" s="16"/>
      <c r="F29" s="16">
        <f>SQRT(F28)</f>
        <v>610.32614232064486</v>
      </c>
      <c r="G29" s="16" t="s">
        <v>49</v>
      </c>
      <c r="H29" s="16"/>
      <c r="I29" s="16"/>
      <c r="J29" s="16"/>
      <c r="K29" s="16"/>
      <c r="L29" s="16"/>
      <c r="M29" s="16"/>
      <c r="N29" s="16"/>
      <c r="O29" s="16"/>
      <c r="P29" s="16"/>
      <c r="Q29" s="16"/>
    </row>
    <row r="30" spans="1:17" ht="15">
      <c r="A30" s="16">
        <v>19005</v>
      </c>
      <c r="B30" s="16" t="s">
        <v>46</v>
      </c>
      <c r="C30" s="16"/>
      <c r="D30" s="16"/>
      <c r="E30" s="16"/>
      <c r="F30" s="16"/>
      <c r="G30" s="16"/>
      <c r="H30" s="16"/>
      <c r="I30" s="16"/>
      <c r="J30" s="16"/>
      <c r="K30" s="16"/>
      <c r="L30" s="16"/>
      <c r="M30" s="16"/>
      <c r="N30" s="16"/>
      <c r="O30" s="16"/>
      <c r="P30" s="16"/>
      <c r="Q30" s="16"/>
    </row>
    <row r="31" spans="1:17" ht="15">
      <c r="A31" s="16"/>
      <c r="B31" s="16"/>
      <c r="C31" s="16"/>
      <c r="D31" s="16"/>
      <c r="E31" s="16"/>
      <c r="F31" s="16"/>
      <c r="G31" s="16"/>
      <c r="H31" s="16"/>
      <c r="I31" s="16"/>
      <c r="J31" s="16"/>
      <c r="K31" s="16"/>
      <c r="L31" s="16"/>
      <c r="M31" s="16"/>
      <c r="N31" s="16"/>
      <c r="O31" s="16"/>
      <c r="P31" s="16"/>
      <c r="Q31" s="16"/>
    </row>
    <row r="32" spans="1:17" ht="15">
      <c r="A32" s="16" t="s">
        <v>73</v>
      </c>
      <c r="B32" s="16"/>
      <c r="C32" s="16"/>
      <c r="D32" s="16"/>
      <c r="E32" s="16"/>
      <c r="F32" s="16"/>
      <c r="G32" s="16"/>
      <c r="H32" s="16"/>
      <c r="I32" s="16"/>
      <c r="J32" s="16"/>
      <c r="K32" s="16"/>
      <c r="L32" s="16"/>
      <c r="M32" s="16"/>
      <c r="N32" s="16"/>
      <c r="O32" s="16"/>
      <c r="P32" s="16"/>
      <c r="Q32" s="16"/>
    </row>
    <row r="33" spans="1:17" ht="15">
      <c r="A33" s="16">
        <v>9.8000000000000007</v>
      </c>
      <c r="B33" s="16" t="s">
        <v>49</v>
      </c>
      <c r="C33" s="16"/>
      <c r="D33" s="16"/>
      <c r="E33" s="16"/>
      <c r="F33" s="16"/>
      <c r="G33" s="16"/>
      <c r="H33" s="16"/>
      <c r="I33" s="16"/>
      <c r="J33" s="16"/>
      <c r="K33" s="16"/>
      <c r="L33" s="16"/>
      <c r="M33" s="16"/>
      <c r="N33" s="16"/>
      <c r="O33" s="16"/>
      <c r="P33" s="16"/>
      <c r="Q33" s="16"/>
    </row>
  </sheetData>
  <phoneticPr fontId="15" type="noConversion"/>
  <pageMargins left="0.7" right="0.7" top="0.75" bottom="0.75" header="0.3" footer="0.3"/>
  <pageSetup scale="37" orientation="portrait" horizontalDpi="4294967292" verticalDpi="4294967292"/>
  <rowBreaks count="1" manualBreakCount="1">
    <brk id="34" max="16383" man="1"/>
  </rowBreaks>
  <colBreaks count="1" manualBreakCount="1">
    <brk id="21"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7"/>
  <sheetViews>
    <sheetView tabSelected="1" workbookViewId="0">
      <selection activeCell="E34" sqref="E34"/>
    </sheetView>
  </sheetViews>
  <sheetFormatPr baseColWidth="10" defaultRowHeight="14" x14ac:dyDescent="0"/>
  <sheetData>
    <row r="7" spans="1:8">
      <c r="A7" s="2" t="s">
        <v>74</v>
      </c>
      <c r="B7" s="3"/>
      <c r="C7" s="3"/>
      <c r="D7" s="3"/>
      <c r="E7" s="3"/>
      <c r="F7" s="3"/>
      <c r="G7" s="3"/>
      <c r="H7" s="3"/>
    </row>
    <row r="8" spans="1:8">
      <c r="A8" s="3"/>
      <c r="B8" s="3"/>
      <c r="C8" s="3"/>
      <c r="D8" s="3"/>
      <c r="E8" s="3"/>
      <c r="F8" s="3"/>
      <c r="G8" s="3"/>
      <c r="H8" s="3"/>
    </row>
    <row r="9" spans="1:8">
      <c r="A9" s="2" t="s">
        <v>0</v>
      </c>
      <c r="B9" s="4"/>
      <c r="C9" s="4"/>
      <c r="D9" s="3"/>
      <c r="E9" s="3" t="s">
        <v>75</v>
      </c>
      <c r="F9" s="3"/>
      <c r="G9" s="3"/>
      <c r="H9" s="3"/>
    </row>
    <row r="10" spans="1:8">
      <c r="A10" s="5" t="s">
        <v>76</v>
      </c>
      <c r="B10" s="6">
        <v>3</v>
      </c>
      <c r="C10" s="4" t="s">
        <v>2</v>
      </c>
      <c r="D10" s="3"/>
      <c r="E10" s="3"/>
      <c r="F10" s="3"/>
      <c r="G10" s="3"/>
      <c r="H10" s="3"/>
    </row>
    <row r="11" spans="1:8">
      <c r="A11" s="6" t="s">
        <v>77</v>
      </c>
      <c r="B11" s="6">
        <v>60</v>
      </c>
      <c r="C11" s="4" t="s">
        <v>2</v>
      </c>
      <c r="D11" s="3"/>
      <c r="E11" s="3" t="s">
        <v>78</v>
      </c>
      <c r="F11" s="3"/>
      <c r="G11" s="3"/>
      <c r="H11" s="3"/>
    </row>
    <row r="12" spans="1:8">
      <c r="A12" s="6" t="s">
        <v>79</v>
      </c>
      <c r="B12" s="6">
        <v>4</v>
      </c>
      <c r="C12" s="4" t="s">
        <v>80</v>
      </c>
      <c r="D12" s="3"/>
      <c r="E12" s="3"/>
      <c r="F12" s="3"/>
      <c r="G12" s="3"/>
      <c r="H12" s="3"/>
    </row>
    <row r="13" spans="1:8">
      <c r="A13" s="6" t="s">
        <v>81</v>
      </c>
      <c r="B13" s="6">
        <v>0</v>
      </c>
      <c r="C13" s="4" t="s">
        <v>80</v>
      </c>
      <c r="D13" s="3"/>
      <c r="E13" s="3" t="s">
        <v>82</v>
      </c>
      <c r="F13" s="3"/>
      <c r="G13" s="3"/>
      <c r="H13" s="3"/>
    </row>
    <row r="14" spans="1:8">
      <c r="A14" s="3"/>
      <c r="B14" s="3"/>
      <c r="C14" s="3"/>
      <c r="D14" s="3"/>
      <c r="E14" s="3"/>
      <c r="F14" s="3"/>
      <c r="G14" s="3"/>
      <c r="H14" s="3"/>
    </row>
    <row r="15" spans="1:8">
      <c r="A15" s="3"/>
      <c r="B15" s="3"/>
      <c r="C15" s="3"/>
      <c r="D15" s="3"/>
      <c r="E15" s="7" t="s">
        <v>83</v>
      </c>
      <c r="F15" s="8" t="e">
        <f>((SUM(PRODUCT(mB,VBi),PRODUCT(mA,VAi))/SUM(mB,mA)))</f>
        <v>#DIV/0!</v>
      </c>
      <c r="G15" s="3" t="s">
        <v>49</v>
      </c>
      <c r="H15" s="3"/>
    </row>
    <row r="19" spans="1:9">
      <c r="A19" s="9" t="s">
        <v>84</v>
      </c>
      <c r="B19" s="10"/>
      <c r="C19" s="10"/>
      <c r="D19" s="10"/>
      <c r="E19" s="10"/>
      <c r="F19" s="10"/>
      <c r="G19" s="10"/>
      <c r="H19" s="10"/>
      <c r="I19" s="10"/>
    </row>
    <row r="20" spans="1:9">
      <c r="A20" s="10"/>
      <c r="B20" s="10"/>
      <c r="C20" s="10"/>
      <c r="D20" s="10"/>
      <c r="E20" s="10" t="s">
        <v>85</v>
      </c>
      <c r="F20" s="10"/>
      <c r="G20" s="10"/>
      <c r="H20" s="10"/>
      <c r="I20" s="10"/>
    </row>
    <row r="21" spans="1:9">
      <c r="A21" s="11" t="s">
        <v>0</v>
      </c>
      <c r="B21" s="9"/>
      <c r="C21" s="9"/>
      <c r="D21" s="10"/>
      <c r="E21" s="10"/>
      <c r="F21" s="10"/>
      <c r="G21" s="10"/>
      <c r="H21" s="10"/>
      <c r="I21" s="10"/>
    </row>
    <row r="22" spans="1:9">
      <c r="A22" s="12" t="s">
        <v>76</v>
      </c>
      <c r="B22" s="13">
        <v>3</v>
      </c>
      <c r="C22" s="9" t="s">
        <v>2</v>
      </c>
      <c r="D22" s="10"/>
      <c r="E22" s="10" t="s">
        <v>86</v>
      </c>
      <c r="F22" s="13"/>
      <c r="G22" s="14" t="s">
        <v>87</v>
      </c>
      <c r="H22" s="14">
        <f>(PRODUCT(mB_2,B24^2))/2</f>
        <v>0</v>
      </c>
      <c r="I22" s="10" t="s">
        <v>88</v>
      </c>
    </row>
    <row r="23" spans="1:9">
      <c r="A23" s="13" t="s">
        <v>77</v>
      </c>
      <c r="B23" s="13">
        <v>60</v>
      </c>
      <c r="C23" s="9" t="s">
        <v>2</v>
      </c>
      <c r="D23" s="10"/>
      <c r="E23" s="10"/>
      <c r="F23" s="10"/>
      <c r="G23" s="10"/>
      <c r="H23" s="10"/>
      <c r="I23" s="10"/>
    </row>
    <row r="24" spans="1:9">
      <c r="A24" s="13" t="s">
        <v>79</v>
      </c>
      <c r="B24" s="13">
        <v>4</v>
      </c>
      <c r="C24" s="9" t="s">
        <v>80</v>
      </c>
      <c r="D24" s="10"/>
      <c r="E24" s="10"/>
      <c r="F24" s="10"/>
      <c r="G24" s="10"/>
      <c r="H24" s="10"/>
      <c r="I24" s="10"/>
    </row>
    <row r="25" spans="1:9">
      <c r="A25" s="13" t="s">
        <v>81</v>
      </c>
      <c r="B25" s="13">
        <v>0</v>
      </c>
      <c r="C25" s="9" t="s">
        <v>80</v>
      </c>
      <c r="D25" s="10"/>
      <c r="E25" s="10" t="s">
        <v>89</v>
      </c>
      <c r="F25" s="10"/>
      <c r="G25" s="15" t="s">
        <v>90</v>
      </c>
      <c r="H25" s="10">
        <f>(PRODUCT(SUM(mA_2,mB_2),Vf^2)/2)</f>
        <v>0</v>
      </c>
      <c r="I25" s="10" t="s">
        <v>88</v>
      </c>
    </row>
    <row r="26" spans="1:9">
      <c r="A26" s="13" t="s">
        <v>83</v>
      </c>
      <c r="B26" s="13">
        <v>0.19</v>
      </c>
      <c r="C26" s="9" t="s">
        <v>49</v>
      </c>
      <c r="D26" s="10"/>
      <c r="E26" s="10"/>
      <c r="F26" s="10"/>
      <c r="G26" s="10"/>
      <c r="H26" s="10"/>
      <c r="I26" s="10"/>
    </row>
    <row r="30" spans="1:9">
      <c r="A30" s="1" t="s">
        <v>68</v>
      </c>
      <c r="B30" s="1"/>
      <c r="C30" s="1"/>
      <c r="D30" s="1"/>
      <c r="E30" s="1"/>
      <c r="F30" s="1"/>
      <c r="G30" s="1"/>
    </row>
    <row r="31" spans="1:9">
      <c r="A31" s="1"/>
      <c r="B31" s="1"/>
      <c r="C31" s="1"/>
      <c r="D31" s="1"/>
      <c r="E31" s="1" t="s">
        <v>85</v>
      </c>
      <c r="F31" s="1"/>
      <c r="G31" s="1"/>
    </row>
    <row r="32" spans="1:9">
      <c r="A32" s="1" t="s">
        <v>0</v>
      </c>
      <c r="B32" s="1"/>
      <c r="C32" s="1"/>
      <c r="D32" s="1"/>
      <c r="E32" s="1"/>
      <c r="F32" s="1"/>
      <c r="G32" s="1"/>
    </row>
    <row r="33" spans="1:7" ht="18">
      <c r="A33" s="1" t="s">
        <v>76</v>
      </c>
      <c r="B33" s="1">
        <v>3</v>
      </c>
      <c r="C33" s="1" t="s">
        <v>2</v>
      </c>
      <c r="D33" s="1"/>
      <c r="E33" s="1" t="s">
        <v>91</v>
      </c>
      <c r="F33" s="1"/>
      <c r="G33" s="1"/>
    </row>
    <row r="34" spans="1:7">
      <c r="A34" s="1" t="s">
        <v>77</v>
      </c>
      <c r="B34" s="1">
        <v>60</v>
      </c>
      <c r="C34" s="1" t="s">
        <v>2</v>
      </c>
      <c r="D34" s="1"/>
      <c r="E34" s="1"/>
      <c r="F34" s="1"/>
      <c r="G34" s="1"/>
    </row>
    <row r="35" spans="1:7">
      <c r="A35" s="1" t="s">
        <v>79</v>
      </c>
      <c r="B35" s="1">
        <v>4</v>
      </c>
      <c r="C35" s="1" t="s">
        <v>80</v>
      </c>
      <c r="D35" s="1"/>
      <c r="E35" s="1" t="s">
        <v>92</v>
      </c>
      <c r="F35" s="1">
        <f>PRODUCT(mA_3,Vf_3-VAi_3)</f>
        <v>0</v>
      </c>
      <c r="G35" s="1" t="s">
        <v>93</v>
      </c>
    </row>
    <row r="36" spans="1:7">
      <c r="A36" s="1" t="s">
        <v>81</v>
      </c>
      <c r="B36" s="1">
        <v>0</v>
      </c>
      <c r="C36" s="1" t="s">
        <v>80</v>
      </c>
      <c r="D36" s="1"/>
      <c r="E36" s="1"/>
      <c r="F36" s="1"/>
      <c r="G36" s="1"/>
    </row>
    <row r="37" spans="1:7">
      <c r="A37" s="1" t="s">
        <v>83</v>
      </c>
      <c r="B37" s="1">
        <v>0.19</v>
      </c>
      <c r="C37" s="1" t="s">
        <v>49</v>
      </c>
      <c r="D37" s="1"/>
      <c r="E37" s="1"/>
      <c r="F37" s="1"/>
      <c r="G37" s="1"/>
    </row>
  </sheetData>
  <phoneticPr fontId="15" type="noConversion"/>
  <pageMargins left="0.7" right="0.7" top="0.75" bottom="0.75" header="0.3" footer="0.3"/>
  <pageSetup scale="65" orientation="portrait" horizontalDpi="4294967292" verticalDpi="4294967292"/>
  <rowBreaks count="1" manualBreakCount="1">
    <brk id="39" max="16383" man="1"/>
  </rowBreaks>
  <colBreaks count="1" manualBreakCount="1">
    <brk id="12" max="1048575" man="1"/>
  </colBreaks>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18" workbookViewId="0">
      <selection activeCell="E34" sqref="E34"/>
    </sheetView>
  </sheetViews>
  <sheetFormatPr baseColWidth="10" defaultRowHeight="14" x14ac:dyDescent="0"/>
  <sheetData>
    <row r="1" spans="1:6" ht="15">
      <c r="A1" s="35" t="s">
        <v>94</v>
      </c>
      <c r="B1" s="35" t="s">
        <v>95</v>
      </c>
      <c r="C1" s="35" t="s">
        <v>96</v>
      </c>
      <c r="D1" s="35" t="s">
        <v>97</v>
      </c>
      <c r="E1" s="36" t="s">
        <v>98</v>
      </c>
    </row>
    <row r="2" spans="1:6" ht="15">
      <c r="A2" s="35">
        <v>2</v>
      </c>
      <c r="B2" s="35">
        <v>5</v>
      </c>
      <c r="C2" s="35">
        <v>8</v>
      </c>
      <c r="D2" s="35">
        <v>-40</v>
      </c>
      <c r="E2" s="35">
        <f>3</f>
        <v>3</v>
      </c>
      <c r="F2" s="23"/>
    </row>
    <row r="5" spans="1:6" ht="15">
      <c r="A5" s="32" t="s">
        <v>99</v>
      </c>
      <c r="B5" s="32" t="s">
        <v>100</v>
      </c>
    </row>
    <row r="6" spans="1:6" ht="15">
      <c r="A6" s="32">
        <f>X_Inicial</f>
        <v>-40</v>
      </c>
      <c r="B6" s="32">
        <f t="shared" ref="B6:B47" si="0">valor_a*A6^2+valor_b*A6+valor_c</f>
        <v>3008</v>
      </c>
    </row>
    <row r="7" spans="1:6" ht="15">
      <c r="A7" s="32">
        <f>X_Inicial+Incremento</f>
        <v>-37</v>
      </c>
      <c r="B7" s="32">
        <f t="shared" si="0"/>
        <v>2561</v>
      </c>
    </row>
    <row r="8" spans="1:6" ht="15">
      <c r="A8" s="32">
        <f t="shared" ref="A8:A47" si="1">A7+Incremento</f>
        <v>-34</v>
      </c>
      <c r="B8" s="32">
        <f t="shared" si="0"/>
        <v>2150</v>
      </c>
    </row>
    <row r="9" spans="1:6" ht="15">
      <c r="A9" s="32">
        <f t="shared" si="1"/>
        <v>-31</v>
      </c>
      <c r="B9" s="32">
        <f t="shared" si="0"/>
        <v>1775</v>
      </c>
    </row>
    <row r="10" spans="1:6" ht="15">
      <c r="A10" s="32">
        <f t="shared" si="1"/>
        <v>-28</v>
      </c>
      <c r="B10" s="32">
        <f t="shared" si="0"/>
        <v>1436</v>
      </c>
    </row>
    <row r="11" spans="1:6" ht="15">
      <c r="A11" s="32">
        <f t="shared" si="1"/>
        <v>-25</v>
      </c>
      <c r="B11" s="32">
        <f t="shared" si="0"/>
        <v>1133</v>
      </c>
    </row>
    <row r="12" spans="1:6" ht="15">
      <c r="A12" s="32">
        <f t="shared" si="1"/>
        <v>-22</v>
      </c>
      <c r="B12" s="32">
        <f t="shared" si="0"/>
        <v>866</v>
      </c>
    </row>
    <row r="13" spans="1:6" ht="15">
      <c r="A13" s="32">
        <f t="shared" si="1"/>
        <v>-19</v>
      </c>
      <c r="B13" s="32">
        <f t="shared" si="0"/>
        <v>635</v>
      </c>
    </row>
    <row r="14" spans="1:6" ht="15">
      <c r="A14" s="32">
        <f t="shared" si="1"/>
        <v>-16</v>
      </c>
      <c r="B14" s="32">
        <f t="shared" si="0"/>
        <v>440</v>
      </c>
    </row>
    <row r="15" spans="1:6" ht="15">
      <c r="A15" s="32">
        <f t="shared" si="1"/>
        <v>-13</v>
      </c>
      <c r="B15" s="32">
        <f t="shared" si="0"/>
        <v>281</v>
      </c>
    </row>
    <row r="16" spans="1:6" ht="15">
      <c r="A16" s="32">
        <f t="shared" si="1"/>
        <v>-10</v>
      </c>
      <c r="B16" s="32">
        <f t="shared" si="0"/>
        <v>158</v>
      </c>
    </row>
    <row r="17" spans="1:9" ht="15">
      <c r="A17" s="32">
        <f t="shared" si="1"/>
        <v>-7</v>
      </c>
      <c r="B17" s="32">
        <f t="shared" si="0"/>
        <v>71</v>
      </c>
    </row>
    <row r="18" spans="1:9" ht="15">
      <c r="A18" s="32">
        <f t="shared" si="1"/>
        <v>-4</v>
      </c>
      <c r="B18" s="32">
        <f t="shared" si="0"/>
        <v>20</v>
      </c>
    </row>
    <row r="19" spans="1:9" ht="15">
      <c r="A19" s="32">
        <f t="shared" si="1"/>
        <v>-1</v>
      </c>
      <c r="B19" s="32">
        <f t="shared" si="0"/>
        <v>5</v>
      </c>
    </row>
    <row r="20" spans="1:9" ht="15">
      <c r="A20" s="32">
        <f t="shared" si="1"/>
        <v>2</v>
      </c>
      <c r="B20" s="32">
        <f t="shared" si="0"/>
        <v>26</v>
      </c>
      <c r="D20" s="37" t="s">
        <v>101</v>
      </c>
      <c r="E20" s="37"/>
      <c r="F20" s="37"/>
      <c r="G20" s="37" t="s">
        <v>101</v>
      </c>
      <c r="H20" s="37"/>
      <c r="I20" s="37"/>
    </row>
    <row r="21" spans="1:9" ht="15">
      <c r="A21" s="32">
        <f t="shared" si="1"/>
        <v>5</v>
      </c>
      <c r="B21" s="32">
        <f t="shared" si="0"/>
        <v>83</v>
      </c>
      <c r="D21" s="33">
        <f t="array" ref="D21:F21">LINEST(B6:B47,A6:A47^{1,2})</f>
        <v>2.0000000000000004</v>
      </c>
      <c r="E21" s="33">
        <v>5.0000000000000009</v>
      </c>
      <c r="F21" s="33">
        <v>7.9999999999990905</v>
      </c>
      <c r="G21" s="16" t="str">
        <f>CONCATENATE("y=",D21," *x^2 +",E21," *x + ",F21,"")</f>
        <v>y=2 *x^2 +5 *x + 7.99999999999909</v>
      </c>
      <c r="H21" s="16"/>
      <c r="I21" s="16"/>
    </row>
    <row r="22" spans="1:9" ht="15">
      <c r="A22" s="32">
        <f t="shared" si="1"/>
        <v>8</v>
      </c>
      <c r="B22" s="32">
        <f t="shared" si="0"/>
        <v>176</v>
      </c>
      <c r="D22" s="34" t="s">
        <v>102</v>
      </c>
      <c r="E22" s="34" t="s">
        <v>103</v>
      </c>
      <c r="F22" s="34" t="s">
        <v>104</v>
      </c>
      <c r="G22" s="34" t="s">
        <v>105</v>
      </c>
      <c r="H22" s="16"/>
      <c r="I22" s="16"/>
    </row>
    <row r="23" spans="1:9" ht="15">
      <c r="A23" s="32">
        <f t="shared" si="1"/>
        <v>11</v>
      </c>
      <c r="B23" s="32">
        <f t="shared" si="0"/>
        <v>305</v>
      </c>
      <c r="D23" s="34">
        <f>MIN(A6:A47)</f>
        <v>-40</v>
      </c>
      <c r="E23" s="34">
        <f>MAX(A6:A47)</f>
        <v>83</v>
      </c>
      <c r="F23" s="34">
        <f>MIN(B6:B47)</f>
        <v>5</v>
      </c>
      <c r="G23" s="34">
        <f>MAX(B6:B47)</f>
        <v>14201</v>
      </c>
      <c r="H23" s="16"/>
      <c r="I23" s="16"/>
    </row>
    <row r="24" spans="1:9" ht="15">
      <c r="A24" s="32">
        <f t="shared" si="1"/>
        <v>14</v>
      </c>
      <c r="B24" s="32">
        <f t="shared" si="0"/>
        <v>470</v>
      </c>
    </row>
    <row r="25" spans="1:9" ht="15">
      <c r="A25" s="32">
        <f t="shared" si="1"/>
        <v>17</v>
      </c>
      <c r="B25" s="32">
        <f t="shared" si="0"/>
        <v>671</v>
      </c>
    </row>
    <row r="26" spans="1:9" ht="15">
      <c r="A26" s="32">
        <f t="shared" si="1"/>
        <v>20</v>
      </c>
      <c r="B26" s="32">
        <f t="shared" si="0"/>
        <v>908</v>
      </c>
    </row>
    <row r="27" spans="1:9" ht="17" customHeight="1">
      <c r="A27" s="32">
        <f t="shared" si="1"/>
        <v>23</v>
      </c>
      <c r="B27" s="32">
        <f t="shared" si="0"/>
        <v>1181</v>
      </c>
      <c r="E27" s="24"/>
    </row>
    <row r="28" spans="1:9" ht="15">
      <c r="A28" s="32">
        <f t="shared" si="1"/>
        <v>26</v>
      </c>
      <c r="B28" s="32">
        <f t="shared" si="0"/>
        <v>1490</v>
      </c>
    </row>
    <row r="29" spans="1:9" ht="15">
      <c r="A29" s="32">
        <f t="shared" si="1"/>
        <v>29</v>
      </c>
      <c r="B29" s="32">
        <f t="shared" si="0"/>
        <v>1835</v>
      </c>
      <c r="F29" t="s">
        <v>106</v>
      </c>
    </row>
    <row r="30" spans="1:9" ht="15">
      <c r="A30" s="32">
        <f t="shared" si="1"/>
        <v>32</v>
      </c>
      <c r="B30" s="32">
        <f t="shared" si="0"/>
        <v>2216</v>
      </c>
    </row>
    <row r="31" spans="1:9" ht="15">
      <c r="A31" s="32">
        <f t="shared" si="1"/>
        <v>35</v>
      </c>
      <c r="B31" s="32">
        <f t="shared" si="0"/>
        <v>2633</v>
      </c>
    </row>
    <row r="32" spans="1:9" ht="15">
      <c r="A32" s="32">
        <f t="shared" si="1"/>
        <v>38</v>
      </c>
      <c r="B32" s="32">
        <f t="shared" si="0"/>
        <v>3086</v>
      </c>
    </row>
    <row r="33" spans="1:2" ht="15">
      <c r="A33" s="32">
        <f t="shared" si="1"/>
        <v>41</v>
      </c>
      <c r="B33" s="32">
        <f t="shared" si="0"/>
        <v>3575</v>
      </c>
    </row>
    <row r="34" spans="1:2" ht="15">
      <c r="A34" s="32">
        <f t="shared" si="1"/>
        <v>44</v>
      </c>
      <c r="B34" s="32">
        <f t="shared" si="0"/>
        <v>4100</v>
      </c>
    </row>
    <row r="35" spans="1:2" ht="15">
      <c r="A35" s="32">
        <f t="shared" si="1"/>
        <v>47</v>
      </c>
      <c r="B35" s="32">
        <f t="shared" si="0"/>
        <v>4661</v>
      </c>
    </row>
    <row r="36" spans="1:2" ht="15">
      <c r="A36" s="32">
        <f t="shared" si="1"/>
        <v>50</v>
      </c>
      <c r="B36" s="32">
        <f t="shared" si="0"/>
        <v>5258</v>
      </c>
    </row>
    <row r="37" spans="1:2" ht="15">
      <c r="A37" s="32">
        <f t="shared" si="1"/>
        <v>53</v>
      </c>
      <c r="B37" s="32">
        <f t="shared" si="0"/>
        <v>5891</v>
      </c>
    </row>
    <row r="38" spans="1:2" ht="15">
      <c r="A38" s="32">
        <f t="shared" si="1"/>
        <v>56</v>
      </c>
      <c r="B38" s="32">
        <f t="shared" si="0"/>
        <v>6560</v>
      </c>
    </row>
    <row r="39" spans="1:2" ht="15">
      <c r="A39" s="32">
        <f t="shared" si="1"/>
        <v>59</v>
      </c>
      <c r="B39" s="32">
        <f t="shared" si="0"/>
        <v>7265</v>
      </c>
    </row>
    <row r="40" spans="1:2" ht="15">
      <c r="A40" s="32">
        <f t="shared" si="1"/>
        <v>62</v>
      </c>
      <c r="B40" s="32">
        <f t="shared" si="0"/>
        <v>8006</v>
      </c>
    </row>
    <row r="41" spans="1:2" ht="15">
      <c r="A41" s="32">
        <f t="shared" si="1"/>
        <v>65</v>
      </c>
      <c r="B41" s="32">
        <f t="shared" si="0"/>
        <v>8783</v>
      </c>
    </row>
    <row r="42" spans="1:2" ht="15">
      <c r="A42" s="32">
        <f t="shared" si="1"/>
        <v>68</v>
      </c>
      <c r="B42" s="32">
        <f t="shared" si="0"/>
        <v>9596</v>
      </c>
    </row>
    <row r="43" spans="1:2" ht="15">
      <c r="A43" s="32">
        <f t="shared" si="1"/>
        <v>71</v>
      </c>
      <c r="B43" s="32">
        <f t="shared" si="0"/>
        <v>10445</v>
      </c>
    </row>
    <row r="44" spans="1:2" ht="15">
      <c r="A44" s="32">
        <f t="shared" si="1"/>
        <v>74</v>
      </c>
      <c r="B44" s="32">
        <f t="shared" si="0"/>
        <v>11330</v>
      </c>
    </row>
    <row r="45" spans="1:2" ht="15">
      <c r="A45" s="32">
        <f t="shared" si="1"/>
        <v>77</v>
      </c>
      <c r="B45" s="32">
        <f t="shared" si="0"/>
        <v>12251</v>
      </c>
    </row>
    <row r="46" spans="1:2" ht="15">
      <c r="A46" s="32">
        <f t="shared" si="1"/>
        <v>80</v>
      </c>
      <c r="B46" s="32">
        <f t="shared" si="0"/>
        <v>13208</v>
      </c>
    </row>
    <row r="47" spans="1:2" ht="15">
      <c r="A47" s="32">
        <f t="shared" si="1"/>
        <v>83</v>
      </c>
      <c r="B47" s="32">
        <f t="shared" si="0"/>
        <v>14201</v>
      </c>
    </row>
  </sheetData>
  <mergeCells count="2">
    <mergeCell ref="D20:F20"/>
    <mergeCell ref="G20:I20"/>
  </mergeCells>
  <phoneticPr fontId="15" type="noConversion"/>
  <pageMargins left="0.7" right="0.7" top="0.75" bottom="0.75" header="0.3" footer="0.3"/>
  <pageSetup scale="87" orientation="portrait" horizontalDpi="4294967292" verticalDpi="4294967292"/>
  <rowBreaks count="1" manualBreakCount="1">
    <brk id="48" max="16383" man="1"/>
  </rowBreaks>
  <colBreaks count="1" manualBreakCount="1">
    <brk id="9" max="1048575" man="1"/>
  </colBreaks>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workbookViewId="0">
      <selection activeCell="E34" sqref="E34"/>
    </sheetView>
  </sheetViews>
  <sheetFormatPr baseColWidth="10" defaultRowHeight="14" x14ac:dyDescent="0"/>
  <sheetData>
    <row r="1" spans="1:18">
      <c r="A1" t="s">
        <v>107</v>
      </c>
    </row>
    <row r="2" spans="1:18">
      <c r="A2" t="s">
        <v>108</v>
      </c>
    </row>
    <row r="3" spans="1:18">
      <c r="A3" t="s">
        <v>109</v>
      </c>
    </row>
    <row r="5" spans="1:18" ht="15">
      <c r="A5" s="25" t="s">
        <v>110</v>
      </c>
      <c r="B5" s="25"/>
      <c r="C5" s="25"/>
      <c r="D5" s="25"/>
      <c r="E5" s="25"/>
      <c r="F5" s="25"/>
      <c r="G5" s="25"/>
      <c r="H5" s="25"/>
      <c r="I5" s="25"/>
      <c r="J5" s="25"/>
      <c r="K5" s="25"/>
      <c r="L5" s="25"/>
      <c r="M5" s="25"/>
      <c r="N5" s="25"/>
      <c r="P5" t="s">
        <v>41</v>
      </c>
    </row>
    <row r="6" spans="1:18" ht="15">
      <c r="A6" s="25"/>
      <c r="B6" s="25"/>
      <c r="C6" s="25"/>
      <c r="D6" s="25"/>
      <c r="E6" s="25"/>
      <c r="F6" s="25"/>
      <c r="G6" s="25"/>
      <c r="H6" s="25"/>
      <c r="I6" s="25"/>
      <c r="J6" s="25"/>
      <c r="K6" s="25"/>
      <c r="L6" s="25"/>
      <c r="M6" s="25"/>
      <c r="N6" s="25"/>
      <c r="P6" t="s">
        <v>111</v>
      </c>
      <c r="Q6">
        <f>aceleracion_med</f>
        <v>2.4174174174174174</v>
      </c>
      <c r="R6" t="s">
        <v>26</v>
      </c>
    </row>
    <row r="7" spans="1:18" ht="15">
      <c r="A7" s="27" t="s">
        <v>0</v>
      </c>
      <c r="B7" s="27"/>
      <c r="C7" s="27" t="s">
        <v>112</v>
      </c>
      <c r="D7" s="27" t="s">
        <v>113</v>
      </c>
      <c r="E7" s="25"/>
      <c r="F7" s="25"/>
      <c r="G7" s="25" t="s">
        <v>114</v>
      </c>
      <c r="H7" s="25"/>
      <c r="I7" s="25">
        <f>VF_2-VI_2</f>
        <v>8.9444444444444446</v>
      </c>
      <c r="J7" s="26" t="s">
        <v>63</v>
      </c>
      <c r="K7" s="25">
        <f>T_1</f>
        <v>3.7</v>
      </c>
      <c r="L7" s="26" t="s">
        <v>115</v>
      </c>
      <c r="M7" s="25">
        <f>Val_1/T_1</f>
        <v>2.4174174174174174</v>
      </c>
      <c r="N7" s="25" t="s">
        <v>26</v>
      </c>
      <c r="P7" t="s">
        <v>116</v>
      </c>
      <c r="Q7">
        <f>M23</f>
        <v>19.097597597597598</v>
      </c>
      <c r="R7" t="s">
        <v>49</v>
      </c>
    </row>
    <row r="8" spans="1:18" ht="15">
      <c r="A8" s="27" t="s">
        <v>117</v>
      </c>
      <c r="B8" s="27"/>
      <c r="C8" s="27">
        <v>48.3</v>
      </c>
      <c r="D8" s="27" t="s">
        <v>118</v>
      </c>
      <c r="E8" s="25"/>
      <c r="F8" s="25"/>
      <c r="G8" s="25"/>
      <c r="H8" s="25"/>
      <c r="I8" s="25"/>
      <c r="J8" s="25"/>
      <c r="K8" s="25"/>
      <c r="L8" s="25"/>
      <c r="M8" s="25"/>
      <c r="N8" s="25"/>
    </row>
    <row r="9" spans="1:18" ht="15">
      <c r="A9" s="27" t="s">
        <v>119</v>
      </c>
      <c r="B9" s="27"/>
      <c r="C9" s="27">
        <v>80.5</v>
      </c>
      <c r="D9" s="27" t="s">
        <v>118</v>
      </c>
      <c r="E9" s="25"/>
      <c r="F9" s="25"/>
      <c r="G9" s="25"/>
      <c r="H9" s="25"/>
      <c r="I9" s="25"/>
      <c r="J9" s="25"/>
      <c r="K9" s="25"/>
      <c r="L9" s="25"/>
      <c r="M9" s="25"/>
      <c r="N9" s="25"/>
    </row>
    <row r="10" spans="1:18" ht="15">
      <c r="A10" s="27" t="s">
        <v>120</v>
      </c>
      <c r="B10" s="27"/>
      <c r="C10" s="27">
        <v>3.7</v>
      </c>
      <c r="D10" s="27" t="s">
        <v>55</v>
      </c>
      <c r="E10" s="25"/>
      <c r="F10" s="25"/>
      <c r="G10" s="25"/>
      <c r="H10" s="25"/>
      <c r="I10" s="25"/>
      <c r="J10" s="25"/>
      <c r="K10" s="25"/>
      <c r="L10" s="25"/>
      <c r="M10" s="25"/>
      <c r="N10" s="25"/>
    </row>
    <row r="11" spans="1:18" ht="15">
      <c r="A11" s="25"/>
      <c r="B11" s="25"/>
      <c r="C11" s="25"/>
      <c r="D11" s="25"/>
      <c r="E11" s="25"/>
      <c r="F11" s="25"/>
      <c r="G11" s="25"/>
      <c r="H11" s="25"/>
      <c r="I11" s="25"/>
      <c r="J11" s="25"/>
      <c r="K11" s="25"/>
      <c r="L11" s="25"/>
      <c r="M11" s="25"/>
      <c r="N11" s="25"/>
    </row>
    <row r="12" spans="1:18" ht="15">
      <c r="A12" s="28">
        <v>80.5</v>
      </c>
      <c r="B12" s="31" t="s">
        <v>115</v>
      </c>
      <c r="C12" s="28">
        <f>80500/60</f>
        <v>1341.6666666666667</v>
      </c>
      <c r="D12" s="31" t="s">
        <v>115</v>
      </c>
      <c r="E12" s="28">
        <f>80500/3600</f>
        <v>22.361111111111111</v>
      </c>
      <c r="F12" s="25"/>
      <c r="G12" s="25"/>
      <c r="H12" s="25"/>
      <c r="I12" s="25"/>
      <c r="J12" s="25"/>
      <c r="K12" s="25"/>
      <c r="L12" s="25"/>
      <c r="M12" s="25"/>
      <c r="N12" s="25"/>
    </row>
    <row r="13" spans="1:18" ht="15">
      <c r="A13" s="28" t="s">
        <v>118</v>
      </c>
      <c r="B13" s="28"/>
      <c r="C13" s="28" t="s">
        <v>121</v>
      </c>
      <c r="D13" s="28"/>
      <c r="E13" s="28" t="s">
        <v>49</v>
      </c>
      <c r="F13" s="25"/>
      <c r="G13" s="25"/>
      <c r="H13" s="25"/>
      <c r="I13" s="25"/>
      <c r="J13" s="25"/>
      <c r="K13" s="25"/>
      <c r="L13" s="25"/>
      <c r="M13" s="25"/>
      <c r="N13" s="25"/>
    </row>
    <row r="14" spans="1:18" ht="15">
      <c r="A14" s="25"/>
      <c r="B14" s="25"/>
      <c r="C14" s="25"/>
      <c r="D14" s="25"/>
      <c r="E14" s="25"/>
      <c r="F14" s="25"/>
      <c r="G14" s="25"/>
      <c r="H14" s="25"/>
      <c r="I14" s="25"/>
      <c r="J14" s="25"/>
      <c r="K14" s="25"/>
      <c r="L14" s="25"/>
      <c r="M14" s="25"/>
      <c r="N14" s="25"/>
    </row>
    <row r="15" spans="1:18" ht="15">
      <c r="A15" s="29">
        <v>48.3</v>
      </c>
      <c r="B15" s="30" t="s">
        <v>115</v>
      </c>
      <c r="C15" s="29">
        <f>48300/60</f>
        <v>805</v>
      </c>
      <c r="D15" s="30" t="s">
        <v>115</v>
      </c>
      <c r="E15" s="29">
        <f>48300/3600</f>
        <v>13.416666666666666</v>
      </c>
      <c r="F15" s="25"/>
      <c r="G15" s="25"/>
      <c r="H15" s="25"/>
      <c r="I15" s="25"/>
      <c r="J15" s="25"/>
      <c r="K15" s="25"/>
      <c r="L15" s="25"/>
      <c r="M15" s="25"/>
      <c r="N15" s="25"/>
    </row>
    <row r="16" spans="1:18" ht="15">
      <c r="A16" s="29" t="s">
        <v>118</v>
      </c>
      <c r="B16" s="29"/>
      <c r="C16" s="29" t="s">
        <v>121</v>
      </c>
      <c r="D16" s="29"/>
      <c r="E16" s="29" t="s">
        <v>49</v>
      </c>
      <c r="F16" s="25"/>
      <c r="G16" s="25"/>
      <c r="H16" s="25"/>
      <c r="I16" s="25"/>
      <c r="J16" s="25"/>
      <c r="K16" s="25"/>
      <c r="L16" s="25"/>
      <c r="M16" s="25"/>
      <c r="N16" s="25"/>
    </row>
    <row r="18" spans="1:14" ht="15">
      <c r="A18" s="25" t="s">
        <v>122</v>
      </c>
      <c r="B18" s="25"/>
      <c r="C18" s="25"/>
      <c r="D18" s="25"/>
      <c r="E18" s="25"/>
      <c r="F18" s="25"/>
      <c r="G18" s="25"/>
      <c r="H18" s="25"/>
      <c r="I18" s="25"/>
      <c r="J18" s="25"/>
      <c r="K18" s="25"/>
      <c r="L18" s="25"/>
      <c r="M18" s="25"/>
      <c r="N18" s="25"/>
    </row>
    <row r="19" spans="1:14" ht="15">
      <c r="A19" s="25" t="s">
        <v>123</v>
      </c>
      <c r="B19" s="25"/>
      <c r="C19" s="25"/>
      <c r="D19" s="25"/>
      <c r="E19" s="25"/>
      <c r="F19" s="25"/>
      <c r="G19" s="25"/>
      <c r="H19" s="25"/>
      <c r="I19" s="25"/>
      <c r="J19" s="25"/>
      <c r="K19" s="25"/>
      <c r="L19" s="25"/>
      <c r="M19" s="25"/>
      <c r="N19" s="25"/>
    </row>
    <row r="20" spans="1:14" ht="15">
      <c r="A20" s="25"/>
      <c r="B20" s="25"/>
      <c r="C20" s="25"/>
      <c r="D20" s="25"/>
      <c r="E20" s="25"/>
      <c r="F20" s="25"/>
      <c r="G20" s="25"/>
      <c r="H20" s="25"/>
      <c r="I20" s="25"/>
      <c r="J20" s="25"/>
      <c r="K20" s="25"/>
      <c r="L20" s="25"/>
      <c r="M20" s="25"/>
      <c r="N20" s="25"/>
    </row>
    <row r="21" spans="1:14" ht="15">
      <c r="A21" s="29" t="s">
        <v>124</v>
      </c>
      <c r="B21" s="29"/>
      <c r="C21" s="29"/>
      <c r="D21" s="29"/>
      <c r="E21" s="25"/>
      <c r="F21" s="25" t="s">
        <v>125</v>
      </c>
      <c r="G21" s="25">
        <f>VI_2</f>
        <v>13.416666666666666</v>
      </c>
      <c r="H21" s="26" t="s">
        <v>126</v>
      </c>
      <c r="I21" s="25">
        <f>PRODUCT(aceleracion_med,T_2)</f>
        <v>11.361861861861863</v>
      </c>
      <c r="J21" s="26" t="s">
        <v>115</v>
      </c>
      <c r="K21" s="25">
        <f>G21+I21</f>
        <v>24.778528528528529</v>
      </c>
      <c r="L21" s="25" t="s">
        <v>49</v>
      </c>
      <c r="M21" s="25"/>
      <c r="N21" s="25"/>
    </row>
    <row r="22" spans="1:14" ht="15">
      <c r="A22" s="29" t="s">
        <v>120</v>
      </c>
      <c r="B22" s="29"/>
      <c r="C22" s="29">
        <v>4.7</v>
      </c>
      <c r="D22" s="29" t="s">
        <v>55</v>
      </c>
      <c r="E22" s="25"/>
      <c r="F22" s="25"/>
      <c r="G22" s="25"/>
      <c r="H22" s="25"/>
      <c r="I22" s="25"/>
      <c r="J22" s="25"/>
      <c r="K22" s="25"/>
      <c r="L22" s="25"/>
      <c r="M22" s="25"/>
      <c r="N22" s="25"/>
    </row>
    <row r="23" spans="1:14" ht="15">
      <c r="A23" s="29" t="s">
        <v>127</v>
      </c>
      <c r="B23" s="29"/>
      <c r="C23" s="29">
        <f>aceleracion_med</f>
        <v>2.4174174174174174</v>
      </c>
      <c r="D23" s="29" t="s">
        <v>26</v>
      </c>
      <c r="E23" s="25"/>
      <c r="F23" s="25" t="s">
        <v>128</v>
      </c>
      <c r="G23" s="25">
        <f>VI_2</f>
        <v>13.416666666666666</v>
      </c>
      <c r="H23" s="26" t="s">
        <v>126</v>
      </c>
      <c r="I23" s="25">
        <f>V_final</f>
        <v>24.778528528528529</v>
      </c>
      <c r="J23" s="26" t="s">
        <v>63</v>
      </c>
      <c r="K23" s="25">
        <v>2</v>
      </c>
      <c r="L23" s="26" t="s">
        <v>115</v>
      </c>
      <c r="M23" s="25">
        <f>SUM(VI_2,V_final)/2</f>
        <v>19.097597597597598</v>
      </c>
      <c r="N23" s="25" t="s">
        <v>49</v>
      </c>
    </row>
    <row r="24" spans="1:14" ht="15">
      <c r="A24" s="29" t="s">
        <v>72</v>
      </c>
      <c r="B24" s="29"/>
      <c r="C24" s="29" t="s">
        <v>29</v>
      </c>
      <c r="D24" s="29"/>
      <c r="E24" s="25"/>
      <c r="F24" s="25"/>
      <c r="G24" s="25"/>
      <c r="H24" s="25"/>
      <c r="I24" s="25"/>
      <c r="J24" s="25"/>
      <c r="K24" s="25"/>
      <c r="L24" s="25"/>
      <c r="M24" s="25"/>
      <c r="N24" s="25"/>
    </row>
    <row r="25" spans="1:14" ht="15">
      <c r="A25" s="29" t="s">
        <v>129</v>
      </c>
      <c r="B25" s="29"/>
      <c r="C25" s="29">
        <f>VI_2</f>
        <v>13.416666666666666</v>
      </c>
      <c r="D25" s="29" t="s">
        <v>49</v>
      </c>
      <c r="E25" s="25"/>
      <c r="F25" s="25"/>
      <c r="G25" s="25"/>
      <c r="H25" s="25"/>
      <c r="I25" s="25"/>
      <c r="J25" s="25"/>
      <c r="K25" s="25"/>
      <c r="L25" s="25"/>
      <c r="M25" s="25"/>
      <c r="N25" s="25"/>
    </row>
  </sheetData>
  <phoneticPr fontId="15" type="noConversion"/>
  <pageMargins left="0.7" right="0.7" top="0.75" bottom="0.75" header="0.3" footer="0.3"/>
  <pageSetup scale="43" orientation="portrait" horizontalDpi="4294967292" verticalDpi="4294967292"/>
  <rowBreaks count="1" manualBreakCount="1">
    <brk id="26" max="16383" man="1"/>
  </rowBreaks>
  <colBreaks count="1" manualBreakCount="1">
    <brk id="18"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dc:creator>
  <cp:lastModifiedBy>Miguel Angel Covarrubias</cp:lastModifiedBy>
  <cp:lastPrinted>2014-11-19T04:53:19Z</cp:lastPrinted>
  <dcterms:created xsi:type="dcterms:W3CDTF">2014-10-30T15:08:15Z</dcterms:created>
  <dcterms:modified xsi:type="dcterms:W3CDTF">2014-11-19T05:07:16Z</dcterms:modified>
</cp:coreProperties>
</file>