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ata\Word\Papiers\Daniella\Daniella_oxygen\Submission 2017\"/>
    </mc:Choice>
  </mc:AlternateContent>
  <bookViews>
    <workbookView xWindow="0" yWindow="0" windowWidth="11205" windowHeight="10785" tabRatio="486"/>
  </bookViews>
  <sheets>
    <sheet name="All data" sheetId="1" r:id="rId1"/>
    <sheet name="Protocole extraction pig" sheetId="2" r:id="rId2"/>
  </sheets>
  <definedNames>
    <definedName name="_xlnm.Print_Area" localSheetId="1">'Protocole extraction pig'!$A$1:$D$25</definedName>
  </definedNames>
  <calcPr calcId="152511"/>
</workbook>
</file>

<file path=xl/calcChain.xml><?xml version="1.0" encoding="utf-8"?>
<calcChain xmlns="http://schemas.openxmlformats.org/spreadsheetml/2006/main">
  <c r="F77" i="1" l="1"/>
  <c r="E77" i="1"/>
  <c r="P15" i="1" l="1"/>
  <c r="U15" i="1" s="1"/>
  <c r="P9" i="1" l="1"/>
  <c r="P10" i="1"/>
  <c r="P11" i="1"/>
  <c r="P12" i="1"/>
  <c r="P13" i="1"/>
  <c r="P14" i="1"/>
  <c r="P16" i="1"/>
  <c r="P17" i="1"/>
  <c r="P18" i="1"/>
  <c r="P3" i="1"/>
  <c r="P4" i="1"/>
  <c r="P5" i="1"/>
  <c r="P6" i="1"/>
  <c r="P7" i="1"/>
  <c r="P8" i="1"/>
  <c r="P2" i="1"/>
  <c r="I31" i="1" l="1"/>
  <c r="AM6" i="1" l="1"/>
  <c r="AM7" i="1"/>
  <c r="AM8" i="1"/>
  <c r="AM5" i="1"/>
  <c r="R4" i="1"/>
  <c r="W4" i="1" s="1"/>
  <c r="R3" i="1"/>
  <c r="W3" i="1" s="1"/>
  <c r="R6" i="1" l="1"/>
  <c r="X6" i="1" s="1"/>
  <c r="U6" i="1"/>
  <c r="U7" i="1"/>
  <c r="R7" i="1"/>
  <c r="X7" i="1" s="1"/>
  <c r="R5" i="1"/>
  <c r="X5" i="1" s="1"/>
  <c r="U5" i="1"/>
  <c r="U8" i="1"/>
  <c r="R8" i="1"/>
  <c r="X8" i="1" s="1"/>
  <c r="P62" i="1"/>
  <c r="U62" i="1" s="1"/>
  <c r="Q62" i="1"/>
  <c r="V62" i="1" s="1"/>
  <c r="R62" i="1"/>
  <c r="K58" i="1"/>
  <c r="X62" i="1" l="1"/>
  <c r="S62" i="1"/>
  <c r="R32" i="1"/>
  <c r="W32" i="1" s="1"/>
  <c r="L62" i="1" l="1"/>
  <c r="R54" i="1" l="1"/>
  <c r="W54" i="1" s="1"/>
  <c r="R55" i="1"/>
  <c r="W55" i="1" s="1"/>
  <c r="R56" i="1"/>
  <c r="W56" i="1" s="1"/>
  <c r="R57" i="1"/>
  <c r="W57" i="1" s="1"/>
  <c r="R58" i="1"/>
  <c r="W58" i="1" s="1"/>
  <c r="R59" i="1"/>
  <c r="W59" i="1" s="1"/>
  <c r="R60" i="1"/>
  <c r="W60" i="1" s="1"/>
  <c r="R61" i="1"/>
  <c r="W61" i="1" s="1"/>
  <c r="R63" i="1"/>
  <c r="W63" i="1" s="1"/>
  <c r="R64" i="1"/>
  <c r="W64" i="1" s="1"/>
  <c r="R65" i="1"/>
  <c r="W65" i="1" s="1"/>
  <c r="R66" i="1"/>
  <c r="W66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3" i="1"/>
  <c r="W33" i="1" s="1"/>
  <c r="R34" i="1"/>
  <c r="W34" i="1" s="1"/>
  <c r="R35" i="1"/>
  <c r="W35" i="1" s="1"/>
  <c r="R36" i="1"/>
  <c r="W36" i="1" s="1"/>
  <c r="R37" i="1"/>
  <c r="W37" i="1" s="1"/>
  <c r="R38" i="1"/>
  <c r="W38" i="1" s="1"/>
  <c r="R39" i="1"/>
  <c r="W39" i="1" s="1"/>
  <c r="R40" i="1"/>
  <c r="W40" i="1" s="1"/>
  <c r="R41" i="1"/>
  <c r="R43" i="1"/>
  <c r="W43" i="1" s="1"/>
  <c r="R44" i="1"/>
  <c r="W44" i="1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I41" i="1" l="1"/>
  <c r="X41" i="1" s="1"/>
  <c r="P40" i="1"/>
  <c r="R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57" i="1"/>
  <c r="L66" i="1"/>
  <c r="L65" i="1"/>
  <c r="L64" i="1"/>
  <c r="L63" i="1"/>
  <c r="L60" i="1"/>
  <c r="L59" i="1"/>
  <c r="L56" i="1"/>
  <c r="L55" i="1"/>
  <c r="L54" i="1"/>
  <c r="L51" i="1"/>
  <c r="L50" i="1"/>
  <c r="L49" i="1"/>
  <c r="L48" i="1"/>
  <c r="L47" i="1"/>
  <c r="L46" i="1"/>
  <c r="L45" i="1"/>
  <c r="L44" i="1"/>
  <c r="L43" i="1"/>
  <c r="L53" i="1"/>
  <c r="L52" i="1"/>
  <c r="L61" i="1"/>
  <c r="X61" i="1"/>
  <c r="X63" i="1"/>
  <c r="X64" i="1"/>
  <c r="X65" i="1"/>
  <c r="X66" i="1"/>
  <c r="X59" i="1"/>
  <c r="X60" i="1"/>
  <c r="X52" i="1"/>
  <c r="X53" i="1"/>
  <c r="X54" i="1"/>
  <c r="X55" i="1"/>
  <c r="X56" i="1"/>
  <c r="X57" i="1"/>
  <c r="X48" i="1"/>
  <c r="X49" i="1"/>
  <c r="X50" i="1"/>
  <c r="X51" i="1"/>
  <c r="X44" i="1"/>
  <c r="Y44" i="1" s="1"/>
  <c r="X45" i="1"/>
  <c r="X46" i="1"/>
  <c r="X47" i="1"/>
  <c r="X38" i="1"/>
  <c r="X39" i="1"/>
  <c r="X40" i="1"/>
  <c r="X31" i="1"/>
  <c r="X32" i="1"/>
  <c r="X33" i="1"/>
  <c r="X25" i="1"/>
  <c r="X26" i="1"/>
  <c r="X27" i="1"/>
  <c r="X28" i="1"/>
  <c r="X29" i="1"/>
  <c r="X30" i="1"/>
  <c r="X19" i="1"/>
  <c r="Y19" i="1" s="1"/>
  <c r="X20" i="1"/>
  <c r="X21" i="1"/>
  <c r="X22" i="1"/>
  <c r="X23" i="1"/>
  <c r="X24" i="1"/>
  <c r="X3" i="1"/>
  <c r="X4" i="1"/>
  <c r="Q21" i="1"/>
  <c r="V21" i="1" s="1"/>
  <c r="Q22" i="1"/>
  <c r="V22" i="1" s="1"/>
  <c r="Q25" i="1"/>
  <c r="V25" i="1" s="1"/>
  <c r="Q37" i="1"/>
  <c r="V37" i="1" s="1"/>
  <c r="Q39" i="1"/>
  <c r="V39" i="1" s="1"/>
  <c r="Q52" i="1"/>
  <c r="V52" i="1" s="1"/>
  <c r="Q59" i="1"/>
  <c r="V59" i="1" s="1"/>
  <c r="Q19" i="1"/>
  <c r="V19" i="1" s="1"/>
  <c r="X35" i="1"/>
  <c r="X58" i="1"/>
  <c r="Y58" i="1" s="1"/>
  <c r="P27" i="1"/>
  <c r="U27" i="1" s="1"/>
  <c r="U32" i="1"/>
  <c r="P47" i="1"/>
  <c r="U47" i="1" s="1"/>
  <c r="P48" i="1"/>
  <c r="U48" i="1" s="1"/>
  <c r="P60" i="1"/>
  <c r="U60" i="1" s="1"/>
  <c r="Q60" i="1"/>
  <c r="P61" i="1"/>
  <c r="U61" i="1" s="1"/>
  <c r="Q61" i="1"/>
  <c r="P63" i="1"/>
  <c r="U63" i="1" s="1"/>
  <c r="Q63" i="1"/>
  <c r="V63" i="1" s="1"/>
  <c r="P64" i="1"/>
  <c r="U64" i="1" s="1"/>
  <c r="Q64" i="1"/>
  <c r="V64" i="1" s="1"/>
  <c r="P65" i="1"/>
  <c r="U65" i="1" s="1"/>
  <c r="Q65" i="1"/>
  <c r="V65" i="1" s="1"/>
  <c r="P66" i="1"/>
  <c r="U66" i="1" s="1"/>
  <c r="Q66" i="1"/>
  <c r="V66" i="1" s="1"/>
  <c r="P59" i="1"/>
  <c r="P58" i="1"/>
  <c r="Q58" i="1"/>
  <c r="V58" i="1" s="1"/>
  <c r="P43" i="1"/>
  <c r="Q43" i="1"/>
  <c r="V43" i="1" s="1"/>
  <c r="X43" i="1"/>
  <c r="P44" i="1"/>
  <c r="U44" i="1" s="1"/>
  <c r="Q44" i="1"/>
  <c r="V44" i="1" s="1"/>
  <c r="P45" i="1"/>
  <c r="U45" i="1" s="1"/>
  <c r="Q45" i="1"/>
  <c r="V45" i="1" s="1"/>
  <c r="P46" i="1"/>
  <c r="U46" i="1" s="1"/>
  <c r="Q46" i="1"/>
  <c r="V46" i="1" s="1"/>
  <c r="Q47" i="1"/>
  <c r="V47" i="1" s="1"/>
  <c r="Q48" i="1"/>
  <c r="P49" i="1"/>
  <c r="U49" i="1" s="1"/>
  <c r="Q49" i="1"/>
  <c r="V49" i="1" s="1"/>
  <c r="P50" i="1"/>
  <c r="U50" i="1" s="1"/>
  <c r="Q50" i="1"/>
  <c r="V50" i="1" s="1"/>
  <c r="P51" i="1"/>
  <c r="U51" i="1" s="1"/>
  <c r="Q51" i="1"/>
  <c r="V51" i="1" s="1"/>
  <c r="P36" i="1"/>
  <c r="U36" i="1" s="1"/>
  <c r="Q36" i="1"/>
  <c r="V36" i="1" s="1"/>
  <c r="X36" i="1"/>
  <c r="P35" i="1"/>
  <c r="U35" i="1" s="1"/>
  <c r="Q35" i="1"/>
  <c r="V35" i="1" s="1"/>
  <c r="Q32" i="1"/>
  <c r="V32" i="1" s="1"/>
  <c r="P33" i="1"/>
  <c r="U33" i="1" s="1"/>
  <c r="Q33" i="1"/>
  <c r="V33" i="1" s="1"/>
  <c r="P34" i="1"/>
  <c r="U34" i="1" s="1"/>
  <c r="Q34" i="1"/>
  <c r="V34" i="1" s="1"/>
  <c r="X34" i="1"/>
  <c r="Q31" i="1"/>
  <c r="P31" i="1"/>
  <c r="U31" i="1" s="1"/>
  <c r="P30" i="1"/>
  <c r="U30" i="1" s="1"/>
  <c r="Q30" i="1"/>
  <c r="Q57" i="1"/>
  <c r="V57" i="1" s="1"/>
  <c r="P57" i="1"/>
  <c r="U57" i="1" s="1"/>
  <c r="P56" i="1"/>
  <c r="U56" i="1" s="1"/>
  <c r="P41" i="1"/>
  <c r="U41" i="1" s="1"/>
  <c r="Q41" i="1"/>
  <c r="V41" i="1" s="1"/>
  <c r="P19" i="1"/>
  <c r="P20" i="1"/>
  <c r="U20" i="1" s="1"/>
  <c r="Q20" i="1"/>
  <c r="V20" i="1" s="1"/>
  <c r="P21" i="1"/>
  <c r="U21" i="1" s="1"/>
  <c r="P22" i="1"/>
  <c r="U22" i="1" s="1"/>
  <c r="P23" i="1"/>
  <c r="U23" i="1" s="1"/>
  <c r="Q23" i="1"/>
  <c r="V23" i="1" s="1"/>
  <c r="P24" i="1"/>
  <c r="U24" i="1" s="1"/>
  <c r="Q24" i="1"/>
  <c r="V24" i="1" s="1"/>
  <c r="P25" i="1"/>
  <c r="U25" i="1" s="1"/>
  <c r="P26" i="1"/>
  <c r="U26" i="1" s="1"/>
  <c r="Q26" i="1"/>
  <c r="Q27" i="1"/>
  <c r="V27" i="1" s="1"/>
  <c r="P28" i="1"/>
  <c r="U28" i="1" s="1"/>
  <c r="Q28" i="1"/>
  <c r="V28" i="1" s="1"/>
  <c r="P29" i="1"/>
  <c r="U29" i="1" s="1"/>
  <c r="Q29" i="1"/>
  <c r="V29" i="1" s="1"/>
  <c r="P37" i="1"/>
  <c r="U37" i="1" s="1"/>
  <c r="X37" i="1"/>
  <c r="P38" i="1"/>
  <c r="U38" i="1" s="1"/>
  <c r="Q38" i="1"/>
  <c r="V38" i="1" s="1"/>
  <c r="P39" i="1"/>
  <c r="U39" i="1" s="1"/>
  <c r="U40" i="1"/>
  <c r="Q40" i="1"/>
  <c r="S40" i="1" s="1"/>
  <c r="P52" i="1"/>
  <c r="U52" i="1" s="1"/>
  <c r="P53" i="1"/>
  <c r="Q53" i="1"/>
  <c r="V53" i="1" s="1"/>
  <c r="P54" i="1"/>
  <c r="U54" i="1" s="1"/>
  <c r="Q54" i="1"/>
  <c r="V54" i="1" s="1"/>
  <c r="P55" i="1"/>
  <c r="U55" i="1" s="1"/>
  <c r="Q55" i="1"/>
  <c r="V55" i="1" s="1"/>
  <c r="Q56" i="1"/>
  <c r="V56" i="1" s="1"/>
  <c r="U17" i="1"/>
  <c r="Y31" i="1" l="1"/>
  <c r="Y61" i="1"/>
  <c r="Y37" i="1"/>
  <c r="Y25" i="1"/>
  <c r="Y52" i="1"/>
  <c r="Y48" i="1"/>
  <c r="Z31" i="1"/>
  <c r="Z61" i="1"/>
  <c r="Z25" i="1"/>
  <c r="Z48" i="1"/>
  <c r="Z44" i="1"/>
  <c r="Z37" i="1"/>
  <c r="W2" i="1"/>
  <c r="Z2" i="1" s="1"/>
  <c r="I2" i="1"/>
  <c r="U2" i="1" s="1"/>
  <c r="R14" i="1"/>
  <c r="W14" i="1" s="1"/>
  <c r="R11" i="1"/>
  <c r="S23" i="1"/>
  <c r="R13" i="1"/>
  <c r="U10" i="1"/>
  <c r="R10" i="1"/>
  <c r="U12" i="1"/>
  <c r="R12" i="1"/>
  <c r="R15" i="1"/>
  <c r="R9" i="1"/>
  <c r="U18" i="1"/>
  <c r="R18" i="1"/>
  <c r="R17" i="1"/>
  <c r="R16" i="1"/>
  <c r="S26" i="1"/>
  <c r="S59" i="1"/>
  <c r="S20" i="1"/>
  <c r="S30" i="1"/>
  <c r="S31" i="1"/>
  <c r="S19" i="1"/>
  <c r="S47" i="1"/>
  <c r="S50" i="1"/>
  <c r="U4" i="1"/>
  <c r="S53" i="1"/>
  <c r="S41" i="1"/>
  <c r="S65" i="1"/>
  <c r="S61" i="1"/>
  <c r="S39" i="1"/>
  <c r="V31" i="1"/>
  <c r="S55" i="1"/>
  <c r="S38" i="1"/>
  <c r="S48" i="1"/>
  <c r="S60" i="1"/>
  <c r="U53" i="1"/>
  <c r="Z52" i="1" s="1"/>
  <c r="S54" i="1"/>
  <c r="S36" i="1"/>
  <c r="S35" i="1"/>
  <c r="U9" i="1"/>
  <c r="V26" i="1"/>
  <c r="S43" i="1"/>
  <c r="S37" i="1"/>
  <c r="S58" i="1"/>
  <c r="S32" i="1"/>
  <c r="S46" i="1"/>
  <c r="S52" i="1"/>
  <c r="U16" i="1"/>
  <c r="V30" i="1"/>
  <c r="U59" i="1"/>
  <c r="V60" i="1"/>
  <c r="S28" i="1"/>
  <c r="U43" i="1"/>
  <c r="S56" i="1"/>
  <c r="V40" i="1"/>
  <c r="S34" i="1"/>
  <c r="U11" i="1"/>
  <c r="S33" i="1"/>
  <c r="S21" i="1"/>
  <c r="S64" i="1"/>
  <c r="U19" i="1"/>
  <c r="V48" i="1"/>
  <c r="S45" i="1"/>
  <c r="S63" i="1"/>
  <c r="S25" i="1"/>
  <c r="S66" i="1"/>
  <c r="V61" i="1"/>
  <c r="U13" i="1"/>
  <c r="U58" i="1"/>
  <c r="S49" i="1"/>
  <c r="S24" i="1"/>
  <c r="S22" i="1"/>
  <c r="S57" i="1"/>
  <c r="U3" i="1"/>
  <c r="S51" i="1"/>
  <c r="S29" i="1"/>
  <c r="S44" i="1"/>
  <c r="S27" i="1"/>
  <c r="X2" i="1" l="1"/>
  <c r="Y2" i="1" s="1"/>
  <c r="Z58" i="1"/>
  <c r="Z19" i="1"/>
  <c r="X13" i="1"/>
  <c r="W13" i="1"/>
  <c r="X15" i="1"/>
  <c r="W15" i="1"/>
  <c r="X11" i="1"/>
  <c r="W11" i="1"/>
  <c r="X17" i="1"/>
  <c r="W17" i="1"/>
  <c r="X18" i="1"/>
  <c r="W18" i="1"/>
  <c r="X9" i="1"/>
  <c r="W9" i="1"/>
  <c r="X10" i="1"/>
  <c r="W10" i="1"/>
  <c r="X16" i="1"/>
  <c r="W16" i="1"/>
  <c r="X12" i="1"/>
  <c r="W12" i="1"/>
  <c r="X14" i="1"/>
  <c r="U14" i="1"/>
  <c r="T58" i="1"/>
  <c r="T37" i="1"/>
  <c r="T48" i="1"/>
  <c r="T44" i="1"/>
  <c r="T61" i="1"/>
  <c r="T19" i="1"/>
  <c r="Y13" i="1" l="1"/>
  <c r="Y9" i="1"/>
  <c r="Z9" i="1"/>
  <c r="Z13" i="1"/>
</calcChain>
</file>

<file path=xl/comments1.xml><?xml version="1.0" encoding="utf-8"?>
<comments xmlns="http://schemas.openxmlformats.org/spreadsheetml/2006/main">
  <authors>
    <author>partensk</author>
    <author>Daniella Mella Flores</author>
  </authors>
  <commentList>
    <comment ref="I34" authorId="0" shapeId="0">
      <text>
        <r>
          <rPr>
            <b/>
            <sz val="9"/>
            <color indexed="81"/>
            <rFont val="Tahoma"/>
            <family val="2"/>
          </rPr>
          <t>partensk:</t>
        </r>
        <r>
          <rPr>
            <sz val="9"/>
            <color indexed="81"/>
            <rFont val="Tahoma"/>
            <family val="2"/>
          </rPr>
          <t xml:space="preserve">
x10 par mesure aux donnees
</t>
        </r>
      </text>
    </comment>
    <comment ref="D57" authorId="1" shapeId="0">
      <text>
        <r>
          <rPr>
            <b/>
            <sz val="9"/>
            <color indexed="81"/>
            <rFont val="Calibri"/>
            <family val="2"/>
          </rPr>
          <t>Daniella Mella Flores:</t>
        </r>
        <r>
          <rPr>
            <sz val="9"/>
            <color indexed="81"/>
            <rFont val="Calibri"/>
            <family val="2"/>
          </rPr>
          <t xml:space="preserve">
La date du spectro est du 01.06.2011</t>
        </r>
      </text>
    </comment>
  </commentList>
</comments>
</file>

<file path=xl/sharedStrings.xml><?xml version="1.0" encoding="utf-8"?>
<sst xmlns="http://schemas.openxmlformats.org/spreadsheetml/2006/main" count="264" uniqueCount="102">
  <si>
    <t>Strain</t>
  </si>
  <si>
    <t>Light</t>
  </si>
  <si>
    <t>WH7803</t>
  </si>
  <si>
    <t>LL</t>
  </si>
  <si>
    <t>31/01/2011 A</t>
  </si>
  <si>
    <t>31/01/2011 B</t>
  </si>
  <si>
    <t>ML</t>
  </si>
  <si>
    <t>PCC9511</t>
  </si>
  <si>
    <t>19/03/2011 A</t>
  </si>
  <si>
    <t>19/03/2011 B</t>
  </si>
  <si>
    <t>01/03/2011 A</t>
  </si>
  <si>
    <t>01/03/2011 B</t>
  </si>
  <si>
    <t>MIT9313</t>
  </si>
  <si>
    <t>03/02/2011 A</t>
  </si>
  <si>
    <t>03/02/2011 B</t>
  </si>
  <si>
    <t>SS120</t>
  </si>
  <si>
    <t>07/02/2011 A</t>
  </si>
  <si>
    <t>07/02/2011 B</t>
  </si>
  <si>
    <t>Vol methanol (ml)</t>
  </si>
  <si>
    <t>05/04/2011_A</t>
  </si>
  <si>
    <t>05/04/2011_B</t>
  </si>
  <si>
    <t>05/04/2011_C</t>
  </si>
  <si>
    <t>2) Laisser à -20°C pendant 10 min (chez les syns, extraction est complète si un fond rouge est observé)</t>
  </si>
  <si>
    <t>3) Centrifuger full speed, 4°C, 5 min</t>
  </si>
  <si>
    <t>Utilisation spectrophotomètre</t>
  </si>
  <si>
    <t>1) switch on (derrière)</t>
  </si>
  <si>
    <t>2) Logiciel SAFAS</t>
  </si>
  <si>
    <t xml:space="preserve">4) Spectre : </t>
  </si>
  <si>
    <t>Gain: auto</t>
  </si>
  <si>
    <t>Mode mesure: normal</t>
  </si>
  <si>
    <t>5) Mesurer dans spectrophotomètre en utilisant METOH pour le blanc</t>
  </si>
  <si>
    <t>PROTOCOLE POUR EXTRACTION DES PIGMENTS</t>
  </si>
  <si>
    <t>HL</t>
  </si>
  <si>
    <t>laisser ce qui apparait par defaut</t>
  </si>
  <si>
    <t xml:space="preserve">7) Choisir (A) pour faire la ligne de base avec le blanc. </t>
  </si>
  <si>
    <t>Normal (B)/ligne base general/ligne base particulière (A)</t>
  </si>
  <si>
    <t xml:space="preserve">8) Changer la cuvette de droite pour celle avec l'échantillon à analyser </t>
  </si>
  <si>
    <t>9) Choisir (B) pour mesurer l'échantillon</t>
  </si>
  <si>
    <t>04/07/2012 B</t>
  </si>
  <si>
    <t>04/07/2012 C</t>
  </si>
  <si>
    <t>04/07/2012 D</t>
  </si>
  <si>
    <t>11/07/2012 A</t>
  </si>
  <si>
    <t>11/07/2012 B</t>
  </si>
  <si>
    <t>11/07/2012 C</t>
  </si>
  <si>
    <t>1) Ajouter 1 ml (si autre volume, faut noter la vol exacte!) de METOH froid dans le microtube avec l'échantillon</t>
  </si>
  <si>
    <t>3) Faire: validation: compte rendu d'autotest: verifier que OK pour tout</t>
  </si>
  <si>
    <t>12/09/2011 B</t>
  </si>
  <si>
    <t>?</t>
  </si>
  <si>
    <t>17/07/12 A</t>
  </si>
  <si>
    <t>17/07/12 C</t>
  </si>
  <si>
    <t>10) une fois fini le spectro, l'exporter dans format txt pour l'ouvrir après dans excel</t>
  </si>
  <si>
    <t>ML-mi chemin</t>
  </si>
  <si>
    <t>4) Reprendre le surnageant (en evitant toucher ou resuspendre le culot) et le passer dans un microtube propre</t>
  </si>
  <si>
    <t>6) installer: à gauche et à droite des cuvettes avec le blanc (methanol)</t>
  </si>
  <si>
    <t>ML debut</t>
  </si>
  <si>
    <t>Average      Chl b/a</t>
  </si>
  <si>
    <t>Remark</t>
  </si>
  <si>
    <t>Abs. Chl a or               DV-Chl a</t>
  </si>
  <si>
    <t>not detectable</t>
  </si>
  <si>
    <t>Abs. Chl b red peak -13 nm</t>
  </si>
  <si>
    <t xml:space="preserve"> </t>
  </si>
  <si>
    <t>(DV)-Chl b per cell</t>
  </si>
  <si>
    <t>(DV)-Chl a (fg per cell)</t>
  </si>
  <si>
    <t>Chl b/Chl a</t>
  </si>
  <si>
    <t>Fv/Fm before conc.</t>
  </si>
  <si>
    <t>Fv/Fm after conc</t>
  </si>
  <si>
    <t>Spectrofluo before conc</t>
  </si>
  <si>
    <t>Abs.          700 nm</t>
  </si>
  <si>
    <t>Sampling date</t>
  </si>
  <si>
    <t>Vol sampled (ml)</t>
  </si>
  <si>
    <t>Replicate Number</t>
  </si>
  <si>
    <t>6) noter les valeurs des pics à 665 pour Syn, et à 666 et 658 pour Proc (verifier le spectre, parfois le pic est décalé!)</t>
  </si>
  <si>
    <t>Abs Chlb/ Abs Chla</t>
  </si>
  <si>
    <t>Average tot Prot/Chl a</t>
  </si>
  <si>
    <t>missing</t>
  </si>
  <si>
    <t>Corrected Cells/mL</t>
  </si>
  <si>
    <t>uncorrected (DV)-Chl per cell</t>
  </si>
  <si>
    <t>Corrected Total (DV)-Chl per cell</t>
  </si>
  <si>
    <t>no data</t>
  </si>
  <si>
    <t>spectro data missing</t>
  </si>
  <si>
    <t>not kept for PE curve averaging</t>
  </si>
  <si>
    <t xml:space="preserve">not kept for PE curve averaging </t>
  </si>
  <si>
    <t>Chl data interpolated</t>
  </si>
  <si>
    <t>Cell concentration interpolated</t>
  </si>
  <si>
    <t>Chl and cell data interpolated</t>
  </si>
  <si>
    <r>
      <t>HL=163±12 µE</t>
    </r>
    <r>
      <rPr>
        <sz val="11"/>
        <color theme="1"/>
        <rFont val="Calibri"/>
        <family val="2"/>
        <scheme val="minor"/>
      </rPr>
      <t xml:space="preserve"> (measured on 12/09/11)</t>
    </r>
  </si>
  <si>
    <r>
      <t xml:space="preserve">ML debut=45 µE; </t>
    </r>
    <r>
      <rPr>
        <sz val="11"/>
        <color rgb="FFFF0000"/>
        <rFont val="Calibri"/>
        <family val="2"/>
        <scheme val="minor"/>
      </rPr>
      <t>ML=75µE (Measured on 20/9/12)</t>
    </r>
  </si>
  <si>
    <r>
      <t>ML debut=37</t>
    </r>
    <r>
      <rPr>
        <sz val="11"/>
        <color theme="1"/>
        <rFont val="Calibri"/>
        <family val="2"/>
      </rPr>
      <t>±1</t>
    </r>
    <r>
      <rPr>
        <sz val="11"/>
        <color theme="1"/>
        <rFont val="Calibri"/>
        <family val="2"/>
        <scheme val="minor"/>
      </rPr>
      <t xml:space="preserve"> µE; ML-michemin=55±1 µE; </t>
    </r>
    <r>
      <rPr>
        <sz val="11"/>
        <color rgb="FFFF0000"/>
        <rFont val="Calibri"/>
        <family val="2"/>
        <scheme val="minor"/>
      </rPr>
      <t>ML=63±2 µE</t>
    </r>
    <r>
      <rPr>
        <sz val="11"/>
        <color theme="1"/>
        <rFont val="Calibri"/>
        <family val="2"/>
        <scheme val="minor"/>
      </rPr>
      <t xml:space="preserve"> (Measured on 22/08/13)</t>
    </r>
  </si>
  <si>
    <r>
      <t>LL=18±3 µE</t>
    </r>
    <r>
      <rPr>
        <sz val="11"/>
        <color theme="1"/>
        <rFont val="Calibri"/>
        <family val="2"/>
        <scheme val="minor"/>
      </rPr>
      <t xml:space="preserve"> (not sure when this was measured)</t>
    </r>
  </si>
  <si>
    <r>
      <t>ML debut=32</t>
    </r>
    <r>
      <rPr>
        <sz val="11"/>
        <color theme="1"/>
        <rFont val="Calibri"/>
        <family val="2"/>
      </rPr>
      <t>±</t>
    </r>
    <r>
      <rPr>
        <sz val="9.9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µE; ML-michemin=45±3 µE; </t>
    </r>
    <r>
      <rPr>
        <sz val="11"/>
        <color rgb="FFFF0000"/>
        <rFont val="Calibri"/>
        <family val="2"/>
        <scheme val="minor"/>
      </rPr>
      <t>ML=57±5 µE</t>
    </r>
    <r>
      <rPr>
        <sz val="11"/>
        <color theme="1"/>
        <rFont val="Calibri"/>
        <family val="2"/>
        <scheme val="minor"/>
      </rPr>
      <t xml:space="preserve"> (Measured 09/10/13)</t>
    </r>
  </si>
  <si>
    <t>Light measurements on culture bench:</t>
  </si>
  <si>
    <t>Chl a (mg/L)</t>
  </si>
  <si>
    <t>Chl b (mg/L)</t>
  </si>
  <si>
    <t>Total chl (mg/L)</t>
  </si>
  <si>
    <t>SD (DV) Chl a per cell</t>
  </si>
  <si>
    <r>
      <t xml:space="preserve">Pour </t>
    </r>
    <r>
      <rPr>
        <i/>
        <sz val="11"/>
        <color rgb="FFFF0000"/>
        <rFont val="Calibri"/>
        <family val="2"/>
        <scheme val="minor"/>
      </rPr>
      <t>Synechococcus</t>
    </r>
    <r>
      <rPr>
        <sz val="11"/>
        <color rgb="FFFF0000"/>
        <rFont val="Calibri"/>
        <family val="2"/>
        <scheme val="minor"/>
      </rPr>
      <t>, utiliser le coefficient d'extinction (12.8)</t>
    </r>
  </si>
  <si>
    <t>=&gt; En fait valeur Chl b = pic rouge Chl a - 13 nm (Porra, 2002) =&gt; ex: si Pic DV-Chl a = 666 nm, pic DV-Chl b = 653 nm)</t>
  </si>
  <si>
    <t>Mean (DV-) Chl a per cell</t>
  </si>
  <si>
    <t>Cells/mL (fcm)</t>
  </si>
  <si>
    <t>FV:Fm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</si>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</sst>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/mm/yy;@"/>
    <numFmt numFmtId="166" formatCode="0.0000"/>
    <numFmt numFmtId="167" formatCode="0.000E+00"/>
  </numFmts>
  <fonts count="3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sz val="9.9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30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10"/>
      <color indexed="23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008000"/>
      <name val="Calibri"/>
      <family val="2"/>
      <scheme val="minor"/>
    </font>
    <font>
      <i/>
      <sz val="10"/>
      <color rgb="FF008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6600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i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Fill="1"/>
    <xf numFmtId="166" fontId="0" fillId="0" borderId="0" xfId="0" applyNumberFormat="1"/>
    <xf numFmtId="0" fontId="7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7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7" fontId="0" fillId="0" borderId="0" xfId="0" applyNumberFormat="1" applyFont="1"/>
    <xf numFmtId="167" fontId="0" fillId="0" borderId="0" xfId="0" applyNumberFormat="1" applyFont="1" applyFill="1"/>
    <xf numFmtId="0" fontId="9" fillId="3" borderId="0" xfId="0" applyFont="1" applyFill="1"/>
    <xf numFmtId="14" fontId="9" fillId="3" borderId="0" xfId="0" applyNumberFormat="1" applyFont="1" applyFill="1"/>
    <xf numFmtId="2" fontId="9" fillId="3" borderId="0" xfId="0" applyNumberFormat="1" applyFont="1" applyFill="1"/>
    <xf numFmtId="2" fontId="9" fillId="3" borderId="0" xfId="0" applyNumberFormat="1" applyFont="1" applyFill="1" applyAlignment="1">
      <alignment horizontal="right"/>
    </xf>
    <xf numFmtId="166" fontId="9" fillId="3" borderId="0" xfId="0" applyNumberFormat="1" applyFont="1" applyFill="1"/>
    <xf numFmtId="164" fontId="8" fillId="3" borderId="0" xfId="0" applyNumberFormat="1" applyFont="1" applyFill="1" applyBorder="1"/>
    <xf numFmtId="0" fontId="10" fillId="3" borderId="0" xfId="0" applyFont="1" applyFill="1"/>
    <xf numFmtId="1" fontId="9" fillId="3" borderId="0" xfId="0" applyNumberFormat="1" applyFont="1" applyFill="1" applyAlignment="1">
      <alignment horizontal="center"/>
    </xf>
    <xf numFmtId="14" fontId="9" fillId="3" borderId="0" xfId="0" applyNumberFormat="1" applyFont="1" applyFill="1" applyAlignment="1">
      <alignment horizontal="right"/>
    </xf>
    <xf numFmtId="0" fontId="10" fillId="3" borderId="0" xfId="0" applyFont="1" applyFill="1" applyBorder="1"/>
    <xf numFmtId="0" fontId="9" fillId="3" borderId="0" xfId="0" applyFont="1" applyFill="1" applyBorder="1"/>
    <xf numFmtId="0" fontId="9" fillId="3" borderId="1" xfId="0" applyFont="1" applyFill="1" applyBorder="1"/>
    <xf numFmtId="14" fontId="9" fillId="3" borderId="1" xfId="0" applyNumberFormat="1" applyFont="1" applyFill="1" applyBorder="1" applyAlignment="1">
      <alignment horizontal="right"/>
    </xf>
    <xf numFmtId="2" fontId="9" fillId="3" borderId="1" xfId="0" applyNumberFormat="1" applyFont="1" applyFill="1" applyBorder="1"/>
    <xf numFmtId="166" fontId="9" fillId="3" borderId="1" xfId="0" applyNumberFormat="1" applyFont="1" applyFill="1" applyBorder="1"/>
    <xf numFmtId="164" fontId="8" fillId="3" borderId="1" xfId="0" applyNumberFormat="1" applyFont="1" applyFill="1" applyBorder="1"/>
    <xf numFmtId="0" fontId="10" fillId="3" borderId="1" xfId="0" applyFont="1" applyFill="1" applyBorder="1"/>
    <xf numFmtId="0" fontId="8" fillId="3" borderId="0" xfId="0" applyFont="1" applyFill="1"/>
    <xf numFmtId="0" fontId="12" fillId="3" borderId="0" xfId="0" applyFont="1" applyFill="1"/>
    <xf numFmtId="14" fontId="9" fillId="3" borderId="1" xfId="0" applyNumberFormat="1" applyFont="1" applyFill="1" applyBorder="1"/>
    <xf numFmtId="0" fontId="8" fillId="3" borderId="1" xfId="0" applyFont="1" applyFill="1" applyBorder="1"/>
    <xf numFmtId="0" fontId="12" fillId="3" borderId="1" xfId="0" applyFont="1" applyFill="1" applyBorder="1"/>
    <xf numFmtId="1" fontId="9" fillId="3" borderId="1" xfId="0" applyNumberFormat="1" applyFont="1" applyFill="1" applyBorder="1" applyAlignment="1">
      <alignment horizontal="center"/>
    </xf>
    <xf numFmtId="0" fontId="16" fillId="3" borderId="0" xfId="0" applyFont="1" applyFill="1"/>
    <xf numFmtId="14" fontId="16" fillId="3" borderId="0" xfId="0" applyNumberFormat="1" applyFont="1" applyFill="1" applyAlignment="1">
      <alignment horizontal="right"/>
    </xf>
    <xf numFmtId="2" fontId="16" fillId="3" borderId="0" xfId="0" applyNumberFormat="1" applyFont="1" applyFill="1"/>
    <xf numFmtId="166" fontId="16" fillId="3" borderId="0" xfId="0" applyNumberFormat="1" applyFont="1" applyFill="1"/>
    <xf numFmtId="164" fontId="15" fillId="3" borderId="0" xfId="0" applyNumberFormat="1" applyFont="1" applyFill="1" applyBorder="1"/>
    <xf numFmtId="0" fontId="15" fillId="3" borderId="0" xfId="0" applyFont="1" applyFill="1"/>
    <xf numFmtId="0" fontId="23" fillId="3" borderId="0" xfId="0" applyFont="1" applyFill="1"/>
    <xf numFmtId="0" fontId="9" fillId="4" borderId="0" xfId="0" applyFont="1" applyFill="1"/>
    <xf numFmtId="14" fontId="9" fillId="4" borderId="0" xfId="0" applyNumberFormat="1" applyFont="1" applyFill="1"/>
    <xf numFmtId="2" fontId="9" fillId="4" borderId="0" xfId="0" applyNumberFormat="1" applyFont="1" applyFill="1"/>
    <xf numFmtId="166" fontId="9" fillId="4" borderId="0" xfId="0" applyNumberFormat="1" applyFont="1" applyFill="1"/>
    <xf numFmtId="166" fontId="16" fillId="4" borderId="0" xfId="0" applyNumberFormat="1" applyFont="1" applyFill="1"/>
    <xf numFmtId="164" fontId="8" fillId="4" borderId="0" xfId="0" applyNumberFormat="1" applyFont="1" applyFill="1" applyBorder="1"/>
    <xf numFmtId="164" fontId="10" fillId="4" borderId="0" xfId="0" applyNumberFormat="1" applyFont="1" applyFill="1"/>
    <xf numFmtId="164" fontId="9" fillId="4" borderId="0" xfId="0" applyNumberFormat="1" applyFont="1" applyFill="1"/>
    <xf numFmtId="1" fontId="9" fillId="4" borderId="0" xfId="0" applyNumberFormat="1" applyFont="1" applyFill="1" applyBorder="1" applyAlignment="1">
      <alignment horizontal="center"/>
    </xf>
    <xf numFmtId="14" fontId="9" fillId="4" borderId="0" xfId="0" applyNumberFormat="1" applyFont="1" applyFill="1" applyAlignment="1">
      <alignment horizontal="right"/>
    </xf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horizontal="right"/>
    </xf>
    <xf numFmtId="2" fontId="9" fillId="4" borderId="1" xfId="0" applyNumberFormat="1" applyFont="1" applyFill="1" applyBorder="1"/>
    <xf numFmtId="166" fontId="9" fillId="4" borderId="1" xfId="0" applyNumberFormat="1" applyFont="1" applyFill="1" applyBorder="1"/>
    <xf numFmtId="164" fontId="8" fillId="4" borderId="1" xfId="0" applyNumberFormat="1" applyFont="1" applyFill="1" applyBorder="1"/>
    <xf numFmtId="164" fontId="10" fillId="4" borderId="1" xfId="0" applyNumberFormat="1" applyFont="1" applyFill="1" applyBorder="1"/>
    <xf numFmtId="164" fontId="9" fillId="4" borderId="1" xfId="0" applyNumberFormat="1" applyFont="1" applyFill="1" applyBorder="1"/>
    <xf numFmtId="1" fontId="9" fillId="4" borderId="1" xfId="0" applyNumberFormat="1" applyFont="1" applyFill="1" applyBorder="1" applyAlignment="1">
      <alignment horizontal="center"/>
    </xf>
    <xf numFmtId="2" fontId="9" fillId="4" borderId="0" xfId="0" applyNumberFormat="1" applyFont="1" applyFill="1" applyAlignment="1">
      <alignment horizontal="right"/>
    </xf>
    <xf numFmtId="1" fontId="9" fillId="4" borderId="0" xfId="0" applyNumberFormat="1" applyFont="1" applyFill="1" applyAlignment="1">
      <alignment horizontal="center"/>
    </xf>
    <xf numFmtId="167" fontId="24" fillId="4" borderId="0" xfId="0" applyNumberFormat="1" applyFont="1" applyFill="1"/>
    <xf numFmtId="0" fontId="9" fillId="2" borderId="0" xfId="0" applyFont="1" applyFill="1"/>
    <xf numFmtId="14" fontId="9" fillId="2" borderId="0" xfId="0" applyNumberFormat="1" applyFont="1" applyFill="1"/>
    <xf numFmtId="2" fontId="9" fillId="2" borderId="0" xfId="0" applyNumberFormat="1" applyFont="1" applyFill="1"/>
    <xf numFmtId="166" fontId="9" fillId="2" borderId="0" xfId="0" applyNumberFormat="1" applyFont="1" applyFill="1"/>
    <xf numFmtId="166" fontId="16" fillId="2" borderId="0" xfId="0" applyNumberFormat="1" applyFont="1" applyFill="1"/>
    <xf numFmtId="164" fontId="8" fillId="2" borderId="0" xfId="0" applyNumberFormat="1" applyFont="1" applyFill="1" applyBorder="1"/>
    <xf numFmtId="164" fontId="10" fillId="2" borderId="0" xfId="0" applyNumberFormat="1" applyFont="1" applyFill="1"/>
    <xf numFmtId="164" fontId="8" fillId="2" borderId="0" xfId="0" applyNumberFormat="1" applyFont="1" applyFill="1" applyBorder="1" applyAlignment="1">
      <alignment horizontal="center"/>
    </xf>
    <xf numFmtId="164" fontId="9" fillId="2" borderId="0" xfId="0" applyNumberFormat="1" applyFont="1" applyFill="1"/>
    <xf numFmtId="1" fontId="9" fillId="2" borderId="0" xfId="0" applyNumberFormat="1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14" fontId="9" fillId="2" borderId="1" xfId="0" applyNumberFormat="1" applyFont="1" applyFill="1" applyBorder="1" applyAlignment="1">
      <alignment horizontal="right"/>
    </xf>
    <xf numFmtId="2" fontId="9" fillId="2" borderId="1" xfId="0" applyNumberFormat="1" applyFont="1" applyFill="1" applyBorder="1"/>
    <xf numFmtId="166" fontId="9" fillId="2" borderId="1" xfId="0" applyNumberFormat="1" applyFont="1" applyFill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164" fontId="9" fillId="2" borderId="1" xfId="0" applyNumberFormat="1" applyFont="1" applyFill="1" applyBorder="1"/>
    <xf numFmtId="11" fontId="9" fillId="2" borderId="1" xfId="0" applyNumberFormat="1" applyFont="1" applyFill="1" applyBorder="1"/>
    <xf numFmtId="0" fontId="9" fillId="6" borderId="0" xfId="0" applyFont="1" applyFill="1"/>
    <xf numFmtId="14" fontId="9" fillId="6" borderId="0" xfId="0" applyNumberFormat="1" applyFont="1" applyFill="1" applyAlignment="1">
      <alignment horizontal="right"/>
    </xf>
    <xf numFmtId="2" fontId="9" fillId="6" borderId="0" xfId="0" applyNumberFormat="1" applyFont="1" applyFill="1"/>
    <xf numFmtId="166" fontId="9" fillId="6" borderId="0" xfId="0" applyNumberFormat="1" applyFont="1" applyFill="1"/>
    <xf numFmtId="166" fontId="16" fillId="6" borderId="0" xfId="0" applyNumberFormat="1" applyFont="1" applyFill="1"/>
    <xf numFmtId="164" fontId="8" fillId="6" borderId="0" xfId="0" applyNumberFormat="1" applyFont="1" applyFill="1" applyBorder="1"/>
    <xf numFmtId="164" fontId="10" fillId="6" borderId="0" xfId="0" applyNumberFormat="1" applyFont="1" applyFill="1"/>
    <xf numFmtId="164" fontId="9" fillId="6" borderId="0" xfId="0" applyNumberFormat="1" applyFont="1" applyFill="1"/>
    <xf numFmtId="11" fontId="9" fillId="6" borderId="0" xfId="0" applyNumberFormat="1" applyFont="1" applyFill="1"/>
    <xf numFmtId="1" fontId="9" fillId="6" borderId="0" xfId="0" applyNumberFormat="1" applyFont="1" applyFill="1" applyBorder="1" applyAlignment="1">
      <alignment horizontal="center"/>
    </xf>
    <xf numFmtId="0" fontId="8" fillId="6" borderId="1" xfId="0" applyFont="1" applyFill="1" applyBorder="1"/>
    <xf numFmtId="14" fontId="8" fillId="6" borderId="1" xfId="0" applyNumberFormat="1" applyFont="1" applyFill="1" applyBorder="1" applyAlignment="1">
      <alignment horizontal="right"/>
    </xf>
    <xf numFmtId="2" fontId="8" fillId="6" borderId="1" xfId="0" applyNumberFormat="1" applyFont="1" applyFill="1" applyBorder="1"/>
    <xf numFmtId="164" fontId="8" fillId="6" borderId="1" xfId="0" applyNumberFormat="1" applyFont="1" applyFill="1" applyBorder="1"/>
    <xf numFmtId="11" fontId="8" fillId="6" borderId="1" xfId="0" applyNumberFormat="1" applyFont="1" applyFill="1" applyBorder="1"/>
    <xf numFmtId="0" fontId="8" fillId="6" borderId="0" xfId="0" applyFont="1" applyFill="1"/>
    <xf numFmtId="14" fontId="8" fillId="6" borderId="0" xfId="0" applyNumberFormat="1" applyFont="1" applyFill="1" applyAlignment="1">
      <alignment horizontal="right"/>
    </xf>
    <xf numFmtId="2" fontId="8" fillId="6" borderId="0" xfId="0" applyNumberFormat="1" applyFont="1" applyFill="1"/>
    <xf numFmtId="164" fontId="8" fillId="6" borderId="0" xfId="0" applyNumberFormat="1" applyFont="1" applyFill="1"/>
    <xf numFmtId="164" fontId="8" fillId="6" borderId="0" xfId="0" applyNumberFormat="1" applyFont="1" applyFill="1" applyBorder="1" applyAlignment="1">
      <alignment horizontal="center"/>
    </xf>
    <xf numFmtId="1" fontId="9" fillId="6" borderId="0" xfId="0" applyNumberFormat="1" applyFont="1" applyFill="1" applyAlignment="1">
      <alignment horizontal="center"/>
    </xf>
    <xf numFmtId="2" fontId="8" fillId="6" borderId="0" xfId="0" applyNumberFormat="1" applyFont="1" applyFill="1" applyAlignment="1">
      <alignment horizontal="right"/>
    </xf>
    <xf numFmtId="165" fontId="13" fillId="6" borderId="0" xfId="0" applyNumberFormat="1" applyFont="1" applyFill="1" applyAlignment="1">
      <alignment horizontal="center"/>
    </xf>
    <xf numFmtId="2" fontId="9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/>
    <xf numFmtId="167" fontId="13" fillId="3" borderId="0" xfId="0" applyNumberFormat="1" applyFont="1" applyFill="1" applyAlignment="1">
      <alignment horizontal="right"/>
    </xf>
    <xf numFmtId="0" fontId="8" fillId="3" borderId="0" xfId="0" applyFont="1" applyFill="1" applyBorder="1" applyAlignment="1">
      <alignment horizontal="center"/>
    </xf>
    <xf numFmtId="164" fontId="24" fillId="3" borderId="0" xfId="0" applyNumberFormat="1" applyFont="1" applyFill="1" applyBorder="1"/>
    <xf numFmtId="0" fontId="24" fillId="3" borderId="0" xfId="0" applyFont="1" applyFill="1"/>
    <xf numFmtId="164" fontId="25" fillId="3" borderId="0" xfId="0" applyNumberFormat="1" applyFont="1" applyFill="1" applyBorder="1"/>
    <xf numFmtId="0" fontId="25" fillId="3" borderId="0" xfId="0" applyFont="1" applyFill="1"/>
    <xf numFmtId="164" fontId="24" fillId="3" borderId="1" xfId="0" applyNumberFormat="1" applyFont="1" applyFill="1" applyBorder="1"/>
    <xf numFmtId="0" fontId="24" fillId="3" borderId="1" xfId="0" applyFont="1" applyFill="1" applyBorder="1"/>
    <xf numFmtId="164" fontId="8" fillId="4" borderId="0" xfId="0" applyNumberFormat="1" applyFont="1" applyFill="1" applyBorder="1" applyAlignment="1">
      <alignment horizontal="right"/>
    </xf>
    <xf numFmtId="166" fontId="16" fillId="4" borderId="1" xfId="0" applyNumberFormat="1" applyFont="1" applyFill="1" applyBorder="1"/>
    <xf numFmtId="166" fontId="16" fillId="2" borderId="1" xfId="0" applyNumberFormat="1" applyFont="1" applyFill="1" applyBorder="1"/>
    <xf numFmtId="166" fontId="16" fillId="6" borderId="1" xfId="0" applyNumberFormat="1" applyFont="1" applyFill="1" applyBorder="1"/>
    <xf numFmtId="0" fontId="9" fillId="0" borderId="0" xfId="0" applyFont="1" applyFill="1" applyBorder="1"/>
    <xf numFmtId="0" fontId="0" fillId="0" borderId="0" xfId="0" applyFill="1" applyBorder="1" applyAlignment="1">
      <alignment wrapText="1"/>
    </xf>
    <xf numFmtId="0" fontId="1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166" fontId="9" fillId="0" borderId="0" xfId="0" applyNumberFormat="1" applyFont="1" applyFill="1" applyBorder="1"/>
    <xf numFmtId="167" fontId="9" fillId="0" borderId="0" xfId="0" applyNumberFormat="1" applyFont="1" applyFill="1" applyBorder="1"/>
    <xf numFmtId="166" fontId="11" fillId="0" borderId="0" xfId="0" applyNumberFormat="1" applyFont="1" applyFill="1" applyBorder="1"/>
    <xf numFmtId="164" fontId="9" fillId="0" borderId="0" xfId="0" applyNumberFormat="1" applyFont="1" applyFill="1" applyBorder="1"/>
    <xf numFmtId="11" fontId="9" fillId="0" borderId="0" xfId="0" applyNumberFormat="1" applyFont="1" applyFill="1" applyBorder="1"/>
    <xf numFmtId="167" fontId="27" fillId="3" borderId="0" xfId="0" applyNumberFormat="1" applyFont="1" applyFill="1"/>
    <xf numFmtId="167" fontId="27" fillId="3" borderId="1" xfId="0" applyNumberFormat="1" applyFont="1" applyFill="1" applyBorder="1"/>
    <xf numFmtId="167" fontId="27" fillId="4" borderId="0" xfId="0" applyNumberFormat="1" applyFont="1" applyFill="1"/>
    <xf numFmtId="167" fontId="27" fillId="4" borderId="1" xfId="0" applyNumberFormat="1" applyFont="1" applyFill="1" applyBorder="1"/>
    <xf numFmtId="167" fontId="27" fillId="2" borderId="0" xfId="0" applyNumberFormat="1" applyFont="1" applyFill="1"/>
    <xf numFmtId="167" fontId="27" fillId="2" borderId="1" xfId="0" applyNumberFormat="1" applyFont="1" applyFill="1" applyBorder="1"/>
    <xf numFmtId="167" fontId="27" fillId="6" borderId="0" xfId="0" applyNumberFormat="1" applyFont="1" applyFill="1"/>
    <xf numFmtId="167" fontId="27" fillId="6" borderId="1" xfId="0" applyNumberFormat="1" applyFont="1" applyFill="1" applyBorder="1"/>
    <xf numFmtId="167" fontId="27" fillId="3" borderId="0" xfId="0" applyNumberFormat="1" applyFont="1" applyFill="1" applyAlignment="1">
      <alignment horizontal="right"/>
    </xf>
    <xf numFmtId="166" fontId="9" fillId="6" borderId="1" xfId="0" applyNumberFormat="1" applyFont="1" applyFill="1" applyBorder="1"/>
    <xf numFmtId="164" fontId="9" fillId="3" borderId="0" xfId="0" applyNumberFormat="1" applyFont="1" applyFill="1" applyBorder="1"/>
    <xf numFmtId="164" fontId="9" fillId="3" borderId="1" xfId="0" applyNumberFormat="1" applyFont="1" applyFill="1" applyBorder="1"/>
    <xf numFmtId="0" fontId="14" fillId="0" borderId="0" xfId="0" quotePrefix="1" applyFont="1"/>
    <xf numFmtId="167" fontId="13" fillId="4" borderId="0" xfId="0" applyNumberFormat="1" applyFont="1" applyFill="1"/>
    <xf numFmtId="167" fontId="13" fillId="4" borderId="1" xfId="0" applyNumberFormat="1" applyFont="1" applyFill="1" applyBorder="1"/>
    <xf numFmtId="0" fontId="29" fillId="0" borderId="0" xfId="0" applyFont="1" applyAlignment="1">
      <alignment horizontal="center" wrapText="1"/>
    </xf>
    <xf numFmtId="0" fontId="30" fillId="0" borderId="0" xfId="0" applyFont="1" applyFill="1"/>
    <xf numFmtId="0" fontId="30" fillId="0" borderId="0" xfId="0" applyFont="1"/>
    <xf numFmtId="2" fontId="13" fillId="4" borderId="0" xfId="0" applyNumberFormat="1" applyFont="1" applyFill="1"/>
    <xf numFmtId="2" fontId="13" fillId="4" borderId="1" xfId="0" applyNumberFormat="1" applyFont="1" applyFill="1" applyBorder="1"/>
    <xf numFmtId="2" fontId="13" fillId="3" borderId="0" xfId="0" applyNumberFormat="1" applyFont="1" applyFill="1"/>
    <xf numFmtId="2" fontId="26" fillId="6" borderId="0" xfId="0" applyNumberFormat="1" applyFont="1" applyFill="1"/>
    <xf numFmtId="2" fontId="26" fillId="6" borderId="1" xfId="0" applyNumberFormat="1" applyFont="1" applyFill="1" applyBorder="1"/>
    <xf numFmtId="2" fontId="26" fillId="2" borderId="0" xfId="0" applyNumberFormat="1" applyFont="1" applyFill="1"/>
    <xf numFmtId="2" fontId="26" fillId="2" borderId="1" xfId="0" applyNumberFormat="1" applyFont="1" applyFill="1" applyBorder="1"/>
    <xf numFmtId="2" fontId="26" fillId="3" borderId="0" xfId="0" applyNumberFormat="1" applyFont="1" applyFill="1"/>
    <xf numFmtId="2" fontId="26" fillId="3" borderId="1" xfId="0" applyNumberFormat="1" applyFont="1" applyFill="1" applyBorder="1"/>
    <xf numFmtId="2" fontId="31" fillId="3" borderId="0" xfId="0" applyNumberFormat="1" applyFont="1" applyFill="1"/>
    <xf numFmtId="2" fontId="26" fillId="4" borderId="0" xfId="0" applyNumberFormat="1" applyFont="1" applyFill="1"/>
    <xf numFmtId="2" fontId="26" fillId="4" borderId="1" xfId="0" applyNumberFormat="1" applyFont="1" applyFill="1" applyBorder="1"/>
    <xf numFmtId="167" fontId="13" fillId="3" borderId="0" xfId="0" applyNumberFormat="1" applyFont="1" applyFill="1"/>
    <xf numFmtId="166" fontId="32" fillId="4" borderId="0" xfId="0" applyNumberFormat="1" applyFont="1" applyFill="1"/>
    <xf numFmtId="164" fontId="13" fillId="4" borderId="0" xfId="0" applyNumberFormat="1" applyFont="1" applyFill="1"/>
    <xf numFmtId="167" fontId="33" fillId="3" borderId="0" xfId="0" applyNumberFormat="1" applyFont="1" applyFill="1"/>
    <xf numFmtId="2" fontId="16" fillId="3" borderId="0" xfId="0" applyNumberFormat="1" applyFont="1" applyFill="1" applyAlignment="1">
      <alignment horizontal="right"/>
    </xf>
    <xf numFmtId="167" fontId="18" fillId="3" borderId="0" xfId="0" applyNumberFormat="1" applyFont="1" applyFill="1" applyAlignment="1">
      <alignment horizontal="right"/>
    </xf>
    <xf numFmtId="167" fontId="18" fillId="3" borderId="0" xfId="0" applyNumberFormat="1" applyFont="1" applyFill="1"/>
    <xf numFmtId="164" fontId="16" fillId="3" borderId="0" xfId="0" applyNumberFormat="1" applyFont="1" applyFill="1" applyBorder="1"/>
    <xf numFmtId="0" fontId="17" fillId="3" borderId="0" xfId="0" applyFont="1" applyFill="1" applyBorder="1"/>
    <xf numFmtId="0" fontId="16" fillId="3" borderId="0" xfId="0" applyFont="1" applyFill="1" applyBorder="1"/>
    <xf numFmtId="2" fontId="18" fillId="3" borderId="0" xfId="0" applyNumberFormat="1" applyFont="1" applyFill="1"/>
    <xf numFmtId="0" fontId="16" fillId="3" borderId="1" xfId="0" applyFont="1" applyFill="1" applyBorder="1"/>
    <xf numFmtId="14" fontId="16" fillId="3" borderId="1" xfId="0" applyNumberFormat="1" applyFont="1" applyFill="1" applyBorder="1" applyAlignment="1">
      <alignment horizontal="right"/>
    </xf>
    <xf numFmtId="2" fontId="16" fillId="3" borderId="1" xfId="0" applyNumberFormat="1" applyFont="1" applyFill="1" applyBorder="1"/>
    <xf numFmtId="2" fontId="16" fillId="3" borderId="1" xfId="0" applyNumberFormat="1" applyFont="1" applyFill="1" applyBorder="1" applyAlignment="1">
      <alignment horizontal="right"/>
    </xf>
    <xf numFmtId="167" fontId="18" fillId="3" borderId="1" xfId="0" applyNumberFormat="1" applyFont="1" applyFill="1" applyBorder="1" applyAlignment="1">
      <alignment horizontal="right"/>
    </xf>
    <xf numFmtId="167" fontId="18" fillId="3" borderId="1" xfId="0" applyNumberFormat="1" applyFont="1" applyFill="1" applyBorder="1"/>
    <xf numFmtId="166" fontId="16" fillId="3" borderId="1" xfId="0" applyNumberFormat="1" applyFont="1" applyFill="1" applyBorder="1"/>
    <xf numFmtId="164" fontId="15" fillId="3" borderId="1" xfId="0" applyNumberFormat="1" applyFont="1" applyFill="1" applyBorder="1"/>
    <xf numFmtId="0" fontId="17" fillId="3" borderId="1" xfId="0" applyFont="1" applyFill="1" applyBorder="1"/>
    <xf numFmtId="2" fontId="18" fillId="3" borderId="1" xfId="0" applyNumberFormat="1" applyFont="1" applyFill="1" applyBorder="1"/>
    <xf numFmtId="2" fontId="32" fillId="3" borderId="0" xfId="0" applyNumberFormat="1" applyFont="1" applyFill="1"/>
    <xf numFmtId="0" fontId="16" fillId="4" borderId="0" xfId="0" applyFont="1" applyFill="1"/>
    <xf numFmtId="14" fontId="16" fillId="4" borderId="0" xfId="0" applyNumberFormat="1" applyFont="1" applyFill="1"/>
    <xf numFmtId="2" fontId="16" fillId="4" borderId="0" xfId="0" applyNumberFormat="1" applyFont="1" applyFill="1"/>
    <xf numFmtId="167" fontId="28" fillId="4" borderId="0" xfId="0" applyNumberFormat="1" applyFont="1" applyFill="1"/>
    <xf numFmtId="164" fontId="15" fillId="4" borderId="0" xfId="0" applyNumberFormat="1" applyFont="1" applyFill="1" applyBorder="1"/>
    <xf numFmtId="164" fontId="17" fillId="4" borderId="0" xfId="0" applyNumberFormat="1" applyFont="1" applyFill="1"/>
    <xf numFmtId="164" fontId="15" fillId="4" borderId="0" xfId="0" applyNumberFormat="1" applyFont="1" applyFill="1" applyBorder="1" applyAlignment="1">
      <alignment horizontal="center"/>
    </xf>
    <xf numFmtId="164" fontId="16" fillId="4" borderId="0" xfId="0" applyNumberFormat="1" applyFont="1" applyFill="1"/>
    <xf numFmtId="2" fontId="31" fillId="4" borderId="0" xfId="0" applyNumberFormat="1" applyFont="1" applyFill="1"/>
    <xf numFmtId="1" fontId="16" fillId="4" borderId="0" xfId="0" applyNumberFormat="1" applyFont="1" applyFill="1" applyBorder="1" applyAlignment="1">
      <alignment horizontal="center"/>
    </xf>
    <xf numFmtId="0" fontId="18" fillId="4" borderId="0" xfId="0" applyFont="1" applyFill="1"/>
    <xf numFmtId="0" fontId="18" fillId="4" borderId="0" xfId="0" applyFont="1" applyFill="1" applyBorder="1"/>
    <xf numFmtId="0" fontId="18" fillId="4" borderId="1" xfId="0" applyFont="1" applyFill="1" applyBorder="1"/>
    <xf numFmtId="0" fontId="16" fillId="4" borderId="1" xfId="0" applyFont="1" applyFill="1" applyBorder="1"/>
    <xf numFmtId="14" fontId="16" fillId="4" borderId="1" xfId="0" applyNumberFormat="1" applyFont="1" applyFill="1" applyBorder="1"/>
    <xf numFmtId="2" fontId="16" fillId="4" borderId="1" xfId="0" applyNumberFormat="1" applyFont="1" applyFill="1" applyBorder="1"/>
    <xf numFmtId="167" fontId="28" fillId="4" borderId="1" xfId="0" applyNumberFormat="1" applyFont="1" applyFill="1" applyBorder="1"/>
    <xf numFmtId="164" fontId="16" fillId="4" borderId="1" xfId="0" applyNumberFormat="1" applyFont="1" applyFill="1" applyBorder="1"/>
    <xf numFmtId="2" fontId="31" fillId="4" borderId="1" xfId="0" applyNumberFormat="1" applyFont="1" applyFill="1" applyBorder="1"/>
    <xf numFmtId="1" fontId="16" fillId="4" borderId="1" xfId="0" applyNumberFormat="1" applyFont="1" applyFill="1" applyBorder="1" applyAlignment="1">
      <alignment horizontal="center"/>
    </xf>
    <xf numFmtId="0" fontId="13" fillId="3" borderId="0" xfId="0" applyFont="1" applyFill="1"/>
    <xf numFmtId="2" fontId="18" fillId="4" borderId="0" xfId="0" applyNumberFormat="1" applyFont="1" applyFill="1"/>
    <xf numFmtId="0" fontId="18" fillId="3" borderId="0" xfId="0" applyFont="1" applyFill="1" applyBorder="1"/>
    <xf numFmtId="0" fontId="18" fillId="3" borderId="1" xfId="0" applyFont="1" applyFill="1" applyBorder="1"/>
    <xf numFmtId="0" fontId="13" fillId="3" borderId="1" xfId="0" applyFont="1" applyFill="1" applyBorder="1"/>
    <xf numFmtId="0" fontId="13" fillId="4" borderId="0" xfId="0" applyFont="1" applyFill="1"/>
    <xf numFmtId="0" fontId="13" fillId="4" borderId="1" xfId="0" applyFont="1" applyFill="1" applyBorder="1"/>
    <xf numFmtId="165" fontId="13" fillId="2" borderId="0" xfId="0" applyNumberFormat="1" applyFont="1" applyFill="1" applyAlignment="1">
      <alignment horizontal="left"/>
    </xf>
    <xf numFmtId="0" fontId="13" fillId="2" borderId="0" xfId="0" applyFont="1" applyFill="1"/>
    <xf numFmtId="165" fontId="18" fillId="2" borderId="0" xfId="0" applyNumberFormat="1" applyFont="1" applyFill="1" applyAlignment="1">
      <alignment horizontal="left"/>
    </xf>
    <xf numFmtId="165" fontId="13" fillId="2" borderId="0" xfId="0" applyNumberFormat="1" applyFont="1" applyFill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165" fontId="13" fillId="6" borderId="1" xfId="0" applyNumberFormat="1" applyFont="1" applyFill="1" applyBorder="1" applyAlignment="1">
      <alignment horizontal="center"/>
    </xf>
    <xf numFmtId="11" fontId="13" fillId="6" borderId="0" xfId="0" applyNumberFormat="1" applyFont="1" applyFill="1"/>
    <xf numFmtId="11" fontId="13" fillId="6" borderId="1" xfId="0" applyNumberFormat="1" applyFont="1" applyFill="1" applyBorder="1"/>
    <xf numFmtId="0" fontId="14" fillId="0" borderId="0" xfId="0" applyFont="1" applyFill="1"/>
    <xf numFmtId="11" fontId="14" fillId="0" borderId="0" xfId="0" applyNumberFormat="1" applyFont="1" applyFill="1"/>
    <xf numFmtId="11" fontId="14" fillId="0" borderId="0" xfId="0" applyNumberFormat="1" applyFont="1"/>
    <xf numFmtId="0" fontId="14" fillId="0" borderId="0" xfId="0" applyFont="1"/>
    <xf numFmtId="2" fontId="16" fillId="4" borderId="0" xfId="0" applyNumberFormat="1" applyFont="1" applyFill="1" applyAlignment="1">
      <alignment horizontal="right"/>
    </xf>
    <xf numFmtId="167" fontId="18" fillId="4" borderId="0" xfId="0" applyNumberFormat="1" applyFont="1" applyFill="1" applyAlignment="1">
      <alignment horizontal="right"/>
    </xf>
    <xf numFmtId="0" fontId="16" fillId="4" borderId="0" xfId="0" applyFont="1" applyFill="1" applyAlignment="1">
      <alignment horizontal="left"/>
    </xf>
    <xf numFmtId="2" fontId="16" fillId="2" borderId="0" xfId="0" applyNumberFormat="1" applyFont="1" applyFill="1"/>
    <xf numFmtId="2" fontId="16" fillId="2" borderId="1" xfId="0" applyNumberFormat="1" applyFont="1" applyFill="1" applyBorder="1"/>
    <xf numFmtId="2" fontId="31" fillId="2" borderId="0" xfId="0" applyNumberFormat="1" applyFont="1" applyFill="1"/>
    <xf numFmtId="2" fontId="31" fillId="2" borderId="1" xfId="0" applyNumberFormat="1" applyFont="1" applyFill="1" applyBorder="1"/>
    <xf numFmtId="2" fontId="28" fillId="3" borderId="0" xfId="0" applyNumberFormat="1" applyFont="1" applyFill="1"/>
    <xf numFmtId="2" fontId="31" fillId="3" borderId="1" xfId="0" applyNumberFormat="1" applyFont="1" applyFill="1" applyBorder="1"/>
    <xf numFmtId="2" fontId="31" fillId="6" borderId="0" xfId="0" applyNumberFormat="1" applyFont="1" applyFill="1"/>
    <xf numFmtId="2" fontId="31" fillId="6" borderId="1" xfId="0" applyNumberFormat="1" applyFont="1" applyFill="1" applyBorder="1"/>
    <xf numFmtId="2" fontId="13" fillId="6" borderId="0" xfId="0" applyNumberFormat="1" applyFont="1" applyFill="1"/>
    <xf numFmtId="2" fontId="16" fillId="6" borderId="0" xfId="0" applyNumberFormat="1" applyFont="1" applyFill="1"/>
    <xf numFmtId="0" fontId="16" fillId="2" borderId="1" xfId="0" applyFont="1" applyFill="1" applyBorder="1"/>
    <xf numFmtId="14" fontId="16" fillId="2" borderId="1" xfId="0" applyNumberFormat="1" applyFont="1" applyFill="1" applyBorder="1" applyAlignment="1">
      <alignment horizontal="right"/>
    </xf>
    <xf numFmtId="2" fontId="16" fillId="2" borderId="1" xfId="0" applyNumberFormat="1" applyFont="1" applyFill="1" applyBorder="1" applyAlignment="1">
      <alignment horizontal="right"/>
    </xf>
    <xf numFmtId="2" fontId="18" fillId="2" borderId="1" xfId="0" applyNumberFormat="1" applyFont="1" applyFill="1" applyBorder="1"/>
    <xf numFmtId="0" fontId="18" fillId="2" borderId="1" xfId="0" applyFont="1" applyFill="1" applyBorder="1"/>
    <xf numFmtId="1" fontId="16" fillId="2" borderId="1" xfId="0" applyNumberFormat="1" applyFont="1" applyFill="1" applyBorder="1" applyAlignment="1">
      <alignment horizontal="center"/>
    </xf>
    <xf numFmtId="167" fontId="18" fillId="2" borderId="1" xfId="0" applyNumberFormat="1" applyFont="1" applyFill="1" applyBorder="1" applyAlignment="1">
      <alignment horizontal="right"/>
    </xf>
    <xf numFmtId="167" fontId="32" fillId="4" borderId="0" xfId="0" applyNumberFormat="1" applyFont="1" applyFill="1" applyAlignment="1">
      <alignment horizontal="right"/>
    </xf>
    <xf numFmtId="167" fontId="33" fillId="4" borderId="0" xfId="0" applyNumberFormat="1" applyFont="1" applyFill="1"/>
    <xf numFmtId="167" fontId="33" fillId="4" borderId="1" xfId="0" applyNumberFormat="1" applyFont="1" applyFill="1" applyBorder="1"/>
    <xf numFmtId="167" fontId="18" fillId="2" borderId="1" xfId="0" applyNumberFormat="1" applyFont="1" applyFill="1" applyBorder="1"/>
    <xf numFmtId="0" fontId="16" fillId="6" borderId="0" xfId="0" applyFont="1" applyFill="1"/>
    <xf numFmtId="14" fontId="16" fillId="6" borderId="0" xfId="0" applyNumberFormat="1" applyFont="1" applyFill="1" applyAlignment="1">
      <alignment horizontal="right"/>
    </xf>
    <xf numFmtId="167" fontId="28" fillId="6" borderId="0" xfId="0" applyNumberFormat="1" applyFont="1" applyFill="1"/>
    <xf numFmtId="164" fontId="15" fillId="6" borderId="0" xfId="0" applyNumberFormat="1" applyFont="1" applyFill="1" applyBorder="1"/>
    <xf numFmtId="164" fontId="17" fillId="6" borderId="0" xfId="0" applyNumberFormat="1" applyFont="1" applyFill="1"/>
    <xf numFmtId="164" fontId="16" fillId="6" borderId="0" xfId="0" applyNumberFormat="1" applyFont="1" applyFill="1"/>
    <xf numFmtId="165" fontId="18" fillId="6" borderId="0" xfId="0" applyNumberFormat="1" applyFont="1" applyFill="1" applyAlignment="1">
      <alignment horizontal="center"/>
    </xf>
    <xf numFmtId="11" fontId="16" fillId="6" borderId="0" xfId="0" applyNumberFormat="1" applyFont="1" applyFill="1"/>
    <xf numFmtId="164" fontId="16" fillId="0" borderId="0" xfId="0" applyNumberFormat="1" applyFont="1" applyFill="1" applyBorder="1"/>
    <xf numFmtId="11" fontId="16" fillId="0" borderId="0" xfId="0" applyNumberFormat="1" applyFont="1" applyFill="1" applyBorder="1"/>
    <xf numFmtId="2" fontId="32" fillId="4" borderId="0" xfId="0" applyNumberFormat="1" applyFont="1" applyFill="1"/>
    <xf numFmtId="2" fontId="33" fillId="4" borderId="0" xfId="0" applyNumberFormat="1" applyFont="1" applyFill="1"/>
    <xf numFmtId="2" fontId="32" fillId="4" borderId="1" xfId="0" applyNumberFormat="1" applyFont="1" applyFill="1" applyBorder="1"/>
    <xf numFmtId="2" fontId="18" fillId="2" borderId="1" xfId="0" applyNumberFormat="1" applyFont="1" applyFill="1" applyBorder="1" applyAlignment="1">
      <alignment horizontal="right"/>
    </xf>
    <xf numFmtId="166" fontId="13" fillId="6" borderId="0" xfId="0" applyNumberFormat="1" applyFont="1" applyFill="1"/>
    <xf numFmtId="2" fontId="18" fillId="6" borderId="0" xfId="0" applyNumberFormat="1" applyFont="1" applyFill="1" applyAlignment="1">
      <alignment horizontal="right"/>
    </xf>
    <xf numFmtId="2" fontId="18" fillId="3" borderId="0" xfId="0" applyNumberFormat="1" applyFont="1" applyFill="1" applyAlignment="1">
      <alignment horizontal="right"/>
    </xf>
    <xf numFmtId="2" fontId="18" fillId="3" borderId="1" xfId="0" applyNumberFormat="1" applyFont="1" applyFill="1" applyBorder="1" applyAlignment="1">
      <alignment horizontal="right"/>
    </xf>
    <xf numFmtId="164" fontId="13" fillId="6" borderId="0" xfId="0" applyNumberFormat="1" applyFont="1" applyFill="1" applyBorder="1"/>
    <xf numFmtId="164" fontId="13" fillId="6" borderId="0" xfId="0" applyNumberFormat="1" applyFont="1" applyFill="1"/>
    <xf numFmtId="164" fontId="13" fillId="6" borderId="0" xfId="0" applyNumberFormat="1" applyFont="1" applyFill="1" applyBorder="1" applyAlignment="1">
      <alignment horizontal="center"/>
    </xf>
    <xf numFmtId="164" fontId="18" fillId="2" borderId="1" xfId="0" applyNumberFormat="1" applyFont="1" applyFill="1" applyBorder="1"/>
    <xf numFmtId="0" fontId="34" fillId="0" borderId="0" xfId="0" applyFont="1" applyFill="1" applyBorder="1"/>
    <xf numFmtId="166" fontId="1" fillId="0" borderId="0" xfId="0" applyNumberFormat="1" applyFont="1" applyFill="1" applyAlignment="1">
      <alignment horizontal="center" vertical="center" wrapText="1"/>
    </xf>
    <xf numFmtId="167" fontId="26" fillId="3" borderId="0" xfId="0" applyNumberFormat="1" applyFont="1" applyFill="1"/>
    <xf numFmtId="164" fontId="32" fillId="3" borderId="0" xfId="0" applyNumberFormat="1" applyFont="1" applyFill="1" applyBorder="1"/>
    <xf numFmtId="167" fontId="28" fillId="3" borderId="0" xfId="0" applyNumberFormat="1" applyFont="1" applyFill="1"/>
    <xf numFmtId="1" fontId="16" fillId="3" borderId="0" xfId="0" applyNumberFormat="1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ont="1" applyAlignment="1">
      <alignment horizontal="center"/>
    </xf>
    <xf numFmtId="0" fontId="0" fillId="0" borderId="0" xfId="0" applyFont="1"/>
    <xf numFmtId="165" fontId="36" fillId="0" borderId="0" xfId="0" applyNumberFormat="1" applyFont="1" applyAlignment="1">
      <alignment horizontal="center"/>
    </xf>
    <xf numFmtId="0" fontId="37" fillId="5" borderId="0" xfId="0" applyFont="1" applyFill="1"/>
    <xf numFmtId="14" fontId="37" fillId="5" borderId="0" xfId="0" applyNumberFormat="1" applyFont="1" applyFill="1" applyAlignment="1">
      <alignment horizontal="right"/>
    </xf>
    <xf numFmtId="2" fontId="37" fillId="5" borderId="0" xfId="0" applyNumberFormat="1" applyFont="1" applyFill="1"/>
    <xf numFmtId="2" fontId="37" fillId="5" borderId="0" xfId="0" applyNumberFormat="1" applyFont="1" applyFill="1" applyAlignment="1">
      <alignment horizontal="right"/>
    </xf>
    <xf numFmtId="167" fontId="37" fillId="5" borderId="0" xfId="0" applyNumberFormat="1" applyFont="1" applyFill="1" applyAlignment="1">
      <alignment horizontal="right"/>
    </xf>
    <xf numFmtId="166" fontId="37" fillId="5" borderId="0" xfId="0" applyNumberFormat="1" applyFont="1" applyFill="1"/>
    <xf numFmtId="164" fontId="37" fillId="5" borderId="0" xfId="0" applyNumberFormat="1" applyFont="1" applyFill="1" applyBorder="1" applyAlignment="1">
      <alignment horizontal="right"/>
    </xf>
    <xf numFmtId="2" fontId="38" fillId="5" borderId="0" xfId="0" applyNumberFormat="1" applyFont="1" applyFill="1"/>
    <xf numFmtId="0" fontId="37" fillId="0" borderId="0" xfId="0" applyFont="1" applyFill="1" applyBorder="1"/>
    <xf numFmtId="0" fontId="37" fillId="5" borderId="1" xfId="0" applyFont="1" applyFill="1" applyBorder="1"/>
    <xf numFmtId="14" fontId="37" fillId="5" borderId="1" xfId="0" applyNumberFormat="1" applyFont="1" applyFill="1" applyBorder="1" applyAlignment="1">
      <alignment horizontal="right"/>
    </xf>
    <xf numFmtId="2" fontId="37" fillId="5" borderId="1" xfId="0" applyNumberFormat="1" applyFont="1" applyFill="1" applyBorder="1"/>
    <xf numFmtId="2" fontId="37" fillId="5" borderId="1" xfId="0" applyNumberFormat="1" applyFont="1" applyFill="1" applyBorder="1" applyAlignment="1">
      <alignment horizontal="right"/>
    </xf>
    <xf numFmtId="167" fontId="37" fillId="5" borderId="1" xfId="0" applyNumberFormat="1" applyFont="1" applyFill="1" applyBorder="1"/>
    <xf numFmtId="166" fontId="37" fillId="5" borderId="1" xfId="0" applyNumberFormat="1" applyFont="1" applyFill="1" applyBorder="1"/>
    <xf numFmtId="164" fontId="37" fillId="5" borderId="1" xfId="0" applyNumberFormat="1" applyFont="1" applyFill="1" applyBorder="1"/>
    <xf numFmtId="2" fontId="38" fillId="5" borderId="1" xfId="0" applyNumberFormat="1" applyFont="1" applyFill="1" applyBorder="1"/>
    <xf numFmtId="167" fontId="37" fillId="5" borderId="0" xfId="0" applyNumberFormat="1" applyFont="1" applyFill="1"/>
    <xf numFmtId="164" fontId="37" fillId="5" borderId="0" xfId="0" applyNumberFormat="1" applyFont="1" applyFill="1" applyBorder="1"/>
    <xf numFmtId="164" fontId="37" fillId="5" borderId="0" xfId="0" applyNumberFormat="1" applyFont="1" applyFill="1"/>
    <xf numFmtId="164" fontId="37" fillId="5" borderId="0" xfId="0" applyNumberFormat="1" applyFont="1" applyFill="1" applyBorder="1" applyAlignment="1">
      <alignment horizontal="center"/>
    </xf>
    <xf numFmtId="0" fontId="37" fillId="5" borderId="0" xfId="0" applyFont="1" applyFill="1" applyAlignment="1">
      <alignment horizontal="center"/>
    </xf>
    <xf numFmtId="165" fontId="37" fillId="5" borderId="1" xfId="0" applyNumberFormat="1" applyFont="1" applyFill="1" applyBorder="1" applyAlignment="1">
      <alignment horizontal="center"/>
    </xf>
    <xf numFmtId="0" fontId="37" fillId="5" borderId="0" xfId="0" applyFont="1" applyFill="1" applyAlignment="1">
      <alignment horizontal="left"/>
    </xf>
    <xf numFmtId="165" fontId="37" fillId="5" borderId="0" xfId="0" applyNumberFormat="1" applyFont="1" applyFill="1" applyAlignment="1">
      <alignment horizontal="center"/>
    </xf>
    <xf numFmtId="11" fontId="37" fillId="5" borderId="0" xfId="0" applyNumberFormat="1" applyFont="1" applyFill="1"/>
    <xf numFmtId="11" fontId="37" fillId="5" borderId="1" xfId="0" applyNumberFormat="1" applyFont="1" applyFill="1" applyBorder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right" vertical="center" wrapText="1"/>
    </xf>
    <xf numFmtId="49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right"/>
    </xf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0"/>
  <tableStyles count="0" defaultTableStyle="TableStyleMedium9" defaultPivotStyle="PivotStyleLight16"/>
  <colors>
    <mruColors>
      <color rgb="FF006600"/>
      <color rgb="FF008000"/>
      <color rgb="FFCC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PCC9511</a:t>
            </a:r>
          </a:p>
        </c:rich>
      </c:tx>
      <c:layout>
        <c:manualLayout>
          <c:xMode val="edge"/>
          <c:yMode val="edge"/>
          <c:x val="0.368173447069116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9486111111111112"/>
          <c:w val="0.824078740157480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data'!$I$25:$I$29</c:f>
              <c:numCache>
                <c:formatCode>0.000E+00</c:formatCode>
                <c:ptCount val="5"/>
                <c:pt idx="0">
                  <c:v>419418181.81818181</c:v>
                </c:pt>
                <c:pt idx="1">
                  <c:v>936327272.72727275</c:v>
                </c:pt>
                <c:pt idx="2">
                  <c:v>905781818.18181813</c:v>
                </c:pt>
                <c:pt idx="3">
                  <c:v>943018181.81818187</c:v>
                </c:pt>
                <c:pt idx="4">
                  <c:v>653636363.63636363</c:v>
                </c:pt>
              </c:numCache>
            </c:numRef>
          </c:xVal>
          <c:yVal>
            <c:numRef>
              <c:f>'All data'!$R$25:$R$29</c:f>
              <c:numCache>
                <c:formatCode>0.000</c:formatCode>
                <c:ptCount val="5"/>
                <c:pt idx="0">
                  <c:v>0.82309345</c:v>
                </c:pt>
                <c:pt idx="1">
                  <c:v>1.3545386666666668</c:v>
                </c:pt>
                <c:pt idx="2">
                  <c:v>1.4626480666666668</c:v>
                </c:pt>
                <c:pt idx="3">
                  <c:v>1.3013065333333333</c:v>
                </c:pt>
                <c:pt idx="4">
                  <c:v>1.0193370666666668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578550066210517E-2"/>
                  <c:y val="-0.10406080960310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data'!$I$20:$I$24</c:f>
              <c:numCache>
                <c:formatCode>0.000E+00</c:formatCode>
                <c:ptCount val="5"/>
                <c:pt idx="0">
                  <c:v>745927272.72727275</c:v>
                </c:pt>
                <c:pt idx="1">
                  <c:v>796145454.5454545</c:v>
                </c:pt>
                <c:pt idx="2">
                  <c:v>785800000</c:v>
                </c:pt>
                <c:pt idx="3">
                  <c:v>936054545.4545455</c:v>
                </c:pt>
                <c:pt idx="4">
                  <c:v>994581818.18181813</c:v>
                </c:pt>
              </c:numCache>
            </c:numRef>
          </c:xVal>
          <c:yVal>
            <c:numRef>
              <c:f>'All data'!$R$20:$R$24</c:f>
              <c:numCache>
                <c:formatCode>0.000</c:formatCode>
                <c:ptCount val="5"/>
                <c:pt idx="0">
                  <c:v>1.6362478499999999</c:v>
                </c:pt>
                <c:pt idx="1">
                  <c:v>2.0361426666666667</c:v>
                </c:pt>
                <c:pt idx="2">
                  <c:v>2.2194685000000001</c:v>
                </c:pt>
                <c:pt idx="3">
                  <c:v>2.1272800000000003</c:v>
                </c:pt>
                <c:pt idx="4">
                  <c:v>2.0723122666666671</c:v>
                </c:pt>
              </c:numCache>
            </c:numRef>
          </c:yVal>
          <c:smooth val="0"/>
        </c:ser>
        <c:ser>
          <c:idx val="2"/>
          <c:order val="2"/>
          <c:tx>
            <c:v>PCC9511 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0648762503819838E-2"/>
                  <c:y val="-0.1440653251676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data'!$I$31:$I$36</c:f>
              <c:numCache>
                <c:formatCode>0.000E+00</c:formatCode>
                <c:ptCount val="6"/>
                <c:pt idx="0">
                  <c:v>350800000</c:v>
                </c:pt>
                <c:pt idx="1">
                  <c:v>265740000</c:v>
                </c:pt>
                <c:pt idx="2">
                  <c:v>423533834.58646613</c:v>
                </c:pt>
                <c:pt idx="3">
                  <c:v>442887218.04511201</c:v>
                </c:pt>
                <c:pt idx="4">
                  <c:v>404817204.79999995</c:v>
                </c:pt>
                <c:pt idx="5">
                  <c:v>408180180.18018001</c:v>
                </c:pt>
              </c:numCache>
            </c:numRef>
          </c:xVal>
          <c:yVal>
            <c:numRef>
              <c:f>'All data'!$R$31:$R$36</c:f>
              <c:numCache>
                <c:formatCode>0.000</c:formatCode>
                <c:ptCount val="6"/>
                <c:pt idx="0">
                  <c:v>0.33959854000000006</c:v>
                </c:pt>
                <c:pt idx="1">
                  <c:v>0.20599999999999999</c:v>
                </c:pt>
                <c:pt idx="2">
                  <c:v>0.3423521266666667</c:v>
                </c:pt>
                <c:pt idx="3">
                  <c:v>0.38554993333333337</c:v>
                </c:pt>
                <c:pt idx="4">
                  <c:v>0.31381178666666665</c:v>
                </c:pt>
                <c:pt idx="5">
                  <c:v>0.35810060666666671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5232"/>
        <c:axId val="233019152"/>
      </c:scatterChart>
      <c:valAx>
        <c:axId val="2330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19152"/>
        <c:crosses val="autoZero"/>
        <c:crossBetween val="midCat"/>
      </c:valAx>
      <c:valAx>
        <c:axId val="233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0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SS120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13467592592592592"/>
          <c:w val="0.824078740157480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533464566929135E-2"/>
                  <c:y val="-1.1853733337096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data'!$I$52:$I$57</c:f>
              <c:numCache>
                <c:formatCode>0.000E+00</c:formatCode>
                <c:ptCount val="6"/>
                <c:pt idx="0">
                  <c:v>731672727.27272725</c:v>
                </c:pt>
                <c:pt idx="1">
                  <c:v>609054545.4545455</c:v>
                </c:pt>
                <c:pt idx="2">
                  <c:v>1124945454.5454545</c:v>
                </c:pt>
                <c:pt idx="3">
                  <c:v>791472727.27272725</c:v>
                </c:pt>
                <c:pt idx="4">
                  <c:v>873490909.09090912</c:v>
                </c:pt>
                <c:pt idx="5">
                  <c:v>925727443.6090225</c:v>
                </c:pt>
              </c:numCache>
            </c:numRef>
          </c:xVal>
          <c:yVal>
            <c:numRef>
              <c:f>'All data'!$R$52:$R$57</c:f>
              <c:numCache>
                <c:formatCode>0.000</c:formatCode>
                <c:ptCount val="6"/>
                <c:pt idx="0">
                  <c:v>1.3720943400000001</c:v>
                </c:pt>
                <c:pt idx="1">
                  <c:v>1.1340769000000002</c:v>
                </c:pt>
                <c:pt idx="2">
                  <c:v>2.2269538999999998</c:v>
                </c:pt>
                <c:pt idx="3">
                  <c:v>1.3912441800000002</c:v>
                </c:pt>
                <c:pt idx="4">
                  <c:v>1.5534319999999999</c:v>
                </c:pt>
                <c:pt idx="5">
                  <c:v>1.6717007666666666</c:v>
                </c:pt>
              </c:numCache>
            </c:numRef>
          </c:yVal>
          <c:smooth val="0"/>
        </c:ser>
        <c:ser>
          <c:idx val="1"/>
          <c:order val="1"/>
          <c:tx>
            <c:v>SS120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677974628171479"/>
                  <c:y val="-0.10163859725867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data'!$I$61:$I$66</c:f>
              <c:numCache>
                <c:formatCode>0.000E+00</c:formatCode>
                <c:ptCount val="6"/>
                <c:pt idx="0">
                  <c:v>1489375000</c:v>
                </c:pt>
                <c:pt idx="1">
                  <c:v>1457339285.7142856</c:v>
                </c:pt>
                <c:pt idx="2">
                  <c:v>920571428.57142854</c:v>
                </c:pt>
                <c:pt idx="3">
                  <c:v>1187464285.7142856</c:v>
                </c:pt>
                <c:pt idx="4">
                  <c:v>1400892857.1428571</c:v>
                </c:pt>
                <c:pt idx="5">
                  <c:v>1030053571.4285715</c:v>
                </c:pt>
              </c:numCache>
            </c:numRef>
          </c:xVal>
          <c:yVal>
            <c:numRef>
              <c:f>'All data'!$R$61:$R$66</c:f>
              <c:numCache>
                <c:formatCode>0.000</c:formatCode>
                <c:ptCount val="6"/>
                <c:pt idx="0">
                  <c:v>0.9696653850000001</c:v>
                </c:pt>
                <c:pt idx="1">
                  <c:v>0.93680000000000008</c:v>
                </c:pt>
                <c:pt idx="2">
                  <c:v>0.85974359500000008</c:v>
                </c:pt>
                <c:pt idx="3">
                  <c:v>0.95276807750000003</c:v>
                </c:pt>
                <c:pt idx="4">
                  <c:v>1.0780641050000002</c:v>
                </c:pt>
                <c:pt idx="5">
                  <c:v>0.72369303499999993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48032"/>
        <c:axId val="272048592"/>
      </c:scatterChart>
      <c:valAx>
        <c:axId val="2720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48592"/>
        <c:crosses val="autoZero"/>
        <c:crossBetween val="midCat"/>
      </c:valAx>
      <c:valAx>
        <c:axId val="272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WH7803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0.13930555555555554"/>
          <c:w val="0.824078740157480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WH7803 HL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6449892257632135E-2"/>
                  <c:y val="0.1388430141026872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data'!$I$13:$I$18</c:f>
              <c:numCache>
                <c:formatCode>0.000E+00</c:formatCode>
                <c:ptCount val="6"/>
                <c:pt idx="0">
                  <c:v>160847744.36090225</c:v>
                </c:pt>
                <c:pt idx="1">
                  <c:v>135577067.669173</c:v>
                </c:pt>
                <c:pt idx="2">
                  <c:v>275114661.65413499</c:v>
                </c:pt>
                <c:pt idx="3">
                  <c:v>106452252.252252</c:v>
                </c:pt>
                <c:pt idx="4">
                  <c:v>111735135.13513513</c:v>
                </c:pt>
                <c:pt idx="5">
                  <c:v>137446846.846847</c:v>
                </c:pt>
              </c:numCache>
            </c:numRef>
          </c:xVal>
          <c:yVal>
            <c:numRef>
              <c:f>'All data'!$R$13:$R$18</c:f>
              <c:numCache>
                <c:formatCode>0.000</c:formatCode>
                <c:ptCount val="6"/>
                <c:pt idx="0">
                  <c:v>0.43232426666666668</c:v>
                </c:pt>
                <c:pt idx="1">
                  <c:v>0.27533653333333336</c:v>
                </c:pt>
                <c:pt idx="2">
                  <c:v>0.78050133333333338</c:v>
                </c:pt>
                <c:pt idx="3">
                  <c:v>0.37604693333333339</c:v>
                </c:pt>
                <c:pt idx="4">
                  <c:v>0.37732693333333334</c:v>
                </c:pt>
                <c:pt idx="5">
                  <c:v>0.4569429333333333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7159842109013679E-2"/>
                  <c:y val="-3.7450799532906592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data'!$I$2:$I$6</c:f>
              <c:numCache>
                <c:formatCode>0.000E+00</c:formatCode>
                <c:ptCount val="5"/>
                <c:pt idx="0">
                  <c:v>245524097.06843638</c:v>
                </c:pt>
                <c:pt idx="1">
                  <c:v>199223636.36363637</c:v>
                </c:pt>
                <c:pt idx="2">
                  <c:v>131100000</c:v>
                </c:pt>
                <c:pt idx="3">
                  <c:v>180001360</c:v>
                </c:pt>
                <c:pt idx="4">
                  <c:v>358593880</c:v>
                </c:pt>
              </c:numCache>
            </c:numRef>
          </c:xVal>
          <c:yVal>
            <c:numRef>
              <c:f>'All data'!$R$2:$R$6</c:f>
              <c:numCache>
                <c:formatCode>0.000</c:formatCode>
                <c:ptCount val="5"/>
                <c:pt idx="0">
                  <c:v>1.214656</c:v>
                </c:pt>
                <c:pt idx="1">
                  <c:v>0.99808000000000008</c:v>
                </c:pt>
                <c:pt idx="2">
                  <c:v>0.63609600000000011</c:v>
                </c:pt>
                <c:pt idx="3">
                  <c:v>0.84211200000000008</c:v>
                </c:pt>
                <c:pt idx="4">
                  <c:v>1.7739946666666668</c:v>
                </c:pt>
              </c:numCache>
            </c:numRef>
          </c:yVal>
          <c:smooth val="0"/>
        </c:ser>
        <c:ser>
          <c:idx val="2"/>
          <c:order val="2"/>
          <c:tx>
            <c:v>WH7803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086572489913224"/>
                  <c:y val="-9.1466672530409437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data'!$I$9:$I$12</c:f>
              <c:numCache>
                <c:formatCode>0.000E+00</c:formatCode>
                <c:ptCount val="4"/>
                <c:pt idx="0">
                  <c:v>223274545.45454499</c:v>
                </c:pt>
                <c:pt idx="1">
                  <c:v>257232727.27272701</c:v>
                </c:pt>
                <c:pt idx="2">
                  <c:v>176474545.45454547</c:v>
                </c:pt>
                <c:pt idx="3">
                  <c:v>179580000</c:v>
                </c:pt>
              </c:numCache>
            </c:numRef>
          </c:xVal>
          <c:yVal>
            <c:numRef>
              <c:f>'All data'!$R$9:$R$12</c:f>
              <c:numCache>
                <c:formatCode>0.000</c:formatCode>
                <c:ptCount val="4"/>
                <c:pt idx="0">
                  <c:v>0.48921599999999998</c:v>
                </c:pt>
                <c:pt idx="1">
                  <c:v>0.70092800000000011</c:v>
                </c:pt>
                <c:pt idx="2">
                  <c:v>0.627776</c:v>
                </c:pt>
                <c:pt idx="3">
                  <c:v>0.48966399999999999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93440"/>
        <c:axId val="272194000"/>
      </c:scatterChart>
      <c:valAx>
        <c:axId val="2721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194000"/>
        <c:crosses val="autoZero"/>
        <c:crossBetween val="midCat"/>
      </c:valAx>
      <c:valAx>
        <c:axId val="2721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1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MIT9313</a:t>
            </a:r>
          </a:p>
        </c:rich>
      </c:tx>
      <c:layout>
        <c:manualLayout>
          <c:xMode val="edge"/>
          <c:yMode val="edge"/>
          <c:x val="0.45811789151356075"/>
          <c:y val="1.9115890083632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13467592592592592"/>
          <c:w val="0.824078740157480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533464566929135E-2"/>
                  <c:y val="-1.1853733337096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data'!$I$37:$I$40</c:f>
              <c:numCache>
                <c:formatCode>0.000E+00</c:formatCode>
                <c:ptCount val="4"/>
                <c:pt idx="0">
                  <c:v>125236363.63636364</c:v>
                </c:pt>
                <c:pt idx="1">
                  <c:v>162392727.27272728</c:v>
                </c:pt>
                <c:pt idx="2">
                  <c:v>194518181.81818181</c:v>
                </c:pt>
                <c:pt idx="3">
                  <c:v>186121818.18181819</c:v>
                </c:pt>
              </c:numCache>
            </c:numRef>
          </c:xVal>
          <c:yVal>
            <c:numRef>
              <c:f>'All data'!$S$37:$S$40</c:f>
              <c:numCache>
                <c:formatCode>0.000</c:formatCode>
                <c:ptCount val="4"/>
                <c:pt idx="0">
                  <c:v>0.5495244492726018</c:v>
                </c:pt>
                <c:pt idx="1">
                  <c:v>0.7047552746815462</c:v>
                </c:pt>
                <c:pt idx="2">
                  <c:v>0.63208058996185601</c:v>
                </c:pt>
                <c:pt idx="3">
                  <c:v>0.63576165748487623</c:v>
                </c:pt>
              </c:numCache>
            </c:numRef>
          </c:yVal>
          <c:smooth val="0"/>
        </c:ser>
        <c:ser>
          <c:idx val="1"/>
          <c:order val="1"/>
          <c:tx>
            <c:v>MIT913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677974628171479"/>
                  <c:y val="-0.10163859725867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data'!$I$48:$I$51</c:f>
              <c:numCache>
                <c:formatCode>0.000E+00</c:formatCode>
                <c:ptCount val="4"/>
                <c:pt idx="0">
                  <c:v>353304794.52054793</c:v>
                </c:pt>
                <c:pt idx="1">
                  <c:v>523476027.39726025</c:v>
                </c:pt>
                <c:pt idx="2">
                  <c:v>344383561.6438356</c:v>
                </c:pt>
                <c:pt idx="3">
                  <c:v>331284246.57534248</c:v>
                </c:pt>
              </c:numCache>
            </c:numRef>
          </c:xVal>
          <c:yVal>
            <c:numRef>
              <c:f>'All data'!$S$48:$S$51</c:f>
              <c:numCache>
                <c:formatCode>0.000</c:formatCode>
                <c:ptCount val="4"/>
                <c:pt idx="0">
                  <c:v>0.19472850474588874</c:v>
                </c:pt>
                <c:pt idx="1">
                  <c:v>0.22905946590653076</c:v>
                </c:pt>
                <c:pt idx="2">
                  <c:v>0.19793235570092518</c:v>
                </c:pt>
                <c:pt idx="3">
                  <c:v>0.12783322254788462</c:v>
                </c:pt>
              </c:numCache>
            </c:numRef>
          </c:yVal>
          <c:smooth val="0"/>
        </c:ser>
        <c:ser>
          <c:idx val="2"/>
          <c:order val="2"/>
          <c:tx>
            <c:v>MIT9313 ML mi chemin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data'!$I$44:$I$47</c:f>
              <c:numCache>
                <c:formatCode>0.000E+00</c:formatCode>
                <c:ptCount val="4"/>
                <c:pt idx="0">
                  <c:v>329285714.28571427</c:v>
                </c:pt>
                <c:pt idx="1">
                  <c:v>424053571.4285714</c:v>
                </c:pt>
                <c:pt idx="2">
                  <c:v>288553571.4285714</c:v>
                </c:pt>
                <c:pt idx="3">
                  <c:v>715607142.85714281</c:v>
                </c:pt>
              </c:numCache>
            </c:numRef>
          </c:xVal>
          <c:yVal>
            <c:numRef>
              <c:f>'All data'!$S$44:$S$47</c:f>
              <c:numCache>
                <c:formatCode>0.000</c:formatCode>
                <c:ptCount val="4"/>
                <c:pt idx="0">
                  <c:v>0.2551596722057477</c:v>
                </c:pt>
                <c:pt idx="1">
                  <c:v>0.19659925466854178</c:v>
                </c:pt>
                <c:pt idx="2">
                  <c:v>0.27778458088530444</c:v>
                </c:pt>
                <c:pt idx="3">
                  <c:v>0.30776624309794043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97920"/>
        <c:axId val="272198480"/>
      </c:scatterChart>
      <c:valAx>
        <c:axId val="272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198480"/>
        <c:crosses val="autoZero"/>
        <c:crossBetween val="midCat"/>
      </c:valAx>
      <c:valAx>
        <c:axId val="2721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72558</xdr:colOff>
      <xdr:row>18</xdr:row>
      <xdr:rowOff>53508</xdr:rowOff>
    </xdr:from>
    <xdr:to>
      <xdr:col>35</xdr:col>
      <xdr:colOff>75360</xdr:colOff>
      <xdr:row>35</xdr:row>
      <xdr:rowOff>43983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27173</xdr:colOff>
      <xdr:row>51</xdr:row>
      <xdr:rowOff>14287</xdr:rowOff>
    </xdr:from>
    <xdr:to>
      <xdr:col>35</xdr:col>
      <xdr:colOff>27173</xdr:colOff>
      <xdr:row>67</xdr:row>
      <xdr:rowOff>128026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64153</xdr:colOff>
      <xdr:row>1</xdr:row>
      <xdr:rowOff>100853</xdr:rowOff>
    </xdr:from>
    <xdr:to>
      <xdr:col>35</xdr:col>
      <xdr:colOff>66955</xdr:colOff>
      <xdr:row>18</xdr:row>
      <xdr:rowOff>26054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67235</xdr:colOff>
      <xdr:row>35</xdr:row>
      <xdr:rowOff>67235</xdr:rowOff>
    </xdr:from>
    <xdr:to>
      <xdr:col>35</xdr:col>
      <xdr:colOff>67235</xdr:colOff>
      <xdr:row>51</xdr:row>
      <xdr:rowOff>57710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7"/>
  <sheetViews>
    <sheetView tabSelected="1" zoomScale="115" zoomScaleNormal="115" workbookViewId="0">
      <pane xSplit="4" ySplit="1" topLeftCell="E53" activePane="bottomRight" state="frozen"/>
      <selection pane="topRight" activeCell="F1" sqref="F1"/>
      <selection pane="bottomLeft" activeCell="A2" sqref="A2"/>
      <selection pane="bottomRight" activeCell="G78" sqref="G78"/>
    </sheetView>
  </sheetViews>
  <sheetFormatPr baseColWidth="10" defaultRowHeight="15" x14ac:dyDescent="0.25"/>
  <cols>
    <col min="1" max="1" width="9.140625" customWidth="1"/>
    <col min="2" max="2" width="12.140625" customWidth="1"/>
    <col min="3" max="3" width="9" bestFit="1" customWidth="1"/>
    <col min="4" max="4" width="14.42578125" customWidth="1"/>
    <col min="5" max="6" width="7.42578125" style="15" customWidth="1"/>
    <col min="7" max="7" width="13.5703125" style="15" customWidth="1"/>
    <col min="8" max="8" width="10.85546875" style="21"/>
    <col min="9" max="9" width="15.7109375" style="12" customWidth="1"/>
    <col min="10" max="11" width="10" style="12" customWidth="1"/>
    <col min="12" max="12" width="8" style="12" customWidth="1"/>
    <col min="13" max="13" width="8.42578125" customWidth="1"/>
    <col min="14" max="14" width="9.7109375" customWidth="1"/>
    <col min="15" max="15" width="9.85546875" customWidth="1"/>
    <col min="16" max="16" width="9.7109375" customWidth="1"/>
    <col min="17" max="17" width="11.85546875" style="17" customWidth="1"/>
    <col min="18" max="18" width="11" customWidth="1"/>
    <col min="20" max="20" width="12.5703125" customWidth="1"/>
    <col min="23" max="23" width="12.140625" style="158" customWidth="1"/>
    <col min="24" max="24" width="9.7109375" customWidth="1"/>
    <col min="25" max="25" width="11.5703125" style="286" customWidth="1"/>
    <col min="26" max="26" width="10.28515625" style="286" customWidth="1"/>
    <col min="27" max="27" width="25.5703125" style="231" customWidth="1"/>
    <col min="29" max="29" width="6.42578125" customWidth="1"/>
    <col min="30" max="16384" width="11.42578125" style="135"/>
  </cols>
  <sheetData>
    <row r="1" spans="1:39" s="132" customFormat="1" ht="57" customHeight="1" x14ac:dyDescent="0.25">
      <c r="A1" s="2" t="s">
        <v>0</v>
      </c>
      <c r="B1" s="2" t="s">
        <v>1</v>
      </c>
      <c r="C1" s="2" t="s">
        <v>70</v>
      </c>
      <c r="D1" s="2" t="s">
        <v>68</v>
      </c>
      <c r="E1" s="14" t="s">
        <v>64</v>
      </c>
      <c r="F1" s="14" t="s">
        <v>65</v>
      </c>
      <c r="G1" s="14" t="s">
        <v>66</v>
      </c>
      <c r="H1" s="19" t="s">
        <v>98</v>
      </c>
      <c r="I1" s="19" t="s">
        <v>75</v>
      </c>
      <c r="J1" s="10" t="s">
        <v>57</v>
      </c>
      <c r="K1" s="10" t="s">
        <v>59</v>
      </c>
      <c r="L1" s="279" t="s">
        <v>72</v>
      </c>
      <c r="M1" s="10" t="s">
        <v>67</v>
      </c>
      <c r="N1" s="2" t="s">
        <v>69</v>
      </c>
      <c r="O1" s="2" t="s">
        <v>18</v>
      </c>
      <c r="P1" s="2" t="s">
        <v>91</v>
      </c>
      <c r="Q1" s="2" t="s">
        <v>92</v>
      </c>
      <c r="R1" s="2" t="s">
        <v>93</v>
      </c>
      <c r="S1" s="2" t="s">
        <v>63</v>
      </c>
      <c r="T1" s="2" t="s">
        <v>55</v>
      </c>
      <c r="U1" s="9" t="s">
        <v>62</v>
      </c>
      <c r="V1" s="9" t="s">
        <v>61</v>
      </c>
      <c r="W1" s="156" t="s">
        <v>76</v>
      </c>
      <c r="X1" s="9" t="s">
        <v>77</v>
      </c>
      <c r="Y1" s="9" t="s">
        <v>97</v>
      </c>
      <c r="Z1" s="9" t="s">
        <v>94</v>
      </c>
      <c r="AA1" s="13" t="s">
        <v>56</v>
      </c>
      <c r="AB1" s="20" t="s">
        <v>73</v>
      </c>
      <c r="AC1" s="3"/>
    </row>
    <row r="2" spans="1:39" s="131" customFormat="1" ht="12.75" x14ac:dyDescent="0.2">
      <c r="A2" s="23" t="s">
        <v>2</v>
      </c>
      <c r="B2" s="23" t="s">
        <v>3</v>
      </c>
      <c r="C2" s="23">
        <v>1</v>
      </c>
      <c r="D2" s="24">
        <v>40569</v>
      </c>
      <c r="E2" s="25">
        <v>0.57999999999999996</v>
      </c>
      <c r="F2" s="25">
        <v>0.54900000000000004</v>
      </c>
      <c r="G2" s="26" t="s">
        <v>47</v>
      </c>
      <c r="H2" s="174">
        <v>170074545.45454547</v>
      </c>
      <c r="I2" s="171">
        <f>AVERAGE(I3:I4)*R2/AVERAGE(R3:R4)</f>
        <v>245524097.06843638</v>
      </c>
      <c r="J2" s="27">
        <v>0.18978999999999999</v>
      </c>
      <c r="K2" s="27"/>
      <c r="L2" s="27"/>
      <c r="M2" s="27"/>
      <c r="N2" s="23">
        <v>2</v>
      </c>
      <c r="O2" s="23">
        <v>1</v>
      </c>
      <c r="P2" s="151">
        <f>J2*12.8*O2/N2</f>
        <v>1.214656</v>
      </c>
      <c r="Q2" s="28"/>
      <c r="R2" s="28">
        <f t="shared" ref="R2:R8" si="0">P2</f>
        <v>1.214656</v>
      </c>
      <c r="S2" s="29"/>
      <c r="T2" s="23"/>
      <c r="U2" s="161">
        <f t="shared" ref="U2:U41" si="1">P2*(1000000000)/I2</f>
        <v>4.9471966886469465</v>
      </c>
      <c r="V2" s="23"/>
      <c r="W2" s="192">
        <f>R2*1000000000/H2</f>
        <v>7.1419035503148347</v>
      </c>
      <c r="X2" s="161">
        <f t="shared" ref="X2:X41" si="2">R2*1000000000/I2</f>
        <v>4.9471966886469465</v>
      </c>
      <c r="Y2" s="25">
        <f>AVERAGE(X2:X4)</f>
        <v>4.9363449505766033</v>
      </c>
      <c r="Z2" s="25">
        <f>STDEV(W2:W4)</f>
        <v>1.2789502622504323</v>
      </c>
      <c r="AA2" s="213" t="s">
        <v>83</v>
      </c>
      <c r="AB2" s="30">
        <v>79</v>
      </c>
      <c r="AC2" s="23"/>
      <c r="AL2" s="136">
        <v>0.18978999999999999</v>
      </c>
      <c r="AM2" s="137">
        <v>170074545.45454547</v>
      </c>
    </row>
    <row r="3" spans="1:39" s="131" customFormat="1" ht="12.75" x14ac:dyDescent="0.2">
      <c r="A3" s="23" t="s">
        <v>2</v>
      </c>
      <c r="B3" s="23" t="s">
        <v>3</v>
      </c>
      <c r="C3" s="23">
        <v>2</v>
      </c>
      <c r="D3" s="31" t="s">
        <v>4</v>
      </c>
      <c r="E3" s="25">
        <v>0.55400000000000005</v>
      </c>
      <c r="F3" s="25">
        <v>0.496</v>
      </c>
      <c r="G3" s="25">
        <v>145.57</v>
      </c>
      <c r="H3" s="141">
        <v>199223636.36363637</v>
      </c>
      <c r="I3" s="141">
        <v>199223636.36363637</v>
      </c>
      <c r="J3" s="27">
        <v>0.15595000000000001</v>
      </c>
      <c r="K3" s="27"/>
      <c r="L3" s="27"/>
      <c r="M3" s="27"/>
      <c r="N3" s="23">
        <v>2</v>
      </c>
      <c r="O3" s="23">
        <v>1</v>
      </c>
      <c r="P3" s="151">
        <f t="shared" ref="P3:P18" si="3">J3*12.8*O3/N3</f>
        <v>0.99808000000000008</v>
      </c>
      <c r="Q3" s="28"/>
      <c r="R3" s="28">
        <f t="shared" si="0"/>
        <v>0.99808000000000008</v>
      </c>
      <c r="S3" s="32"/>
      <c r="T3" s="33"/>
      <c r="U3" s="25">
        <f t="shared" si="1"/>
        <v>5.0098473164009389</v>
      </c>
      <c r="V3" s="33"/>
      <c r="W3" s="239">
        <f>R3*1000000000/H3</f>
        <v>5.0098473164009389</v>
      </c>
      <c r="X3" s="166">
        <f t="shared" si="2"/>
        <v>5.0098473164009389</v>
      </c>
      <c r="Y3" s="25"/>
      <c r="Z3" s="25"/>
      <c r="AA3" s="213"/>
      <c r="AB3" s="30">
        <v>79</v>
      </c>
      <c r="AC3" s="23"/>
      <c r="AL3" s="136">
        <v>0.15595000000000001</v>
      </c>
      <c r="AM3" s="137">
        <v>199223636.36363637</v>
      </c>
    </row>
    <row r="4" spans="1:39" s="131" customFormat="1" ht="12.75" x14ac:dyDescent="0.2">
      <c r="A4" s="23" t="s">
        <v>2</v>
      </c>
      <c r="B4" s="23" t="s">
        <v>3</v>
      </c>
      <c r="C4" s="23">
        <v>3</v>
      </c>
      <c r="D4" s="31" t="s">
        <v>5</v>
      </c>
      <c r="E4" s="25">
        <v>0.57599999999999996</v>
      </c>
      <c r="F4" s="25">
        <v>0.51100000000000001</v>
      </c>
      <c r="G4" s="25">
        <v>94.72</v>
      </c>
      <c r="H4" s="141">
        <v>131100000</v>
      </c>
      <c r="I4" s="141">
        <v>131100000</v>
      </c>
      <c r="J4" s="27">
        <v>9.9390000000000006E-2</v>
      </c>
      <c r="K4" s="27"/>
      <c r="L4" s="27"/>
      <c r="M4" s="27"/>
      <c r="N4" s="23">
        <v>2</v>
      </c>
      <c r="O4" s="23">
        <v>1</v>
      </c>
      <c r="P4" s="151">
        <f t="shared" si="3"/>
        <v>0.63609600000000011</v>
      </c>
      <c r="Q4" s="28"/>
      <c r="R4" s="28">
        <f t="shared" si="0"/>
        <v>0.63609600000000011</v>
      </c>
      <c r="S4" s="32"/>
      <c r="T4" s="120"/>
      <c r="U4" s="25">
        <f t="shared" si="1"/>
        <v>4.8519908466819235</v>
      </c>
      <c r="V4" s="120"/>
      <c r="W4" s="239">
        <f>R4*1000000000/H4</f>
        <v>4.8519908466819235</v>
      </c>
      <c r="X4" s="166">
        <f t="shared" si="2"/>
        <v>4.8519908466819235</v>
      </c>
      <c r="Y4" s="25"/>
      <c r="Z4" s="25"/>
      <c r="AA4" s="213"/>
      <c r="AB4" s="30">
        <v>79</v>
      </c>
      <c r="AC4" s="23"/>
      <c r="AL4" s="136">
        <v>9.9390000000000006E-2</v>
      </c>
      <c r="AM4" s="137">
        <v>131100000</v>
      </c>
    </row>
    <row r="5" spans="1:39" s="131" customFormat="1" ht="12.75" x14ac:dyDescent="0.2">
      <c r="A5" s="23" t="s">
        <v>2</v>
      </c>
      <c r="B5" s="23" t="s">
        <v>3</v>
      </c>
      <c r="C5" s="23">
        <v>4</v>
      </c>
      <c r="D5" s="31">
        <v>40578</v>
      </c>
      <c r="E5" s="25">
        <v>0.41899999999999998</v>
      </c>
      <c r="F5" s="25">
        <v>0.39300000000000002</v>
      </c>
      <c r="G5" s="25">
        <v>117.57</v>
      </c>
      <c r="H5" s="119" t="s">
        <v>74</v>
      </c>
      <c r="I5" s="171">
        <v>180001360</v>
      </c>
      <c r="J5" s="27">
        <v>0.13158</v>
      </c>
      <c r="K5" s="27"/>
      <c r="L5" s="27"/>
      <c r="M5" s="27"/>
      <c r="N5" s="23">
        <v>2</v>
      </c>
      <c r="O5" s="23">
        <v>1</v>
      </c>
      <c r="P5" s="151">
        <f t="shared" si="3"/>
        <v>0.84211200000000008</v>
      </c>
      <c r="Q5" s="28"/>
      <c r="R5" s="28">
        <f t="shared" si="0"/>
        <v>0.84211200000000008</v>
      </c>
      <c r="S5" s="32"/>
      <c r="T5" s="33"/>
      <c r="U5" s="161">
        <f t="shared" si="1"/>
        <v>4.6783646523559606</v>
      </c>
      <c r="V5" s="33"/>
      <c r="W5" s="272" t="s">
        <v>78</v>
      </c>
      <c r="X5" s="161">
        <f t="shared" si="2"/>
        <v>4.6783646523559606</v>
      </c>
      <c r="Y5" s="25"/>
      <c r="Z5" s="25"/>
      <c r="AA5" s="213" t="s">
        <v>83</v>
      </c>
      <c r="AB5" s="30">
        <v>79</v>
      </c>
      <c r="AC5" s="23"/>
      <c r="AL5" s="136">
        <v>0.13158</v>
      </c>
      <c r="AM5" s="131">
        <f>1292000000*AL5</f>
        <v>170001360</v>
      </c>
    </row>
    <row r="6" spans="1:39" s="131" customFormat="1" ht="12.75" x14ac:dyDescent="0.2">
      <c r="A6" s="23" t="s">
        <v>2</v>
      </c>
      <c r="B6" s="23" t="s">
        <v>3</v>
      </c>
      <c r="C6" s="23">
        <v>5</v>
      </c>
      <c r="D6" s="31" t="s">
        <v>19</v>
      </c>
      <c r="E6" s="25">
        <v>0.60599999999999998</v>
      </c>
      <c r="F6" s="25">
        <v>0.58799999999999997</v>
      </c>
      <c r="G6" s="25">
        <v>73.3</v>
      </c>
      <c r="H6" s="119" t="s">
        <v>74</v>
      </c>
      <c r="I6" s="171">
        <v>358593880</v>
      </c>
      <c r="J6" s="27">
        <v>0.20788999999999999</v>
      </c>
      <c r="K6" s="27"/>
      <c r="L6" s="27"/>
      <c r="M6" s="27"/>
      <c r="N6" s="23">
        <v>1.5</v>
      </c>
      <c r="O6" s="23">
        <v>1</v>
      </c>
      <c r="P6" s="151">
        <f t="shared" si="3"/>
        <v>1.7739946666666668</v>
      </c>
      <c r="Q6" s="28"/>
      <c r="R6" s="28">
        <f t="shared" si="0"/>
        <v>1.7739946666666668</v>
      </c>
      <c r="S6" s="32"/>
      <c r="T6" s="33"/>
      <c r="U6" s="161">
        <f t="shared" si="1"/>
        <v>4.9470857301487321</v>
      </c>
      <c r="V6" s="33"/>
      <c r="W6" s="272" t="s">
        <v>78</v>
      </c>
      <c r="X6" s="161">
        <f t="shared" si="2"/>
        <v>4.9470857301487321</v>
      </c>
      <c r="Y6" s="25"/>
      <c r="Z6" s="25"/>
      <c r="AA6" s="213" t="s">
        <v>83</v>
      </c>
      <c r="AB6" s="30">
        <v>79</v>
      </c>
      <c r="AC6" s="23"/>
      <c r="AL6" s="138">
        <v>0.20788999999999999</v>
      </c>
      <c r="AM6" s="131">
        <f>1292000000*AL6</f>
        <v>268593880</v>
      </c>
    </row>
    <row r="7" spans="1:39" s="131" customFormat="1" ht="12.75" x14ac:dyDescent="0.2">
      <c r="A7" s="46" t="s">
        <v>2</v>
      </c>
      <c r="B7" s="46" t="s">
        <v>3</v>
      </c>
      <c r="C7" s="46">
        <v>6</v>
      </c>
      <c r="D7" s="47" t="s">
        <v>20</v>
      </c>
      <c r="E7" s="48">
        <v>0.60699999999999998</v>
      </c>
      <c r="F7" s="175" t="s">
        <v>47</v>
      </c>
      <c r="G7" s="48">
        <v>74.7</v>
      </c>
      <c r="H7" s="176" t="s">
        <v>74</v>
      </c>
      <c r="I7" s="177">
        <v>300306720</v>
      </c>
      <c r="J7" s="49">
        <v>0.17516000000000001</v>
      </c>
      <c r="K7" s="49"/>
      <c r="L7" s="49"/>
      <c r="M7" s="49"/>
      <c r="N7" s="46">
        <v>1.5</v>
      </c>
      <c r="O7" s="46">
        <v>1</v>
      </c>
      <c r="P7" s="151">
        <f t="shared" si="3"/>
        <v>1.4946986666666666</v>
      </c>
      <c r="Q7" s="50"/>
      <c r="R7" s="50">
        <f t="shared" si="0"/>
        <v>1.4946986666666666</v>
      </c>
      <c r="S7" s="179"/>
      <c r="T7" s="180"/>
      <c r="U7" s="181">
        <f t="shared" si="1"/>
        <v>4.9772401585507859</v>
      </c>
      <c r="V7" s="180"/>
      <c r="W7" s="272" t="s">
        <v>78</v>
      </c>
      <c r="X7" s="181">
        <f t="shared" si="2"/>
        <v>4.9772401585507859</v>
      </c>
      <c r="Y7" s="48"/>
      <c r="Z7" s="25"/>
      <c r="AA7" s="215" t="s">
        <v>80</v>
      </c>
      <c r="AB7" s="30">
        <v>79</v>
      </c>
      <c r="AC7" s="23"/>
      <c r="AL7" s="136">
        <v>0.17516000000000001</v>
      </c>
      <c r="AM7" s="131">
        <f>1292000000*AL7</f>
        <v>226306720</v>
      </c>
    </row>
    <row r="8" spans="1:39" s="131" customFormat="1" ht="12.75" x14ac:dyDescent="0.2">
      <c r="A8" s="182" t="s">
        <v>2</v>
      </c>
      <c r="B8" s="182" t="s">
        <v>3</v>
      </c>
      <c r="C8" s="182">
        <v>7</v>
      </c>
      <c r="D8" s="183" t="s">
        <v>21</v>
      </c>
      <c r="E8" s="184">
        <v>0.59099999999999997</v>
      </c>
      <c r="F8" s="185" t="s">
        <v>47</v>
      </c>
      <c r="G8" s="184">
        <v>58</v>
      </c>
      <c r="H8" s="186" t="s">
        <v>74</v>
      </c>
      <c r="I8" s="187">
        <v>270993880</v>
      </c>
      <c r="J8" s="188">
        <v>0.15789</v>
      </c>
      <c r="K8" s="188"/>
      <c r="L8" s="188"/>
      <c r="M8" s="188"/>
      <c r="N8" s="182">
        <v>1.5</v>
      </c>
      <c r="O8" s="182">
        <v>1</v>
      </c>
      <c r="P8" s="152">
        <f t="shared" si="3"/>
        <v>1.3473280000000001</v>
      </c>
      <c r="Q8" s="189"/>
      <c r="R8" s="189">
        <f t="shared" si="0"/>
        <v>1.3473280000000001</v>
      </c>
      <c r="S8" s="190"/>
      <c r="T8" s="182"/>
      <c r="U8" s="191">
        <f t="shared" si="1"/>
        <v>4.9718023152404767</v>
      </c>
      <c r="V8" s="182"/>
      <c r="W8" s="273" t="s">
        <v>78</v>
      </c>
      <c r="X8" s="191">
        <f t="shared" si="2"/>
        <v>4.9718023152404767</v>
      </c>
      <c r="Y8" s="184"/>
      <c r="Z8" s="36"/>
      <c r="AA8" s="216" t="s">
        <v>80</v>
      </c>
      <c r="AB8" s="34"/>
      <c r="AC8" s="34"/>
      <c r="AL8" s="136">
        <v>0.15789</v>
      </c>
      <c r="AM8" s="131">
        <f>1292000000*AL8</f>
        <v>203993880</v>
      </c>
    </row>
    <row r="9" spans="1:39" s="131" customFormat="1" ht="12.75" x14ac:dyDescent="0.2">
      <c r="A9" s="23" t="s">
        <v>2</v>
      </c>
      <c r="B9" s="23" t="s">
        <v>6</v>
      </c>
      <c r="C9" s="23">
        <v>1</v>
      </c>
      <c r="D9" s="24">
        <v>40569</v>
      </c>
      <c r="E9" s="25">
        <v>0.63</v>
      </c>
      <c r="F9" s="25">
        <v>0.54100000000000004</v>
      </c>
      <c r="G9" s="26" t="s">
        <v>47</v>
      </c>
      <c r="H9" s="149">
        <v>223274545.45454547</v>
      </c>
      <c r="I9" s="149">
        <v>223274545.45454499</v>
      </c>
      <c r="J9" s="27">
        <v>7.6439999999999994E-2</v>
      </c>
      <c r="K9" s="27"/>
      <c r="L9" s="27"/>
      <c r="M9" s="27"/>
      <c r="N9" s="23">
        <v>2</v>
      </c>
      <c r="O9" s="23">
        <v>1</v>
      </c>
      <c r="P9" s="151">
        <f t="shared" si="3"/>
        <v>0.48921599999999998</v>
      </c>
      <c r="Q9" s="28"/>
      <c r="R9" s="28">
        <f t="shared" ref="R9:R18" si="4">P9</f>
        <v>0.48921599999999998</v>
      </c>
      <c r="S9" s="32"/>
      <c r="T9" s="33"/>
      <c r="U9" s="25">
        <f t="shared" si="1"/>
        <v>2.1910961637120265</v>
      </c>
      <c r="V9" s="33"/>
      <c r="W9" s="168">
        <f t="shared" ref="W9:W40" si="5">R9*1000000000/H9</f>
        <v>2.1910961637120216</v>
      </c>
      <c r="X9" s="166">
        <f t="shared" si="2"/>
        <v>2.1910961637120265</v>
      </c>
      <c r="Y9" s="25">
        <f>AVERAGE(X9,X11,X12)</f>
        <v>2.8250438747366342</v>
      </c>
      <c r="Z9" s="25">
        <f>STDEV(X9,X11,X12)</f>
        <v>0.68839757877927032</v>
      </c>
      <c r="AA9" s="213"/>
      <c r="AB9" s="30">
        <v>112.51132670916137</v>
      </c>
      <c r="AC9" s="23"/>
    </row>
    <row r="10" spans="1:39" s="131" customFormat="1" ht="12.75" x14ac:dyDescent="0.2">
      <c r="A10" s="23" t="s">
        <v>2</v>
      </c>
      <c r="B10" s="23" t="s">
        <v>6</v>
      </c>
      <c r="C10" s="23">
        <v>2</v>
      </c>
      <c r="D10" s="24">
        <v>40571</v>
      </c>
      <c r="E10" s="25">
        <v>0.56000000000000005</v>
      </c>
      <c r="F10" s="25">
        <v>0.51300000000000001</v>
      </c>
      <c r="G10" s="25">
        <v>70.84</v>
      </c>
      <c r="H10" s="174">
        <v>147232727.27272701</v>
      </c>
      <c r="I10" s="171">
        <v>257232727.27272701</v>
      </c>
      <c r="J10" s="27">
        <v>0.10952000000000001</v>
      </c>
      <c r="K10" s="27"/>
      <c r="L10" s="27"/>
      <c r="M10" s="27"/>
      <c r="N10" s="23">
        <v>2</v>
      </c>
      <c r="O10" s="23">
        <v>1</v>
      </c>
      <c r="P10" s="151">
        <f t="shared" si="3"/>
        <v>0.70092800000000011</v>
      </c>
      <c r="Q10" s="28"/>
      <c r="R10" s="28">
        <f t="shared" si="4"/>
        <v>0.70092800000000011</v>
      </c>
      <c r="S10" s="29"/>
      <c r="T10" s="40"/>
      <c r="U10" s="25">
        <f t="shared" si="1"/>
        <v>2.7248787797396092</v>
      </c>
      <c r="V10" s="41"/>
      <c r="W10" s="192">
        <f t="shared" si="5"/>
        <v>4.760680678702867</v>
      </c>
      <c r="X10" s="161">
        <f t="shared" si="2"/>
        <v>2.7248787797396092</v>
      </c>
      <c r="Y10" s="25"/>
      <c r="Z10" s="25"/>
      <c r="AA10" s="213" t="s">
        <v>83</v>
      </c>
      <c r="AB10" s="30">
        <v>112.51132670916137</v>
      </c>
      <c r="AC10" s="23"/>
    </row>
    <row r="11" spans="1:39" s="131" customFormat="1" ht="12.75" x14ac:dyDescent="0.2">
      <c r="A11" s="23" t="s">
        <v>2</v>
      </c>
      <c r="B11" s="23" t="s">
        <v>6</v>
      </c>
      <c r="C11" s="23">
        <v>3</v>
      </c>
      <c r="D11" s="24">
        <v>40576</v>
      </c>
      <c r="E11" s="25">
        <v>0.56000000000000005</v>
      </c>
      <c r="F11" s="25">
        <v>0.48899999999999999</v>
      </c>
      <c r="G11" s="25">
        <v>62.05</v>
      </c>
      <c r="H11" s="141">
        <v>176474545.45454547</v>
      </c>
      <c r="I11" s="141">
        <v>176474545.45454547</v>
      </c>
      <c r="J11" s="27">
        <v>9.8089999999999997E-2</v>
      </c>
      <c r="K11" s="27"/>
      <c r="L11" s="27"/>
      <c r="M11" s="27"/>
      <c r="N11" s="23">
        <v>2</v>
      </c>
      <c r="O11" s="23">
        <v>1</v>
      </c>
      <c r="P11" s="151">
        <f t="shared" si="3"/>
        <v>0.627776</v>
      </c>
      <c r="Q11" s="28"/>
      <c r="R11" s="28">
        <f t="shared" si="4"/>
        <v>0.627776</v>
      </c>
      <c r="S11" s="29"/>
      <c r="T11" s="40"/>
      <c r="U11" s="25">
        <f t="shared" si="1"/>
        <v>3.5573175631819161</v>
      </c>
      <c r="V11" s="41"/>
      <c r="W11" s="168">
        <f t="shared" si="5"/>
        <v>3.5573175631819161</v>
      </c>
      <c r="X11" s="166">
        <f t="shared" si="2"/>
        <v>3.5573175631819161</v>
      </c>
      <c r="Y11" s="25"/>
      <c r="Z11" s="25"/>
      <c r="AA11" s="213"/>
      <c r="AB11" s="30">
        <v>112.51132670916137</v>
      </c>
      <c r="AC11" s="23"/>
    </row>
    <row r="12" spans="1:39" s="131" customFormat="1" ht="12.75" x14ac:dyDescent="0.2">
      <c r="A12" s="34" t="s">
        <v>2</v>
      </c>
      <c r="B12" s="34" t="s">
        <v>6</v>
      </c>
      <c r="C12" s="34">
        <v>4</v>
      </c>
      <c r="D12" s="42">
        <v>40581</v>
      </c>
      <c r="E12" s="36">
        <v>0.57499999999999996</v>
      </c>
      <c r="F12" s="36">
        <v>0.53500000000000003</v>
      </c>
      <c r="G12" s="36">
        <v>42.58</v>
      </c>
      <c r="H12" s="142">
        <v>179580000</v>
      </c>
      <c r="I12" s="142">
        <v>179580000</v>
      </c>
      <c r="J12" s="37">
        <v>7.6509999999999995E-2</v>
      </c>
      <c r="K12" s="37"/>
      <c r="L12" s="37"/>
      <c r="M12" s="37"/>
      <c r="N12" s="34">
        <v>2</v>
      </c>
      <c r="O12" s="34">
        <v>1</v>
      </c>
      <c r="P12" s="152">
        <f t="shared" si="3"/>
        <v>0.48966399999999999</v>
      </c>
      <c r="Q12" s="38"/>
      <c r="R12" s="38">
        <f t="shared" si="4"/>
        <v>0.48966399999999999</v>
      </c>
      <c r="S12" s="39"/>
      <c r="T12" s="43"/>
      <c r="U12" s="36">
        <f t="shared" si="1"/>
        <v>2.7267178973159596</v>
      </c>
      <c r="V12" s="44"/>
      <c r="W12" s="240">
        <f t="shared" si="5"/>
        <v>2.7267178973159596</v>
      </c>
      <c r="X12" s="167">
        <f t="shared" si="2"/>
        <v>2.7267178973159596</v>
      </c>
      <c r="Y12" s="36"/>
      <c r="Z12" s="36"/>
      <c r="AA12" s="217"/>
      <c r="AB12" s="45">
        <v>112.51132670916137</v>
      </c>
      <c r="AC12" s="34"/>
    </row>
    <row r="13" spans="1:39" s="131" customFormat="1" ht="12.75" x14ac:dyDescent="0.2">
      <c r="A13" s="23" t="s">
        <v>2</v>
      </c>
      <c r="B13" s="23" t="s">
        <v>32</v>
      </c>
      <c r="C13" s="23">
        <v>1</v>
      </c>
      <c r="D13" s="31" t="s">
        <v>38</v>
      </c>
      <c r="E13" s="25">
        <v>0.47699999999999998</v>
      </c>
      <c r="F13" s="25">
        <v>0.34599999999999997</v>
      </c>
      <c r="G13" s="25">
        <v>6.06</v>
      </c>
      <c r="H13" s="141">
        <v>160847744.36090225</v>
      </c>
      <c r="I13" s="141">
        <v>160847744.36090225</v>
      </c>
      <c r="J13" s="27">
        <v>5.0663E-2</v>
      </c>
      <c r="K13" s="27"/>
      <c r="L13" s="27"/>
      <c r="M13" s="27">
        <v>-1.853E-3</v>
      </c>
      <c r="N13" s="23">
        <v>1.5</v>
      </c>
      <c r="O13" s="23">
        <v>1</v>
      </c>
      <c r="P13" s="151">
        <f t="shared" si="3"/>
        <v>0.43232426666666668</v>
      </c>
      <c r="Q13" s="121"/>
      <c r="R13" s="28">
        <f t="shared" si="4"/>
        <v>0.43232426666666668</v>
      </c>
      <c r="S13" s="122"/>
      <c r="T13" s="40"/>
      <c r="U13" s="25">
        <f t="shared" si="1"/>
        <v>2.6877856968677083</v>
      </c>
      <c r="V13" s="41"/>
      <c r="W13" s="168">
        <f t="shared" si="5"/>
        <v>2.6877856968677083</v>
      </c>
      <c r="X13" s="166">
        <f t="shared" si="2"/>
        <v>2.6877856968677083</v>
      </c>
      <c r="Y13" s="25">
        <f>AVERAGE(X13:X18)</f>
        <v>2.9649437111953154</v>
      </c>
      <c r="Z13" s="25">
        <f>STDEV(X13:X18)</f>
        <v>0.56337223879790921</v>
      </c>
      <c r="AA13" s="213"/>
      <c r="AB13" s="30">
        <v>214</v>
      </c>
      <c r="AC13" s="23"/>
    </row>
    <row r="14" spans="1:39" s="131" customFormat="1" ht="12.75" x14ac:dyDescent="0.2">
      <c r="A14" s="23" t="s">
        <v>2</v>
      </c>
      <c r="B14" s="23" t="s">
        <v>32</v>
      </c>
      <c r="C14" s="23">
        <v>2</v>
      </c>
      <c r="D14" s="31" t="s">
        <v>39</v>
      </c>
      <c r="E14" s="25">
        <v>0.48399999999999999</v>
      </c>
      <c r="F14" s="25">
        <v>0.33100000000000002</v>
      </c>
      <c r="G14" s="25">
        <v>6.06</v>
      </c>
      <c r="H14" s="280">
        <v>135577067.669173</v>
      </c>
      <c r="I14" s="280">
        <v>135577067.669173</v>
      </c>
      <c r="J14" s="27">
        <v>3.2266000000000003E-2</v>
      </c>
      <c r="K14" s="27"/>
      <c r="L14" s="27"/>
      <c r="M14" s="27">
        <v>-2.8010000000000001E-3</v>
      </c>
      <c r="N14" s="23">
        <v>1.5</v>
      </c>
      <c r="O14" s="23">
        <v>1</v>
      </c>
      <c r="P14" s="151">
        <f t="shared" si="3"/>
        <v>0.27533653333333336</v>
      </c>
      <c r="Q14" s="121"/>
      <c r="R14" s="28">
        <f t="shared" si="4"/>
        <v>0.27533653333333336</v>
      </c>
      <c r="S14" s="122"/>
      <c r="T14" s="40"/>
      <c r="U14" s="161">
        <f t="shared" si="1"/>
        <v>2.0308488601124859</v>
      </c>
      <c r="V14" s="41"/>
      <c r="W14" s="192">
        <f t="shared" si="5"/>
        <v>2.0308488601124859</v>
      </c>
      <c r="X14" s="161">
        <f t="shared" si="2"/>
        <v>2.0308488601124859</v>
      </c>
      <c r="Y14" s="25"/>
      <c r="Z14" s="25"/>
      <c r="AA14" s="213" t="s">
        <v>83</v>
      </c>
      <c r="AB14" s="30"/>
      <c r="AC14" s="23"/>
    </row>
    <row r="15" spans="1:39" s="133" customFormat="1" ht="12.75" x14ac:dyDescent="0.2">
      <c r="A15" s="46" t="s">
        <v>2</v>
      </c>
      <c r="B15" s="46" t="s">
        <v>32</v>
      </c>
      <c r="C15" s="46">
        <v>3</v>
      </c>
      <c r="D15" s="47" t="s">
        <v>40</v>
      </c>
      <c r="E15" s="192">
        <v>0.45600000000000002</v>
      </c>
      <c r="F15" s="192">
        <v>0.28599999999999998</v>
      </c>
      <c r="G15" s="48">
        <v>8.6</v>
      </c>
      <c r="H15" s="282">
        <v>275114661.65413535</v>
      </c>
      <c r="I15" s="282">
        <v>275114661.65413499</v>
      </c>
      <c r="J15" s="49">
        <v>9.1465000000000005E-2</v>
      </c>
      <c r="K15" s="49"/>
      <c r="L15" s="49"/>
      <c r="M15" s="49">
        <v>-1.933E-3</v>
      </c>
      <c r="N15" s="46">
        <v>1.5</v>
      </c>
      <c r="O15" s="46">
        <v>1</v>
      </c>
      <c r="P15" s="178">
        <f t="shared" si="3"/>
        <v>0.78050133333333338</v>
      </c>
      <c r="Q15" s="123"/>
      <c r="R15" s="281">
        <f t="shared" si="4"/>
        <v>0.78050133333333338</v>
      </c>
      <c r="S15" s="124"/>
      <c r="T15" s="51"/>
      <c r="U15" s="48">
        <f t="shared" si="1"/>
        <v>2.8370037737739828</v>
      </c>
      <c r="V15" s="52"/>
      <c r="W15" s="168">
        <f t="shared" si="5"/>
        <v>2.8370037737739788</v>
      </c>
      <c r="X15" s="168">
        <f t="shared" si="2"/>
        <v>2.8370037737739828</v>
      </c>
      <c r="Y15" s="48"/>
      <c r="Z15" s="25"/>
      <c r="AA15" s="215" t="s">
        <v>80</v>
      </c>
      <c r="AB15" s="283"/>
      <c r="AC15" s="46"/>
    </row>
    <row r="16" spans="1:39" s="131" customFormat="1" ht="12.75" x14ac:dyDescent="0.2">
      <c r="A16" s="23" t="s">
        <v>2</v>
      </c>
      <c r="B16" s="23" t="s">
        <v>32</v>
      </c>
      <c r="C16" s="23">
        <v>4</v>
      </c>
      <c r="D16" s="31" t="s">
        <v>41</v>
      </c>
      <c r="E16" s="25">
        <v>0.51600000000000001</v>
      </c>
      <c r="F16" s="25">
        <v>0.42</v>
      </c>
      <c r="G16" s="25">
        <v>6.58</v>
      </c>
      <c r="H16" s="141">
        <v>106452252.25225225</v>
      </c>
      <c r="I16" s="141">
        <v>106452252.252252</v>
      </c>
      <c r="J16" s="27">
        <v>4.4068000000000003E-2</v>
      </c>
      <c r="K16" s="27"/>
      <c r="L16" s="27"/>
      <c r="M16" s="27">
        <v>-3.7980000000000002E-3</v>
      </c>
      <c r="N16" s="23">
        <v>1.5</v>
      </c>
      <c r="O16" s="23">
        <v>1</v>
      </c>
      <c r="P16" s="151">
        <f t="shared" si="3"/>
        <v>0.37604693333333339</v>
      </c>
      <c r="Q16" s="121"/>
      <c r="R16" s="28">
        <f t="shared" si="4"/>
        <v>0.37604693333333339</v>
      </c>
      <c r="S16" s="122"/>
      <c r="T16" s="40"/>
      <c r="U16" s="25">
        <f t="shared" si="1"/>
        <v>3.5325408845483408</v>
      </c>
      <c r="V16" s="41"/>
      <c r="W16" s="168">
        <f t="shared" si="5"/>
        <v>3.5325408845483324</v>
      </c>
      <c r="X16" s="166">
        <f t="shared" si="2"/>
        <v>3.5325408845483408</v>
      </c>
      <c r="Y16" s="25"/>
      <c r="Z16" s="25"/>
      <c r="AA16" s="213"/>
      <c r="AB16" s="30">
        <v>214</v>
      </c>
      <c r="AC16" s="23"/>
    </row>
    <row r="17" spans="1:29" s="131" customFormat="1" ht="12.75" x14ac:dyDescent="0.2">
      <c r="A17" s="23" t="s">
        <v>2</v>
      </c>
      <c r="B17" s="23" t="s">
        <v>32</v>
      </c>
      <c r="C17" s="23">
        <v>5</v>
      </c>
      <c r="D17" s="31" t="s">
        <v>42</v>
      </c>
      <c r="E17" s="25">
        <v>0.50700000000000001</v>
      </c>
      <c r="F17" s="25">
        <v>0.42499999999999999</v>
      </c>
      <c r="G17" s="25">
        <v>7.09</v>
      </c>
      <c r="H17" s="141">
        <v>111735135.13513513</v>
      </c>
      <c r="I17" s="141">
        <v>111735135.13513513</v>
      </c>
      <c r="J17" s="27">
        <v>4.4218E-2</v>
      </c>
      <c r="K17" s="27"/>
      <c r="L17" s="27"/>
      <c r="M17" s="27">
        <v>-5.4970000000000001E-3</v>
      </c>
      <c r="N17" s="23">
        <v>1.5</v>
      </c>
      <c r="O17" s="23">
        <v>1</v>
      </c>
      <c r="P17" s="151">
        <f t="shared" si="3"/>
        <v>0.37732693333333334</v>
      </c>
      <c r="Q17" s="121"/>
      <c r="R17" s="28">
        <f t="shared" si="4"/>
        <v>0.37732693333333334</v>
      </c>
      <c r="S17" s="122"/>
      <c r="T17" s="40"/>
      <c r="U17" s="25">
        <f t="shared" si="1"/>
        <v>3.3769765694289906</v>
      </c>
      <c r="V17" s="41"/>
      <c r="W17" s="168">
        <f t="shared" si="5"/>
        <v>3.3769765694289906</v>
      </c>
      <c r="X17" s="166">
        <f t="shared" si="2"/>
        <v>3.3769765694289906</v>
      </c>
      <c r="Y17" s="25"/>
      <c r="Z17" s="25"/>
      <c r="AA17" s="213"/>
      <c r="AB17" s="30">
        <v>214</v>
      </c>
      <c r="AC17" s="23"/>
    </row>
    <row r="18" spans="1:29" s="131" customFormat="1" ht="12.75" x14ac:dyDescent="0.2">
      <c r="A18" s="34" t="s">
        <v>2</v>
      </c>
      <c r="B18" s="34" t="s">
        <v>32</v>
      </c>
      <c r="C18" s="34">
        <v>6</v>
      </c>
      <c r="D18" s="35" t="s">
        <v>43</v>
      </c>
      <c r="E18" s="36">
        <v>0.55000000000000004</v>
      </c>
      <c r="F18" s="36">
        <v>0.42699999999999999</v>
      </c>
      <c r="G18" s="36">
        <v>5.55</v>
      </c>
      <c r="H18" s="142">
        <v>137446846.84684685</v>
      </c>
      <c r="I18" s="142">
        <v>137446846.846847</v>
      </c>
      <c r="J18" s="37">
        <v>5.3547999999999998E-2</v>
      </c>
      <c r="K18" s="37"/>
      <c r="L18" s="37"/>
      <c r="M18" s="37">
        <v>9.0000000000000006E-5</v>
      </c>
      <c r="N18" s="34">
        <v>1.5</v>
      </c>
      <c r="O18" s="34">
        <v>1</v>
      </c>
      <c r="P18" s="152">
        <f t="shared" si="3"/>
        <v>0.4569429333333333</v>
      </c>
      <c r="Q18" s="125"/>
      <c r="R18" s="38">
        <f t="shared" si="4"/>
        <v>0.4569429333333333</v>
      </c>
      <c r="S18" s="126"/>
      <c r="T18" s="43"/>
      <c r="U18" s="36">
        <f t="shared" si="1"/>
        <v>3.3245064824403827</v>
      </c>
      <c r="V18" s="44"/>
      <c r="W18" s="240">
        <f t="shared" si="5"/>
        <v>3.3245064824403863</v>
      </c>
      <c r="X18" s="167">
        <f t="shared" si="2"/>
        <v>3.3245064824403827</v>
      </c>
      <c r="Y18" s="36"/>
      <c r="Z18" s="36"/>
      <c r="AA18" s="217"/>
      <c r="AB18" s="45">
        <v>214</v>
      </c>
      <c r="AC18" s="34"/>
    </row>
    <row r="19" spans="1:29" s="133" customFormat="1" ht="12.75" x14ac:dyDescent="0.2">
      <c r="A19" s="193" t="s">
        <v>7</v>
      </c>
      <c r="B19" s="193" t="s">
        <v>3</v>
      </c>
      <c r="C19" s="193">
        <v>1</v>
      </c>
      <c r="D19" s="194">
        <v>40581</v>
      </c>
      <c r="E19" s="195">
        <v>0.51700000000000002</v>
      </c>
      <c r="F19" s="195">
        <v>0.55000000000000004</v>
      </c>
      <c r="G19" s="195">
        <v>30.88</v>
      </c>
      <c r="H19" s="196">
        <v>800018181.81818187</v>
      </c>
      <c r="I19" s="196">
        <v>800018181.81818187</v>
      </c>
      <c r="J19" s="57">
        <v>0.27971000000000001</v>
      </c>
      <c r="K19" s="57">
        <v>0.13830999999999999</v>
      </c>
      <c r="L19" s="57">
        <f t="shared" ref="L19:L41" si="6">K19/J19</f>
        <v>0.49447642200850872</v>
      </c>
      <c r="M19" s="57"/>
      <c r="N19" s="193">
        <v>2</v>
      </c>
      <c r="O19" s="193">
        <v>1</v>
      </c>
      <c r="P19" s="197">
        <f t="shared" ref="P19:P31" si="7">((16.29*(J19))-(8.54*(K19)))*(O19/N19)</f>
        <v>1.68765425</v>
      </c>
      <c r="Q19" s="197">
        <f t="shared" ref="Q19:Q41" si="8">((30.66*(K19))-(13.58*(J19)))*O19/N19</f>
        <v>0.22106139999999996</v>
      </c>
      <c r="R19" s="197">
        <f t="shared" ref="R19:R31" si="9">((22.12*(K19))+(2.71*(J19)))*O19/N19</f>
        <v>1.90871565</v>
      </c>
      <c r="S19" s="198">
        <f>Q19/P19</f>
        <v>0.13098737493180251</v>
      </c>
      <c r="T19" s="199">
        <f>AVERAGE(S19:S24)</f>
        <v>0.16067128712033008</v>
      </c>
      <c r="U19" s="195">
        <f t="shared" si="1"/>
        <v>2.1095198688666166</v>
      </c>
      <c r="V19" s="200">
        <f t="shared" ref="V19:V41" si="10">Q19*1000000000/I19</f>
        <v>0.27632046998931836</v>
      </c>
      <c r="W19" s="201">
        <f t="shared" si="5"/>
        <v>2.3858403388559348</v>
      </c>
      <c r="X19" s="201">
        <f t="shared" si="2"/>
        <v>2.3858403388559348</v>
      </c>
      <c r="Y19" s="55">
        <f>AVERAGE(X19:X24)</f>
        <v>2.3862651548181177</v>
      </c>
      <c r="Z19" s="55">
        <f>STDEV(U19:U24)</f>
        <v>0.12034442634901439</v>
      </c>
      <c r="AA19" s="203" t="s">
        <v>80</v>
      </c>
      <c r="AB19" s="202"/>
      <c r="AC19" s="193"/>
    </row>
    <row r="20" spans="1:29" s="131" customFormat="1" ht="12.75" x14ac:dyDescent="0.2">
      <c r="A20" s="53" t="s">
        <v>7</v>
      </c>
      <c r="B20" s="53" t="s">
        <v>3</v>
      </c>
      <c r="C20" s="53">
        <v>2</v>
      </c>
      <c r="D20" s="54">
        <v>40583</v>
      </c>
      <c r="E20" s="55">
        <v>0.52</v>
      </c>
      <c r="F20" s="55">
        <v>0.57899999999999996</v>
      </c>
      <c r="G20" s="55">
        <v>22.47</v>
      </c>
      <c r="H20" s="143">
        <v>745927272.72727275</v>
      </c>
      <c r="I20" s="143">
        <v>745927272.72727275</v>
      </c>
      <c r="J20" s="56">
        <v>0.23363</v>
      </c>
      <c r="K20" s="56">
        <v>0.11932</v>
      </c>
      <c r="L20" s="57">
        <f t="shared" si="6"/>
        <v>0.51072208192441038</v>
      </c>
      <c r="M20" s="56"/>
      <c r="N20" s="53">
        <v>2</v>
      </c>
      <c r="O20" s="53">
        <v>1</v>
      </c>
      <c r="P20" s="58">
        <f t="shared" si="7"/>
        <v>1.39341995</v>
      </c>
      <c r="Q20" s="58">
        <f t="shared" si="8"/>
        <v>0.24282789999999976</v>
      </c>
      <c r="R20" s="58">
        <f t="shared" si="9"/>
        <v>1.6362478499999999</v>
      </c>
      <c r="S20" s="59">
        <f t="shared" ref="S20:S59" si="11">Q20/P20</f>
        <v>0.17426756377357722</v>
      </c>
      <c r="T20" s="58"/>
      <c r="U20" s="55">
        <f t="shared" si="1"/>
        <v>1.8680372751425924</v>
      </c>
      <c r="V20" s="60">
        <f t="shared" si="10"/>
        <v>0.32553830497733111</v>
      </c>
      <c r="W20" s="201">
        <f t="shared" si="5"/>
        <v>2.1935755801199237</v>
      </c>
      <c r="X20" s="169">
        <f t="shared" si="2"/>
        <v>2.1935755801199237</v>
      </c>
      <c r="Y20" s="55"/>
      <c r="Z20" s="55"/>
      <c r="AA20" s="218"/>
      <c r="AB20" s="61"/>
      <c r="AC20" s="53"/>
    </row>
    <row r="21" spans="1:29" s="131" customFormat="1" ht="12.75" x14ac:dyDescent="0.2">
      <c r="A21" s="53" t="s">
        <v>7</v>
      </c>
      <c r="B21" s="53" t="s">
        <v>3</v>
      </c>
      <c r="C21" s="53">
        <v>3</v>
      </c>
      <c r="D21" s="54">
        <v>40598</v>
      </c>
      <c r="E21" s="55">
        <v>0.68</v>
      </c>
      <c r="F21" s="55">
        <v>0.70899999999999996</v>
      </c>
      <c r="G21" s="55">
        <v>9.18</v>
      </c>
      <c r="H21" s="143">
        <v>796145454.5454545</v>
      </c>
      <c r="I21" s="143">
        <v>796145454.5454545</v>
      </c>
      <c r="J21" s="56">
        <v>0.17100000000000001</v>
      </c>
      <c r="K21" s="56">
        <v>8.9510000000000006E-2</v>
      </c>
      <c r="L21" s="57">
        <f t="shared" si="6"/>
        <v>0.52345029239766083</v>
      </c>
      <c r="M21" s="56"/>
      <c r="N21" s="53">
        <v>1.2</v>
      </c>
      <c r="O21" s="53">
        <v>1</v>
      </c>
      <c r="P21" s="58">
        <f t="shared" si="7"/>
        <v>1.6843121666666669</v>
      </c>
      <c r="Q21" s="58">
        <f t="shared" si="8"/>
        <v>0.35183049999999993</v>
      </c>
      <c r="R21" s="58">
        <f t="shared" si="9"/>
        <v>2.0361426666666667</v>
      </c>
      <c r="S21" s="59">
        <f t="shared" si="11"/>
        <v>0.20888675327703002</v>
      </c>
      <c r="T21" s="58"/>
      <c r="U21" s="55">
        <f t="shared" si="1"/>
        <v>2.1155834741633939</v>
      </c>
      <c r="V21" s="60">
        <f t="shared" si="10"/>
        <v>0.44191736320453084</v>
      </c>
      <c r="W21" s="201">
        <f t="shared" si="5"/>
        <v>2.5575008373679244</v>
      </c>
      <c r="X21" s="169">
        <f t="shared" si="2"/>
        <v>2.5575008373679244</v>
      </c>
      <c r="Y21" s="55"/>
      <c r="Z21" s="55"/>
      <c r="AA21" s="218"/>
      <c r="AB21" s="61">
        <v>75.970576665505064</v>
      </c>
      <c r="AC21" s="53"/>
    </row>
    <row r="22" spans="1:29" s="131" customFormat="1" ht="12.75" x14ac:dyDescent="0.2">
      <c r="A22" s="53" t="s">
        <v>7</v>
      </c>
      <c r="B22" s="53" t="s">
        <v>3</v>
      </c>
      <c r="C22" s="53">
        <v>4</v>
      </c>
      <c r="D22" s="54">
        <v>40599</v>
      </c>
      <c r="E22" s="55">
        <v>0.71</v>
      </c>
      <c r="F22" s="55">
        <v>0.55700000000000005</v>
      </c>
      <c r="G22" s="55">
        <v>16.010000000000002</v>
      </c>
      <c r="H22" s="143">
        <v>785800000</v>
      </c>
      <c r="I22" s="143">
        <v>785800000</v>
      </c>
      <c r="J22" s="56">
        <v>0.1779</v>
      </c>
      <c r="K22" s="56">
        <v>9.8610000000000003E-2</v>
      </c>
      <c r="L22" s="57">
        <f t="shared" si="6"/>
        <v>0.55430016863406406</v>
      </c>
      <c r="M22" s="56"/>
      <c r="N22" s="53">
        <v>1.2</v>
      </c>
      <c r="O22" s="53">
        <v>1</v>
      </c>
      <c r="P22" s="58">
        <f t="shared" si="7"/>
        <v>1.7132180000000001</v>
      </c>
      <c r="Q22" s="58">
        <f t="shared" si="8"/>
        <v>0.50625050000000027</v>
      </c>
      <c r="R22" s="58">
        <f t="shared" si="9"/>
        <v>2.2194685000000001</v>
      </c>
      <c r="S22" s="59">
        <f t="shared" si="11"/>
        <v>0.29549683694661172</v>
      </c>
      <c r="T22" s="127"/>
      <c r="U22" s="55">
        <f t="shared" si="1"/>
        <v>2.1802214303894125</v>
      </c>
      <c r="V22" s="60">
        <f t="shared" si="10"/>
        <v>0.64424853652328873</v>
      </c>
      <c r="W22" s="201">
        <f t="shared" si="5"/>
        <v>2.8244699669127002</v>
      </c>
      <c r="X22" s="169">
        <f t="shared" si="2"/>
        <v>2.8244699669127002</v>
      </c>
      <c r="Y22" s="55"/>
      <c r="Z22" s="55"/>
      <c r="AA22" s="218"/>
      <c r="AB22" s="61">
        <v>75.970576665505064</v>
      </c>
      <c r="AC22" s="53"/>
    </row>
    <row r="23" spans="1:29" s="131" customFormat="1" ht="12.75" x14ac:dyDescent="0.2">
      <c r="A23" s="53" t="s">
        <v>7</v>
      </c>
      <c r="B23" s="53" t="s">
        <v>3</v>
      </c>
      <c r="C23" s="53">
        <v>5</v>
      </c>
      <c r="D23" s="62" t="s">
        <v>8</v>
      </c>
      <c r="E23" s="55">
        <v>0.69399999999999995</v>
      </c>
      <c r="F23" s="55">
        <v>0.52800000000000002</v>
      </c>
      <c r="G23" s="55">
        <v>22.19</v>
      </c>
      <c r="H23" s="143">
        <v>936054545.4545455</v>
      </c>
      <c r="I23" s="143">
        <v>936054545.4545455</v>
      </c>
      <c r="J23" s="56">
        <v>0.24132000000000001</v>
      </c>
      <c r="K23" s="56">
        <v>0.11469</v>
      </c>
      <c r="L23" s="57">
        <f t="shared" si="6"/>
        <v>0.47526106414719044</v>
      </c>
      <c r="M23" s="56"/>
      <c r="N23" s="53">
        <v>1.5</v>
      </c>
      <c r="O23" s="53">
        <v>1</v>
      </c>
      <c r="P23" s="58">
        <f t="shared" si="7"/>
        <v>1.9677668000000001</v>
      </c>
      <c r="Q23" s="58">
        <f t="shared" si="8"/>
        <v>0.15951319999999983</v>
      </c>
      <c r="R23" s="58">
        <f t="shared" si="9"/>
        <v>2.1272800000000003</v>
      </c>
      <c r="S23" s="59">
        <f t="shared" si="11"/>
        <v>8.1063060927748051E-2</v>
      </c>
      <c r="T23" s="58"/>
      <c r="U23" s="55">
        <f t="shared" si="1"/>
        <v>2.1021924518773187</v>
      </c>
      <c r="V23" s="60">
        <f t="shared" si="10"/>
        <v>0.17041015480838315</v>
      </c>
      <c r="W23" s="201">
        <f t="shared" si="5"/>
        <v>2.2726026066857021</v>
      </c>
      <c r="X23" s="169">
        <f t="shared" si="2"/>
        <v>2.2726026066857021</v>
      </c>
      <c r="Y23" s="55"/>
      <c r="Z23" s="55"/>
      <c r="AA23" s="218"/>
      <c r="AB23" s="61">
        <v>75.970576665505106</v>
      </c>
      <c r="AC23" s="53"/>
    </row>
    <row r="24" spans="1:29" s="131" customFormat="1" ht="12.75" x14ac:dyDescent="0.2">
      <c r="A24" s="63" t="s">
        <v>7</v>
      </c>
      <c r="B24" s="63" t="s">
        <v>3</v>
      </c>
      <c r="C24" s="63">
        <v>6</v>
      </c>
      <c r="D24" s="64" t="s">
        <v>9</v>
      </c>
      <c r="E24" s="65">
        <v>0.70699999999999996</v>
      </c>
      <c r="F24" s="65">
        <v>0.622</v>
      </c>
      <c r="G24" s="65">
        <v>19.7</v>
      </c>
      <c r="H24" s="144">
        <v>994581818.18181813</v>
      </c>
      <c r="I24" s="144">
        <v>994581818.18181813</v>
      </c>
      <c r="J24" s="66">
        <v>0.23627999999999999</v>
      </c>
      <c r="K24" s="66">
        <v>0.11158</v>
      </c>
      <c r="L24" s="128">
        <f t="shared" si="6"/>
        <v>0.47223632977822921</v>
      </c>
      <c r="M24" s="66"/>
      <c r="N24" s="63">
        <v>1.5</v>
      </c>
      <c r="O24" s="63">
        <v>1</v>
      </c>
      <c r="P24" s="67">
        <f t="shared" si="7"/>
        <v>1.9307386666666666</v>
      </c>
      <c r="Q24" s="67">
        <f t="shared" si="8"/>
        <v>0.14157360000000008</v>
      </c>
      <c r="R24" s="67">
        <f t="shared" si="9"/>
        <v>2.0723122666666671</v>
      </c>
      <c r="S24" s="68">
        <f t="shared" si="11"/>
        <v>7.3326132865210863E-2</v>
      </c>
      <c r="T24" s="67"/>
      <c r="U24" s="65">
        <f t="shared" si="1"/>
        <v>1.9412567486868244</v>
      </c>
      <c r="V24" s="69">
        <f t="shared" si="10"/>
        <v>0.14234485027969737</v>
      </c>
      <c r="W24" s="211">
        <f t="shared" si="5"/>
        <v>2.0836015989665224</v>
      </c>
      <c r="X24" s="170">
        <f t="shared" si="2"/>
        <v>2.0836015989665224</v>
      </c>
      <c r="Y24" s="65"/>
      <c r="Z24" s="65"/>
      <c r="AA24" s="219"/>
      <c r="AB24" s="70">
        <v>75.970576665505064</v>
      </c>
      <c r="AC24" s="63"/>
    </row>
    <row r="25" spans="1:29" s="131" customFormat="1" ht="12.75" x14ac:dyDescent="0.2">
      <c r="A25" s="53" t="s">
        <v>7</v>
      </c>
      <c r="B25" s="53" t="s">
        <v>6</v>
      </c>
      <c r="C25" s="53">
        <v>2</v>
      </c>
      <c r="D25" s="54">
        <v>40583</v>
      </c>
      <c r="E25" s="55">
        <v>0.57999999999999996</v>
      </c>
      <c r="F25" s="55">
        <v>0.54300000000000004</v>
      </c>
      <c r="G25" s="55">
        <v>12.31</v>
      </c>
      <c r="H25" s="143">
        <v>419418181.81818181</v>
      </c>
      <c r="I25" s="143">
        <v>419418181.81818181</v>
      </c>
      <c r="J25" s="56">
        <v>0.11583</v>
      </c>
      <c r="K25" s="56">
        <v>6.0229999999999999E-2</v>
      </c>
      <c r="L25" s="57">
        <f t="shared" si="6"/>
        <v>0.51998618665285334</v>
      </c>
      <c r="M25" s="56"/>
      <c r="N25" s="53">
        <v>2</v>
      </c>
      <c r="O25" s="53">
        <v>1</v>
      </c>
      <c r="P25" s="58">
        <f t="shared" si="7"/>
        <v>0.68625325000000004</v>
      </c>
      <c r="Q25" s="58">
        <f t="shared" si="8"/>
        <v>0.13684019999999997</v>
      </c>
      <c r="R25" s="58">
        <f t="shared" si="9"/>
        <v>0.82309345</v>
      </c>
      <c r="S25" s="59">
        <f t="shared" si="11"/>
        <v>0.19940189718591492</v>
      </c>
      <c r="T25" s="53"/>
      <c r="U25" s="55">
        <f t="shared" si="1"/>
        <v>1.636202910958904</v>
      </c>
      <c r="V25" s="60">
        <f t="shared" si="10"/>
        <v>0.32626196462632212</v>
      </c>
      <c r="W25" s="201">
        <f t="shared" si="5"/>
        <v>1.9624648755852263</v>
      </c>
      <c r="X25" s="169">
        <f t="shared" si="2"/>
        <v>1.9624648755852263</v>
      </c>
      <c r="Y25" s="55">
        <f>AVERAGE(X25:X30)</f>
        <v>1.6062701836109818</v>
      </c>
      <c r="Z25" s="55">
        <f>STDEV(U25:U30)</f>
        <v>0.1173413129574757</v>
      </c>
      <c r="AA25" s="218"/>
      <c r="AB25" s="53"/>
      <c r="AC25" s="53"/>
    </row>
    <row r="26" spans="1:29" s="131" customFormat="1" ht="12.75" x14ac:dyDescent="0.2">
      <c r="A26" s="53" t="s">
        <v>7</v>
      </c>
      <c r="B26" s="53" t="s">
        <v>6</v>
      </c>
      <c r="C26" s="53">
        <v>3</v>
      </c>
      <c r="D26" s="54">
        <v>40595</v>
      </c>
      <c r="E26" s="55">
        <v>0.67</v>
      </c>
      <c r="F26" s="55">
        <v>0.42199999999999999</v>
      </c>
      <c r="G26" s="71" t="s">
        <v>47</v>
      </c>
      <c r="H26" s="143">
        <v>936327272.72727275</v>
      </c>
      <c r="I26" s="143">
        <v>936327272.72727275</v>
      </c>
      <c r="J26" s="56">
        <v>0.18915999999999999</v>
      </c>
      <c r="K26" s="56">
        <v>8.7050000000000002E-2</v>
      </c>
      <c r="L26" s="57">
        <f t="shared" si="6"/>
        <v>0.46019242968915208</v>
      </c>
      <c r="M26" s="56"/>
      <c r="N26" s="53">
        <v>1.8</v>
      </c>
      <c r="O26" s="53">
        <v>1</v>
      </c>
      <c r="P26" s="58">
        <f t="shared" si="7"/>
        <v>1.298894111111111</v>
      </c>
      <c r="Q26" s="58">
        <f t="shared" si="8"/>
        <v>5.5644555555555759E-2</v>
      </c>
      <c r="R26" s="58">
        <f t="shared" si="9"/>
        <v>1.3545386666666668</v>
      </c>
      <c r="S26" s="59">
        <f t="shared" si="11"/>
        <v>4.2839947521169236E-2</v>
      </c>
      <c r="T26" s="53"/>
      <c r="U26" s="55">
        <f t="shared" si="1"/>
        <v>1.3872223408891822</v>
      </c>
      <c r="V26" s="60">
        <f t="shared" si="10"/>
        <v>5.9428532283886108E-2</v>
      </c>
      <c r="W26" s="201">
        <f t="shared" si="5"/>
        <v>1.4466508731730683</v>
      </c>
      <c r="X26" s="169">
        <f t="shared" si="2"/>
        <v>1.4466508731730683</v>
      </c>
      <c r="Y26" s="55"/>
      <c r="Z26" s="55"/>
      <c r="AA26" s="218"/>
      <c r="AB26" s="61">
        <v>132</v>
      </c>
      <c r="AC26" s="53"/>
    </row>
    <row r="27" spans="1:29" s="131" customFormat="1" ht="12.75" x14ac:dyDescent="0.2">
      <c r="A27" s="53" t="s">
        <v>7</v>
      </c>
      <c r="B27" s="53" t="s">
        <v>6</v>
      </c>
      <c r="C27" s="53">
        <v>4</v>
      </c>
      <c r="D27" s="62" t="s">
        <v>10</v>
      </c>
      <c r="E27" s="55">
        <v>0.70499999999999996</v>
      </c>
      <c r="F27" s="55">
        <v>0.501</v>
      </c>
      <c r="G27" s="55">
        <v>9.01</v>
      </c>
      <c r="H27" s="143">
        <v>905781818.18181813</v>
      </c>
      <c r="I27" s="143">
        <v>905781818.18181813</v>
      </c>
      <c r="J27" s="56">
        <v>0.15634999999999999</v>
      </c>
      <c r="K27" s="56">
        <v>8.0030000000000004E-2</v>
      </c>
      <c r="L27" s="57">
        <f t="shared" si="6"/>
        <v>0.51186440677966105</v>
      </c>
      <c r="M27" s="56"/>
      <c r="N27" s="53">
        <v>1.5</v>
      </c>
      <c r="O27" s="53">
        <v>1</v>
      </c>
      <c r="P27" s="58">
        <f t="shared" si="7"/>
        <v>1.2423235333333329</v>
      </c>
      <c r="Q27" s="58">
        <f t="shared" si="8"/>
        <v>0.22032453333333338</v>
      </c>
      <c r="R27" s="58">
        <f t="shared" si="9"/>
        <v>1.4626480666666668</v>
      </c>
      <c r="S27" s="59">
        <f t="shared" si="11"/>
        <v>0.17734875611844117</v>
      </c>
      <c r="T27" s="53"/>
      <c r="U27" s="55">
        <f t="shared" si="1"/>
        <v>1.3715483225607876</v>
      </c>
      <c r="V27" s="60">
        <f t="shared" si="10"/>
        <v>0.2432423889624902</v>
      </c>
      <c r="W27" s="201">
        <f t="shared" si="5"/>
        <v>1.6147907115232782</v>
      </c>
      <c r="X27" s="169">
        <f t="shared" si="2"/>
        <v>1.6147907115232782</v>
      </c>
      <c r="Y27" s="55"/>
      <c r="Z27" s="55"/>
      <c r="AA27" s="218"/>
      <c r="AB27" s="61"/>
      <c r="AC27" s="53"/>
    </row>
    <row r="28" spans="1:29" s="131" customFormat="1" ht="12.75" x14ac:dyDescent="0.2">
      <c r="A28" s="53" t="s">
        <v>7</v>
      </c>
      <c r="B28" s="53" t="s">
        <v>6</v>
      </c>
      <c r="C28" s="53">
        <v>5</v>
      </c>
      <c r="D28" s="62" t="s">
        <v>11</v>
      </c>
      <c r="E28" s="55">
        <v>0.64700000000000002</v>
      </c>
      <c r="F28" s="55">
        <v>0.57699999999999996</v>
      </c>
      <c r="G28" s="55">
        <v>9.17</v>
      </c>
      <c r="H28" s="143">
        <v>943018181.81818187</v>
      </c>
      <c r="I28" s="143">
        <v>943018181.81818187</v>
      </c>
      <c r="J28" s="56">
        <v>0.15218000000000001</v>
      </c>
      <c r="K28" s="56">
        <v>6.9599999999999995E-2</v>
      </c>
      <c r="L28" s="57">
        <f t="shared" si="6"/>
        <v>0.45735313444605069</v>
      </c>
      <c r="M28" s="56"/>
      <c r="N28" s="53">
        <v>1.5</v>
      </c>
      <c r="O28" s="53">
        <v>1</v>
      </c>
      <c r="P28" s="58">
        <f t="shared" si="7"/>
        <v>1.2564188000000001</v>
      </c>
      <c r="Q28" s="58">
        <f t="shared" si="8"/>
        <v>4.4887733333333145E-2</v>
      </c>
      <c r="R28" s="58">
        <f t="shared" si="9"/>
        <v>1.3013065333333333</v>
      </c>
      <c r="S28" s="59">
        <f t="shared" si="11"/>
        <v>3.5726728486817565E-2</v>
      </c>
      <c r="T28" s="53"/>
      <c r="U28" s="55">
        <f t="shared" si="1"/>
        <v>1.332337832105811</v>
      </c>
      <c r="V28" s="60">
        <f t="shared" si="10"/>
        <v>4.760007198035944E-2</v>
      </c>
      <c r="W28" s="201">
        <f t="shared" si="5"/>
        <v>1.3799379040861706</v>
      </c>
      <c r="X28" s="169">
        <f t="shared" si="2"/>
        <v>1.3799379040861706</v>
      </c>
      <c r="Y28" s="55"/>
      <c r="Z28" s="55"/>
      <c r="AA28" s="218"/>
      <c r="AB28" s="61">
        <v>132</v>
      </c>
      <c r="AC28" s="53"/>
    </row>
    <row r="29" spans="1:29" s="131" customFormat="1" ht="12.75" x14ac:dyDescent="0.2">
      <c r="A29" s="53" t="s">
        <v>7</v>
      </c>
      <c r="B29" s="53" t="s">
        <v>6</v>
      </c>
      <c r="C29" s="53">
        <v>6</v>
      </c>
      <c r="D29" s="54">
        <v>40614</v>
      </c>
      <c r="E29" s="55">
        <v>0.63</v>
      </c>
      <c r="F29" s="55">
        <v>0.61</v>
      </c>
      <c r="G29" s="55">
        <v>8.5399999999999991</v>
      </c>
      <c r="H29" s="143">
        <v>653636363.63636363</v>
      </c>
      <c r="I29" s="143">
        <v>653636363.63636363</v>
      </c>
      <c r="J29" s="56">
        <v>0.11935999999999999</v>
      </c>
      <c r="K29" s="56">
        <v>5.45E-2</v>
      </c>
      <c r="L29" s="57">
        <f t="shared" si="6"/>
        <v>0.45660187667560326</v>
      </c>
      <c r="M29" s="56"/>
      <c r="N29" s="53">
        <v>1.5</v>
      </c>
      <c r="O29" s="53">
        <v>1</v>
      </c>
      <c r="P29" s="58">
        <f t="shared" si="7"/>
        <v>0.98596293333333318</v>
      </c>
      <c r="Q29" s="58">
        <f t="shared" si="8"/>
        <v>3.33741333333335E-2</v>
      </c>
      <c r="R29" s="58">
        <f t="shared" si="9"/>
        <v>1.0193370666666668</v>
      </c>
      <c r="S29" s="59">
        <f t="shared" si="11"/>
        <v>3.3849277903888919E-2</v>
      </c>
      <c r="T29" s="53"/>
      <c r="U29" s="55">
        <f t="shared" si="1"/>
        <v>1.5084272971719979</v>
      </c>
      <c r="V29" s="60">
        <f t="shared" si="10"/>
        <v>5.1059174779786998E-2</v>
      </c>
      <c r="W29" s="201">
        <f t="shared" si="5"/>
        <v>1.5594864719517851</v>
      </c>
      <c r="X29" s="169">
        <f t="shared" si="2"/>
        <v>1.5594864719517851</v>
      </c>
      <c r="Y29" s="55"/>
      <c r="Z29" s="55"/>
      <c r="AA29" s="218"/>
      <c r="AB29" s="61">
        <v>132</v>
      </c>
      <c r="AC29" s="53"/>
    </row>
    <row r="30" spans="1:29" s="133" customFormat="1" ht="12.75" x14ac:dyDescent="0.2">
      <c r="A30" s="206" t="s">
        <v>7</v>
      </c>
      <c r="B30" s="206" t="s">
        <v>6</v>
      </c>
      <c r="C30" s="206">
        <v>8</v>
      </c>
      <c r="D30" s="207">
        <v>41087</v>
      </c>
      <c r="E30" s="208">
        <v>0.67300000000000004</v>
      </c>
      <c r="F30" s="208">
        <v>0.65100000000000002</v>
      </c>
      <c r="G30" s="208">
        <v>6.2</v>
      </c>
      <c r="H30" s="209">
        <v>521449248.12030071</v>
      </c>
      <c r="I30" s="209">
        <v>521449248.12030071</v>
      </c>
      <c r="J30" s="128">
        <v>9.8549999999999999E-2</v>
      </c>
      <c r="K30" s="128">
        <v>4.7129999999999998E-2</v>
      </c>
      <c r="L30" s="128">
        <f t="shared" si="6"/>
        <v>0.47823439878234397</v>
      </c>
      <c r="M30" s="128">
        <v>-2.0839999999999999E-3</v>
      </c>
      <c r="N30" s="206">
        <v>1.5</v>
      </c>
      <c r="O30" s="206">
        <v>1</v>
      </c>
      <c r="P30" s="210">
        <f t="shared" si="7"/>
        <v>0.80192620000000003</v>
      </c>
      <c r="Q30" s="210">
        <f t="shared" si="8"/>
        <v>7.113119999999995E-2</v>
      </c>
      <c r="R30" s="210">
        <f t="shared" si="9"/>
        <v>0.87305739999999998</v>
      </c>
      <c r="S30" s="210">
        <f>Q30/P30</f>
        <v>8.870043153596921E-2</v>
      </c>
      <c r="T30" s="206"/>
      <c r="U30" s="208">
        <f t="shared" si="1"/>
        <v>1.5378796745622922</v>
      </c>
      <c r="V30" s="210">
        <f t="shared" si="10"/>
        <v>0.13641059078407122</v>
      </c>
      <c r="W30" s="211">
        <f t="shared" si="5"/>
        <v>1.6742902653463634</v>
      </c>
      <c r="X30" s="211">
        <f t="shared" si="2"/>
        <v>1.6742902653463634</v>
      </c>
      <c r="Y30" s="208"/>
      <c r="Z30" s="65"/>
      <c r="AA30" s="205" t="s">
        <v>81</v>
      </c>
      <c r="AB30" s="212">
        <v>132</v>
      </c>
      <c r="AC30" s="206"/>
    </row>
    <row r="31" spans="1:29" s="133" customFormat="1" ht="12.75" x14ac:dyDescent="0.2">
      <c r="A31" s="193" t="s">
        <v>7</v>
      </c>
      <c r="B31" s="193" t="s">
        <v>32</v>
      </c>
      <c r="C31" s="193">
        <v>1</v>
      </c>
      <c r="D31" s="194">
        <v>40722</v>
      </c>
      <c r="E31" s="195">
        <v>0.55000000000000004</v>
      </c>
      <c r="F31" s="195">
        <v>0.53300000000000003</v>
      </c>
      <c r="G31" s="232" t="s">
        <v>47</v>
      </c>
      <c r="H31" s="252">
        <v>175400000</v>
      </c>
      <c r="I31" s="233">
        <f>H31*2</f>
        <v>350800000</v>
      </c>
      <c r="J31" s="57">
        <v>3.8827E-2</v>
      </c>
      <c r="K31" s="57">
        <v>1.8272E-2</v>
      </c>
      <c r="L31" s="57">
        <f t="shared" si="6"/>
        <v>0.47060035542277279</v>
      </c>
      <c r="M31" s="57">
        <v>8.0000000000000007E-5</v>
      </c>
      <c r="N31" s="193">
        <v>1.5</v>
      </c>
      <c r="O31" s="193">
        <v>1</v>
      </c>
      <c r="P31" s="200">
        <f t="shared" si="7"/>
        <v>0.3176326333333333</v>
      </c>
      <c r="Q31" s="200">
        <f t="shared" si="8"/>
        <v>2.1965906666666646E-2</v>
      </c>
      <c r="R31" s="200">
        <f t="shared" si="9"/>
        <v>0.33959854000000006</v>
      </c>
      <c r="S31" s="200">
        <f>Q31/P31</f>
        <v>6.9155068974336015E-2</v>
      </c>
      <c r="T31" s="234" t="s">
        <v>58</v>
      </c>
      <c r="U31" s="214">
        <f t="shared" si="1"/>
        <v>0.90545220448498664</v>
      </c>
      <c r="V31" s="200">
        <f t="shared" si="10"/>
        <v>6.2616609654123842E-2</v>
      </c>
      <c r="W31" s="266">
        <f t="shared" si="5"/>
        <v>1.9361376282782214</v>
      </c>
      <c r="X31" s="214">
        <f t="shared" si="2"/>
        <v>0.96806881413911072</v>
      </c>
      <c r="Y31" s="214">
        <f>AVERAGE(X31:X36)</f>
        <v>0.84577116889799842</v>
      </c>
      <c r="Z31" s="159">
        <f>STDEV(U31:U36)</f>
        <v>6.5531859588594268E-2</v>
      </c>
      <c r="AA31" s="204" t="s">
        <v>81</v>
      </c>
      <c r="AB31" s="193"/>
      <c r="AC31" s="193"/>
    </row>
    <row r="32" spans="1:29" s="131" customFormat="1" ht="12.75" x14ac:dyDescent="0.2">
      <c r="A32" s="53" t="s">
        <v>7</v>
      </c>
      <c r="B32" s="53" t="s">
        <v>32</v>
      </c>
      <c r="C32" s="53">
        <v>2</v>
      </c>
      <c r="D32" s="54">
        <v>40784</v>
      </c>
      <c r="E32" s="55">
        <v>0.61099999999999999</v>
      </c>
      <c r="F32" s="55">
        <v>0.61699999999999999</v>
      </c>
      <c r="G32" s="55">
        <v>7.84</v>
      </c>
      <c r="H32" s="253">
        <v>847030075.18796992</v>
      </c>
      <c r="I32" s="73">
        <v>265740000</v>
      </c>
      <c r="J32" s="172">
        <v>6.7249000000000003E-2</v>
      </c>
      <c r="K32" s="56">
        <v>2.9786E-2</v>
      </c>
      <c r="L32" s="57">
        <f t="shared" si="6"/>
        <v>0.4429210843283915</v>
      </c>
      <c r="M32" s="56">
        <v>-1.7060000000000001E-3</v>
      </c>
      <c r="N32" s="53">
        <v>1.5</v>
      </c>
      <c r="O32" s="53">
        <v>1</v>
      </c>
      <c r="P32" s="173">
        <v>0.20599999999999999</v>
      </c>
      <c r="Q32" s="173">
        <f t="shared" si="8"/>
        <v>-1.7733333333621222E-6</v>
      </c>
      <c r="R32" s="173">
        <f>P32</f>
        <v>0.20599999999999999</v>
      </c>
      <c r="S32" s="173">
        <f>Q32/P32</f>
        <v>-8.6084142396219535E-6</v>
      </c>
      <c r="T32" s="218"/>
      <c r="U32" s="159">
        <f t="shared" si="1"/>
        <v>0.77519379844961245</v>
      </c>
      <c r="V32" s="173">
        <f t="shared" si="10"/>
        <v>-6.6731893330402731E-6</v>
      </c>
      <c r="W32" s="266">
        <f t="shared" si="5"/>
        <v>0.243202698504283</v>
      </c>
      <c r="X32" s="159">
        <f t="shared" si="2"/>
        <v>0.77519379844961245</v>
      </c>
      <c r="Y32" s="55"/>
      <c r="Z32" s="55"/>
      <c r="AA32" s="218" t="s">
        <v>84</v>
      </c>
      <c r="AB32" s="72">
        <v>441</v>
      </c>
      <c r="AC32" s="53"/>
    </row>
    <row r="33" spans="1:29" s="131" customFormat="1" ht="12.75" x14ac:dyDescent="0.2">
      <c r="A33" s="53" t="s">
        <v>7</v>
      </c>
      <c r="B33" s="53" t="s">
        <v>32</v>
      </c>
      <c r="C33" s="53">
        <v>3</v>
      </c>
      <c r="D33" s="62" t="s">
        <v>46</v>
      </c>
      <c r="E33" s="55">
        <v>0.60899999999999999</v>
      </c>
      <c r="F33" s="55">
        <v>0.59599999999999997</v>
      </c>
      <c r="G33" s="55">
        <v>5.08</v>
      </c>
      <c r="H33" s="143">
        <v>423533834.58646613</v>
      </c>
      <c r="I33" s="143">
        <v>423533834.58646613</v>
      </c>
      <c r="J33" s="56">
        <v>3.9641000000000003E-2</v>
      </c>
      <c r="K33" s="56">
        <v>1.8359E-2</v>
      </c>
      <c r="L33" s="57">
        <f t="shared" si="6"/>
        <v>0.46313160616533383</v>
      </c>
      <c r="M33" s="56">
        <v>-2.872E-3</v>
      </c>
      <c r="N33" s="53">
        <v>1.5</v>
      </c>
      <c r="O33" s="53">
        <v>1</v>
      </c>
      <c r="P33" s="60">
        <f t="shared" ref="P33:P41" si="12">((16.29*(J33))-(8.54*(K33)))*(O33/N33)</f>
        <v>0.32597735333333333</v>
      </c>
      <c r="Q33" s="60">
        <f t="shared" si="8"/>
        <v>1.6374773333333332E-2</v>
      </c>
      <c r="R33" s="60">
        <f t="shared" ref="R33:R41" si="13">((22.12*(K33))+(2.71*(J33)))*O33/N33</f>
        <v>0.3423521266666667</v>
      </c>
      <c r="S33" s="60">
        <f>Q33/P33</f>
        <v>5.0232855644389035E-2</v>
      </c>
      <c r="T33" s="53"/>
      <c r="U33" s="55">
        <f t="shared" si="1"/>
        <v>0.7696607135333452</v>
      </c>
      <c r="V33" s="60">
        <f t="shared" si="10"/>
        <v>3.866225551807799E-2</v>
      </c>
      <c r="W33" s="201">
        <f t="shared" si="5"/>
        <v>0.80832296905142331</v>
      </c>
      <c r="X33" s="169">
        <f t="shared" si="2"/>
        <v>0.80832296905142331</v>
      </c>
      <c r="Y33" s="55"/>
      <c r="Z33" s="55"/>
      <c r="AA33" s="218"/>
      <c r="AB33" s="72">
        <v>441</v>
      </c>
      <c r="AC33" s="53"/>
    </row>
    <row r="34" spans="1:29" s="131" customFormat="1" ht="12.75" x14ac:dyDescent="0.2">
      <c r="A34" s="53" t="s">
        <v>7</v>
      </c>
      <c r="B34" s="53" t="s">
        <v>32</v>
      </c>
      <c r="C34" s="53">
        <v>4</v>
      </c>
      <c r="D34" s="54">
        <v>41088</v>
      </c>
      <c r="E34" s="55">
        <v>0.623</v>
      </c>
      <c r="F34" s="55">
        <v>0.59799999999999998</v>
      </c>
      <c r="G34" s="55">
        <v>5.37</v>
      </c>
      <c r="H34" s="253">
        <v>27744360.902255639</v>
      </c>
      <c r="I34" s="154">
        <v>442887218.04511201</v>
      </c>
      <c r="J34" s="56">
        <v>4.6598000000000001E-2</v>
      </c>
      <c r="K34" s="56">
        <v>2.0435999999999999E-2</v>
      </c>
      <c r="L34" s="56">
        <f t="shared" si="6"/>
        <v>0.4385595948323962</v>
      </c>
      <c r="M34" s="56">
        <v>-4.5779999999999996E-3</v>
      </c>
      <c r="N34" s="53">
        <v>1.5</v>
      </c>
      <c r="O34" s="53">
        <v>1</v>
      </c>
      <c r="P34" s="60">
        <f t="shared" si="12"/>
        <v>0.38970532000000002</v>
      </c>
      <c r="Q34" s="60">
        <f t="shared" si="8"/>
        <v>-4.1553866666666677E-3</v>
      </c>
      <c r="R34" s="60">
        <f t="shared" si="13"/>
        <v>0.38554993333333337</v>
      </c>
      <c r="S34" s="60">
        <f t="shared" si="11"/>
        <v>-1.0662894380468472E-2</v>
      </c>
      <c r="T34" s="53"/>
      <c r="U34" s="159">
        <f t="shared" si="1"/>
        <v>0.87991999796278841</v>
      </c>
      <c r="V34" s="60">
        <f t="shared" si="10"/>
        <v>-9.3824940015392461E-3</v>
      </c>
      <c r="W34" s="267">
        <f t="shared" si="5"/>
        <v>13.896515212285458</v>
      </c>
      <c r="X34" s="159">
        <f t="shared" si="2"/>
        <v>0.87053750396124929</v>
      </c>
      <c r="Y34" s="55"/>
      <c r="Z34" s="55"/>
      <c r="AA34" s="218" t="s">
        <v>83</v>
      </c>
      <c r="AB34" s="72"/>
      <c r="AC34" s="53"/>
    </row>
    <row r="35" spans="1:29" s="131" customFormat="1" ht="12.75" x14ac:dyDescent="0.2">
      <c r="A35" s="53" t="s">
        <v>7</v>
      </c>
      <c r="B35" s="53" t="s">
        <v>32</v>
      </c>
      <c r="C35" s="53">
        <v>5</v>
      </c>
      <c r="D35" s="62" t="s">
        <v>48</v>
      </c>
      <c r="E35" s="55">
        <v>0.66169999999999995</v>
      </c>
      <c r="F35" s="55">
        <v>0.61570000000000003</v>
      </c>
      <c r="G35" s="55">
        <v>2.06</v>
      </c>
      <c r="H35" s="253">
        <v>12695495.495495496</v>
      </c>
      <c r="I35" s="154">
        <v>404817204.79999995</v>
      </c>
      <c r="J35" s="56">
        <v>3.7932E-2</v>
      </c>
      <c r="K35" s="56">
        <v>1.6632999999999998E-2</v>
      </c>
      <c r="L35" s="57">
        <f t="shared" si="6"/>
        <v>0.43849520194031422</v>
      </c>
      <c r="M35" s="56">
        <v>-2.3600000000000001E-3</v>
      </c>
      <c r="N35" s="53">
        <v>1.5</v>
      </c>
      <c r="O35" s="53">
        <v>1</v>
      </c>
      <c r="P35" s="60">
        <f t="shared" si="12"/>
        <v>0.31724430666666664</v>
      </c>
      <c r="Q35" s="60">
        <f t="shared" si="8"/>
        <v>-3.43252000000005E-3</v>
      </c>
      <c r="R35" s="60">
        <f t="shared" si="13"/>
        <v>0.31381178666666665</v>
      </c>
      <c r="S35" s="60">
        <f t="shared" si="11"/>
        <v>-1.0819800159902162E-2</v>
      </c>
      <c r="T35" s="53"/>
      <c r="U35" s="159">
        <f t="shared" si="1"/>
        <v>0.78367298352203496</v>
      </c>
      <c r="V35" s="60">
        <f t="shared" si="10"/>
        <v>-8.4791850724227173E-3</v>
      </c>
      <c r="W35" s="266">
        <f t="shared" si="5"/>
        <v>24.718356741413562</v>
      </c>
      <c r="X35" s="159">
        <f t="shared" si="2"/>
        <v>0.77519379844961245</v>
      </c>
      <c r="Y35" s="55"/>
      <c r="Z35" s="55"/>
      <c r="AA35" s="218" t="s">
        <v>83</v>
      </c>
      <c r="AB35" s="72">
        <v>441</v>
      </c>
      <c r="AC35" s="53"/>
    </row>
    <row r="36" spans="1:29" s="131" customFormat="1" ht="12.75" x14ac:dyDescent="0.2">
      <c r="A36" s="63" t="s">
        <v>7</v>
      </c>
      <c r="B36" s="63" t="s">
        <v>32</v>
      </c>
      <c r="C36" s="63">
        <v>6</v>
      </c>
      <c r="D36" s="64" t="s">
        <v>49</v>
      </c>
      <c r="E36" s="65">
        <v>0.63100000000000001</v>
      </c>
      <c r="F36" s="65">
        <v>0.69632000000000005</v>
      </c>
      <c r="G36" s="65">
        <v>1.88</v>
      </c>
      <c r="H36" s="254">
        <v>20409009.009009007</v>
      </c>
      <c r="I36" s="155">
        <v>408180180.18018001</v>
      </c>
      <c r="J36" s="66">
        <v>4.3688999999999999E-2</v>
      </c>
      <c r="K36" s="66">
        <v>1.8931E-2</v>
      </c>
      <c r="L36" s="128">
        <f t="shared" si="6"/>
        <v>0.4333127331822656</v>
      </c>
      <c r="M36" s="66">
        <v>-3.2750000000000001E-3</v>
      </c>
      <c r="N36" s="63">
        <v>1.5</v>
      </c>
      <c r="O36" s="63">
        <v>1</v>
      </c>
      <c r="P36" s="69">
        <f t="shared" si="12"/>
        <v>0.36668204666666659</v>
      </c>
      <c r="Q36" s="69">
        <f t="shared" si="8"/>
        <v>-8.5814399999999402E-3</v>
      </c>
      <c r="R36" s="69">
        <f t="shared" si="13"/>
        <v>0.35810060666666671</v>
      </c>
      <c r="S36" s="69">
        <f t="shared" si="11"/>
        <v>-2.3402945625535149E-2</v>
      </c>
      <c r="T36" s="63"/>
      <c r="U36" s="160">
        <f t="shared" si="1"/>
        <v>0.89833378608634251</v>
      </c>
      <c r="V36" s="69">
        <f t="shared" si="10"/>
        <v>-2.1023656749359798E-2</v>
      </c>
      <c r="W36" s="268">
        <f t="shared" si="5"/>
        <v>17.54620258673965</v>
      </c>
      <c r="X36" s="160">
        <f t="shared" si="2"/>
        <v>0.87731012933698282</v>
      </c>
      <c r="Y36" s="65"/>
      <c r="Z36" s="65"/>
      <c r="AA36" s="219" t="s">
        <v>83</v>
      </c>
      <c r="AB36" s="70">
        <v>441</v>
      </c>
      <c r="AC36" s="63"/>
    </row>
    <row r="37" spans="1:29" s="131" customFormat="1" ht="12.75" x14ac:dyDescent="0.2">
      <c r="A37" s="74" t="s">
        <v>12</v>
      </c>
      <c r="B37" s="74" t="s">
        <v>3</v>
      </c>
      <c r="C37" s="74">
        <v>1</v>
      </c>
      <c r="D37" s="75">
        <v>40567</v>
      </c>
      <c r="E37" s="76">
        <v>0.498</v>
      </c>
      <c r="F37" s="76">
        <v>0.44</v>
      </c>
      <c r="G37" s="76">
        <v>22.8</v>
      </c>
      <c r="H37" s="145">
        <v>125236363.63636364</v>
      </c>
      <c r="I37" s="145">
        <v>125236363.63636364</v>
      </c>
      <c r="J37" s="77">
        <v>9.0455999999999995E-2</v>
      </c>
      <c r="K37" s="77">
        <v>5.7651000000000001E-2</v>
      </c>
      <c r="L37" s="78">
        <f t="shared" si="6"/>
        <v>0.63733749005041129</v>
      </c>
      <c r="M37" s="77"/>
      <c r="N37" s="74">
        <v>2</v>
      </c>
      <c r="O37" s="74">
        <v>1</v>
      </c>
      <c r="P37" s="79">
        <f t="shared" si="12"/>
        <v>0.49059434999999996</v>
      </c>
      <c r="Q37" s="79">
        <f t="shared" si="8"/>
        <v>0.26959359000000005</v>
      </c>
      <c r="R37" s="79">
        <f t="shared" si="13"/>
        <v>0.76018794000000001</v>
      </c>
      <c r="S37" s="80">
        <f t="shared" si="11"/>
        <v>0.5495244492726018</v>
      </c>
      <c r="T37" s="81">
        <f>AVERAGE(S37:S41)</f>
        <v>0.56577071272623181</v>
      </c>
      <c r="U37" s="76">
        <f t="shared" si="1"/>
        <v>3.9173474520905915</v>
      </c>
      <c r="V37" s="82">
        <f t="shared" si="10"/>
        <v>2.1526782012195125</v>
      </c>
      <c r="W37" s="76">
        <f t="shared" si="5"/>
        <v>6.070025653310104</v>
      </c>
      <c r="X37" s="76">
        <f t="shared" si="2"/>
        <v>6.070025653310104</v>
      </c>
      <c r="Y37" s="76">
        <f>AVERAGE(X37:X40)</f>
        <v>6.2715461839950706</v>
      </c>
      <c r="Z37" s="76">
        <f>STDEV(U37:U40)</f>
        <v>0.23276515253920999</v>
      </c>
      <c r="AA37" s="220" t="s">
        <v>60</v>
      </c>
      <c r="AB37" s="83"/>
      <c r="AC37" s="74"/>
    </row>
    <row r="38" spans="1:29" s="131" customFormat="1" ht="12.75" x14ac:dyDescent="0.2">
      <c r="A38" s="74" t="s">
        <v>12</v>
      </c>
      <c r="B38" s="74" t="s">
        <v>3</v>
      </c>
      <c r="C38" s="74">
        <v>2</v>
      </c>
      <c r="D38" s="75">
        <v>40574</v>
      </c>
      <c r="E38" s="76">
        <v>0.496</v>
      </c>
      <c r="F38" s="76">
        <v>0.34899999999999998</v>
      </c>
      <c r="G38" s="76">
        <v>18.84</v>
      </c>
      <c r="H38" s="145">
        <v>162392727.27272728</v>
      </c>
      <c r="I38" s="145">
        <v>162392727.27272728</v>
      </c>
      <c r="J38" s="77">
        <v>0.10897999999999999</v>
      </c>
      <c r="K38" s="77">
        <v>7.4459999999999998E-2</v>
      </c>
      <c r="L38" s="78">
        <f t="shared" si="6"/>
        <v>0.68324463204257668</v>
      </c>
      <c r="M38" s="77"/>
      <c r="N38" s="74">
        <v>2</v>
      </c>
      <c r="O38" s="74">
        <v>1</v>
      </c>
      <c r="P38" s="79">
        <f t="shared" si="12"/>
        <v>0.56969789999999998</v>
      </c>
      <c r="Q38" s="79">
        <f t="shared" si="8"/>
        <v>0.40149760000000001</v>
      </c>
      <c r="R38" s="79">
        <f t="shared" si="13"/>
        <v>0.97119549999999999</v>
      </c>
      <c r="S38" s="80">
        <f t="shared" si="11"/>
        <v>0.7047552746815462</v>
      </c>
      <c r="T38" s="74"/>
      <c r="U38" s="76">
        <f t="shared" si="1"/>
        <v>3.5081490998253391</v>
      </c>
      <c r="V38" s="82">
        <f t="shared" si="10"/>
        <v>2.4723865824712257</v>
      </c>
      <c r="W38" s="235">
        <f t="shared" si="5"/>
        <v>5.9805356822965647</v>
      </c>
      <c r="X38" s="76">
        <f t="shared" si="2"/>
        <v>5.9805356822965647</v>
      </c>
      <c r="Y38" s="76"/>
      <c r="Z38" s="76"/>
      <c r="AA38" s="221"/>
      <c r="AB38" s="83"/>
      <c r="AC38" s="74"/>
    </row>
    <row r="39" spans="1:29" s="131" customFormat="1" ht="12.75" x14ac:dyDescent="0.2">
      <c r="A39" s="74" t="s">
        <v>12</v>
      </c>
      <c r="B39" s="74" t="s">
        <v>3</v>
      </c>
      <c r="C39" s="74">
        <v>3</v>
      </c>
      <c r="D39" s="84" t="s">
        <v>13</v>
      </c>
      <c r="E39" s="76">
        <v>0.628</v>
      </c>
      <c r="F39" s="76">
        <v>0.44500000000000001</v>
      </c>
      <c r="G39" s="76">
        <v>21.02</v>
      </c>
      <c r="H39" s="145">
        <v>194518181.81818181</v>
      </c>
      <c r="I39" s="145">
        <v>194518181.81818181</v>
      </c>
      <c r="J39" s="77">
        <v>0.14463000000000001</v>
      </c>
      <c r="K39" s="77">
        <v>9.5769999999999994E-2</v>
      </c>
      <c r="L39" s="78">
        <f t="shared" si="6"/>
        <v>0.66217244001935971</v>
      </c>
      <c r="M39" s="77"/>
      <c r="N39" s="74">
        <v>2</v>
      </c>
      <c r="O39" s="74">
        <v>1</v>
      </c>
      <c r="P39" s="79">
        <f t="shared" si="12"/>
        <v>0.76907345000000005</v>
      </c>
      <c r="Q39" s="79">
        <f t="shared" si="8"/>
        <v>0.4861164</v>
      </c>
      <c r="R39" s="79">
        <f t="shared" si="13"/>
        <v>1.2551898500000001</v>
      </c>
      <c r="S39" s="80">
        <f t="shared" si="11"/>
        <v>0.63208058996185601</v>
      </c>
      <c r="T39" s="74"/>
      <c r="U39" s="76">
        <f t="shared" si="1"/>
        <v>3.9537355470393045</v>
      </c>
      <c r="V39" s="82">
        <f t="shared" si="10"/>
        <v>2.4990794971257655</v>
      </c>
      <c r="W39" s="235">
        <f t="shared" si="5"/>
        <v>6.45281504416507</v>
      </c>
      <c r="X39" s="76">
        <f t="shared" si="2"/>
        <v>6.45281504416507</v>
      </c>
      <c r="Y39" s="76"/>
      <c r="Z39" s="76"/>
      <c r="AA39" s="221"/>
      <c r="AB39" s="83">
        <v>66.466580381532395</v>
      </c>
      <c r="AC39" s="74"/>
    </row>
    <row r="40" spans="1:29" s="131" customFormat="1" ht="12.75" x14ac:dyDescent="0.2">
      <c r="A40" s="74" t="s">
        <v>12</v>
      </c>
      <c r="B40" s="74" t="s">
        <v>3</v>
      </c>
      <c r="C40" s="74">
        <v>4</v>
      </c>
      <c r="D40" s="84" t="s">
        <v>14</v>
      </c>
      <c r="E40" s="76">
        <v>0.59699999999999998</v>
      </c>
      <c r="F40" s="76">
        <v>0.441</v>
      </c>
      <c r="G40" s="76">
        <v>21.1</v>
      </c>
      <c r="H40" s="145">
        <v>186121818.18181819</v>
      </c>
      <c r="I40" s="145">
        <v>186121818.18181819</v>
      </c>
      <c r="J40" s="77">
        <v>0.14097999999999999</v>
      </c>
      <c r="K40" s="77">
        <v>9.3506000000000006E-2</v>
      </c>
      <c r="L40" s="78">
        <f t="shared" si="6"/>
        <v>0.66325719960278062</v>
      </c>
      <c r="M40" s="77"/>
      <c r="N40" s="74">
        <v>2</v>
      </c>
      <c r="O40" s="74">
        <v>1</v>
      </c>
      <c r="P40" s="79">
        <f t="shared" si="12"/>
        <v>0.74901147999999984</v>
      </c>
      <c r="Q40" s="79">
        <f t="shared" si="8"/>
        <v>0.47619278000000009</v>
      </c>
      <c r="R40" s="79">
        <f t="shared" si="13"/>
        <v>1.2252042599999999</v>
      </c>
      <c r="S40" s="80">
        <f t="shared" si="11"/>
        <v>0.63576165748487623</v>
      </c>
      <c r="T40" s="74"/>
      <c r="U40" s="76">
        <f t="shared" si="1"/>
        <v>4.024307774966541</v>
      </c>
      <c r="V40" s="82">
        <f t="shared" si="10"/>
        <v>2.5585005812420025</v>
      </c>
      <c r="W40" s="235">
        <f t="shared" si="5"/>
        <v>6.5828083562085435</v>
      </c>
      <c r="X40" s="76">
        <f t="shared" si="2"/>
        <v>6.5828083562085435</v>
      </c>
      <c r="Y40" s="76"/>
      <c r="Z40" s="76"/>
      <c r="AA40" s="221"/>
      <c r="AB40" s="83">
        <v>66.466580381532367</v>
      </c>
      <c r="AC40" s="74"/>
    </row>
    <row r="41" spans="1:29" s="133" customFormat="1" ht="12.75" x14ac:dyDescent="0.2">
      <c r="A41" s="245" t="s">
        <v>12</v>
      </c>
      <c r="B41" s="245" t="s">
        <v>3</v>
      </c>
      <c r="C41" s="245">
        <v>5</v>
      </c>
      <c r="D41" s="246">
        <v>40638</v>
      </c>
      <c r="E41" s="236">
        <v>0.67500000000000004</v>
      </c>
      <c r="F41" s="247" t="s">
        <v>47</v>
      </c>
      <c r="G41" s="247" t="s">
        <v>47</v>
      </c>
      <c r="H41" s="251" t="s">
        <v>74</v>
      </c>
      <c r="I41" s="255">
        <f>R41*157700000</f>
        <v>84759720.764999986</v>
      </c>
      <c r="J41" s="129">
        <v>7.1389999999999995E-2</v>
      </c>
      <c r="K41" s="129">
        <v>3.9849999999999997E-2</v>
      </c>
      <c r="L41" s="129">
        <f t="shared" si="6"/>
        <v>0.55820142877153667</v>
      </c>
      <c r="M41" s="129"/>
      <c r="N41" s="245">
        <v>2</v>
      </c>
      <c r="O41" s="245">
        <v>1</v>
      </c>
      <c r="P41" s="277">
        <f t="shared" si="12"/>
        <v>0.41131204999999998</v>
      </c>
      <c r="Q41" s="277">
        <f t="shared" si="8"/>
        <v>0.12616240000000001</v>
      </c>
      <c r="R41" s="277">
        <f t="shared" si="13"/>
        <v>0.53747444999999994</v>
      </c>
      <c r="S41" s="277">
        <f t="shared" si="11"/>
        <v>0.30673159223027874</v>
      </c>
      <c r="T41" s="249"/>
      <c r="U41" s="248">
        <f t="shared" si="1"/>
        <v>4.8526829287272024</v>
      </c>
      <c r="V41" s="277">
        <f t="shared" si="10"/>
        <v>1.488471161317187</v>
      </c>
      <c r="W41" s="269" t="s">
        <v>78</v>
      </c>
      <c r="X41" s="248">
        <f t="shared" si="2"/>
        <v>6.3411540900443875</v>
      </c>
      <c r="Y41" s="236"/>
      <c r="Z41" s="87"/>
      <c r="AA41" s="249" t="s">
        <v>80</v>
      </c>
      <c r="AB41" s="250">
        <v>66.466580381532367</v>
      </c>
      <c r="AC41" s="245"/>
    </row>
    <row r="42" spans="1:29" s="296" customFormat="1" ht="12.75" x14ac:dyDescent="0.2">
      <c r="A42" s="288" t="s">
        <v>12</v>
      </c>
      <c r="B42" s="288" t="s">
        <v>54</v>
      </c>
      <c r="C42" s="288">
        <v>2</v>
      </c>
      <c r="D42" s="289">
        <v>41198</v>
      </c>
      <c r="E42" s="290">
        <v>0.46</v>
      </c>
      <c r="F42" s="291">
        <v>0.48599999999999999</v>
      </c>
      <c r="G42" s="291">
        <v>21</v>
      </c>
      <c r="H42" s="292">
        <v>847214285.71428573</v>
      </c>
      <c r="I42" s="292">
        <v>847214285.71428573</v>
      </c>
      <c r="J42" s="293"/>
      <c r="K42" s="293"/>
      <c r="L42" s="293"/>
      <c r="M42" s="293"/>
      <c r="N42" s="288">
        <v>2</v>
      </c>
      <c r="O42" s="288">
        <v>1</v>
      </c>
      <c r="P42" s="294" t="s">
        <v>78</v>
      </c>
      <c r="Q42" s="294" t="s">
        <v>78</v>
      </c>
      <c r="R42" s="294" t="s">
        <v>78</v>
      </c>
      <c r="S42" s="294" t="s">
        <v>78</v>
      </c>
      <c r="T42" s="294" t="s">
        <v>60</v>
      </c>
      <c r="U42" s="294" t="s">
        <v>78</v>
      </c>
      <c r="V42" s="294" t="s">
        <v>78</v>
      </c>
      <c r="W42" s="294" t="s">
        <v>78</v>
      </c>
      <c r="X42" s="294" t="s">
        <v>78</v>
      </c>
      <c r="Y42" s="294"/>
      <c r="Z42" s="295"/>
      <c r="AA42" s="288" t="s">
        <v>79</v>
      </c>
      <c r="AB42" s="288"/>
      <c r="AC42" s="288"/>
    </row>
    <row r="43" spans="1:29" s="296" customFormat="1" ht="12.75" x14ac:dyDescent="0.2">
      <c r="A43" s="297" t="s">
        <v>12</v>
      </c>
      <c r="B43" s="297" t="s">
        <v>54</v>
      </c>
      <c r="C43" s="297">
        <v>3</v>
      </c>
      <c r="D43" s="298">
        <v>41509</v>
      </c>
      <c r="E43" s="299">
        <v>0.56999999999999995</v>
      </c>
      <c r="F43" s="300">
        <v>0.51700000000000002</v>
      </c>
      <c r="G43" s="299">
        <v>11.87</v>
      </c>
      <c r="H43" s="301">
        <v>524910714.28571427</v>
      </c>
      <c r="I43" s="301">
        <v>524910714.28571427</v>
      </c>
      <c r="J43" s="302">
        <v>0.28410200000000002</v>
      </c>
      <c r="K43" s="302">
        <v>0.16173100000000001</v>
      </c>
      <c r="L43" s="302">
        <f t="shared" ref="L43:L51" si="14">K43/J43</f>
        <v>0.56927089566423328</v>
      </c>
      <c r="M43" s="302">
        <v>1.3389999999999999E-3</v>
      </c>
      <c r="N43" s="297">
        <v>2</v>
      </c>
      <c r="O43" s="297">
        <v>1</v>
      </c>
      <c r="P43" s="303">
        <f t="shared" ref="P43:P66" si="15">((16.29*(J43))-(8.54*(K43)))*(O43/N43)</f>
        <v>1.6234194200000003</v>
      </c>
      <c r="Q43" s="303">
        <f t="shared" ref="Q43:Q66" si="16">((30.66*(K43))-(13.58*(J43)))*O43/N43</f>
        <v>0.55028365000000012</v>
      </c>
      <c r="R43" s="303">
        <f t="shared" ref="R43:R66" si="17">((22.12*(K43))+(2.71*(J43)))*O43/N43</f>
        <v>2.1737030700000002</v>
      </c>
      <c r="S43" s="303">
        <f t="shared" ref="S43:S51" si="18">Q43/P43</f>
        <v>0.33896579233972701</v>
      </c>
      <c r="T43" s="297"/>
      <c r="U43" s="299">
        <f t="shared" ref="U43:U66" si="19">P43*(1000000000)/I43</f>
        <v>3.0927534451437326</v>
      </c>
      <c r="V43" s="303">
        <f t="shared" ref="V43:V66" si="20">Q43*1000000000/I43</f>
        <v>1.0483376220445657</v>
      </c>
      <c r="W43" s="299">
        <f t="shared" ref="W43:W61" si="21">R43*1000000000/H43</f>
        <v>4.1410910671882979</v>
      </c>
      <c r="X43" s="299">
        <f t="shared" ref="X43:X66" si="22">R43*1000000000/I43</f>
        <v>4.1410910671882979</v>
      </c>
      <c r="Y43" s="299"/>
      <c r="Z43" s="304"/>
      <c r="AA43" s="297"/>
      <c r="AB43" s="297"/>
      <c r="AC43" s="297"/>
    </row>
    <row r="44" spans="1:29" s="296" customFormat="1" ht="12.75" x14ac:dyDescent="0.2">
      <c r="A44" s="288" t="s">
        <v>12</v>
      </c>
      <c r="B44" s="288" t="s">
        <v>51</v>
      </c>
      <c r="C44" s="288">
        <v>1</v>
      </c>
      <c r="D44" s="289">
        <v>41515</v>
      </c>
      <c r="E44" s="290">
        <v>0.56000000000000005</v>
      </c>
      <c r="F44" s="290">
        <v>0.58499999999999996</v>
      </c>
      <c r="G44" s="290">
        <v>18</v>
      </c>
      <c r="H44" s="305">
        <v>329285714.28571427</v>
      </c>
      <c r="I44" s="305">
        <v>329285714.28571427</v>
      </c>
      <c r="J44" s="293">
        <v>0.12502099999999999</v>
      </c>
      <c r="K44" s="293">
        <v>6.7524499999999987E-2</v>
      </c>
      <c r="L44" s="293">
        <f t="shared" si="14"/>
        <v>0.54010526231593081</v>
      </c>
      <c r="M44" s="293">
        <v>-3.9199999999999999E-3</v>
      </c>
      <c r="N44" s="288">
        <v>2</v>
      </c>
      <c r="O44" s="288">
        <v>1</v>
      </c>
      <c r="P44" s="306">
        <f t="shared" si="15"/>
        <v>0.72996642999999994</v>
      </c>
      <c r="Q44" s="306">
        <f t="shared" si="16"/>
        <v>0.18625799499999984</v>
      </c>
      <c r="R44" s="306">
        <f t="shared" si="17"/>
        <v>0.9162244249999999</v>
      </c>
      <c r="S44" s="307">
        <f t="shared" si="18"/>
        <v>0.2551596722057477</v>
      </c>
      <c r="T44" s="308">
        <f>AVERAGE(S44:S47)</f>
        <v>0.2593274377143836</v>
      </c>
      <c r="U44" s="290">
        <f t="shared" si="19"/>
        <v>2.21681779175705</v>
      </c>
      <c r="V44" s="307">
        <f t="shared" si="20"/>
        <v>0.56564250108459824</v>
      </c>
      <c r="W44" s="290">
        <f t="shared" si="21"/>
        <v>2.7824602928416482</v>
      </c>
      <c r="X44" s="290">
        <f t="shared" si="22"/>
        <v>2.7824602928416482</v>
      </c>
      <c r="Y44" s="290">
        <f>AVERAGE(X44:X47)</f>
        <v>3.0485924422665347</v>
      </c>
      <c r="Z44" s="295">
        <f>STDEV(U44:U47)</f>
        <v>0.8436697774807197</v>
      </c>
      <c r="AA44" s="288"/>
      <c r="AB44" s="288"/>
      <c r="AC44" s="288"/>
    </row>
    <row r="45" spans="1:29" s="296" customFormat="1" ht="12.75" x14ac:dyDescent="0.2">
      <c r="A45" s="288" t="s">
        <v>12</v>
      </c>
      <c r="B45" s="288" t="s">
        <v>51</v>
      </c>
      <c r="C45" s="288">
        <v>2</v>
      </c>
      <c r="D45" s="289">
        <v>41522</v>
      </c>
      <c r="E45" s="290">
        <v>0.52500000000000002</v>
      </c>
      <c r="F45" s="290">
        <v>0.52700000000000002</v>
      </c>
      <c r="G45" s="290">
        <v>7.2</v>
      </c>
      <c r="H45" s="305">
        <v>424053571.4285714</v>
      </c>
      <c r="I45" s="305">
        <v>424053571.4285714</v>
      </c>
      <c r="J45" s="293">
        <v>9.6047999999999994E-2</v>
      </c>
      <c r="K45" s="293">
        <v>4.9845E-2</v>
      </c>
      <c r="L45" s="293">
        <f t="shared" si="14"/>
        <v>0.51895927036481759</v>
      </c>
      <c r="M45" s="293">
        <v>-2.9420000000000002E-3</v>
      </c>
      <c r="N45" s="288">
        <v>2</v>
      </c>
      <c r="O45" s="288">
        <v>1</v>
      </c>
      <c r="P45" s="306">
        <f t="shared" si="15"/>
        <v>0.56947280999999994</v>
      </c>
      <c r="Q45" s="306">
        <f t="shared" si="16"/>
        <v>0.11195793000000009</v>
      </c>
      <c r="R45" s="306">
        <f t="shared" si="17"/>
        <v>0.68143073999999992</v>
      </c>
      <c r="S45" s="307">
        <f t="shared" si="18"/>
        <v>0.19659925466854178</v>
      </c>
      <c r="T45" s="288"/>
      <c r="U45" s="290">
        <f t="shared" si="19"/>
        <v>1.3429265743041228</v>
      </c>
      <c r="V45" s="307">
        <f t="shared" si="20"/>
        <v>0.26401836358276859</v>
      </c>
      <c r="W45" s="290">
        <f t="shared" si="21"/>
        <v>1.6069449378868907</v>
      </c>
      <c r="X45" s="290">
        <f t="shared" si="22"/>
        <v>1.6069449378868907</v>
      </c>
      <c r="Y45" s="290"/>
      <c r="Z45" s="295"/>
      <c r="AA45" s="288"/>
      <c r="AB45" s="288"/>
      <c r="AC45" s="288"/>
    </row>
    <row r="46" spans="1:29" s="296" customFormat="1" ht="12.75" x14ac:dyDescent="0.2">
      <c r="A46" s="288" t="s">
        <v>12</v>
      </c>
      <c r="B46" s="288" t="s">
        <v>51</v>
      </c>
      <c r="C46" s="288">
        <v>3</v>
      </c>
      <c r="D46" s="289">
        <v>41528</v>
      </c>
      <c r="E46" s="290">
        <v>0.6</v>
      </c>
      <c r="F46" s="290">
        <v>0.53</v>
      </c>
      <c r="G46" s="290">
        <v>9.7200000000000006</v>
      </c>
      <c r="H46" s="305">
        <v>288553571.4285714</v>
      </c>
      <c r="I46" s="305">
        <v>288553571.4285714</v>
      </c>
      <c r="J46" s="293">
        <v>0.16633899999999999</v>
      </c>
      <c r="K46" s="293">
        <v>9.1171000000000002E-2</v>
      </c>
      <c r="L46" s="293">
        <f t="shared" si="14"/>
        <v>0.54810357162180856</v>
      </c>
      <c r="M46" s="293">
        <v>4.2249999999999996E-3</v>
      </c>
      <c r="N46" s="288">
        <v>2</v>
      </c>
      <c r="O46" s="288">
        <v>1</v>
      </c>
      <c r="P46" s="306">
        <f t="shared" si="15"/>
        <v>0.9655309849999999</v>
      </c>
      <c r="Q46" s="306">
        <f t="shared" si="16"/>
        <v>0.26820962000000015</v>
      </c>
      <c r="R46" s="306">
        <f t="shared" si="17"/>
        <v>1.2337406049999999</v>
      </c>
      <c r="S46" s="307">
        <f t="shared" si="18"/>
        <v>0.27778458088530444</v>
      </c>
      <c r="T46" s="288"/>
      <c r="U46" s="290">
        <f t="shared" si="19"/>
        <v>3.3461065140169564</v>
      </c>
      <c r="V46" s="307">
        <f t="shared" si="20"/>
        <v>0.92949679559378739</v>
      </c>
      <c r="W46" s="290">
        <f t="shared" si="21"/>
        <v>4.2756033096107435</v>
      </c>
      <c r="X46" s="290">
        <f t="shared" si="22"/>
        <v>4.2756033096107435</v>
      </c>
      <c r="Y46" s="290"/>
      <c r="Z46" s="295"/>
      <c r="AA46" s="309"/>
      <c r="AB46" s="288"/>
      <c r="AC46" s="288"/>
    </row>
    <row r="47" spans="1:29" s="296" customFormat="1" ht="12.75" x14ac:dyDescent="0.2">
      <c r="A47" s="297" t="s">
        <v>12</v>
      </c>
      <c r="B47" s="297" t="s">
        <v>51</v>
      </c>
      <c r="C47" s="297">
        <v>4</v>
      </c>
      <c r="D47" s="298">
        <v>41535</v>
      </c>
      <c r="E47" s="299">
        <v>0.56000000000000005</v>
      </c>
      <c r="F47" s="299">
        <v>0.62</v>
      </c>
      <c r="G47" s="299">
        <v>13.53</v>
      </c>
      <c r="H47" s="301">
        <v>715607142.85714281</v>
      </c>
      <c r="I47" s="301">
        <v>715607142.85714281</v>
      </c>
      <c r="J47" s="302">
        <v>0.33529100000000001</v>
      </c>
      <c r="K47" s="302">
        <v>0.18728</v>
      </c>
      <c r="L47" s="302">
        <f t="shared" si="14"/>
        <v>0.55855957958907332</v>
      </c>
      <c r="M47" s="302">
        <v>7.7510000000000001E-3</v>
      </c>
      <c r="N47" s="297">
        <v>2</v>
      </c>
      <c r="O47" s="297">
        <v>1</v>
      </c>
      <c r="P47" s="303">
        <f t="shared" si="15"/>
        <v>1.931259595</v>
      </c>
      <c r="Q47" s="303">
        <f t="shared" si="16"/>
        <v>0.59437651000000002</v>
      </c>
      <c r="R47" s="303">
        <f t="shared" si="17"/>
        <v>2.5256361049999998</v>
      </c>
      <c r="S47" s="303">
        <f t="shared" si="18"/>
        <v>0.30776624309794043</v>
      </c>
      <c r="T47" s="297"/>
      <c r="U47" s="299">
        <f t="shared" si="19"/>
        <v>2.6987707071916955</v>
      </c>
      <c r="V47" s="303">
        <f t="shared" si="20"/>
        <v>0.83059052153516</v>
      </c>
      <c r="W47" s="299">
        <f t="shared" si="21"/>
        <v>3.5293612287268554</v>
      </c>
      <c r="X47" s="299">
        <f t="shared" si="22"/>
        <v>3.5293612287268554</v>
      </c>
      <c r="Y47" s="299"/>
      <c r="Z47" s="304"/>
      <c r="AA47" s="310"/>
      <c r="AB47" s="297"/>
      <c r="AC47" s="297"/>
    </row>
    <row r="48" spans="1:29" s="131" customFormat="1" ht="12.75" x14ac:dyDescent="0.2">
      <c r="A48" s="74" t="s">
        <v>12</v>
      </c>
      <c r="B48" s="74" t="s">
        <v>6</v>
      </c>
      <c r="C48" s="74">
        <v>1</v>
      </c>
      <c r="D48" s="84">
        <v>41577</v>
      </c>
      <c r="E48" s="76">
        <v>0.53900000000000003</v>
      </c>
      <c r="F48" s="76">
        <v>0.502</v>
      </c>
      <c r="G48" s="76">
        <v>6.29</v>
      </c>
      <c r="H48" s="145">
        <v>353304794.52054793</v>
      </c>
      <c r="I48" s="145">
        <v>353304794.52054793</v>
      </c>
      <c r="J48" s="77">
        <v>0.15459999999999999</v>
      </c>
      <c r="K48" s="77">
        <v>8.0125000000000002E-2</v>
      </c>
      <c r="L48" s="78">
        <f t="shared" si="14"/>
        <v>0.51827296248382926</v>
      </c>
      <c r="M48" s="77">
        <v>-3.2569999999999999E-3</v>
      </c>
      <c r="N48" s="74">
        <v>2</v>
      </c>
      <c r="O48" s="74">
        <v>1</v>
      </c>
      <c r="P48" s="79">
        <f t="shared" si="15"/>
        <v>0.91708324999999991</v>
      </c>
      <c r="Q48" s="79">
        <f t="shared" si="16"/>
        <v>0.17858225000000005</v>
      </c>
      <c r="R48" s="79">
        <f t="shared" si="17"/>
        <v>1.0956655</v>
      </c>
      <c r="S48" s="80">
        <f t="shared" si="18"/>
        <v>0.19472850474588874</v>
      </c>
      <c r="T48" s="81">
        <f>AVERAGE(S48:S51)</f>
        <v>0.18738838722530732</v>
      </c>
      <c r="U48" s="76">
        <f t="shared" si="19"/>
        <v>2.595728289633112</v>
      </c>
      <c r="V48" s="82">
        <f t="shared" si="20"/>
        <v>0.50546228856685915</v>
      </c>
      <c r="W48" s="237">
        <f t="shared" si="21"/>
        <v>3.1011905781999709</v>
      </c>
      <c r="X48" s="164">
        <f t="shared" si="22"/>
        <v>3.1011905781999709</v>
      </c>
      <c r="Y48" s="76">
        <f>AVERAGE(X48:X51)</f>
        <v>2.7552943300839376</v>
      </c>
      <c r="Z48" s="76">
        <f>STDEV(U48:U51)</f>
        <v>0.32303277753682041</v>
      </c>
      <c r="AA48" s="222" t="s">
        <v>60</v>
      </c>
      <c r="AB48" s="83">
        <v>129.43567905887201</v>
      </c>
      <c r="AC48" s="74"/>
    </row>
    <row r="49" spans="1:32" s="131" customFormat="1" ht="12.75" x14ac:dyDescent="0.2">
      <c r="A49" s="74" t="s">
        <v>12</v>
      </c>
      <c r="B49" s="74" t="s">
        <v>6</v>
      </c>
      <c r="C49" s="74">
        <v>2</v>
      </c>
      <c r="D49" s="84">
        <v>41621</v>
      </c>
      <c r="E49" s="76">
        <v>0.54</v>
      </c>
      <c r="F49" s="76">
        <v>0.4</v>
      </c>
      <c r="G49" s="76">
        <v>7.99</v>
      </c>
      <c r="H49" s="145">
        <v>523476027.39726025</v>
      </c>
      <c r="I49" s="145">
        <v>523476027.39726025</v>
      </c>
      <c r="J49" s="77">
        <v>0.17766199999999999</v>
      </c>
      <c r="K49" s="77">
        <v>9.4296000000000005E-2</v>
      </c>
      <c r="L49" s="78">
        <f t="shared" si="14"/>
        <v>0.5307606578784434</v>
      </c>
      <c r="M49" s="77">
        <v>3.0349999999999999E-3</v>
      </c>
      <c r="N49" s="74">
        <v>2</v>
      </c>
      <c r="O49" s="74">
        <v>1</v>
      </c>
      <c r="P49" s="79">
        <f t="shared" si="15"/>
        <v>1.0444130699999998</v>
      </c>
      <c r="Q49" s="79">
        <f t="shared" si="16"/>
        <v>0.23923270000000008</v>
      </c>
      <c r="R49" s="79">
        <f t="shared" si="17"/>
        <v>1.2836457699999999</v>
      </c>
      <c r="S49" s="80">
        <f t="shared" si="18"/>
        <v>0.22905946590653076</v>
      </c>
      <c r="T49" s="74"/>
      <c r="U49" s="76">
        <f t="shared" si="19"/>
        <v>1.9951497591835399</v>
      </c>
      <c r="V49" s="82">
        <f t="shared" si="20"/>
        <v>0.4570079382421251</v>
      </c>
      <c r="W49" s="237">
        <f t="shared" si="21"/>
        <v>2.4521576974256649</v>
      </c>
      <c r="X49" s="164">
        <f t="shared" si="22"/>
        <v>2.4521576974256649</v>
      </c>
      <c r="Y49" s="76"/>
      <c r="Z49" s="76"/>
      <c r="AA49" s="223"/>
      <c r="AB49" s="83">
        <v>129.43567905887201</v>
      </c>
      <c r="AC49" s="74"/>
    </row>
    <row r="50" spans="1:32" s="131" customFormat="1" ht="12.75" x14ac:dyDescent="0.2">
      <c r="A50" s="74" t="s">
        <v>12</v>
      </c>
      <c r="B50" s="74" t="s">
        <v>6</v>
      </c>
      <c r="C50" s="74">
        <v>3</v>
      </c>
      <c r="D50" s="84">
        <v>41626</v>
      </c>
      <c r="E50" s="76">
        <v>0.5</v>
      </c>
      <c r="F50" s="76">
        <v>0.45700000000000002</v>
      </c>
      <c r="G50" s="76">
        <v>6.55</v>
      </c>
      <c r="H50" s="145">
        <v>344383561.6438356</v>
      </c>
      <c r="I50" s="145">
        <v>344383561.6438356</v>
      </c>
      <c r="J50" s="77">
        <v>0.15099299999999999</v>
      </c>
      <c r="K50" s="77">
        <v>7.8433000000000003E-2</v>
      </c>
      <c r="L50" s="78">
        <f t="shared" si="14"/>
        <v>0.51944792142682117</v>
      </c>
      <c r="M50" s="77">
        <v>4.6200000000000001E-4</v>
      </c>
      <c r="N50" s="74">
        <v>2</v>
      </c>
      <c r="O50" s="74">
        <v>1</v>
      </c>
      <c r="P50" s="79">
        <f t="shared" si="15"/>
        <v>0.89492907499999985</v>
      </c>
      <c r="Q50" s="79">
        <f t="shared" si="16"/>
        <v>0.17713541999999993</v>
      </c>
      <c r="R50" s="79">
        <f t="shared" si="17"/>
        <v>1.072064495</v>
      </c>
      <c r="S50" s="80">
        <f t="shared" si="18"/>
        <v>0.19793235570092518</v>
      </c>
      <c r="T50" s="74"/>
      <c r="U50" s="76">
        <f t="shared" si="19"/>
        <v>2.5986405121320604</v>
      </c>
      <c r="V50" s="82">
        <f t="shared" si="20"/>
        <v>0.51435503818615735</v>
      </c>
      <c r="W50" s="237">
        <f t="shared" si="21"/>
        <v>3.1129955503182183</v>
      </c>
      <c r="X50" s="164">
        <f t="shared" si="22"/>
        <v>3.1129955503182183</v>
      </c>
      <c r="Y50" s="76"/>
      <c r="Z50" s="76"/>
      <c r="AA50" s="223"/>
      <c r="AB50" s="83">
        <v>129.43567905887201</v>
      </c>
      <c r="AC50" s="74"/>
      <c r="AE50" s="139"/>
      <c r="AF50" s="140"/>
    </row>
    <row r="51" spans="1:32" s="131" customFormat="1" ht="12.75" x14ac:dyDescent="0.2">
      <c r="A51" s="85" t="s">
        <v>12</v>
      </c>
      <c r="B51" s="85" t="s">
        <v>6</v>
      </c>
      <c r="C51" s="85">
        <v>4</v>
      </c>
      <c r="D51" s="86">
        <v>41675</v>
      </c>
      <c r="E51" s="87">
        <v>0.54300000000000004</v>
      </c>
      <c r="F51" s="87">
        <v>0.55500000000000005</v>
      </c>
      <c r="G51" s="87">
        <v>5.58</v>
      </c>
      <c r="H51" s="146">
        <v>331284246.57534248</v>
      </c>
      <c r="I51" s="146">
        <v>331284246.57534248</v>
      </c>
      <c r="J51" s="88">
        <v>0.11454400000000001</v>
      </c>
      <c r="K51" s="88">
        <v>5.6501999999999997E-2</v>
      </c>
      <c r="L51" s="129">
        <f t="shared" si="14"/>
        <v>0.49327769241514174</v>
      </c>
      <c r="M51" s="88">
        <v>-2.63E-3</v>
      </c>
      <c r="N51" s="85">
        <v>2</v>
      </c>
      <c r="O51" s="85">
        <v>1</v>
      </c>
      <c r="P51" s="89">
        <f t="shared" si="15"/>
        <v>0.69169734000000005</v>
      </c>
      <c r="Q51" s="89">
        <f t="shared" si="16"/>
        <v>8.8421899999999831E-2</v>
      </c>
      <c r="R51" s="89">
        <f t="shared" si="17"/>
        <v>0.78011923999999999</v>
      </c>
      <c r="S51" s="90">
        <f t="shared" si="18"/>
        <v>0.12783322254788462</v>
      </c>
      <c r="T51" s="85"/>
      <c r="U51" s="87">
        <f t="shared" si="19"/>
        <v>2.0879270510156611</v>
      </c>
      <c r="V51" s="91">
        <f t="shared" si="20"/>
        <v>0.26690644337623354</v>
      </c>
      <c r="W51" s="238">
        <f t="shared" si="21"/>
        <v>2.3548334943918952</v>
      </c>
      <c r="X51" s="165">
        <f t="shared" si="22"/>
        <v>2.3548334943918952</v>
      </c>
      <c r="Y51" s="87"/>
      <c r="Z51" s="87"/>
      <c r="AA51" s="224"/>
      <c r="AB51" s="92"/>
      <c r="AC51" s="85"/>
      <c r="AE51" s="139"/>
      <c r="AF51" s="140"/>
    </row>
    <row r="52" spans="1:32" s="131" customFormat="1" ht="12.75" x14ac:dyDescent="0.2">
      <c r="A52" s="93" t="s">
        <v>15</v>
      </c>
      <c r="B52" s="93" t="s">
        <v>3</v>
      </c>
      <c r="C52" s="93">
        <v>2</v>
      </c>
      <c r="D52" s="94">
        <v>40576</v>
      </c>
      <c r="E52" s="95">
        <v>0.56871890547263682</v>
      </c>
      <c r="F52" s="95">
        <v>0.54686959529574541</v>
      </c>
      <c r="G52" s="95">
        <v>19.739999999999998</v>
      </c>
      <c r="H52" s="147">
        <v>731672727.27272725</v>
      </c>
      <c r="I52" s="147">
        <v>731672727.27272725</v>
      </c>
      <c r="J52" s="96">
        <v>0.16683999999999999</v>
      </c>
      <c r="K52" s="96">
        <v>0.103619</v>
      </c>
      <c r="L52" s="97">
        <f t="shared" ref="L52:L57" si="23">K52/J52</f>
        <v>0.62106808918724532</v>
      </c>
      <c r="M52" s="96"/>
      <c r="N52" s="93">
        <v>2</v>
      </c>
      <c r="O52" s="93">
        <v>1</v>
      </c>
      <c r="P52" s="98">
        <f t="shared" si="15"/>
        <v>0.91645866999999981</v>
      </c>
      <c r="Q52" s="98">
        <f t="shared" si="16"/>
        <v>0.45563567000000016</v>
      </c>
      <c r="R52" s="98">
        <f t="shared" si="17"/>
        <v>1.3720943400000001</v>
      </c>
      <c r="S52" s="99">
        <f t="shared" si="11"/>
        <v>0.49716990510875986</v>
      </c>
      <c r="T52" s="93"/>
      <c r="U52" s="95">
        <f t="shared" si="19"/>
        <v>1.2525527272501364</v>
      </c>
      <c r="V52" s="100">
        <f t="shared" si="20"/>
        <v>0.62273152055066872</v>
      </c>
      <c r="W52" s="241">
        <f t="shared" si="21"/>
        <v>1.8752842478008052</v>
      </c>
      <c r="X52" s="162">
        <f t="shared" si="22"/>
        <v>1.8752842478008052</v>
      </c>
      <c r="Y52" s="95">
        <f>AVERAGE(X52:X57)</f>
        <v>1.8431594890641991</v>
      </c>
      <c r="Z52" s="95">
        <f>STDEV(U52:U57)</f>
        <v>4.6797466896887081E-2</v>
      </c>
      <c r="AA52" s="115"/>
      <c r="AB52" s="101"/>
      <c r="AC52" s="93"/>
      <c r="AE52" s="139"/>
      <c r="AF52" s="140"/>
    </row>
    <row r="53" spans="1:32" s="133" customFormat="1" ht="12.75" x14ac:dyDescent="0.2">
      <c r="A53" s="256" t="s">
        <v>15</v>
      </c>
      <c r="B53" s="256" t="s">
        <v>3</v>
      </c>
      <c r="C53" s="256">
        <v>3</v>
      </c>
      <c r="D53" s="257">
        <v>40577</v>
      </c>
      <c r="E53" s="244">
        <v>0.52231956612432207</v>
      </c>
      <c r="F53" s="244">
        <v>0.65562632696390666</v>
      </c>
      <c r="G53" s="244">
        <v>14.72</v>
      </c>
      <c r="H53" s="258">
        <v>609054545.4545455</v>
      </c>
      <c r="I53" s="258">
        <v>609054545.4545455</v>
      </c>
      <c r="J53" s="97">
        <v>0.1363</v>
      </c>
      <c r="K53" s="97">
        <v>8.584E-2</v>
      </c>
      <c r="L53" s="97">
        <f t="shared" si="23"/>
        <v>0.62978723404255321</v>
      </c>
      <c r="M53" s="97"/>
      <c r="N53" s="256">
        <v>2</v>
      </c>
      <c r="O53" s="256">
        <v>1</v>
      </c>
      <c r="P53" s="259">
        <f t="shared" si="15"/>
        <v>0.74362670000000008</v>
      </c>
      <c r="Q53" s="259">
        <f t="shared" si="16"/>
        <v>0.39045019999999997</v>
      </c>
      <c r="R53" s="259">
        <f t="shared" si="17"/>
        <v>1.1340769000000002</v>
      </c>
      <c r="S53" s="260">
        <f t="shared" si="11"/>
        <v>0.5250621044134105</v>
      </c>
      <c r="T53" s="256"/>
      <c r="U53" s="244">
        <f t="shared" si="19"/>
        <v>1.2209525494059348</v>
      </c>
      <c r="V53" s="261">
        <f t="shared" si="20"/>
        <v>0.64107591497999872</v>
      </c>
      <c r="W53" s="241">
        <f t="shared" si="21"/>
        <v>1.8620284643859337</v>
      </c>
      <c r="X53" s="241">
        <f t="shared" si="22"/>
        <v>1.8620284643859337</v>
      </c>
      <c r="Y53" s="244"/>
      <c r="Z53" s="95"/>
      <c r="AA53" s="262" t="s">
        <v>80</v>
      </c>
      <c r="AB53" s="263"/>
      <c r="AC53" s="256"/>
      <c r="AE53" s="264"/>
      <c r="AF53" s="265"/>
    </row>
    <row r="54" spans="1:32" s="131" customFormat="1" ht="12.75" x14ac:dyDescent="0.2">
      <c r="A54" s="93" t="s">
        <v>15</v>
      </c>
      <c r="B54" s="93" t="s">
        <v>3</v>
      </c>
      <c r="C54" s="93">
        <v>4</v>
      </c>
      <c r="D54" s="94" t="s">
        <v>16</v>
      </c>
      <c r="E54" s="95">
        <v>0.61</v>
      </c>
      <c r="F54" s="95">
        <v>0.42</v>
      </c>
      <c r="G54" s="95">
        <v>9.0500000000000007</v>
      </c>
      <c r="H54" s="147">
        <v>1124945454.5454545</v>
      </c>
      <c r="I54" s="147">
        <v>1124945454.5454545</v>
      </c>
      <c r="J54" s="96">
        <v>0.25957999999999998</v>
      </c>
      <c r="K54" s="96">
        <v>0.16955000000000001</v>
      </c>
      <c r="L54" s="96">
        <f t="shared" si="23"/>
        <v>0.65317050620232686</v>
      </c>
      <c r="M54" s="96"/>
      <c r="N54" s="93">
        <v>2</v>
      </c>
      <c r="O54" s="93">
        <v>1</v>
      </c>
      <c r="P54" s="98">
        <f t="shared" si="15"/>
        <v>1.3903005999999998</v>
      </c>
      <c r="Q54" s="98">
        <f t="shared" si="16"/>
        <v>0.83665330000000004</v>
      </c>
      <c r="R54" s="98">
        <f t="shared" si="17"/>
        <v>2.2269538999999998</v>
      </c>
      <c r="S54" s="99">
        <f t="shared" si="11"/>
        <v>0.60177870886339269</v>
      </c>
      <c r="T54" s="93"/>
      <c r="U54" s="95">
        <f t="shared" si="19"/>
        <v>1.2358826771399016</v>
      </c>
      <c r="V54" s="100">
        <f t="shared" si="20"/>
        <v>0.74372788175588311</v>
      </c>
      <c r="W54" s="241">
        <f t="shared" si="21"/>
        <v>1.9796105588957849</v>
      </c>
      <c r="X54" s="162">
        <f t="shared" si="22"/>
        <v>1.9796105588957849</v>
      </c>
      <c r="Y54" s="95"/>
      <c r="Z54" s="95"/>
      <c r="AA54" s="115"/>
      <c r="AB54" s="102">
        <v>85.114335773770918</v>
      </c>
      <c r="AC54" s="93"/>
    </row>
    <row r="55" spans="1:32" s="131" customFormat="1" ht="12.75" x14ac:dyDescent="0.2">
      <c r="A55" s="93" t="s">
        <v>15</v>
      </c>
      <c r="B55" s="93" t="s">
        <v>3</v>
      </c>
      <c r="C55" s="93">
        <v>5</v>
      </c>
      <c r="D55" s="94" t="s">
        <v>17</v>
      </c>
      <c r="E55" s="95">
        <v>0.53415409054805396</v>
      </c>
      <c r="F55" s="95">
        <v>0.47809829059829062</v>
      </c>
      <c r="G55" s="95">
        <v>15.97</v>
      </c>
      <c r="H55" s="147">
        <v>791472727.27272725</v>
      </c>
      <c r="I55" s="147">
        <v>791472727.27272725</v>
      </c>
      <c r="J55" s="96">
        <v>0.16464799999999999</v>
      </c>
      <c r="K55" s="96">
        <v>0.105619</v>
      </c>
      <c r="L55" s="97">
        <f t="shared" si="23"/>
        <v>0.64148364996841756</v>
      </c>
      <c r="M55" s="96"/>
      <c r="N55" s="93">
        <v>2</v>
      </c>
      <c r="O55" s="93">
        <v>1</v>
      </c>
      <c r="P55" s="98">
        <f t="shared" si="15"/>
        <v>0.89006482999999992</v>
      </c>
      <c r="Q55" s="98">
        <f t="shared" si="16"/>
        <v>0.50117935000000013</v>
      </c>
      <c r="R55" s="98">
        <f t="shared" si="17"/>
        <v>1.3912441800000002</v>
      </c>
      <c r="S55" s="99">
        <f t="shared" si="11"/>
        <v>0.56308184876825229</v>
      </c>
      <c r="T55" s="93"/>
      <c r="U55" s="95">
        <f t="shared" si="19"/>
        <v>1.1245679090762903</v>
      </c>
      <c r="V55" s="100">
        <f t="shared" si="20"/>
        <v>0.6332237773081254</v>
      </c>
      <c r="W55" s="241">
        <f t="shared" si="21"/>
        <v>1.7577916863844161</v>
      </c>
      <c r="X55" s="162">
        <f t="shared" si="22"/>
        <v>1.7577916863844161</v>
      </c>
      <c r="Y55" s="95"/>
      <c r="Z55" s="95"/>
      <c r="AA55" s="115"/>
      <c r="AB55" s="102">
        <v>85.114335773770918</v>
      </c>
      <c r="AC55" s="93"/>
    </row>
    <row r="56" spans="1:32" s="131" customFormat="1" ht="12.75" x14ac:dyDescent="0.2">
      <c r="A56" s="93" t="s">
        <v>15</v>
      </c>
      <c r="B56" s="93" t="s">
        <v>3</v>
      </c>
      <c r="C56" s="93">
        <v>6</v>
      </c>
      <c r="D56" s="94">
        <v>40622</v>
      </c>
      <c r="E56" s="95">
        <v>0.66257225433526001</v>
      </c>
      <c r="F56" s="95">
        <v>0.46666666666666662</v>
      </c>
      <c r="G56" s="95">
        <v>11.5</v>
      </c>
      <c r="H56" s="147">
        <v>873490909.09090912</v>
      </c>
      <c r="I56" s="147">
        <v>873490909.09090912</v>
      </c>
      <c r="J56" s="96">
        <v>0.14227999999999999</v>
      </c>
      <c r="K56" s="96">
        <v>8.7910000000000002E-2</v>
      </c>
      <c r="L56" s="97">
        <f t="shared" si="23"/>
        <v>0.61786617936463317</v>
      </c>
      <c r="M56" s="96"/>
      <c r="N56" s="93">
        <v>1.5</v>
      </c>
      <c r="O56" s="93">
        <v>1</v>
      </c>
      <c r="P56" s="98">
        <f t="shared" si="15"/>
        <v>1.0446598666666662</v>
      </c>
      <c r="Q56" s="98">
        <f t="shared" si="16"/>
        <v>0.50877213333333338</v>
      </c>
      <c r="R56" s="98">
        <f t="shared" si="17"/>
        <v>1.5534319999999999</v>
      </c>
      <c r="S56" s="99">
        <f t="shared" si="11"/>
        <v>0.4870218044814334</v>
      </c>
      <c r="T56" s="93"/>
      <c r="U56" s="95">
        <f t="shared" si="19"/>
        <v>1.195959632543746</v>
      </c>
      <c r="V56" s="100">
        <f t="shared" si="20"/>
        <v>0.58245841832840706</v>
      </c>
      <c r="W56" s="241">
        <f t="shared" si="21"/>
        <v>1.7784180508721534</v>
      </c>
      <c r="X56" s="162">
        <f t="shared" si="22"/>
        <v>1.7784180508721534</v>
      </c>
      <c r="Y56" s="95"/>
      <c r="Z56" s="95"/>
      <c r="AA56" s="115"/>
      <c r="AB56" s="102">
        <v>85.114335773770918</v>
      </c>
      <c r="AC56" s="93"/>
    </row>
    <row r="57" spans="1:32" s="134" customFormat="1" ht="12.75" x14ac:dyDescent="0.2">
      <c r="A57" s="103" t="s">
        <v>15</v>
      </c>
      <c r="B57" s="103" t="s">
        <v>3</v>
      </c>
      <c r="C57" s="103">
        <v>7</v>
      </c>
      <c r="D57" s="104">
        <v>40750</v>
      </c>
      <c r="E57" s="105">
        <v>0.61099999999999999</v>
      </c>
      <c r="F57" s="105">
        <v>0.57999999999999996</v>
      </c>
      <c r="G57" s="105">
        <v>9</v>
      </c>
      <c r="H57" s="148">
        <v>925727443.6090225</v>
      </c>
      <c r="I57" s="148">
        <v>925727443.6090225</v>
      </c>
      <c r="J57" s="150">
        <v>0.149757</v>
      </c>
      <c r="K57" s="150">
        <v>9.5014000000000001E-2</v>
      </c>
      <c r="L57" s="130">
        <f t="shared" si="23"/>
        <v>0.63445448292901163</v>
      </c>
      <c r="M57" s="150">
        <v>2.7889999999999998E-3</v>
      </c>
      <c r="N57" s="103">
        <v>1.5</v>
      </c>
      <c r="O57" s="103">
        <v>1</v>
      </c>
      <c r="P57" s="106">
        <f t="shared" si="15"/>
        <v>1.0854146466666665</v>
      </c>
      <c r="Q57" s="106">
        <f t="shared" si="16"/>
        <v>0.58628611999999991</v>
      </c>
      <c r="R57" s="106">
        <f t="shared" si="17"/>
        <v>1.6717007666666666</v>
      </c>
      <c r="S57" s="106">
        <f t="shared" si="11"/>
        <v>0.5401494459287961</v>
      </c>
      <c r="T57" s="103"/>
      <c r="U57" s="105">
        <f t="shared" si="19"/>
        <v>1.1724991563770548</v>
      </c>
      <c r="V57" s="106">
        <f t="shared" si="20"/>
        <v>0.63332476966904705</v>
      </c>
      <c r="W57" s="242">
        <f t="shared" si="21"/>
        <v>1.805823926046102</v>
      </c>
      <c r="X57" s="163">
        <f t="shared" si="22"/>
        <v>1.805823926046102</v>
      </c>
      <c r="Y57" s="116"/>
      <c r="Z57" s="116"/>
      <c r="AA57" s="225"/>
      <c r="AB57" s="107"/>
      <c r="AC57" s="103"/>
    </row>
    <row r="58" spans="1:32" s="296" customFormat="1" ht="12.75" x14ac:dyDescent="0.2">
      <c r="A58" s="288" t="s">
        <v>15</v>
      </c>
      <c r="B58" s="288" t="s">
        <v>51</v>
      </c>
      <c r="C58" s="288">
        <v>1</v>
      </c>
      <c r="D58" s="289">
        <v>41549</v>
      </c>
      <c r="E58" s="290">
        <v>0.44</v>
      </c>
      <c r="F58" s="290">
        <v>0.48</v>
      </c>
      <c r="G58" s="290">
        <v>9.4</v>
      </c>
      <c r="H58" s="305">
        <v>1779875000</v>
      </c>
      <c r="I58" s="305">
        <v>1779875000</v>
      </c>
      <c r="J58" s="293">
        <v>0.20116999999999999</v>
      </c>
      <c r="K58" s="293">
        <f>J58*K54/J54</f>
        <v>0.1313983107327221</v>
      </c>
      <c r="L58" s="293"/>
      <c r="M58" s="293">
        <v>8.3000000000000001E-3</v>
      </c>
      <c r="N58" s="288">
        <v>2</v>
      </c>
      <c r="O58" s="288">
        <v>1</v>
      </c>
      <c r="P58" s="306">
        <f t="shared" si="15"/>
        <v>1.0774588631712765</v>
      </c>
      <c r="Q58" s="306">
        <f t="shared" si="16"/>
        <v>0.64839180353262971</v>
      </c>
      <c r="R58" s="306">
        <f t="shared" si="17"/>
        <v>1.7258506667039064</v>
      </c>
      <c r="S58" s="307">
        <f t="shared" si="11"/>
        <v>0.6017787088633928</v>
      </c>
      <c r="T58" s="308">
        <f>AVERAGE(S58:S60)</f>
        <v>0.5315033830233743</v>
      </c>
      <c r="U58" s="290">
        <f t="shared" si="19"/>
        <v>0.60535647906244905</v>
      </c>
      <c r="V58" s="307">
        <f t="shared" si="20"/>
        <v>0.36429064037229003</v>
      </c>
      <c r="W58" s="290">
        <f t="shared" si="21"/>
        <v>0.96964711943473914</v>
      </c>
      <c r="X58" s="290">
        <f t="shared" si="22"/>
        <v>0.96964711943473914</v>
      </c>
      <c r="Y58" s="290">
        <f>AVERAGE(X58:X60)</f>
        <v>0.91895281641741422</v>
      </c>
      <c r="Z58" s="295">
        <f>STDEV(U58:U60)</f>
        <v>1.0048752357922018E-2</v>
      </c>
      <c r="AA58" s="311" t="s">
        <v>60</v>
      </c>
      <c r="AB58" s="288"/>
      <c r="AC58" s="288"/>
    </row>
    <row r="59" spans="1:32" s="296" customFormat="1" ht="12.75" x14ac:dyDescent="0.2">
      <c r="A59" s="288" t="s">
        <v>15</v>
      </c>
      <c r="B59" s="288" t="s">
        <v>51</v>
      </c>
      <c r="C59" s="288">
        <v>2</v>
      </c>
      <c r="D59" s="289">
        <v>41556</v>
      </c>
      <c r="E59" s="290">
        <v>0.433</v>
      </c>
      <c r="F59" s="290">
        <v>0.50700000000000001</v>
      </c>
      <c r="G59" s="290">
        <v>9.85</v>
      </c>
      <c r="H59" s="305">
        <v>2044017857.1428571</v>
      </c>
      <c r="I59" s="305">
        <v>2044017857.1428571</v>
      </c>
      <c r="J59" s="293">
        <v>0.22633200000000001</v>
      </c>
      <c r="K59" s="293">
        <v>0.14167299999999999</v>
      </c>
      <c r="L59" s="293">
        <f t="shared" ref="L59:L66" si="24">K59/J59</f>
        <v>0.62595214110245123</v>
      </c>
      <c r="M59" s="293">
        <v>-1.9689999999999998E-3</v>
      </c>
      <c r="N59" s="288">
        <v>2</v>
      </c>
      <c r="O59" s="288">
        <v>1</v>
      </c>
      <c r="P59" s="306">
        <f t="shared" si="15"/>
        <v>1.23853043</v>
      </c>
      <c r="Q59" s="306">
        <f t="shared" si="16"/>
        <v>0.63505280999999991</v>
      </c>
      <c r="R59" s="306">
        <f t="shared" si="17"/>
        <v>1.8735832400000001</v>
      </c>
      <c r="S59" s="307">
        <f t="shared" si="11"/>
        <v>0.51274703843974179</v>
      </c>
      <c r="T59" s="288"/>
      <c r="U59" s="290">
        <f t="shared" si="19"/>
        <v>0.60592935901804046</v>
      </c>
      <c r="V59" s="307">
        <f t="shared" si="20"/>
        <v>0.31068848434019125</v>
      </c>
      <c r="W59" s="290">
        <f t="shared" si="21"/>
        <v>0.91661784335823182</v>
      </c>
      <c r="X59" s="290">
        <f t="shared" si="22"/>
        <v>0.91661784335823182</v>
      </c>
      <c r="Y59" s="290"/>
      <c r="Z59" s="295"/>
      <c r="AA59" s="312"/>
      <c r="AB59" s="313"/>
      <c r="AC59" s="288"/>
    </row>
    <row r="60" spans="1:32" s="296" customFormat="1" ht="12.75" x14ac:dyDescent="0.2">
      <c r="A60" s="297" t="s">
        <v>15</v>
      </c>
      <c r="B60" s="297" t="s">
        <v>51</v>
      </c>
      <c r="C60" s="297">
        <v>3</v>
      </c>
      <c r="D60" s="298">
        <v>41563</v>
      </c>
      <c r="E60" s="299">
        <v>0.45600000000000002</v>
      </c>
      <c r="F60" s="299">
        <v>0.47299999999999998</v>
      </c>
      <c r="G60" s="299">
        <v>8.89</v>
      </c>
      <c r="H60" s="301">
        <v>1684732142.8571429</v>
      </c>
      <c r="I60" s="301">
        <v>1684732142.8571429</v>
      </c>
      <c r="J60" s="302">
        <v>0.17965800000000001</v>
      </c>
      <c r="K60" s="302">
        <v>0.11060399999999999</v>
      </c>
      <c r="L60" s="302">
        <f t="shared" si="24"/>
        <v>0.61563637578064978</v>
      </c>
      <c r="M60" s="302">
        <v>-4.64E-4</v>
      </c>
      <c r="N60" s="297">
        <v>2</v>
      </c>
      <c r="O60" s="297">
        <v>1</v>
      </c>
      <c r="P60" s="303">
        <f t="shared" si="15"/>
        <v>0.9910353300000001</v>
      </c>
      <c r="Q60" s="303">
        <f t="shared" si="16"/>
        <v>0.47568149999999987</v>
      </c>
      <c r="R60" s="303">
        <f t="shared" si="17"/>
        <v>1.46671683</v>
      </c>
      <c r="S60" s="303">
        <f t="shared" ref="S60:S66" si="25">Q60/P60</f>
        <v>0.47998440176698831</v>
      </c>
      <c r="T60" s="297"/>
      <c r="U60" s="299">
        <f t="shared" si="19"/>
        <v>0.58824504192061056</v>
      </c>
      <c r="V60" s="303">
        <f t="shared" si="20"/>
        <v>0.2823484445386612</v>
      </c>
      <c r="W60" s="299">
        <f t="shared" si="21"/>
        <v>0.87059348645927181</v>
      </c>
      <c r="X60" s="299">
        <f t="shared" si="22"/>
        <v>0.87059348645927181</v>
      </c>
      <c r="Y60" s="299"/>
      <c r="Z60" s="304"/>
      <c r="AA60" s="314"/>
      <c r="AB60" s="314"/>
      <c r="AC60" s="297"/>
    </row>
    <row r="61" spans="1:32" s="134" customFormat="1" ht="12.75" x14ac:dyDescent="0.2">
      <c r="A61" s="108" t="s">
        <v>15</v>
      </c>
      <c r="B61" s="108" t="s">
        <v>6</v>
      </c>
      <c r="C61" s="108">
        <v>1</v>
      </c>
      <c r="D61" s="109">
        <v>41570</v>
      </c>
      <c r="E61" s="110">
        <v>0.42799999999999999</v>
      </c>
      <c r="F61" s="110">
        <v>0.48599999999999999</v>
      </c>
      <c r="G61" s="110">
        <v>6.32</v>
      </c>
      <c r="H61" s="147">
        <v>1489375000</v>
      </c>
      <c r="I61" s="147">
        <v>1489375000</v>
      </c>
      <c r="J61" s="96">
        <v>0.126363</v>
      </c>
      <c r="K61" s="96">
        <v>7.2192000000000006E-2</v>
      </c>
      <c r="L61" s="97">
        <f t="shared" si="24"/>
        <v>0.57130647420526581</v>
      </c>
      <c r="M61" s="96">
        <v>-4.7140000000000003E-3</v>
      </c>
      <c r="N61" s="108">
        <v>2</v>
      </c>
      <c r="O61" s="108">
        <v>1</v>
      </c>
      <c r="P61" s="98">
        <f t="shared" si="15"/>
        <v>0.72096679499999983</v>
      </c>
      <c r="Q61" s="98">
        <f t="shared" si="16"/>
        <v>0.24869859000000005</v>
      </c>
      <c r="R61" s="98">
        <f t="shared" si="17"/>
        <v>0.9696653850000001</v>
      </c>
      <c r="S61" s="111">
        <f t="shared" si="25"/>
        <v>0.34495151749672481</v>
      </c>
      <c r="T61" s="112">
        <f>AVERAGE(S61:S66)</f>
        <v>0.36292200220651405</v>
      </c>
      <c r="U61" s="95">
        <f t="shared" si="19"/>
        <v>0.48407338313050768</v>
      </c>
      <c r="V61" s="100">
        <f t="shared" si="20"/>
        <v>0.16698184809064209</v>
      </c>
      <c r="W61" s="241">
        <f t="shared" si="21"/>
        <v>0.65105523122114994</v>
      </c>
      <c r="X61" s="162">
        <f t="shared" si="22"/>
        <v>0.65105523122114994</v>
      </c>
      <c r="Y61" s="95">
        <f>AVERAGE(X61,X63,X64,X65,X66)</f>
        <v>0.77189345248394603</v>
      </c>
      <c r="Z61" s="95">
        <f>STDEV(U61,U63,U64,U65,U66)</f>
        <v>6.9995625426802946E-2</v>
      </c>
      <c r="AA61" s="226"/>
      <c r="AB61" s="113">
        <v>212.93004209887758</v>
      </c>
      <c r="AC61" s="93"/>
    </row>
    <row r="62" spans="1:32" s="134" customFormat="1" ht="12.75" x14ac:dyDescent="0.2">
      <c r="A62" s="108" t="s">
        <v>15</v>
      </c>
      <c r="B62" s="108" t="s">
        <v>6</v>
      </c>
      <c r="C62" s="108">
        <v>2</v>
      </c>
      <c r="D62" s="109">
        <v>41593</v>
      </c>
      <c r="E62" s="110">
        <v>0.40200000000000002</v>
      </c>
      <c r="F62" s="110">
        <v>0.43</v>
      </c>
      <c r="G62" s="110">
        <v>7.33</v>
      </c>
      <c r="H62" s="147">
        <v>1457339285.7142856</v>
      </c>
      <c r="I62" s="147">
        <v>1457339285.7142856</v>
      </c>
      <c r="J62" s="270">
        <v>0.12</v>
      </c>
      <c r="K62" s="270">
        <v>7.0000000000000007E-2</v>
      </c>
      <c r="L62" s="270">
        <f t="shared" si="24"/>
        <v>0.58333333333333337</v>
      </c>
      <c r="M62" s="96"/>
      <c r="N62" s="108">
        <v>2</v>
      </c>
      <c r="O62" s="108">
        <v>1</v>
      </c>
      <c r="P62" s="274">
        <f t="shared" si="15"/>
        <v>0.67849999999999988</v>
      </c>
      <c r="Q62" s="274">
        <f t="shared" si="16"/>
        <v>0.2583000000000002</v>
      </c>
      <c r="R62" s="274">
        <f t="shared" si="17"/>
        <v>0.93680000000000008</v>
      </c>
      <c r="S62" s="275">
        <f>Q62/P62</f>
        <v>0.38069270449521037</v>
      </c>
      <c r="T62" s="276" t="s">
        <v>60</v>
      </c>
      <c r="U62" s="243">
        <f t="shared" si="19"/>
        <v>0.46557449363443648</v>
      </c>
      <c r="V62" s="275">
        <f t="shared" si="20"/>
        <v>0.17724081312568174</v>
      </c>
      <c r="W62" s="271" t="s">
        <v>78</v>
      </c>
      <c r="X62" s="243">
        <f t="shared" si="22"/>
        <v>0.64281530676011822</v>
      </c>
      <c r="Y62" s="95"/>
      <c r="Z62" s="95"/>
      <c r="AA62" s="226" t="s">
        <v>82</v>
      </c>
      <c r="AB62" s="113"/>
      <c r="AC62" s="93"/>
    </row>
    <row r="63" spans="1:32" s="134" customFormat="1" ht="12.75" x14ac:dyDescent="0.2">
      <c r="A63" s="108" t="s">
        <v>15</v>
      </c>
      <c r="B63" s="108" t="s">
        <v>6</v>
      </c>
      <c r="C63" s="108">
        <v>3</v>
      </c>
      <c r="D63" s="109">
        <v>41613</v>
      </c>
      <c r="E63" s="110">
        <v>0.42</v>
      </c>
      <c r="F63" s="110">
        <v>0.55000000000000004</v>
      </c>
      <c r="G63" s="110">
        <v>6.17</v>
      </c>
      <c r="H63" s="147">
        <v>920571428.57142854</v>
      </c>
      <c r="I63" s="147">
        <v>920571428.57142854</v>
      </c>
      <c r="J63" s="96">
        <v>0.109845</v>
      </c>
      <c r="K63" s="96">
        <v>6.4277000000000001E-2</v>
      </c>
      <c r="L63" s="97">
        <f t="shared" si="24"/>
        <v>0.58516090855296099</v>
      </c>
      <c r="M63" s="96">
        <v>-3.1319999999999998E-3</v>
      </c>
      <c r="N63" s="108">
        <v>2</v>
      </c>
      <c r="O63" s="108">
        <v>1</v>
      </c>
      <c r="P63" s="98">
        <f t="shared" si="15"/>
        <v>0.62022473499999997</v>
      </c>
      <c r="Q63" s="98">
        <f t="shared" si="16"/>
        <v>0.23951886</v>
      </c>
      <c r="R63" s="98">
        <f t="shared" si="17"/>
        <v>0.85974359500000008</v>
      </c>
      <c r="S63" s="111">
        <f t="shared" si="25"/>
        <v>0.38618076075279395</v>
      </c>
      <c r="T63" s="108"/>
      <c r="U63" s="95">
        <f t="shared" si="19"/>
        <v>0.6737388493171943</v>
      </c>
      <c r="V63" s="100">
        <f t="shared" si="20"/>
        <v>0.26018498137802609</v>
      </c>
      <c r="W63" s="241">
        <f>R63*1000000000/H63</f>
        <v>0.93392383069522056</v>
      </c>
      <c r="X63" s="162">
        <f t="shared" si="22"/>
        <v>0.93392383069522056</v>
      </c>
      <c r="Y63" s="95"/>
      <c r="Z63" s="95"/>
      <c r="AA63" s="226"/>
      <c r="AB63" s="113">
        <v>212.93004209887758</v>
      </c>
      <c r="AC63" s="93"/>
    </row>
    <row r="64" spans="1:32" s="134" customFormat="1" ht="12.75" x14ac:dyDescent="0.2">
      <c r="A64" s="108" t="s">
        <v>15</v>
      </c>
      <c r="B64" s="108" t="s">
        <v>6</v>
      </c>
      <c r="C64" s="108">
        <v>4</v>
      </c>
      <c r="D64" s="109">
        <v>41654</v>
      </c>
      <c r="E64" s="110">
        <v>0.49399999999999999</v>
      </c>
      <c r="F64" s="110">
        <v>0.47199999999999998</v>
      </c>
      <c r="G64" s="110">
        <v>7.2</v>
      </c>
      <c r="H64" s="147">
        <v>1187464285.7142856</v>
      </c>
      <c r="I64" s="147">
        <v>1187464285.7142856</v>
      </c>
      <c r="J64" s="96">
        <v>0.1205205</v>
      </c>
      <c r="K64" s="96">
        <v>7.1379999999999999E-2</v>
      </c>
      <c r="L64" s="97">
        <f t="shared" si="24"/>
        <v>0.59226438655664382</v>
      </c>
      <c r="M64" s="96">
        <v>-4.2300000000000003E-3</v>
      </c>
      <c r="N64" s="108">
        <v>2</v>
      </c>
      <c r="O64" s="108">
        <v>1</v>
      </c>
      <c r="P64" s="98">
        <f t="shared" si="15"/>
        <v>0.67684687249999997</v>
      </c>
      <c r="Q64" s="98">
        <f t="shared" si="16"/>
        <v>0.27592120499999995</v>
      </c>
      <c r="R64" s="98">
        <f t="shared" si="17"/>
        <v>0.95276807750000003</v>
      </c>
      <c r="S64" s="111">
        <f t="shared" si="25"/>
        <v>0.40765676286699537</v>
      </c>
      <c r="T64" s="108"/>
      <c r="U64" s="95">
        <f t="shared" si="19"/>
        <v>0.56999345634455179</v>
      </c>
      <c r="V64" s="100">
        <f t="shared" si="20"/>
        <v>0.23236168726879</v>
      </c>
      <c r="W64" s="241">
        <f>R64*1000000000/H64</f>
        <v>0.80235514361334181</v>
      </c>
      <c r="X64" s="162">
        <f t="shared" si="22"/>
        <v>0.80235514361334181</v>
      </c>
      <c r="Y64" s="95"/>
      <c r="Z64" s="95"/>
      <c r="AA64" s="226"/>
      <c r="AB64" s="113">
        <v>212.93004209887758</v>
      </c>
      <c r="AC64" s="93"/>
    </row>
    <row r="65" spans="1:29" s="134" customFormat="1" ht="12.75" x14ac:dyDescent="0.2">
      <c r="A65" s="108" t="s">
        <v>15</v>
      </c>
      <c r="B65" s="108" t="s">
        <v>6</v>
      </c>
      <c r="C65" s="108">
        <v>6</v>
      </c>
      <c r="D65" s="109">
        <v>41661</v>
      </c>
      <c r="E65" s="110">
        <v>0.55000000000000004</v>
      </c>
      <c r="F65" s="114">
        <v>0.47</v>
      </c>
      <c r="G65" s="110">
        <v>6.7</v>
      </c>
      <c r="H65" s="147">
        <v>1400892857.1428571</v>
      </c>
      <c r="I65" s="147">
        <v>1400892857.1428571</v>
      </c>
      <c r="J65" s="96">
        <v>0.14105500000000001</v>
      </c>
      <c r="K65" s="96">
        <v>8.0193E-2</v>
      </c>
      <c r="L65" s="97">
        <f t="shared" si="24"/>
        <v>0.56852291659281839</v>
      </c>
      <c r="M65" s="96">
        <v>-4.6709999999999998E-3</v>
      </c>
      <c r="N65" s="108">
        <v>2</v>
      </c>
      <c r="O65" s="108">
        <v>1</v>
      </c>
      <c r="P65" s="98">
        <f t="shared" si="15"/>
        <v>0.80646886500000015</v>
      </c>
      <c r="Q65" s="98">
        <f t="shared" si="16"/>
        <v>0.2715952399999999</v>
      </c>
      <c r="R65" s="98">
        <f t="shared" si="17"/>
        <v>1.0780641050000002</v>
      </c>
      <c r="S65" s="111">
        <f t="shared" si="25"/>
        <v>0.33677089319499004</v>
      </c>
      <c r="T65" s="108"/>
      <c r="U65" s="95">
        <f t="shared" si="19"/>
        <v>0.57568204512428311</v>
      </c>
      <c r="V65" s="100">
        <f t="shared" si="20"/>
        <v>0.19387295653282338</v>
      </c>
      <c r="W65" s="241">
        <f>R65*1000000000/H65</f>
        <v>0.76955500165710666</v>
      </c>
      <c r="X65" s="162">
        <f t="shared" si="22"/>
        <v>0.76955500165710666</v>
      </c>
      <c r="Y65" s="95"/>
      <c r="Z65" s="95"/>
      <c r="AA65" s="115"/>
      <c r="AB65" s="113">
        <v>212.93004209887758</v>
      </c>
      <c r="AC65" s="93"/>
    </row>
    <row r="66" spans="1:29" s="134" customFormat="1" ht="12.75" x14ac:dyDescent="0.2">
      <c r="A66" s="103" t="s">
        <v>15</v>
      </c>
      <c r="B66" s="103" t="s">
        <v>6</v>
      </c>
      <c r="C66" s="103">
        <v>5</v>
      </c>
      <c r="D66" s="104">
        <v>41682</v>
      </c>
      <c r="E66" s="105">
        <v>0.54</v>
      </c>
      <c r="F66" s="105">
        <v>0.62</v>
      </c>
      <c r="G66" s="105">
        <v>7.66</v>
      </c>
      <c r="H66" s="148">
        <v>1030053571.4285715</v>
      </c>
      <c r="I66" s="148">
        <v>1030053571.4285715</v>
      </c>
      <c r="J66" s="150">
        <v>9.5421000000000006E-2</v>
      </c>
      <c r="K66" s="150">
        <v>5.3742999999999999E-2</v>
      </c>
      <c r="L66" s="130">
        <f t="shared" si="24"/>
        <v>0.56321983630437744</v>
      </c>
      <c r="M66" s="150">
        <v>-6.293E-3</v>
      </c>
      <c r="N66" s="103">
        <v>2</v>
      </c>
      <c r="O66" s="103">
        <v>1</v>
      </c>
      <c r="P66" s="106">
        <f t="shared" si="15"/>
        <v>0.54772143499999992</v>
      </c>
      <c r="Q66" s="106">
        <f t="shared" si="16"/>
        <v>0.17597160000000001</v>
      </c>
      <c r="R66" s="106">
        <f t="shared" si="17"/>
        <v>0.72369303499999993</v>
      </c>
      <c r="S66" s="106">
        <f t="shared" si="25"/>
        <v>0.32127937443237004</v>
      </c>
      <c r="T66" s="103"/>
      <c r="U66" s="116">
        <f t="shared" si="19"/>
        <v>0.53174072707730169</v>
      </c>
      <c r="V66" s="117">
        <f t="shared" si="20"/>
        <v>0.17083732815560909</v>
      </c>
      <c r="W66" s="242">
        <f>R66*1000000000/H66</f>
        <v>0.70257805523291073</v>
      </c>
      <c r="X66" s="163">
        <f t="shared" si="22"/>
        <v>0.70257805523291073</v>
      </c>
      <c r="Y66" s="116"/>
      <c r="Z66" s="116"/>
      <c r="AA66" s="227"/>
      <c r="AB66" s="107"/>
      <c r="AC66" s="118"/>
    </row>
    <row r="67" spans="1:29" x14ac:dyDescent="0.25">
      <c r="A67" s="1"/>
      <c r="B67" s="1"/>
      <c r="C67" s="1"/>
      <c r="D67" s="1"/>
      <c r="E67" s="16"/>
      <c r="F67" s="16"/>
      <c r="G67" s="16"/>
      <c r="H67" s="22"/>
      <c r="I67" s="11"/>
      <c r="J67" s="11"/>
      <c r="K67" s="11"/>
      <c r="L67" s="11"/>
      <c r="M67" s="1"/>
      <c r="N67" s="1"/>
      <c r="O67" s="1"/>
      <c r="P67" s="1"/>
      <c r="Q67" s="18"/>
      <c r="R67" s="1"/>
      <c r="S67" s="1"/>
      <c r="T67" s="1"/>
      <c r="U67" s="1"/>
      <c r="V67" s="1"/>
      <c r="W67" s="157"/>
      <c r="X67" s="1"/>
      <c r="Y67" s="284"/>
      <c r="Z67" s="284"/>
      <c r="AA67" s="228"/>
      <c r="AB67" s="1"/>
      <c r="AC67" s="1"/>
    </row>
    <row r="68" spans="1:29" x14ac:dyDescent="0.25">
      <c r="A68" s="278" t="s">
        <v>90</v>
      </c>
      <c r="B68" s="1"/>
      <c r="C68" s="1"/>
      <c r="D68" s="1"/>
      <c r="E68" s="16"/>
      <c r="F68" s="16"/>
      <c r="G68" s="16"/>
      <c r="H68" s="22"/>
      <c r="I68" s="11"/>
      <c r="J68" s="11"/>
      <c r="K68" s="11"/>
      <c r="L68" s="11"/>
      <c r="M68" s="1"/>
      <c r="N68" s="1"/>
      <c r="O68" s="1"/>
      <c r="P68" s="1"/>
      <c r="Q68" s="18"/>
      <c r="R68" s="1"/>
      <c r="S68" s="1"/>
      <c r="T68" s="1"/>
      <c r="U68" s="1"/>
      <c r="V68" s="1"/>
      <c r="W68" s="157"/>
      <c r="X68" s="1"/>
      <c r="Y68" s="284"/>
      <c r="Z68" s="285"/>
      <c r="AA68" s="229"/>
      <c r="AC68" s="1"/>
    </row>
    <row r="69" spans="1:29" x14ac:dyDescent="0.25">
      <c r="A69" s="228" t="s">
        <v>88</v>
      </c>
      <c r="Z69" s="287"/>
      <c r="AA69" s="230"/>
    </row>
    <row r="70" spans="1:29" x14ac:dyDescent="0.25">
      <c r="A70" s="231" t="s">
        <v>85</v>
      </c>
    </row>
    <row r="71" spans="1:29" x14ac:dyDescent="0.25">
      <c r="A71" t="s">
        <v>86</v>
      </c>
    </row>
    <row r="72" spans="1:29" x14ac:dyDescent="0.25">
      <c r="A72" t="s">
        <v>87</v>
      </c>
    </row>
    <row r="73" spans="1:29" x14ac:dyDescent="0.25">
      <c r="A73" t="s">
        <v>89</v>
      </c>
    </row>
    <row r="76" spans="1:29" x14ac:dyDescent="0.25">
      <c r="E76" s="319" t="s">
        <v>100</v>
      </c>
      <c r="F76" s="319" t="s">
        <v>101</v>
      </c>
    </row>
    <row r="77" spans="1:29" x14ac:dyDescent="0.25">
      <c r="D77" s="5" t="s">
        <v>99</v>
      </c>
      <c r="E77" s="15">
        <f>AVERAGE(E63,E2:E6,E9:E12,E13:E14,E16:E18,E20:E24,E25:E29,E32:E36,E37:E40,E48:E51,E52,E54:E57)</f>
        <v>0.58186384303153382</v>
      </c>
      <c r="F77" s="15">
        <f>STDEV(E63,E2:E6,E9:E12,E13:E14,E16:E18,E20:E24,E25:E29,E32:E36,E37:E40,E48:E51,E52,E54:E57)</f>
        <v>7.3648424728058895E-2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8" sqref="E8"/>
    </sheetView>
  </sheetViews>
  <sheetFormatPr baseColWidth="10" defaultRowHeight="15" x14ac:dyDescent="0.25"/>
  <cols>
    <col min="1" max="2" width="26.85546875" customWidth="1"/>
    <col min="3" max="3" width="25" customWidth="1"/>
    <col min="4" max="4" width="22.85546875" customWidth="1"/>
  </cols>
  <sheetData>
    <row r="1" spans="1:5" x14ac:dyDescent="0.25">
      <c r="A1" s="6" t="s">
        <v>31</v>
      </c>
    </row>
    <row r="2" spans="1:5" x14ac:dyDescent="0.25">
      <c r="A2" s="315" t="s">
        <v>44</v>
      </c>
      <c r="B2" s="315"/>
      <c r="C2" s="315"/>
      <c r="D2" s="315"/>
    </row>
    <row r="3" spans="1:5" x14ac:dyDescent="0.25">
      <c r="A3" s="315" t="s">
        <v>22</v>
      </c>
      <c r="B3" s="315"/>
      <c r="C3" s="315"/>
      <c r="D3" s="315"/>
    </row>
    <row r="4" spans="1:5" x14ac:dyDescent="0.25">
      <c r="A4" s="315" t="s">
        <v>23</v>
      </c>
      <c r="B4" s="315"/>
      <c r="C4" s="315"/>
      <c r="D4" s="315"/>
    </row>
    <row r="5" spans="1:5" x14ac:dyDescent="0.25">
      <c r="A5" s="315" t="s">
        <v>52</v>
      </c>
      <c r="B5" s="315"/>
      <c r="C5" s="315"/>
      <c r="D5" s="315"/>
    </row>
    <row r="6" spans="1:5" x14ac:dyDescent="0.25">
      <c r="A6" s="315" t="s">
        <v>30</v>
      </c>
      <c r="B6" s="315"/>
      <c r="C6" s="315"/>
      <c r="D6" s="315"/>
    </row>
    <row r="7" spans="1:5" x14ac:dyDescent="0.25">
      <c r="A7" s="315" t="s">
        <v>71</v>
      </c>
      <c r="B7" s="315"/>
      <c r="C7" s="315"/>
      <c r="D7" s="315"/>
      <c r="E7" s="153" t="s">
        <v>96</v>
      </c>
    </row>
    <row r="8" spans="1:5" x14ac:dyDescent="0.25">
      <c r="A8" s="315"/>
      <c r="B8" s="315"/>
      <c r="C8" s="315"/>
      <c r="D8" s="315"/>
      <c r="E8" s="231" t="s">
        <v>95</v>
      </c>
    </row>
    <row r="9" spans="1:5" x14ac:dyDescent="0.25">
      <c r="A9" s="316" t="s">
        <v>24</v>
      </c>
      <c r="B9" s="316"/>
      <c r="C9" s="316"/>
      <c r="D9" s="316"/>
    </row>
    <row r="10" spans="1:5" x14ac:dyDescent="0.25">
      <c r="A10" s="315" t="s">
        <v>25</v>
      </c>
      <c r="B10" s="315"/>
      <c r="C10" s="315"/>
      <c r="D10" s="315"/>
    </row>
    <row r="11" spans="1:5" x14ac:dyDescent="0.25">
      <c r="A11" s="318" t="s">
        <v>26</v>
      </c>
      <c r="B11" s="318"/>
      <c r="C11" s="318"/>
      <c r="D11" s="318"/>
    </row>
    <row r="12" spans="1:5" x14ac:dyDescent="0.25">
      <c r="A12" s="318" t="s">
        <v>45</v>
      </c>
      <c r="B12" s="318"/>
      <c r="C12" s="318"/>
      <c r="D12" s="318"/>
    </row>
    <row r="13" spans="1:5" x14ac:dyDescent="0.25">
      <c r="A13" s="318" t="s">
        <v>27</v>
      </c>
      <c r="B13" s="318"/>
      <c r="C13" s="318"/>
      <c r="D13" s="318"/>
    </row>
    <row r="14" spans="1:5" x14ac:dyDescent="0.25">
      <c r="A14" s="4">
        <v>400</v>
      </c>
      <c r="B14" s="317" t="s">
        <v>33</v>
      </c>
      <c r="C14" s="7"/>
      <c r="D14" s="4"/>
    </row>
    <row r="15" spans="1:5" x14ac:dyDescent="0.25">
      <c r="A15" s="4">
        <v>720</v>
      </c>
      <c r="B15" s="317"/>
      <c r="C15" s="7"/>
      <c r="D15" s="4"/>
    </row>
    <row r="16" spans="1:5" x14ac:dyDescent="0.25">
      <c r="A16" s="4">
        <v>0.2</v>
      </c>
      <c r="B16" s="317"/>
      <c r="C16" s="7"/>
      <c r="D16" s="4"/>
    </row>
    <row r="17" spans="1:4" x14ac:dyDescent="0.25">
      <c r="A17" s="4">
        <v>1</v>
      </c>
      <c r="B17" s="317"/>
      <c r="C17" s="7"/>
      <c r="D17" s="4"/>
    </row>
    <row r="18" spans="1:4" x14ac:dyDescent="0.25">
      <c r="A18" s="5" t="s">
        <v>28</v>
      </c>
      <c r="B18" s="4"/>
      <c r="C18" s="4"/>
      <c r="D18" s="4"/>
    </row>
    <row r="19" spans="1:4" x14ac:dyDescent="0.25">
      <c r="A19" s="5" t="s">
        <v>29</v>
      </c>
      <c r="B19" s="4"/>
      <c r="C19" s="4"/>
      <c r="D19" s="4"/>
    </row>
    <row r="20" spans="1:4" x14ac:dyDescent="0.25">
      <c r="A20" s="8" t="s">
        <v>35</v>
      </c>
    </row>
    <row r="22" spans="1:4" x14ac:dyDescent="0.25">
      <c r="A22" t="s">
        <v>53</v>
      </c>
    </row>
    <row r="23" spans="1:4" x14ac:dyDescent="0.25">
      <c r="A23" t="s">
        <v>34</v>
      </c>
    </row>
    <row r="24" spans="1:4" x14ac:dyDescent="0.25">
      <c r="A24" t="s">
        <v>36</v>
      </c>
    </row>
    <row r="25" spans="1:4" x14ac:dyDescent="0.25">
      <c r="A25" t="s">
        <v>37</v>
      </c>
    </row>
    <row r="26" spans="1:4" x14ac:dyDescent="0.25">
      <c r="A26" t="s">
        <v>50</v>
      </c>
    </row>
  </sheetData>
  <mergeCells count="13">
    <mergeCell ref="B14:B17"/>
    <mergeCell ref="A11:D11"/>
    <mergeCell ref="A12:D12"/>
    <mergeCell ref="A13:D13"/>
    <mergeCell ref="A10:D10"/>
    <mergeCell ref="A6:D6"/>
    <mergeCell ref="A7:D7"/>
    <mergeCell ref="A8:D8"/>
    <mergeCell ref="A9:D9"/>
    <mergeCell ref="A2:D2"/>
    <mergeCell ref="A3:D3"/>
    <mergeCell ref="A4:D4"/>
    <mergeCell ref="A5:D5"/>
  </mergeCells>
  <phoneticPr fontId="2" type="noConversion"/>
  <pageMargins left="0.3" right="0.2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All data</vt:lpstr>
      <vt:lpstr>Protocole extraction pig</vt:lpstr>
      <vt:lpstr>'Protocole extraction pig'!Zone_d_impression</vt:lpstr>
    </vt:vector>
  </TitlesOfParts>
  <Company>SBR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Mella-Flores</dc:creator>
  <cp:lastModifiedBy>partensk</cp:lastModifiedBy>
  <cp:lastPrinted>2012-07-03T13:01:00Z</cp:lastPrinted>
  <dcterms:created xsi:type="dcterms:W3CDTF">2011-03-27T21:05:24Z</dcterms:created>
  <dcterms:modified xsi:type="dcterms:W3CDTF">2018-01-23T09:12:03Z</dcterms:modified>
</cp:coreProperties>
</file>