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5580" yWindow="0" windowWidth="19095" windowHeight="8205" firstSheet="1" activeTab="7"/>
  </bookViews>
  <sheets>
    <sheet name="chla_spectro" sheetId="4" r:id="rId1"/>
    <sheet name="dilution_calculation" sheetId="2" r:id="rId2"/>
    <sheet name="PAM" sheetId="5" r:id="rId3"/>
    <sheet name="raw_results" sheetId="1" r:id="rId4"/>
    <sheet name="metainfo" sheetId="3" r:id="rId5"/>
    <sheet name="references PAM" sheetId="6" r:id="rId6"/>
    <sheet name="Tests melanges" sheetId="7" r:id="rId7"/>
    <sheet name="Cyto" sheetId="8" r:id="rId8"/>
    <sheet name="Recap cyto" sheetId="9" r:id="rId9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3" i="8" l="1"/>
  <c r="R167" i="8"/>
  <c r="R160" i="8"/>
  <c r="R166" i="8"/>
  <c r="R157" i="8"/>
  <c r="R158" i="8"/>
  <c r="R159" i="8"/>
  <c r="R153" i="8"/>
  <c r="R147" i="8"/>
  <c r="R141" i="8"/>
  <c r="R132" i="8"/>
  <c r="R133" i="8"/>
  <c r="R134" i="8"/>
  <c r="R135" i="8"/>
  <c r="R131" i="8"/>
  <c r="R127" i="8"/>
  <c r="R128" i="8"/>
  <c r="R129" i="8"/>
  <c r="R126" i="8"/>
  <c r="R120" i="8"/>
  <c r="R121" i="8"/>
  <c r="R122" i="8"/>
  <c r="R123" i="8"/>
  <c r="R119" i="8"/>
  <c r="R165" i="8"/>
  <c r="R124" i="8"/>
  <c r="U167" i="8"/>
  <c r="D173" i="9"/>
  <c r="D169" i="9"/>
  <c r="D170" i="9"/>
  <c r="D171" i="9"/>
  <c r="D172" i="9"/>
  <c r="D174" i="9"/>
  <c r="D168" i="9"/>
  <c r="D167" i="9"/>
  <c r="D166" i="9"/>
  <c r="D162" i="9"/>
  <c r="D163" i="9"/>
  <c r="D164" i="9"/>
  <c r="D165" i="9"/>
  <c r="D161" i="9"/>
  <c r="D158" i="9"/>
  <c r="D159" i="9"/>
  <c r="D160" i="9"/>
  <c r="D157" i="9"/>
  <c r="D155" i="9"/>
  <c r="D156" i="9"/>
  <c r="D154" i="9"/>
  <c r="D138" i="9"/>
  <c r="D139" i="9"/>
  <c r="D140" i="9"/>
  <c r="D141" i="9"/>
  <c r="R142" i="8"/>
  <c r="D142" i="9"/>
  <c r="R143" i="8"/>
  <c r="D143" i="9"/>
  <c r="R144" i="8"/>
  <c r="D144" i="9"/>
  <c r="R145" i="8"/>
  <c r="D145" i="9"/>
  <c r="R146" i="8"/>
  <c r="D146" i="9"/>
  <c r="D147" i="9"/>
  <c r="R148" i="8"/>
  <c r="D148" i="9"/>
  <c r="R149" i="8"/>
  <c r="D149" i="9"/>
  <c r="R150" i="8"/>
  <c r="D150" i="9"/>
  <c r="R151" i="8"/>
  <c r="D151" i="9"/>
  <c r="R152" i="8"/>
  <c r="D152" i="9"/>
  <c r="D153" i="9"/>
  <c r="D137" i="9"/>
  <c r="D136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18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99" i="9"/>
  <c r="I4" i="8"/>
  <c r="D4" i="9"/>
  <c r="I5" i="8"/>
  <c r="D5" i="9"/>
  <c r="D6" i="9"/>
  <c r="D7" i="9"/>
  <c r="D8" i="9"/>
  <c r="I9" i="8"/>
  <c r="D9" i="9"/>
  <c r="D10" i="9"/>
  <c r="D11" i="9"/>
  <c r="D12" i="9"/>
  <c r="D13" i="9"/>
  <c r="D14" i="9"/>
  <c r="D15" i="9"/>
  <c r="I16" i="8"/>
  <c r="D16" i="9"/>
  <c r="D17" i="9"/>
  <c r="D18" i="9"/>
  <c r="D19" i="9"/>
  <c r="D20" i="9"/>
  <c r="I21" i="8"/>
  <c r="D21" i="9"/>
  <c r="D22" i="9"/>
  <c r="I23" i="8"/>
  <c r="D23" i="9"/>
  <c r="I24" i="8"/>
  <c r="D24" i="9"/>
  <c r="I25" i="8"/>
  <c r="D25" i="9"/>
  <c r="D26" i="9"/>
  <c r="I27" i="8"/>
  <c r="D27" i="9"/>
  <c r="I28" i="8"/>
  <c r="D28" i="9"/>
  <c r="I29" i="8"/>
  <c r="D29" i="9"/>
  <c r="I30" i="8"/>
  <c r="D30" i="9"/>
  <c r="I31" i="8"/>
  <c r="D31" i="9"/>
  <c r="I32" i="8"/>
  <c r="D32" i="9"/>
  <c r="I33" i="8"/>
  <c r="D33" i="9"/>
  <c r="I34" i="8"/>
  <c r="D34" i="9"/>
  <c r="I35" i="8"/>
  <c r="D35" i="9"/>
  <c r="I36" i="8"/>
  <c r="D36" i="9"/>
  <c r="I37" i="8"/>
  <c r="D37" i="9"/>
  <c r="I38" i="8"/>
  <c r="D38" i="9"/>
  <c r="D39" i="9"/>
  <c r="D40" i="9"/>
  <c r="I41" i="8"/>
  <c r="D41" i="9"/>
  <c r="D42" i="9"/>
  <c r="D43" i="9"/>
  <c r="I44" i="8"/>
  <c r="D44" i="9"/>
  <c r="D45" i="9"/>
  <c r="I46" i="8"/>
  <c r="D46" i="9"/>
  <c r="D47" i="9"/>
  <c r="I48" i="8"/>
  <c r="D48" i="9"/>
  <c r="D49" i="9"/>
  <c r="D50" i="9"/>
  <c r="D51" i="9"/>
  <c r="D52" i="9"/>
  <c r="I53" i="8"/>
  <c r="D53" i="9"/>
  <c r="I54" i="8"/>
  <c r="D54" i="9"/>
  <c r="D55" i="9"/>
  <c r="D56" i="9"/>
  <c r="D57" i="9"/>
  <c r="I58" i="8"/>
  <c r="D58" i="9"/>
  <c r="D59" i="9"/>
  <c r="D60" i="9"/>
  <c r="D61" i="9"/>
  <c r="D62" i="9"/>
  <c r="I63" i="8"/>
  <c r="D63" i="9"/>
  <c r="I64" i="8"/>
  <c r="D64" i="9"/>
  <c r="I65" i="8"/>
  <c r="D65" i="9"/>
  <c r="I66" i="8"/>
  <c r="D66" i="9"/>
  <c r="I67" i="8"/>
  <c r="D67" i="9"/>
  <c r="I68" i="8"/>
  <c r="D68" i="9"/>
  <c r="I69" i="8"/>
  <c r="D69" i="9"/>
  <c r="I70" i="8"/>
  <c r="D70" i="9"/>
  <c r="I71" i="8"/>
  <c r="D71" i="9"/>
  <c r="I72" i="8"/>
  <c r="D72" i="9"/>
  <c r="I73" i="8"/>
  <c r="D73" i="9"/>
  <c r="I74" i="8"/>
  <c r="D74" i="9"/>
  <c r="I75" i="8"/>
  <c r="D75" i="9"/>
  <c r="I76" i="8"/>
  <c r="D76" i="9"/>
  <c r="I77" i="8"/>
  <c r="D77" i="9"/>
  <c r="I78" i="8"/>
  <c r="D78" i="9"/>
  <c r="I79" i="8"/>
  <c r="D79" i="9"/>
  <c r="I80" i="8"/>
  <c r="D80" i="9"/>
  <c r="I81" i="8"/>
  <c r="D81" i="9"/>
  <c r="I82" i="8"/>
  <c r="D82" i="9"/>
  <c r="I83" i="8"/>
  <c r="D83" i="9"/>
  <c r="I84" i="8"/>
  <c r="D84" i="9"/>
  <c r="I85" i="8"/>
  <c r="D85" i="9"/>
  <c r="I86" i="8"/>
  <c r="D86" i="9"/>
  <c r="I87" i="8"/>
  <c r="D87" i="9"/>
  <c r="I88" i="8"/>
  <c r="D88" i="9"/>
  <c r="I89" i="8"/>
  <c r="D89" i="9"/>
  <c r="I90" i="8"/>
  <c r="D90" i="9"/>
  <c r="I91" i="8"/>
  <c r="D91" i="9"/>
  <c r="I92" i="8"/>
  <c r="D92" i="9"/>
  <c r="D93" i="9"/>
  <c r="D94" i="9"/>
  <c r="I95" i="8"/>
  <c r="D95" i="9"/>
  <c r="I96" i="8"/>
  <c r="D96" i="9"/>
  <c r="D97" i="9"/>
  <c r="I98" i="8"/>
  <c r="D98" i="9"/>
  <c r="D3" i="9"/>
  <c r="R139" i="8"/>
  <c r="R138" i="8"/>
  <c r="R140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36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18" i="8"/>
  <c r="R137" i="8"/>
  <c r="R136" i="8"/>
  <c r="R125" i="8"/>
  <c r="R130" i="8"/>
  <c r="R118" i="8"/>
  <c r="U158" i="8"/>
  <c r="U166" i="8"/>
  <c r="R162" i="8"/>
  <c r="R111" i="8"/>
  <c r="R112" i="8"/>
  <c r="R113" i="8"/>
  <c r="R114" i="8"/>
  <c r="R115" i="8"/>
  <c r="R116" i="8"/>
  <c r="R117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99" i="8"/>
  <c r="R110" i="8"/>
  <c r="R109" i="8"/>
  <c r="R108" i="8"/>
  <c r="R107" i="8"/>
  <c r="R106" i="8"/>
  <c r="R105" i="8"/>
  <c r="R104" i="8"/>
  <c r="R103" i="8"/>
  <c r="R102" i="8"/>
  <c r="R101" i="8"/>
  <c r="R100" i="8"/>
  <c r="R99" i="8"/>
  <c r="Q173" i="8"/>
  <c r="U173" i="8"/>
  <c r="Q169" i="8"/>
  <c r="R169" i="8"/>
  <c r="Q170" i="8"/>
  <c r="R170" i="8"/>
  <c r="Q171" i="8"/>
  <c r="R171" i="8"/>
  <c r="Q172" i="8"/>
  <c r="R172" i="8"/>
  <c r="Q168" i="8"/>
  <c r="R168" i="8"/>
  <c r="Q167" i="8"/>
  <c r="Q166" i="8"/>
  <c r="Q162" i="8"/>
  <c r="Q163" i="8"/>
  <c r="R163" i="8"/>
  <c r="Q164" i="8"/>
  <c r="R164" i="8"/>
  <c r="Q165" i="8"/>
  <c r="Q161" i="8"/>
  <c r="R161" i="8"/>
  <c r="Q158" i="8"/>
  <c r="Q159" i="8"/>
  <c r="U159" i="8"/>
  <c r="Q160" i="8"/>
  <c r="U160" i="8"/>
  <c r="Q157" i="8"/>
  <c r="U157" i="8"/>
  <c r="Q155" i="8"/>
  <c r="R155" i="8"/>
  <c r="Q156" i="8"/>
  <c r="R156" i="8"/>
  <c r="Q154" i="8"/>
  <c r="R154" i="8"/>
  <c r="Q174" i="8"/>
  <c r="R174" i="8"/>
  <c r="AA4" i="7"/>
  <c r="AA5" i="7"/>
  <c r="AA7" i="7"/>
  <c r="AA8" i="7"/>
  <c r="AA9" i="7"/>
  <c r="Z4" i="7"/>
  <c r="Z5" i="7"/>
  <c r="Z7" i="7"/>
  <c r="Z8" i="7"/>
  <c r="Z9" i="7"/>
  <c r="AA3" i="7"/>
  <c r="Z3" i="7"/>
  <c r="Y9" i="7"/>
  <c r="Y8" i="7"/>
  <c r="Y7" i="7"/>
  <c r="Y4" i="7"/>
  <c r="Y5" i="7"/>
  <c r="Y3" i="7"/>
  <c r="H116" i="8"/>
  <c r="I116" i="8"/>
  <c r="H117" i="8"/>
  <c r="H115" i="8"/>
  <c r="H114" i="8"/>
  <c r="H113" i="8"/>
  <c r="H112" i="8"/>
  <c r="H111" i="8"/>
  <c r="H110" i="8"/>
  <c r="H109" i="8"/>
  <c r="H108" i="8"/>
  <c r="H107" i="8"/>
  <c r="H106" i="8"/>
  <c r="H105" i="8"/>
  <c r="H100" i="8"/>
  <c r="H101" i="8"/>
  <c r="H102" i="8"/>
  <c r="H103" i="8"/>
  <c r="H104" i="8"/>
  <c r="H99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19" i="8"/>
  <c r="H120" i="8"/>
  <c r="H121" i="8"/>
  <c r="H122" i="8"/>
  <c r="H123" i="8"/>
  <c r="H118" i="8"/>
  <c r="H22" i="8"/>
  <c r="H23" i="8"/>
  <c r="H24" i="8"/>
  <c r="H25" i="8"/>
  <c r="H26" i="8"/>
  <c r="H21" i="8"/>
  <c r="H40" i="8"/>
  <c r="I40" i="8"/>
  <c r="H20" i="8"/>
  <c r="I20" i="8"/>
  <c r="H19" i="8"/>
  <c r="I19" i="8"/>
  <c r="H18" i="8"/>
  <c r="I18" i="8"/>
  <c r="H17" i="8"/>
  <c r="I17" i="8"/>
  <c r="H16" i="8"/>
  <c r="F16" i="8"/>
  <c r="H15" i="8"/>
  <c r="I15" i="8"/>
  <c r="F15" i="8"/>
  <c r="H174" i="8"/>
  <c r="I174" i="8"/>
  <c r="H173" i="8"/>
  <c r="I173" i="8"/>
  <c r="H172" i="8"/>
  <c r="I172" i="8"/>
  <c r="H171" i="8"/>
  <c r="I171" i="8"/>
  <c r="H170" i="8"/>
  <c r="I170" i="8"/>
  <c r="H169" i="8"/>
  <c r="I169" i="8"/>
  <c r="H168" i="8"/>
  <c r="I168" i="8"/>
  <c r="H167" i="8"/>
  <c r="I167" i="8"/>
  <c r="H166" i="8"/>
  <c r="I166" i="8"/>
  <c r="H165" i="8"/>
  <c r="I165" i="8"/>
  <c r="H164" i="8"/>
  <c r="I164" i="8"/>
  <c r="H163" i="8"/>
  <c r="I163" i="8"/>
  <c r="H162" i="8"/>
  <c r="I162" i="8"/>
  <c r="H161" i="8"/>
  <c r="I161" i="8"/>
  <c r="H160" i="8"/>
  <c r="I160" i="8"/>
  <c r="H159" i="8"/>
  <c r="I159" i="8"/>
  <c r="H158" i="8"/>
  <c r="I158" i="8"/>
  <c r="H157" i="8"/>
  <c r="I157" i="8"/>
  <c r="H156" i="8"/>
  <c r="I156" i="8"/>
  <c r="H155" i="8"/>
  <c r="I155" i="8"/>
  <c r="H154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H98" i="8"/>
  <c r="H97" i="8"/>
  <c r="I97" i="8"/>
  <c r="H96" i="8"/>
  <c r="H95" i="8"/>
  <c r="H94" i="8"/>
  <c r="I94" i="8"/>
  <c r="H93" i="8"/>
  <c r="I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I62" i="8"/>
  <c r="H61" i="8"/>
  <c r="I61" i="8"/>
  <c r="H60" i="8"/>
  <c r="I60" i="8"/>
  <c r="H59" i="8"/>
  <c r="I59" i="8"/>
  <c r="H58" i="8"/>
  <c r="H57" i="8"/>
  <c r="I57" i="8"/>
  <c r="H56" i="8"/>
  <c r="I56" i="8"/>
  <c r="H55" i="8"/>
  <c r="I55" i="8"/>
  <c r="H54" i="8"/>
  <c r="H53" i="8"/>
  <c r="H52" i="8"/>
  <c r="I52" i="8"/>
  <c r="H51" i="8"/>
  <c r="I51" i="8"/>
  <c r="H50" i="8"/>
  <c r="I50" i="8"/>
  <c r="H49" i="8"/>
  <c r="I49" i="8"/>
  <c r="H48" i="8"/>
  <c r="H47" i="8"/>
  <c r="I47" i="8"/>
  <c r="H46" i="8"/>
  <c r="H45" i="8"/>
  <c r="I45" i="8"/>
  <c r="H44" i="8"/>
  <c r="H43" i="8"/>
  <c r="I43" i="8"/>
  <c r="H42" i="8"/>
  <c r="I42" i="8"/>
  <c r="H41" i="8"/>
  <c r="H39" i="8"/>
  <c r="I39" i="8"/>
  <c r="H38" i="8"/>
  <c r="H37" i="8"/>
  <c r="H36" i="8"/>
  <c r="H35" i="8"/>
  <c r="H34" i="8"/>
  <c r="H33" i="8"/>
  <c r="H32" i="8"/>
  <c r="H31" i="8"/>
  <c r="H30" i="8"/>
  <c r="H29" i="8"/>
  <c r="H28" i="8"/>
  <c r="H27" i="8"/>
  <c r="I26" i="8"/>
  <c r="I22" i="8"/>
  <c r="H14" i="8"/>
  <c r="I14" i="8"/>
  <c r="H13" i="8"/>
  <c r="I13" i="8"/>
  <c r="H12" i="8"/>
  <c r="I12" i="8"/>
  <c r="H11" i="8"/>
  <c r="I11" i="8"/>
  <c r="H10" i="8"/>
  <c r="I10" i="8"/>
  <c r="H9" i="8"/>
  <c r="H3" i="8"/>
  <c r="I3" i="8"/>
  <c r="H4" i="8"/>
  <c r="H5" i="8"/>
  <c r="H6" i="8"/>
  <c r="I6" i="8"/>
  <c r="H7" i="8"/>
  <c r="I7" i="8"/>
  <c r="H8" i="8"/>
  <c r="I8" i="8"/>
  <c r="F95" i="8"/>
  <c r="F94" i="8"/>
  <c r="F93" i="8"/>
  <c r="F89" i="8"/>
  <c r="F88" i="8"/>
  <c r="F87" i="8"/>
  <c r="F83" i="8"/>
  <c r="F82" i="8"/>
  <c r="F81" i="8"/>
  <c r="F77" i="8"/>
  <c r="F76" i="8"/>
  <c r="F75" i="8"/>
  <c r="F71" i="8"/>
  <c r="F70" i="8"/>
  <c r="F69" i="8"/>
  <c r="F65" i="8"/>
  <c r="F66" i="8"/>
  <c r="F64" i="8"/>
  <c r="F63" i="8"/>
  <c r="F59" i="8"/>
  <c r="F58" i="8"/>
  <c r="F57" i="8"/>
  <c r="F53" i="8"/>
  <c r="F52" i="8"/>
  <c r="F51" i="8"/>
  <c r="F47" i="8"/>
  <c r="F46" i="8"/>
  <c r="F45" i="8"/>
  <c r="F40" i="8"/>
  <c r="F39" i="8"/>
  <c r="F34" i="8"/>
  <c r="F33" i="8"/>
  <c r="F28" i="8"/>
  <c r="F27" i="8"/>
  <c r="F22" i="8"/>
  <c r="F21" i="8"/>
  <c r="F10" i="8"/>
  <c r="F9" i="8"/>
  <c r="F4" i="8"/>
  <c r="F3" i="8"/>
  <c r="S26" i="7"/>
  <c r="E26" i="7"/>
  <c r="H26" i="7"/>
  <c r="E25" i="7"/>
  <c r="H25" i="7"/>
  <c r="E24" i="7"/>
  <c r="S23" i="7"/>
  <c r="E23" i="7"/>
  <c r="H23" i="7"/>
  <c r="E22" i="7"/>
  <c r="H22" i="7"/>
  <c r="E21" i="7"/>
  <c r="S20" i="7"/>
  <c r="E20" i="7"/>
  <c r="H20" i="7"/>
  <c r="E19" i="7"/>
  <c r="H19" i="7"/>
  <c r="E18" i="7"/>
  <c r="P14" i="7"/>
  <c r="P17" i="7"/>
  <c r="Q17" i="7"/>
  <c r="Q14" i="7"/>
  <c r="P11" i="7"/>
  <c r="Q11" i="7"/>
  <c r="S17" i="7"/>
  <c r="E17" i="7"/>
  <c r="H17" i="7"/>
  <c r="E16" i="7"/>
  <c r="E15" i="7"/>
  <c r="H15" i="7"/>
  <c r="S11" i="7"/>
  <c r="S8" i="7"/>
  <c r="S5" i="7"/>
  <c r="S14" i="7"/>
  <c r="E14" i="7"/>
  <c r="H14" i="7"/>
  <c r="E12" i="7"/>
  <c r="E11" i="7"/>
  <c r="H11" i="7"/>
  <c r="E10" i="7"/>
  <c r="H10" i="7"/>
  <c r="E9" i="7"/>
  <c r="E8" i="7"/>
  <c r="H8" i="7"/>
  <c r="E7" i="7"/>
  <c r="H7" i="7"/>
  <c r="E6" i="7"/>
  <c r="P26" i="7"/>
  <c r="R26" i="7"/>
  <c r="P7" i="7"/>
  <c r="R7" i="7"/>
  <c r="P8" i="7"/>
  <c r="Q8" i="7"/>
  <c r="P9" i="7"/>
  <c r="Q9" i="7"/>
  <c r="P10" i="7"/>
  <c r="R10" i="7"/>
  <c r="R11" i="7"/>
  <c r="P12" i="7"/>
  <c r="R12" i="7"/>
  <c r="R14" i="7"/>
  <c r="P15" i="7"/>
  <c r="R15" i="7"/>
  <c r="P16" i="7"/>
  <c r="Q16" i="7"/>
  <c r="P18" i="7"/>
  <c r="R18" i="7"/>
  <c r="P19" i="7"/>
  <c r="R19" i="7"/>
  <c r="P20" i="7"/>
  <c r="P21" i="7"/>
  <c r="Q21" i="7"/>
  <c r="P22" i="7"/>
  <c r="R22" i="7"/>
  <c r="P23" i="7"/>
  <c r="R23" i="7"/>
  <c r="P24" i="7"/>
  <c r="R24" i="7"/>
  <c r="P25" i="7"/>
  <c r="Q25" i="7"/>
  <c r="P6" i="7"/>
  <c r="Q6" i="7"/>
  <c r="E5" i="7"/>
  <c r="R8" i="7"/>
  <c r="R17" i="7"/>
  <c r="R20" i="7"/>
  <c r="H16" i="7"/>
  <c r="H18" i="7"/>
  <c r="H21" i="7"/>
  <c r="H24" i="7"/>
  <c r="Q26" i="7"/>
  <c r="Q20" i="7"/>
  <c r="Q24" i="7"/>
  <c r="E4" i="7"/>
  <c r="H4" i="7"/>
  <c r="P4" i="7"/>
  <c r="P5" i="7"/>
  <c r="Q5" i="7"/>
  <c r="Q4" i="7"/>
  <c r="R4" i="7"/>
  <c r="P3" i="7"/>
  <c r="R3" i="7"/>
  <c r="E3" i="7"/>
  <c r="H5" i="7"/>
  <c r="H6" i="7"/>
  <c r="H9" i="7"/>
  <c r="H12" i="7"/>
  <c r="H3" i="7"/>
  <c r="T192" i="1"/>
  <c r="T189" i="1"/>
  <c r="T190" i="1"/>
  <c r="T191" i="1"/>
  <c r="T188" i="1"/>
  <c r="L12" i="6"/>
  <c r="T187" i="1"/>
  <c r="L11" i="6"/>
  <c r="T182" i="1"/>
  <c r="T183" i="1"/>
  <c r="T184" i="1"/>
  <c r="T185" i="1"/>
  <c r="T186" i="1"/>
  <c r="T181" i="1"/>
  <c r="R25" i="7"/>
  <c r="R21" i="7"/>
  <c r="R16" i="7"/>
  <c r="Q12" i="7"/>
  <c r="R9" i="7"/>
  <c r="Q23" i="7"/>
  <c r="Q19" i="7"/>
  <c r="Q15" i="7"/>
  <c r="Q7" i="7"/>
  <c r="Q22" i="7"/>
  <c r="Q18" i="7"/>
  <c r="Q10" i="7"/>
  <c r="R6" i="7"/>
  <c r="Q3" i="7"/>
  <c r="R5" i="7"/>
  <c r="T180" i="1"/>
  <c r="T179" i="1"/>
  <c r="T178" i="1"/>
  <c r="T177" i="1"/>
  <c r="T176" i="1"/>
  <c r="T175" i="1"/>
  <c r="I30" i="6"/>
  <c r="C95" i="2"/>
  <c r="C94" i="2"/>
  <c r="C93" i="2"/>
  <c r="C92" i="2"/>
  <c r="C91" i="2"/>
  <c r="N30" i="4"/>
  <c r="M30" i="4"/>
  <c r="M17" i="4"/>
  <c r="L10" i="6"/>
  <c r="T170" i="1"/>
  <c r="T171" i="1"/>
  <c r="T172" i="1"/>
  <c r="T173" i="1"/>
  <c r="T174" i="1"/>
  <c r="T169" i="1"/>
  <c r="L3" i="6"/>
  <c r="T164" i="1"/>
  <c r="T165" i="1"/>
  <c r="T166" i="1"/>
  <c r="T167" i="1"/>
  <c r="T168" i="1"/>
  <c r="T163" i="1"/>
  <c r="T158" i="1"/>
  <c r="T159" i="1"/>
  <c r="T160" i="1"/>
  <c r="T161" i="1"/>
  <c r="T162" i="1"/>
  <c r="L9" i="6"/>
  <c r="T157" i="1"/>
  <c r="T152" i="1"/>
  <c r="T153" i="1"/>
  <c r="T154" i="1"/>
  <c r="T155" i="1"/>
  <c r="T156" i="1"/>
  <c r="L8" i="6"/>
  <c r="T151" i="1"/>
  <c r="L7" i="6"/>
  <c r="T146" i="1"/>
  <c r="T147" i="1"/>
  <c r="T148" i="1"/>
  <c r="T149" i="1"/>
  <c r="T150" i="1"/>
  <c r="T145" i="1"/>
  <c r="T140" i="1"/>
  <c r="W140" i="1"/>
  <c r="L6" i="6"/>
  <c r="L5" i="6"/>
  <c r="L4" i="6"/>
  <c r="T141" i="1"/>
  <c r="W141" i="1"/>
  <c r="T142" i="1"/>
  <c r="T143" i="1"/>
  <c r="W143" i="1"/>
  <c r="T144" i="1"/>
  <c r="W144" i="1"/>
  <c r="T139" i="1"/>
  <c r="W139" i="1"/>
  <c r="T133" i="1"/>
  <c r="T134" i="1"/>
  <c r="W134" i="1"/>
  <c r="T135" i="1"/>
  <c r="W135" i="1"/>
  <c r="T136" i="1"/>
  <c r="W136" i="1"/>
  <c r="T137" i="1"/>
  <c r="T138" i="1"/>
  <c r="W138" i="1"/>
  <c r="T132" i="1"/>
  <c r="W132" i="1"/>
  <c r="T131" i="1"/>
  <c r="W131" i="1"/>
  <c r="T126" i="1"/>
  <c r="W126" i="1"/>
  <c r="T127" i="1"/>
  <c r="W127" i="1"/>
  <c r="T128" i="1"/>
  <c r="W128" i="1"/>
  <c r="T129" i="1"/>
  <c r="W129" i="1"/>
  <c r="T130" i="1"/>
  <c r="W130" i="1"/>
  <c r="T125" i="1"/>
  <c r="W125" i="1"/>
  <c r="T120" i="1"/>
  <c r="W120" i="1"/>
  <c r="T121" i="1"/>
  <c r="W121" i="1"/>
  <c r="T122" i="1"/>
  <c r="T123" i="1"/>
  <c r="T124" i="1"/>
  <c r="W124" i="1"/>
  <c r="T119" i="1"/>
  <c r="W119" i="1"/>
  <c r="T114" i="1"/>
  <c r="W114" i="1"/>
  <c r="T115" i="1"/>
  <c r="W115" i="1"/>
  <c r="T116" i="1"/>
  <c r="W116" i="1"/>
  <c r="T117" i="1"/>
  <c r="W117" i="1"/>
  <c r="T118" i="1"/>
  <c r="W118" i="1"/>
  <c r="T113" i="1"/>
  <c r="W113" i="1"/>
  <c r="T108" i="1"/>
  <c r="W108" i="1"/>
  <c r="T109" i="1"/>
  <c r="W109" i="1"/>
  <c r="T110" i="1"/>
  <c r="T111" i="1"/>
  <c r="W111" i="1"/>
  <c r="T112" i="1"/>
  <c r="W112" i="1"/>
  <c r="T107" i="1"/>
  <c r="T102" i="1"/>
  <c r="W102" i="1"/>
  <c r="T103" i="1"/>
  <c r="W103" i="1"/>
  <c r="T104" i="1"/>
  <c r="T105" i="1"/>
  <c r="W105" i="1"/>
  <c r="T106" i="1"/>
  <c r="W106" i="1"/>
  <c r="T101" i="1"/>
  <c r="T96" i="1"/>
  <c r="W96" i="1"/>
  <c r="T97" i="1"/>
  <c r="W97" i="1"/>
  <c r="T98" i="1"/>
  <c r="T99" i="1"/>
  <c r="W99" i="1"/>
  <c r="T100" i="1"/>
  <c r="W100" i="1"/>
  <c r="T95" i="1"/>
  <c r="T90" i="1"/>
  <c r="W90" i="1"/>
  <c r="T91" i="1"/>
  <c r="W91" i="1"/>
  <c r="T92" i="1"/>
  <c r="W92" i="1"/>
  <c r="T93" i="1"/>
  <c r="W93" i="1"/>
  <c r="T94" i="1"/>
  <c r="W94" i="1"/>
  <c r="T89" i="1"/>
  <c r="W89" i="1"/>
  <c r="T84" i="1"/>
  <c r="W84" i="1"/>
  <c r="T85" i="1"/>
  <c r="W85" i="1"/>
  <c r="T86" i="1"/>
  <c r="T87" i="1"/>
  <c r="T88" i="1"/>
  <c r="W88" i="1"/>
  <c r="T83" i="1"/>
  <c r="W83" i="1"/>
  <c r="T77" i="1"/>
  <c r="T78" i="1"/>
  <c r="T79" i="1"/>
  <c r="W79" i="1"/>
  <c r="T80" i="1"/>
  <c r="W80" i="1"/>
  <c r="T81" i="1"/>
  <c r="T82" i="1"/>
  <c r="T76" i="1"/>
  <c r="W76" i="1"/>
  <c r="W95" i="1"/>
  <c r="W98" i="1"/>
  <c r="W101" i="1"/>
  <c r="W104" i="1"/>
  <c r="W107" i="1"/>
  <c r="W110" i="1"/>
  <c r="W122" i="1"/>
  <c r="W123" i="1"/>
  <c r="W133" i="1"/>
  <c r="W137" i="1"/>
  <c r="W142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T71" i="1"/>
  <c r="W71" i="1"/>
  <c r="T72" i="1"/>
  <c r="W72" i="1"/>
  <c r="T73" i="1"/>
  <c r="W73" i="1"/>
  <c r="T74" i="1"/>
  <c r="W74" i="1"/>
  <c r="T75" i="1"/>
  <c r="W75" i="1"/>
  <c r="T70" i="1"/>
  <c r="W70" i="1"/>
  <c r="T65" i="1"/>
  <c r="W65" i="1"/>
  <c r="T66" i="1"/>
  <c r="W66" i="1"/>
  <c r="T67" i="1"/>
  <c r="W67" i="1"/>
  <c r="T68" i="1"/>
  <c r="T69" i="1"/>
  <c r="W69" i="1"/>
  <c r="T64" i="1"/>
  <c r="W64" i="1"/>
  <c r="T59" i="1"/>
  <c r="W59" i="1"/>
  <c r="T60" i="1"/>
  <c r="W60" i="1"/>
  <c r="T61" i="1"/>
  <c r="W61" i="1"/>
  <c r="T62" i="1"/>
  <c r="W62" i="1"/>
  <c r="T63" i="1"/>
  <c r="W63" i="1"/>
  <c r="T58" i="1"/>
  <c r="T53" i="1"/>
  <c r="W53" i="1"/>
  <c r="T54" i="1"/>
  <c r="W54" i="1"/>
  <c r="T55" i="1"/>
  <c r="W55" i="1"/>
  <c r="T56" i="1"/>
  <c r="W56" i="1"/>
  <c r="T57" i="1"/>
  <c r="W57" i="1"/>
  <c r="T52" i="1"/>
  <c r="W52" i="1"/>
  <c r="T47" i="1"/>
  <c r="W47" i="1"/>
  <c r="T48" i="1"/>
  <c r="W48" i="1"/>
  <c r="T49" i="1"/>
  <c r="W49" i="1"/>
  <c r="T50" i="1"/>
  <c r="W50" i="1"/>
  <c r="T51" i="1"/>
  <c r="W51" i="1"/>
  <c r="T46" i="1"/>
  <c r="W46" i="1"/>
  <c r="T41" i="1"/>
  <c r="W41" i="1"/>
  <c r="T42" i="1"/>
  <c r="W42" i="1"/>
  <c r="T43" i="1"/>
  <c r="W43" i="1"/>
  <c r="T44" i="1"/>
  <c r="W44" i="1"/>
  <c r="T45" i="1"/>
  <c r="W45" i="1"/>
  <c r="T40" i="1"/>
  <c r="W40" i="1"/>
  <c r="T35" i="1"/>
  <c r="W35" i="1"/>
  <c r="T36" i="1"/>
  <c r="W36" i="1"/>
  <c r="T37" i="1"/>
  <c r="T38" i="1"/>
  <c r="W38" i="1"/>
  <c r="T39" i="1"/>
  <c r="W39" i="1"/>
  <c r="T34" i="1"/>
  <c r="W34" i="1"/>
  <c r="T33" i="1"/>
  <c r="W33" i="1"/>
  <c r="T28" i="1"/>
  <c r="W28" i="1"/>
  <c r="T29" i="1"/>
  <c r="W29" i="1"/>
  <c r="T30" i="1"/>
  <c r="T31" i="1"/>
  <c r="T32" i="1"/>
  <c r="W32" i="1"/>
  <c r="T27" i="1"/>
  <c r="W27" i="1"/>
  <c r="W30" i="1"/>
  <c r="W31" i="1"/>
  <c r="W37" i="1"/>
  <c r="W58" i="1"/>
  <c r="W68" i="1"/>
  <c r="W77" i="1"/>
  <c r="W78" i="1"/>
  <c r="W81" i="1"/>
  <c r="W82" i="1"/>
  <c r="W86" i="1"/>
  <c r="W87" i="1"/>
  <c r="T22" i="1"/>
  <c r="W22" i="1"/>
  <c r="T23" i="1"/>
  <c r="W23" i="1"/>
  <c r="T24" i="1"/>
  <c r="T25" i="1"/>
  <c r="T26" i="1"/>
  <c r="W26" i="1"/>
  <c r="T21" i="1"/>
  <c r="W21" i="1"/>
  <c r="W24" i="1"/>
  <c r="W25" i="1"/>
  <c r="T16" i="1"/>
  <c r="W16" i="1"/>
  <c r="T17" i="1"/>
  <c r="W17" i="1"/>
  <c r="T18" i="1"/>
  <c r="T19" i="1"/>
  <c r="W19" i="1"/>
  <c r="T20" i="1"/>
  <c r="W20" i="1"/>
  <c r="T15" i="1"/>
  <c r="W15" i="1"/>
  <c r="W18" i="1"/>
  <c r="T10" i="1"/>
  <c r="W10" i="1"/>
  <c r="T11" i="1"/>
  <c r="W11" i="1"/>
  <c r="T12" i="1"/>
  <c r="W12" i="1"/>
  <c r="T13" i="1"/>
  <c r="W13" i="1"/>
  <c r="T14" i="1"/>
  <c r="W14" i="1"/>
  <c r="T9" i="1"/>
  <c r="T8" i="1"/>
  <c r="W8" i="1"/>
  <c r="T5" i="1"/>
  <c r="W5" i="1"/>
  <c r="T6" i="1"/>
  <c r="W6" i="1"/>
  <c r="T7" i="1"/>
  <c r="W7" i="1"/>
  <c r="W9" i="1"/>
  <c r="T4" i="1"/>
  <c r="W4" i="1"/>
  <c r="T3" i="1"/>
  <c r="W3" i="1"/>
  <c r="F58" i="5"/>
  <c r="G58" i="5"/>
  <c r="J58" i="5"/>
  <c r="K58" i="5"/>
  <c r="F57" i="5"/>
  <c r="G57" i="5"/>
  <c r="J57" i="5"/>
  <c r="K57" i="5"/>
  <c r="F56" i="5"/>
  <c r="G56" i="5"/>
  <c r="J56" i="5"/>
  <c r="K56" i="5"/>
  <c r="F55" i="5"/>
  <c r="G55" i="5"/>
  <c r="J55" i="5"/>
  <c r="K55" i="5"/>
  <c r="F54" i="5"/>
  <c r="G54" i="5"/>
  <c r="J54" i="5"/>
  <c r="K54" i="5"/>
  <c r="F53" i="5"/>
  <c r="G53" i="5"/>
  <c r="J53" i="5"/>
  <c r="K53" i="5"/>
  <c r="F52" i="5"/>
  <c r="G52" i="5"/>
  <c r="J52" i="5"/>
  <c r="K52" i="5"/>
  <c r="F144" i="2"/>
  <c r="E144" i="2"/>
  <c r="C144" i="2"/>
  <c r="I26" i="4"/>
  <c r="F26" i="4"/>
  <c r="F150" i="2"/>
  <c r="E150" i="2"/>
  <c r="G150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M35" i="4"/>
  <c r="M26" i="4"/>
  <c r="M37" i="4"/>
  <c r="F51" i="5"/>
  <c r="G51" i="5"/>
  <c r="J51" i="5"/>
  <c r="K51" i="5"/>
  <c r="F50" i="5"/>
  <c r="G50" i="5"/>
  <c r="J50" i="5"/>
  <c r="K50" i="5"/>
  <c r="F49" i="5"/>
  <c r="G49" i="5"/>
  <c r="J49" i="5"/>
  <c r="K49" i="5"/>
  <c r="F48" i="5"/>
  <c r="G48" i="5"/>
  <c r="J48" i="5"/>
  <c r="K48" i="5"/>
  <c r="F47" i="5"/>
  <c r="G47" i="5"/>
  <c r="J47" i="5"/>
  <c r="K47" i="5"/>
  <c r="F46" i="5"/>
  <c r="G46" i="5"/>
  <c r="J46" i="5"/>
  <c r="K46" i="5"/>
  <c r="F45" i="5"/>
  <c r="G45" i="5"/>
  <c r="J45" i="5"/>
  <c r="K45" i="5"/>
  <c r="F44" i="5"/>
  <c r="G44" i="5"/>
  <c r="J44" i="5"/>
  <c r="K44" i="5"/>
  <c r="C114" i="2"/>
  <c r="F114" i="2"/>
  <c r="E114" i="2"/>
  <c r="M19" i="4"/>
  <c r="M23" i="4"/>
  <c r="M4" i="4"/>
  <c r="G95" i="2"/>
  <c r="M15" i="4"/>
  <c r="M21" i="4"/>
  <c r="F43" i="5"/>
  <c r="G43" i="5"/>
  <c r="J43" i="5"/>
  <c r="K43" i="5"/>
  <c r="F42" i="5"/>
  <c r="G42" i="5"/>
  <c r="J42" i="5"/>
  <c r="K42" i="5"/>
  <c r="F41" i="5"/>
  <c r="G41" i="5"/>
  <c r="J41" i="5"/>
  <c r="K41" i="5"/>
  <c r="F40" i="5"/>
  <c r="G40" i="5"/>
  <c r="J40" i="5"/>
  <c r="K40" i="5"/>
  <c r="F39" i="5"/>
  <c r="G39" i="5"/>
  <c r="J39" i="5"/>
  <c r="K39" i="5"/>
  <c r="F38" i="5"/>
  <c r="G38" i="5"/>
  <c r="J38" i="5"/>
  <c r="K38" i="5"/>
  <c r="F37" i="5"/>
  <c r="G37" i="5"/>
  <c r="J37" i="5"/>
  <c r="K37" i="5"/>
  <c r="F36" i="5"/>
  <c r="G36" i="5"/>
  <c r="J36" i="5"/>
  <c r="K36" i="5"/>
  <c r="M24" i="4"/>
  <c r="M22" i="4"/>
  <c r="G84" i="2"/>
  <c r="G85" i="2"/>
  <c r="G86" i="2"/>
  <c r="G87" i="2"/>
  <c r="G88" i="2"/>
  <c r="G89" i="2"/>
  <c r="G90" i="2"/>
  <c r="G96" i="2"/>
  <c r="G97" i="2"/>
  <c r="G98" i="2"/>
  <c r="G99" i="2"/>
  <c r="G100" i="2"/>
  <c r="G101" i="2"/>
  <c r="G102" i="2"/>
  <c r="G108" i="2"/>
  <c r="G114" i="2"/>
  <c r="G120" i="2"/>
  <c r="G126" i="2"/>
  <c r="G132" i="2"/>
  <c r="G138" i="2"/>
  <c r="G139" i="2"/>
  <c r="G140" i="2"/>
  <c r="G141" i="2"/>
  <c r="G142" i="2"/>
  <c r="G143" i="2"/>
  <c r="G144" i="2"/>
  <c r="G76" i="2"/>
  <c r="G77" i="2"/>
  <c r="M20" i="4"/>
  <c r="M6" i="4"/>
  <c r="M18" i="4"/>
  <c r="F35" i="5"/>
  <c r="G35" i="5"/>
  <c r="J35" i="5"/>
  <c r="K35" i="5"/>
  <c r="F34" i="5"/>
  <c r="G34" i="5"/>
  <c r="J34" i="5"/>
  <c r="K34" i="5"/>
  <c r="F33" i="5"/>
  <c r="G33" i="5"/>
  <c r="F32" i="5"/>
  <c r="G32" i="5"/>
  <c r="J32" i="5"/>
  <c r="K32" i="5"/>
  <c r="F31" i="5"/>
  <c r="G31" i="5"/>
  <c r="F30" i="5"/>
  <c r="G30" i="5"/>
  <c r="J30" i="5"/>
  <c r="K30" i="5"/>
  <c r="F29" i="5"/>
  <c r="G29" i="5"/>
  <c r="J29" i="5"/>
  <c r="K29" i="5"/>
  <c r="F28" i="5"/>
  <c r="G28" i="5"/>
  <c r="J28" i="5"/>
  <c r="K28" i="5"/>
  <c r="F27" i="5"/>
  <c r="G27" i="5"/>
  <c r="J27" i="5"/>
  <c r="K27" i="5"/>
  <c r="C4" i="2"/>
  <c r="F4" i="2"/>
  <c r="E4" i="2"/>
  <c r="G4" i="2"/>
  <c r="C3" i="2"/>
  <c r="F3" i="2"/>
  <c r="E3" i="2"/>
  <c r="M2" i="4"/>
  <c r="F77" i="2"/>
  <c r="E77" i="2"/>
  <c r="M13" i="4"/>
  <c r="G47" i="2"/>
  <c r="G53" i="2"/>
  <c r="G59" i="2"/>
  <c r="G2" i="2"/>
  <c r="G10" i="2"/>
  <c r="G16" i="2"/>
  <c r="G22" i="2"/>
  <c r="G28" i="2"/>
  <c r="G34" i="2"/>
  <c r="G40" i="2"/>
  <c r="G65" i="2"/>
  <c r="G71" i="2"/>
  <c r="C41" i="2"/>
  <c r="F41" i="2"/>
  <c r="C42" i="2"/>
  <c r="G42" i="2"/>
  <c r="G92" i="2"/>
  <c r="G93" i="2"/>
  <c r="G94" i="2"/>
  <c r="G91" i="2"/>
  <c r="G3" i="2"/>
  <c r="G41" i="2"/>
  <c r="E41" i="2"/>
  <c r="F26" i="5"/>
  <c r="G26" i="5"/>
  <c r="J26" i="5"/>
  <c r="K26" i="5"/>
  <c r="F25" i="5"/>
  <c r="G25" i="5"/>
  <c r="J25" i="5"/>
  <c r="K25" i="5"/>
  <c r="F24" i="5"/>
  <c r="G24" i="5"/>
  <c r="J24" i="5"/>
  <c r="K24" i="5"/>
  <c r="F23" i="5"/>
  <c r="G23" i="5"/>
  <c r="F22" i="5"/>
  <c r="G22" i="5"/>
  <c r="J22" i="5"/>
  <c r="K22" i="5"/>
  <c r="F21" i="5"/>
  <c r="G21" i="5"/>
  <c r="F20" i="5"/>
  <c r="G20" i="5"/>
  <c r="F19" i="5"/>
  <c r="G19" i="5"/>
  <c r="F18" i="5"/>
  <c r="G18" i="5"/>
  <c r="J18" i="5"/>
  <c r="K18" i="5"/>
  <c r="F17" i="5"/>
  <c r="G17" i="5"/>
  <c r="M10" i="4"/>
  <c r="J7" i="5"/>
  <c r="K7" i="5"/>
  <c r="M7" i="4"/>
  <c r="J4" i="5"/>
  <c r="K4" i="5"/>
  <c r="M5" i="4"/>
  <c r="J2" i="5"/>
  <c r="K2" i="5"/>
  <c r="J3" i="5"/>
  <c r="K3" i="5"/>
  <c r="J9" i="5"/>
  <c r="K9" i="5"/>
  <c r="J10" i="5"/>
  <c r="K10" i="5"/>
  <c r="J11" i="5"/>
  <c r="K11" i="5"/>
  <c r="J12" i="5"/>
  <c r="K12" i="5"/>
  <c r="J13" i="5"/>
  <c r="K13" i="5"/>
  <c r="J15" i="5"/>
  <c r="K15" i="5"/>
  <c r="M11" i="4"/>
  <c r="J8" i="5"/>
  <c r="K8" i="5"/>
  <c r="F16" i="5"/>
  <c r="G16" i="5"/>
  <c r="F15" i="5"/>
  <c r="G15" i="5"/>
  <c r="F14" i="5"/>
  <c r="G14" i="5"/>
  <c r="F13" i="5"/>
  <c r="G13" i="5"/>
  <c r="F12" i="5"/>
  <c r="G12" i="5"/>
  <c r="F11" i="5"/>
  <c r="G11" i="5"/>
  <c r="F10" i="5"/>
  <c r="G10" i="5"/>
  <c r="F9" i="5"/>
  <c r="G9" i="5"/>
  <c r="F8" i="5"/>
  <c r="G8" i="5"/>
  <c r="F7" i="5"/>
  <c r="G7" i="5"/>
  <c r="F6" i="5"/>
  <c r="G6" i="5"/>
  <c r="F5" i="5"/>
  <c r="G5" i="5"/>
  <c r="F4" i="5"/>
  <c r="G4" i="5"/>
  <c r="F3" i="5"/>
  <c r="G3" i="5"/>
  <c r="F2" i="5"/>
  <c r="G2" i="5"/>
  <c r="N3" i="4"/>
  <c r="N5" i="4"/>
  <c r="N6" i="4"/>
  <c r="N7" i="4"/>
  <c r="N10" i="4"/>
  <c r="N12" i="4"/>
  <c r="N13" i="4"/>
  <c r="N14" i="4"/>
  <c r="N15" i="4"/>
  <c r="N16" i="4"/>
  <c r="N18" i="4"/>
  <c r="N21" i="4"/>
  <c r="N25" i="4"/>
  <c r="N27" i="4"/>
  <c r="N28" i="4"/>
  <c r="N29" i="4"/>
  <c r="N31" i="4"/>
  <c r="N32" i="4"/>
  <c r="N33" i="4"/>
  <c r="N34" i="4"/>
  <c r="N36" i="4"/>
  <c r="N38" i="4"/>
  <c r="N39" i="4"/>
  <c r="M8" i="4"/>
  <c r="J5" i="5"/>
  <c r="K5" i="5"/>
  <c r="M9" i="4"/>
  <c r="J6" i="5"/>
  <c r="K6" i="5"/>
  <c r="N9" i="4"/>
  <c r="N8" i="4"/>
  <c r="C8" i="2"/>
  <c r="C50" i="2"/>
  <c r="M39" i="4"/>
  <c r="C223" i="2"/>
  <c r="F223" i="2"/>
  <c r="E223" i="2"/>
  <c r="M38" i="4"/>
  <c r="M36" i="4"/>
  <c r="C204" i="2"/>
  <c r="F204" i="2"/>
  <c r="E204" i="2"/>
  <c r="M34" i="4"/>
  <c r="M33" i="4"/>
  <c r="C185" i="2"/>
  <c r="F185" i="2"/>
  <c r="E185" i="2"/>
  <c r="M32" i="4"/>
  <c r="C180" i="2"/>
  <c r="F180" i="2"/>
  <c r="E180" i="2"/>
  <c r="M31" i="4"/>
  <c r="C175" i="2"/>
  <c r="F175" i="2"/>
  <c r="E175" i="2"/>
  <c r="M29" i="4"/>
  <c r="C161" i="2"/>
  <c r="F161" i="2"/>
  <c r="E161" i="2"/>
  <c r="M28" i="4"/>
  <c r="C156" i="2"/>
  <c r="F156" i="2"/>
  <c r="E156" i="2"/>
  <c r="M25" i="4"/>
  <c r="C101" i="2"/>
  <c r="F101" i="2"/>
  <c r="E101" i="2"/>
  <c r="M16" i="4"/>
  <c r="C87" i="2"/>
  <c r="F87" i="2"/>
  <c r="E87" i="2"/>
  <c r="C82" i="2"/>
  <c r="C56" i="2"/>
  <c r="M12" i="4"/>
  <c r="C67" i="2"/>
  <c r="C44" i="2"/>
  <c r="C52" i="2"/>
  <c r="J14" i="5"/>
  <c r="K14" i="5"/>
  <c r="N17" i="4"/>
  <c r="C199" i="2"/>
  <c r="F199" i="2"/>
  <c r="E199" i="2"/>
  <c r="J31" i="5"/>
  <c r="K31" i="5"/>
  <c r="N35" i="4"/>
  <c r="C149" i="2"/>
  <c r="J23" i="5"/>
  <c r="K23" i="5"/>
  <c r="N26" i="4"/>
  <c r="C209" i="2"/>
  <c r="F209" i="2"/>
  <c r="E209" i="2"/>
  <c r="J33" i="5"/>
  <c r="K33" i="5"/>
  <c r="N37" i="4"/>
  <c r="C106" i="2"/>
  <c r="J16" i="5"/>
  <c r="K16" i="5"/>
  <c r="N19" i="4"/>
  <c r="C130" i="2"/>
  <c r="J20" i="5"/>
  <c r="K20" i="5"/>
  <c r="N23" i="4"/>
  <c r="F82" i="2"/>
  <c r="E82" i="2"/>
  <c r="G82" i="2"/>
  <c r="C135" i="2"/>
  <c r="J21" i="5"/>
  <c r="K21" i="5"/>
  <c r="N24" i="4"/>
  <c r="C125" i="2"/>
  <c r="J19" i="5"/>
  <c r="K19" i="5"/>
  <c r="N22" i="4"/>
  <c r="C111" i="2"/>
  <c r="J17" i="5"/>
  <c r="K17" i="5"/>
  <c r="N20" i="4"/>
  <c r="F44" i="2"/>
  <c r="E44" i="2"/>
  <c r="G44" i="2"/>
  <c r="F67" i="2"/>
  <c r="E67" i="2"/>
  <c r="G67" i="2"/>
  <c r="F56" i="2"/>
  <c r="E56" i="2"/>
  <c r="G56" i="2"/>
  <c r="F50" i="2"/>
  <c r="E50" i="2"/>
  <c r="G50" i="2"/>
  <c r="F52" i="2"/>
  <c r="E52" i="2"/>
  <c r="G52" i="2"/>
  <c r="F8" i="2"/>
  <c r="G8" i="2"/>
  <c r="C7" i="2"/>
  <c r="N2" i="4"/>
  <c r="E8" i="2"/>
  <c r="C62" i="2"/>
  <c r="N11" i="4"/>
  <c r="C107" i="2"/>
  <c r="C157" i="2"/>
  <c r="F157" i="2"/>
  <c r="E157" i="2"/>
  <c r="C205" i="2"/>
  <c r="F205" i="2"/>
  <c r="E205" i="2"/>
  <c r="C88" i="2"/>
  <c r="F88" i="2"/>
  <c r="E88" i="2"/>
  <c r="C112" i="2"/>
  <c r="C136" i="2"/>
  <c r="C162" i="2"/>
  <c r="F162" i="2"/>
  <c r="E162" i="2"/>
  <c r="C186" i="2"/>
  <c r="F186" i="2"/>
  <c r="E186" i="2"/>
  <c r="C210" i="2"/>
  <c r="F210" i="2"/>
  <c r="E210" i="2"/>
  <c r="C83" i="2"/>
  <c r="C131" i="2"/>
  <c r="C181" i="2"/>
  <c r="F181" i="2"/>
  <c r="E181" i="2"/>
  <c r="C57" i="2"/>
  <c r="C98" i="2"/>
  <c r="F98" i="2"/>
  <c r="E98" i="2"/>
  <c r="C122" i="2"/>
  <c r="C146" i="2"/>
  <c r="C172" i="2"/>
  <c r="F172" i="2"/>
  <c r="E172" i="2"/>
  <c r="C196" i="2"/>
  <c r="F196" i="2"/>
  <c r="E196" i="2"/>
  <c r="C220" i="2"/>
  <c r="F220" i="2"/>
  <c r="E220" i="2"/>
  <c r="C68" i="2"/>
  <c r="C79" i="2"/>
  <c r="C103" i="2"/>
  <c r="C127" i="2"/>
  <c r="C153" i="2"/>
  <c r="F153" i="2"/>
  <c r="E153" i="2"/>
  <c r="C177" i="2"/>
  <c r="F177" i="2"/>
  <c r="E177" i="2"/>
  <c r="C201" i="2"/>
  <c r="F201" i="2"/>
  <c r="E201" i="2"/>
  <c r="C45" i="2"/>
  <c r="F92" i="2"/>
  <c r="E92" i="2"/>
  <c r="F93" i="2"/>
  <c r="E93" i="2"/>
  <c r="F95" i="2"/>
  <c r="E95" i="2"/>
  <c r="F91" i="2"/>
  <c r="E91" i="2"/>
  <c r="F94" i="2"/>
  <c r="E94" i="2"/>
  <c r="C140" i="2"/>
  <c r="F140" i="2"/>
  <c r="E140" i="2"/>
  <c r="C143" i="2"/>
  <c r="F143" i="2"/>
  <c r="E143" i="2"/>
  <c r="C139" i="2"/>
  <c r="F139" i="2"/>
  <c r="E139" i="2"/>
  <c r="C142" i="2"/>
  <c r="F142" i="2"/>
  <c r="E142" i="2"/>
  <c r="C141" i="2"/>
  <c r="F141" i="2"/>
  <c r="E141" i="2"/>
  <c r="C190" i="2"/>
  <c r="F190" i="2"/>
  <c r="E190" i="2"/>
  <c r="C193" i="2"/>
  <c r="F193" i="2"/>
  <c r="E193" i="2"/>
  <c r="C189" i="2"/>
  <c r="F189" i="2"/>
  <c r="E189" i="2"/>
  <c r="C192" i="2"/>
  <c r="F192" i="2"/>
  <c r="E192" i="2"/>
  <c r="C191" i="2"/>
  <c r="F191" i="2"/>
  <c r="E191" i="2"/>
  <c r="C76" i="2"/>
  <c r="C72" i="2"/>
  <c r="C75" i="2"/>
  <c r="C73" i="2"/>
  <c r="C74" i="2"/>
  <c r="C116" i="2"/>
  <c r="C119" i="2"/>
  <c r="C115" i="2"/>
  <c r="C117" i="2"/>
  <c r="C118" i="2"/>
  <c r="C214" i="2"/>
  <c r="F214" i="2"/>
  <c r="E214" i="2"/>
  <c r="C217" i="2"/>
  <c r="F217" i="2"/>
  <c r="E217" i="2"/>
  <c r="C213" i="2"/>
  <c r="F213" i="2"/>
  <c r="E213" i="2"/>
  <c r="C215" i="2"/>
  <c r="F215" i="2"/>
  <c r="E215" i="2"/>
  <c r="C216" i="2"/>
  <c r="F216" i="2"/>
  <c r="E216" i="2"/>
  <c r="C63" i="2"/>
  <c r="C60" i="2"/>
  <c r="C64" i="2"/>
  <c r="C61" i="2"/>
  <c r="C166" i="2"/>
  <c r="C169" i="2"/>
  <c r="C165" i="2"/>
  <c r="C168" i="2"/>
  <c r="C167" i="2"/>
  <c r="C9" i="2"/>
  <c r="F42" i="2"/>
  <c r="C46" i="2"/>
  <c r="C51" i="2"/>
  <c r="C54" i="2"/>
  <c r="C58" i="2"/>
  <c r="C69" i="2"/>
  <c r="C80" i="2"/>
  <c r="C85" i="2"/>
  <c r="F85" i="2"/>
  <c r="E85" i="2"/>
  <c r="C89" i="2"/>
  <c r="F89" i="2"/>
  <c r="E89" i="2"/>
  <c r="C99" i="2"/>
  <c r="F99" i="2"/>
  <c r="E99" i="2"/>
  <c r="C104" i="2"/>
  <c r="C109" i="2"/>
  <c r="C113" i="2"/>
  <c r="C123" i="2"/>
  <c r="C128" i="2"/>
  <c r="C133" i="2"/>
  <c r="C137" i="2"/>
  <c r="C147" i="2"/>
  <c r="C154" i="2"/>
  <c r="F154" i="2"/>
  <c r="E154" i="2"/>
  <c r="C159" i="2"/>
  <c r="F159" i="2"/>
  <c r="E159" i="2"/>
  <c r="C163" i="2"/>
  <c r="F163" i="2"/>
  <c r="E163" i="2"/>
  <c r="C173" i="2"/>
  <c r="F173" i="2"/>
  <c r="E173" i="2"/>
  <c r="C178" i="2"/>
  <c r="F178" i="2"/>
  <c r="E178" i="2"/>
  <c r="C183" i="2"/>
  <c r="F183" i="2"/>
  <c r="E183" i="2"/>
  <c r="C187" i="2"/>
  <c r="F187" i="2"/>
  <c r="E187" i="2"/>
  <c r="C197" i="2"/>
  <c r="F197" i="2"/>
  <c r="E197" i="2"/>
  <c r="C202" i="2"/>
  <c r="F202" i="2"/>
  <c r="E202" i="2"/>
  <c r="C207" i="2"/>
  <c r="F207" i="2"/>
  <c r="E207" i="2"/>
  <c r="C211" i="2"/>
  <c r="F211" i="2"/>
  <c r="E211" i="2"/>
  <c r="C221" i="2"/>
  <c r="F221" i="2"/>
  <c r="E221" i="2"/>
  <c r="C6" i="2"/>
  <c r="C43" i="2"/>
  <c r="G43" i="2"/>
  <c r="C48" i="2"/>
  <c r="C55" i="2"/>
  <c r="C66" i="2"/>
  <c r="C70" i="2"/>
  <c r="C81" i="2"/>
  <c r="C86" i="2"/>
  <c r="F86" i="2"/>
  <c r="E86" i="2"/>
  <c r="C100" i="2"/>
  <c r="F100" i="2"/>
  <c r="E100" i="2"/>
  <c r="C105" i="2"/>
  <c r="C110" i="2"/>
  <c r="C124" i="2"/>
  <c r="C129" i="2"/>
  <c r="C134" i="2"/>
  <c r="C148" i="2"/>
  <c r="C155" i="2"/>
  <c r="F155" i="2"/>
  <c r="E155" i="2"/>
  <c r="C160" i="2"/>
  <c r="F160" i="2"/>
  <c r="E160" i="2"/>
  <c r="C174" i="2"/>
  <c r="F174" i="2"/>
  <c r="E174" i="2"/>
  <c r="C179" i="2"/>
  <c r="F179" i="2"/>
  <c r="E179" i="2"/>
  <c r="C184" i="2"/>
  <c r="F184" i="2"/>
  <c r="E184" i="2"/>
  <c r="C198" i="2"/>
  <c r="F198" i="2"/>
  <c r="E198" i="2"/>
  <c r="C203" i="2"/>
  <c r="F203" i="2"/>
  <c r="E203" i="2"/>
  <c r="C208" i="2"/>
  <c r="F208" i="2"/>
  <c r="E208" i="2"/>
  <c r="C222" i="2"/>
  <c r="F222" i="2"/>
  <c r="E222" i="2"/>
  <c r="C49" i="2"/>
  <c r="C97" i="2"/>
  <c r="F97" i="2"/>
  <c r="E97" i="2"/>
  <c r="C121" i="2"/>
  <c r="C145" i="2"/>
  <c r="C171" i="2"/>
  <c r="F171" i="2"/>
  <c r="E171" i="2"/>
  <c r="C195" i="2"/>
  <c r="F195" i="2"/>
  <c r="E195" i="2"/>
  <c r="C219" i="2"/>
  <c r="F219" i="2"/>
  <c r="E219" i="2"/>
  <c r="C5" i="2"/>
  <c r="M3" i="4"/>
  <c r="C11" i="2"/>
  <c r="G11" i="2"/>
  <c r="N4" i="4"/>
  <c r="F165" i="2"/>
  <c r="E165" i="2"/>
  <c r="G165" i="2"/>
  <c r="F169" i="2"/>
  <c r="E169" i="2"/>
  <c r="G169" i="2"/>
  <c r="F167" i="2"/>
  <c r="E167" i="2"/>
  <c r="G167" i="2"/>
  <c r="F166" i="2"/>
  <c r="E166" i="2"/>
  <c r="G166" i="2"/>
  <c r="F168" i="2"/>
  <c r="E168" i="2"/>
  <c r="G168" i="2"/>
  <c r="F148" i="2"/>
  <c r="E148" i="2"/>
  <c r="G148" i="2"/>
  <c r="F146" i="2"/>
  <c r="E146" i="2"/>
  <c r="G146" i="2"/>
  <c r="F145" i="2"/>
  <c r="E145" i="2"/>
  <c r="G145" i="2"/>
  <c r="F147" i="2"/>
  <c r="E147" i="2"/>
  <c r="G147" i="2"/>
  <c r="F149" i="2"/>
  <c r="E149" i="2"/>
  <c r="G149" i="2"/>
  <c r="F103" i="2"/>
  <c r="E103" i="2"/>
  <c r="G103" i="2"/>
  <c r="F104" i="2"/>
  <c r="E104" i="2"/>
  <c r="G104" i="2"/>
  <c r="F107" i="2"/>
  <c r="E107" i="2"/>
  <c r="G107" i="2"/>
  <c r="F105" i="2"/>
  <c r="E105" i="2"/>
  <c r="G105" i="2"/>
  <c r="F106" i="2"/>
  <c r="E106" i="2"/>
  <c r="G106" i="2"/>
  <c r="F127" i="2"/>
  <c r="E127" i="2"/>
  <c r="G127" i="2"/>
  <c r="F131" i="2"/>
  <c r="E131" i="2"/>
  <c r="G131" i="2"/>
  <c r="F129" i="2"/>
  <c r="E129" i="2"/>
  <c r="G129" i="2"/>
  <c r="F128" i="2"/>
  <c r="E128" i="2"/>
  <c r="G128" i="2"/>
  <c r="F130" i="2"/>
  <c r="E130" i="2"/>
  <c r="G130" i="2"/>
  <c r="F81" i="2"/>
  <c r="E81" i="2"/>
  <c r="G81" i="2"/>
  <c r="F80" i="2"/>
  <c r="E80" i="2"/>
  <c r="G80" i="2"/>
  <c r="F83" i="2"/>
  <c r="E83" i="2"/>
  <c r="G83" i="2"/>
  <c r="F79" i="2"/>
  <c r="E79" i="2"/>
  <c r="G79" i="2"/>
  <c r="F119" i="2"/>
  <c r="E119" i="2"/>
  <c r="G119" i="2"/>
  <c r="F115" i="2"/>
  <c r="E115" i="2"/>
  <c r="G115" i="2"/>
  <c r="F118" i="2"/>
  <c r="E118" i="2"/>
  <c r="G118" i="2"/>
  <c r="F116" i="2"/>
  <c r="E116" i="2"/>
  <c r="G116" i="2"/>
  <c r="F117" i="2"/>
  <c r="E117" i="2"/>
  <c r="G117" i="2"/>
  <c r="F137" i="2"/>
  <c r="E137" i="2"/>
  <c r="G137" i="2"/>
  <c r="F136" i="2"/>
  <c r="E136" i="2"/>
  <c r="G136" i="2"/>
  <c r="F134" i="2"/>
  <c r="E134" i="2"/>
  <c r="G134" i="2"/>
  <c r="F133" i="2"/>
  <c r="E133" i="2"/>
  <c r="G133" i="2"/>
  <c r="F135" i="2"/>
  <c r="E135" i="2"/>
  <c r="G135" i="2"/>
  <c r="F124" i="2"/>
  <c r="E124" i="2"/>
  <c r="G124" i="2"/>
  <c r="F123" i="2"/>
  <c r="E123" i="2"/>
  <c r="G123" i="2"/>
  <c r="F121" i="2"/>
  <c r="E121" i="2"/>
  <c r="G121" i="2"/>
  <c r="F122" i="2"/>
  <c r="E122" i="2"/>
  <c r="G122" i="2"/>
  <c r="F125" i="2"/>
  <c r="E125" i="2"/>
  <c r="G125" i="2"/>
  <c r="F110" i="2"/>
  <c r="E110" i="2"/>
  <c r="G110" i="2"/>
  <c r="F109" i="2"/>
  <c r="E109" i="2"/>
  <c r="G109" i="2"/>
  <c r="F113" i="2"/>
  <c r="E113" i="2"/>
  <c r="G113" i="2"/>
  <c r="F112" i="2"/>
  <c r="E112" i="2"/>
  <c r="G112" i="2"/>
  <c r="F111" i="2"/>
  <c r="E111" i="2"/>
  <c r="G111" i="2"/>
  <c r="F66" i="2"/>
  <c r="E66" i="2"/>
  <c r="G66" i="2"/>
  <c r="F63" i="2"/>
  <c r="E63" i="2"/>
  <c r="G63" i="2"/>
  <c r="F61" i="2"/>
  <c r="G61" i="2"/>
  <c r="F57" i="2"/>
  <c r="E57" i="2"/>
  <c r="G57" i="2"/>
  <c r="F58" i="2"/>
  <c r="E58" i="2"/>
  <c r="G58" i="2"/>
  <c r="F64" i="2"/>
  <c r="E64" i="2"/>
  <c r="G64" i="2"/>
  <c r="F68" i="2"/>
  <c r="E68" i="2"/>
  <c r="G68" i="2"/>
  <c r="F55" i="2"/>
  <c r="E55" i="2"/>
  <c r="G55" i="2"/>
  <c r="F69" i="2"/>
  <c r="E69" i="2"/>
  <c r="G69" i="2"/>
  <c r="F46" i="2"/>
  <c r="E46" i="2"/>
  <c r="G46" i="2"/>
  <c r="F70" i="2"/>
  <c r="G70" i="2"/>
  <c r="F54" i="2"/>
  <c r="E54" i="2"/>
  <c r="G54" i="2"/>
  <c r="F60" i="2"/>
  <c r="E60" i="2"/>
  <c r="G60" i="2"/>
  <c r="F45" i="2"/>
  <c r="E45" i="2"/>
  <c r="G45" i="2"/>
  <c r="F62" i="2"/>
  <c r="E62" i="2"/>
  <c r="G62" i="2"/>
  <c r="F72" i="2"/>
  <c r="E72" i="2"/>
  <c r="G72" i="2"/>
  <c r="F74" i="2"/>
  <c r="E74" i="2"/>
  <c r="G74" i="2"/>
  <c r="F76" i="2"/>
  <c r="E76" i="2"/>
  <c r="F73" i="2"/>
  <c r="E73" i="2"/>
  <c r="G73" i="2"/>
  <c r="F75" i="2"/>
  <c r="E75" i="2"/>
  <c r="G75" i="2"/>
  <c r="F48" i="2"/>
  <c r="E48" i="2"/>
  <c r="G48" i="2"/>
  <c r="F49" i="2"/>
  <c r="E49" i="2"/>
  <c r="G49" i="2"/>
  <c r="F51" i="2"/>
  <c r="E51" i="2"/>
  <c r="G51" i="2"/>
  <c r="F9" i="2"/>
  <c r="E9" i="2"/>
  <c r="G9" i="2"/>
  <c r="F7" i="2"/>
  <c r="E7" i="2"/>
  <c r="G7" i="2"/>
  <c r="F5" i="2"/>
  <c r="E5" i="2"/>
  <c r="G5" i="2"/>
  <c r="F6" i="2"/>
  <c r="E6" i="2"/>
  <c r="G6" i="2"/>
  <c r="F43" i="2"/>
  <c r="E43" i="2"/>
  <c r="E70" i="2"/>
  <c r="E61" i="2"/>
  <c r="E42" i="2"/>
  <c r="C38" i="2"/>
  <c r="C37" i="2"/>
  <c r="C36" i="2"/>
  <c r="C39" i="2"/>
  <c r="C35" i="2"/>
  <c r="C20" i="2"/>
  <c r="C19" i="2"/>
  <c r="C18" i="2"/>
  <c r="C17" i="2"/>
  <c r="C21" i="2"/>
  <c r="C33" i="2"/>
  <c r="C29" i="2"/>
  <c r="C32" i="2"/>
  <c r="C31" i="2"/>
  <c r="C30" i="2"/>
  <c r="C13" i="2"/>
  <c r="C12" i="2"/>
  <c r="C15" i="2"/>
  <c r="C14" i="2"/>
  <c r="C23" i="2"/>
  <c r="C26" i="2"/>
  <c r="C25" i="2"/>
  <c r="C24" i="2"/>
  <c r="C27" i="2"/>
  <c r="F11" i="2"/>
  <c r="F26" i="2"/>
  <c r="G26" i="2"/>
  <c r="F12" i="2"/>
  <c r="E12" i="2"/>
  <c r="G12" i="2"/>
  <c r="F32" i="2"/>
  <c r="G32" i="2"/>
  <c r="F17" i="2"/>
  <c r="E17" i="2"/>
  <c r="G17" i="2"/>
  <c r="F35" i="2"/>
  <c r="G35" i="2"/>
  <c r="F38" i="2"/>
  <c r="G38" i="2"/>
  <c r="F27" i="2"/>
  <c r="G27" i="2"/>
  <c r="F23" i="2"/>
  <c r="E23" i="2"/>
  <c r="G23" i="2"/>
  <c r="F13" i="2"/>
  <c r="G13" i="2"/>
  <c r="F29" i="2"/>
  <c r="E29" i="2"/>
  <c r="G29" i="2"/>
  <c r="F18" i="2"/>
  <c r="G18" i="2"/>
  <c r="F39" i="2"/>
  <c r="E39" i="2"/>
  <c r="G39" i="2"/>
  <c r="F24" i="2"/>
  <c r="G24" i="2"/>
  <c r="F14" i="2"/>
  <c r="G14" i="2"/>
  <c r="F30" i="2"/>
  <c r="G30" i="2"/>
  <c r="F33" i="2"/>
  <c r="E33" i="2"/>
  <c r="G33" i="2"/>
  <c r="F19" i="2"/>
  <c r="G19" i="2"/>
  <c r="F36" i="2"/>
  <c r="E36" i="2"/>
  <c r="G36" i="2"/>
  <c r="F25" i="2"/>
  <c r="G25" i="2"/>
  <c r="F15" i="2"/>
  <c r="E15" i="2"/>
  <c r="G15" i="2"/>
  <c r="F31" i="2"/>
  <c r="G31" i="2"/>
  <c r="F21" i="2"/>
  <c r="E21" i="2"/>
  <c r="G21" i="2"/>
  <c r="F20" i="2"/>
  <c r="G20" i="2"/>
  <c r="F37" i="2"/>
  <c r="E37" i="2"/>
  <c r="G37" i="2"/>
  <c r="E13" i="2"/>
  <c r="E18" i="2"/>
  <c r="E14" i="2"/>
  <c r="E30" i="2"/>
  <c r="E19" i="2"/>
  <c r="E31" i="2"/>
  <c r="E20" i="2"/>
  <c r="E11" i="2"/>
  <c r="E32" i="2"/>
  <c r="E38" i="2"/>
  <c r="E35" i="2"/>
  <c r="E25" i="2"/>
  <c r="E26" i="2"/>
  <c r="E27" i="2"/>
  <c r="E24" i="2"/>
</calcChain>
</file>

<file path=xl/sharedStrings.xml><?xml version="1.0" encoding="utf-8"?>
<sst xmlns="http://schemas.openxmlformats.org/spreadsheetml/2006/main" count="2666" uniqueCount="169">
  <si>
    <t>strain</t>
  </si>
  <si>
    <t>replicate</t>
  </si>
  <si>
    <t>sampling_date</t>
  </si>
  <si>
    <t>time</t>
  </si>
  <si>
    <t>dilution</t>
  </si>
  <si>
    <t>3x1m</t>
  </si>
  <si>
    <t>440nm_max</t>
  </si>
  <si>
    <t>470nm_max</t>
  </si>
  <si>
    <t>532nm_max</t>
  </si>
  <si>
    <t>440nm_mean</t>
  </si>
  <si>
    <t>470nm_mean</t>
  </si>
  <si>
    <t>532nm_mean</t>
  </si>
  <si>
    <t>Cyto</t>
  </si>
  <si>
    <t>numb_events</t>
  </si>
  <si>
    <t>dilution_cyto</t>
  </si>
  <si>
    <t>number_cells</t>
  </si>
  <si>
    <t>flow_rate(µL/min)</t>
  </si>
  <si>
    <t>HPLC</t>
  </si>
  <si>
    <t>filtered_volume</t>
  </si>
  <si>
    <t>diameter</t>
  </si>
  <si>
    <t>file_name</t>
  </si>
  <si>
    <t>PAM</t>
  </si>
  <si>
    <t>gain</t>
  </si>
  <si>
    <t>f0_440</t>
  </si>
  <si>
    <t>f0_480</t>
  </si>
  <si>
    <t>f0_590</t>
  </si>
  <si>
    <t>f0_625</t>
  </si>
  <si>
    <t>f0_540</t>
  </si>
  <si>
    <t>Strain</t>
  </si>
  <si>
    <t>Replicate Number</t>
  </si>
  <si>
    <t>Sampling date</t>
  </si>
  <si>
    <t>Cells/mL (fcm)</t>
  </si>
  <si>
    <t>Abs Chlb/ Abs Chla</t>
  </si>
  <si>
    <t>Vol sampled (ml)</t>
  </si>
  <si>
    <t>Vol methanol (ml)</t>
  </si>
  <si>
    <t>Chl a (mg/L)</t>
  </si>
  <si>
    <t>Remark</t>
  </si>
  <si>
    <t>PCC9511</t>
  </si>
  <si>
    <t>RCC162</t>
  </si>
  <si>
    <t>RCC156</t>
  </si>
  <si>
    <t>RCC2379</t>
  </si>
  <si>
    <t>RCC2374</t>
  </si>
  <si>
    <t>RCC2319</t>
  </si>
  <si>
    <t>RCC76</t>
  </si>
  <si>
    <t>RCC4213</t>
  </si>
  <si>
    <t>RCC100</t>
  </si>
  <si>
    <t>RCC1717</t>
  </si>
  <si>
    <t>RCC3030</t>
  </si>
  <si>
    <t>RCC3006</t>
  </si>
  <si>
    <t>A</t>
  </si>
  <si>
    <t>B</t>
  </si>
  <si>
    <t>C</t>
  </si>
  <si>
    <t>chl_init</t>
  </si>
  <si>
    <t>Conditions de culture</t>
  </si>
  <si>
    <t>luminosité</t>
  </si>
  <si>
    <t>50µE</t>
  </si>
  <si>
    <t>temp</t>
  </si>
  <si>
    <t>20°c</t>
  </si>
  <si>
    <t>Abs. Chl b (652) red peak -13 nm</t>
  </si>
  <si>
    <t>Abs. Chlc (630)</t>
  </si>
  <si>
    <t>Abs chla (664)</t>
  </si>
  <si>
    <t>chl_wanted</t>
  </si>
  <si>
    <t>medium_volume(ml)</t>
  </si>
  <si>
    <t>culture_volume(ml)</t>
  </si>
  <si>
    <t>PCC9512</t>
  </si>
  <si>
    <t>PCC9513</t>
  </si>
  <si>
    <t>PCC9514</t>
  </si>
  <si>
    <t>Abs chla (666)</t>
  </si>
  <si>
    <t>Chl a (µg/L)</t>
  </si>
  <si>
    <t>chl_real</t>
  </si>
  <si>
    <t>Jour</t>
  </si>
  <si>
    <t>Souche</t>
  </si>
  <si>
    <t>F0</t>
  </si>
  <si>
    <t>Fm</t>
  </si>
  <si>
    <t>Fv</t>
  </si>
  <si>
    <t>Fv/Fm</t>
  </si>
  <si>
    <t>cells_number(cells/ml)</t>
  </si>
  <si>
    <t>Chla_concentration (µg/mL)</t>
  </si>
  <si>
    <t>chla_cell</t>
  </si>
  <si>
    <t>lambda_nm</t>
  </si>
  <si>
    <t>blanc_dc</t>
  </si>
  <si>
    <t>le blanc est blanc_ok.txt, blanc réaliser sur du milieu de culture K+Si avec un bécher au noir + agitation sur 2' de mesure</t>
  </si>
  <si>
    <t>Column1</t>
  </si>
  <si>
    <t>Column2</t>
  </si>
  <si>
    <t>repiquage_date</t>
  </si>
  <si>
    <t>max fv/fm</t>
  </si>
  <si>
    <t xml:space="preserve">45000 +/- 10000 </t>
  </si>
  <si>
    <t>a</t>
  </si>
  <si>
    <t>medium_volume_real</t>
  </si>
  <si>
    <t>culture_volume_real</t>
  </si>
  <si>
    <t>inoculé avec 23/10</t>
  </si>
  <si>
    <t>Abs. Chl a (665.2) or DV-Chl a</t>
  </si>
  <si>
    <t>old</t>
  </si>
  <si>
    <t>NA</t>
  </si>
  <si>
    <t>zo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</si>
  <si>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</si>
  <si>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Cmere</t>
  </si>
  <si>
    <t>Fmd</t>
  </si>
  <si>
    <t>Gain</t>
  </si>
  <si>
    <t>RCC2319_repA_ref</t>
  </si>
  <si>
    <t>RCC2379_repA_ref</t>
  </si>
  <si>
    <t>RCC100_repA_ref</t>
  </si>
  <si>
    <t>RCC1717_repA_ref</t>
  </si>
  <si>
    <t>RCC76_repA_ref</t>
  </si>
  <si>
    <t>RCC4213_repA-ref</t>
  </si>
  <si>
    <t>0bis</t>
  </si>
  <si>
    <t>PCC9511_repA_ref</t>
  </si>
  <si>
    <t>RCC3006_repA_ref</t>
  </si>
  <si>
    <t>RCC2379_repB_ref</t>
  </si>
  <si>
    <t>RCC1717_repB_ref</t>
  </si>
  <si>
    <t>RCC4213-repB_ref</t>
  </si>
  <si>
    <t>RCC76_repB_ref</t>
  </si>
  <si>
    <t>PCC9511_repB_ref</t>
  </si>
  <si>
    <t>RCC100_repB_ref</t>
  </si>
  <si>
    <t>RCC2319_repB_ref</t>
  </si>
  <si>
    <t>RCC2374_repB_ref</t>
  </si>
  <si>
    <t>RCC3006_repB_ref</t>
  </si>
  <si>
    <t>RCC4213_repC_ref</t>
  </si>
  <si>
    <t>RCC76_repC_ref</t>
  </si>
  <si>
    <t>RCC100_repC_ref</t>
  </si>
  <si>
    <t xml:space="preserve">Fv/Fm ref </t>
  </si>
  <si>
    <t>RCC2374_repA_ref</t>
  </si>
  <si>
    <t>RCC156_repA_ref</t>
  </si>
  <si>
    <t>Fv/Fm moyen</t>
  </si>
  <si>
    <t>RCC2379_repC_ref</t>
  </si>
  <si>
    <t>Fv/Fm 'max'</t>
  </si>
  <si>
    <t>RCC2374_repC_ref</t>
  </si>
  <si>
    <t>RCC1717_repC_ref</t>
  </si>
  <si>
    <t xml:space="preserve"> </t>
  </si>
  <si>
    <t>PCC9511_repC_ref</t>
  </si>
  <si>
    <t>RCC2379_repD_ref</t>
  </si>
  <si>
    <t>D</t>
  </si>
  <si>
    <t>RCC2319_repC_ref</t>
  </si>
  <si>
    <t>RCC156_repB_ref</t>
  </si>
  <si>
    <t>RCC156_repC_ref</t>
  </si>
  <si>
    <t>RCC3006_repC_ref</t>
  </si>
  <si>
    <t>F0 soucheA</t>
  </si>
  <si>
    <t>F0 soucheB</t>
  </si>
  <si>
    <t>Souche A</t>
  </si>
  <si>
    <t>SoucheB</t>
  </si>
  <si>
    <t>Mélange</t>
  </si>
  <si>
    <t xml:space="preserve">Références tests mélanges </t>
  </si>
  <si>
    <t>F0 tot</t>
  </si>
  <si>
    <t>Contribution F0 souche A</t>
  </si>
  <si>
    <t>Contribution F0 souche B</t>
  </si>
  <si>
    <t>PAM - Signal non deconvolue</t>
  </si>
  <si>
    <t>PAM - Signal deconvolue</t>
  </si>
  <si>
    <t>filtered_volume (mL)</t>
  </si>
  <si>
    <t>SYN</t>
  </si>
  <si>
    <t>PROCH</t>
  </si>
  <si>
    <t>OTHERS</t>
  </si>
  <si>
    <t>Les échantillons cyto ont du être prélevés dans les tubes inversés</t>
  </si>
  <si>
    <t>Impossible de détecter des cellules au cyto</t>
  </si>
  <si>
    <t>facteur dilution</t>
  </si>
  <si>
    <t>numb_events PCC9511</t>
  </si>
  <si>
    <t>numb_events RCC2319</t>
  </si>
  <si>
    <t>number_cells PCC9511</t>
  </si>
  <si>
    <t>number_cells RCC2319</t>
  </si>
  <si>
    <t>PCC9511_RCC2319 Melange A</t>
  </si>
  <si>
    <t>PCC9511_RCC2319 Melange B</t>
  </si>
  <si>
    <t>PCC9511_RCC2319 Melange C</t>
  </si>
  <si>
    <t>RCC23198PCC9511 Melange A</t>
  </si>
  <si>
    <t>RCC23198PCC9511 Melange B</t>
  </si>
  <si>
    <t>RCC23198PCC9511 Melange C</t>
  </si>
  <si>
    <t>Temps de passage (min)</t>
  </si>
  <si>
    <t xml:space="preserve">Trop peu de cellules, concentration peu fiable </t>
  </si>
  <si>
    <t xml:space="preserve">Valeurs en rouge à prendre avec des pincettes </t>
  </si>
  <si>
    <t xml:space="preserve">Cases remplies en noir : valeurs non utilisables </t>
  </si>
  <si>
    <t xml:space="preserve">2eme passage car parametres non adaptés au "gros" phytoplnakton lors du premier run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</si>
</sst>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000"/>
    <numFmt numFmtId="166" formatCode="0.000E+00"/>
    <numFmt numFmtId="167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/>
    <xf numFmtId="0" fontId="3" fillId="0" borderId="0" xfId="0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wrapText="1"/>
    </xf>
    <xf numFmtId="166" fontId="3" fillId="0" borderId="0" xfId="0" applyNumberFormat="1" applyFont="1" applyAlignment="1">
      <alignment horizontal="center" vertical="center" wrapText="1"/>
    </xf>
    <xf numFmtId="165" fontId="3" fillId="0" borderId="0" xfId="0" applyNumberFormat="1" applyFont="1" applyFill="1" applyAlignment="1">
      <alignment horizontal="center" vertical="center" wrapText="1"/>
    </xf>
    <xf numFmtId="167" fontId="0" fillId="0" borderId="0" xfId="0" applyNumberFormat="1"/>
    <xf numFmtId="1" fontId="0" fillId="0" borderId="0" xfId="0" applyNumberFormat="1"/>
    <xf numFmtId="11" fontId="0" fillId="0" borderId="0" xfId="0" applyNumberFormat="1"/>
    <xf numFmtId="0" fontId="0" fillId="0" borderId="0" xfId="0" applyNumberFormat="1"/>
    <xf numFmtId="14" fontId="0" fillId="0" borderId="0" xfId="0" applyNumberFormat="1"/>
    <xf numFmtId="16" fontId="0" fillId="0" borderId="0" xfId="0" applyNumberFormat="1"/>
    <xf numFmtId="0" fontId="0" fillId="2" borderId="0" xfId="0" applyFill="1"/>
    <xf numFmtId="16" fontId="0" fillId="2" borderId="0" xfId="0" applyNumberFormat="1" applyFill="1"/>
    <xf numFmtId="0" fontId="0" fillId="6" borderId="0" xfId="0" applyFill="1"/>
    <xf numFmtId="16" fontId="0" fillId="6" borderId="0" xfId="0" applyNumberFormat="1" applyFill="1"/>
    <xf numFmtId="0" fontId="0" fillId="6" borderId="0" xfId="0" applyFont="1" applyFill="1"/>
    <xf numFmtId="16" fontId="0" fillId="6" borderId="0" xfId="0" applyNumberFormat="1" applyFont="1" applyFill="1"/>
    <xf numFmtId="0" fontId="0" fillId="7" borderId="0" xfId="0" applyFill="1"/>
    <xf numFmtId="16" fontId="0" fillId="7" borderId="0" xfId="0" applyNumberFormat="1" applyFill="1"/>
    <xf numFmtId="0" fontId="0" fillId="0" borderId="0" xfId="0" applyFill="1"/>
    <xf numFmtId="16" fontId="0" fillId="0" borderId="0" xfId="0" applyNumberFormat="1" applyFill="1"/>
    <xf numFmtId="0" fontId="0" fillId="8" borderId="0" xfId="0" applyFill="1"/>
    <xf numFmtId="16" fontId="0" fillId="8" borderId="0" xfId="0" applyNumberFormat="1" applyFill="1"/>
    <xf numFmtId="0" fontId="0" fillId="0" borderId="1" xfId="0" applyBorder="1"/>
    <xf numFmtId="0" fontId="0" fillId="0" borderId="2" xfId="0" applyBorder="1" applyAlignment="1">
      <alignment vertical="center"/>
    </xf>
    <xf numFmtId="14" fontId="0" fillId="0" borderId="2" xfId="0" applyNumberFormat="1" applyBorder="1"/>
    <xf numFmtId="20" fontId="0" fillId="0" borderId="2" xfId="0" applyNumberFormat="1" applyBorder="1"/>
    <xf numFmtId="0" fontId="0" fillId="0" borderId="2" xfId="0" applyBorder="1"/>
    <xf numFmtId="0" fontId="0" fillId="0" borderId="4" xfId="0" applyBorder="1"/>
    <xf numFmtId="0" fontId="0" fillId="0" borderId="0" xfId="0" applyBorder="1" applyAlignment="1">
      <alignment vertical="center"/>
    </xf>
    <xf numFmtId="14" fontId="0" fillId="0" borderId="0" xfId="0" applyNumberForma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vertical="center"/>
    </xf>
    <xf numFmtId="14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2" xfId="0" quotePrefix="1" applyBorder="1"/>
    <xf numFmtId="20" fontId="0" fillId="0" borderId="0" xfId="0" applyNumberFormat="1" applyBorder="1"/>
    <xf numFmtId="0" fontId="0" fillId="0" borderId="0" xfId="0" applyFill="1" applyBorder="1"/>
    <xf numFmtId="0" fontId="0" fillId="0" borderId="5" xfId="0" applyFill="1" applyBorder="1"/>
    <xf numFmtId="0" fontId="0" fillId="0" borderId="2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6" xfId="0" applyFill="1" applyBorder="1"/>
    <xf numFmtId="0" fontId="0" fillId="8" borderId="0" xfId="0" applyFill="1" applyBorder="1"/>
    <xf numFmtId="0" fontId="0" fillId="8" borderId="7" xfId="0" applyFill="1" applyBorder="1"/>
    <xf numFmtId="0" fontId="0" fillId="8" borderId="2" xfId="0" applyFill="1" applyBorder="1"/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3" xfId="0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Border="1"/>
    <xf numFmtId="0" fontId="0" fillId="0" borderId="7" xfId="0" applyFont="1" applyBorder="1"/>
    <xf numFmtId="0" fontId="0" fillId="0" borderId="1" xfId="0" applyFont="1" applyFill="1" applyBorder="1"/>
    <xf numFmtId="0" fontId="0" fillId="0" borderId="2" xfId="0" applyFont="1" applyFill="1" applyBorder="1" applyAlignment="1">
      <alignment vertical="center"/>
    </xf>
    <xf numFmtId="14" fontId="0" fillId="0" borderId="2" xfId="0" applyNumberFormat="1" applyFont="1" applyBorder="1"/>
    <xf numFmtId="0" fontId="0" fillId="0" borderId="2" xfId="0" applyFont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14" fontId="0" fillId="0" borderId="0" xfId="0" applyNumberFormat="1" applyFont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7" xfId="0" applyFont="1" applyFill="1" applyBorder="1" applyAlignment="1">
      <alignment vertical="center"/>
    </xf>
    <xf numFmtId="14" fontId="0" fillId="0" borderId="7" xfId="0" applyNumberFormat="1" applyFont="1" applyBorder="1"/>
    <xf numFmtId="0" fontId="0" fillId="0" borderId="7" xfId="0" applyFont="1" applyFill="1" applyBorder="1"/>
    <xf numFmtId="0" fontId="0" fillId="0" borderId="8" xfId="0" applyFont="1" applyFill="1" applyBorder="1"/>
    <xf numFmtId="2" fontId="0" fillId="0" borderId="0" xfId="0" applyNumberFormat="1"/>
    <xf numFmtId="0" fontId="0" fillId="0" borderId="3" xfId="0" applyBorder="1"/>
    <xf numFmtId="0" fontId="0" fillId="9" borderId="3" xfId="0" applyFill="1" applyBorder="1"/>
    <xf numFmtId="0" fontId="0" fillId="9" borderId="5" xfId="0" applyFill="1" applyBorder="1"/>
    <xf numFmtId="0" fontId="2" fillId="0" borderId="0" xfId="0" applyFont="1"/>
    <xf numFmtId="0" fontId="0" fillId="5" borderId="0" xfId="0" applyFill="1" applyBorder="1" applyAlignment="1">
      <alignment horizontal="center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7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2" xfId="0" applyNumberFormat="1" applyBorder="1"/>
    <xf numFmtId="0" fontId="0" fillId="10" borderId="1" xfId="0" applyFill="1" applyBorder="1"/>
    <xf numFmtId="0" fontId="0" fillId="10" borderId="4" xfId="0" applyFill="1" applyBorder="1"/>
    <xf numFmtId="0" fontId="0" fillId="10" borderId="6" xfId="0" applyFill="1" applyBorder="1"/>
    <xf numFmtId="0" fontId="0" fillId="11" borderId="1" xfId="0" applyFill="1" applyBorder="1"/>
    <xf numFmtId="0" fontId="0" fillId="11" borderId="4" xfId="0" applyFill="1" applyBorder="1"/>
    <xf numFmtId="0" fontId="0" fillId="11" borderId="6" xfId="0" applyFill="1" applyBorder="1"/>
    <xf numFmtId="0" fontId="0" fillId="10" borderId="1" xfId="0" applyFont="1" applyFill="1" applyBorder="1"/>
    <xf numFmtId="0" fontId="0" fillId="10" borderId="4" xfId="0" applyFont="1" applyFill="1" applyBorder="1"/>
    <xf numFmtId="0" fontId="0" fillId="10" borderId="6" xfId="0" applyFont="1" applyFill="1" applyBorder="1"/>
    <xf numFmtId="0" fontId="0" fillId="11" borderId="1" xfId="0" applyFont="1" applyFill="1" applyBorder="1"/>
    <xf numFmtId="0" fontId="0" fillId="11" borderId="4" xfId="0" applyFont="1" applyFill="1" applyBorder="1"/>
    <xf numFmtId="0" fontId="0" fillId="11" borderId="6" xfId="0" applyFont="1" applyFill="1" applyBorder="1"/>
    <xf numFmtId="0" fontId="5" fillId="12" borderId="0" xfId="0" applyFont="1" applyFill="1"/>
    <xf numFmtId="0" fontId="5" fillId="12" borderId="2" xfId="0" applyFont="1" applyFill="1" applyBorder="1"/>
    <xf numFmtId="0" fontId="5" fillId="12" borderId="0" xfId="0" applyFont="1" applyFill="1" applyBorder="1"/>
    <xf numFmtId="0" fontId="5" fillId="12" borderId="7" xfId="0" applyFont="1" applyFill="1" applyBorder="1"/>
    <xf numFmtId="164" fontId="5" fillId="12" borderId="0" xfId="1" applyFont="1" applyFill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12" borderId="0" xfId="0" applyFill="1" applyBorder="1"/>
    <xf numFmtId="0" fontId="0" fillId="12" borderId="7" xfId="0" applyFill="1" applyBorder="1"/>
    <xf numFmtId="11" fontId="0" fillId="0" borderId="0" xfId="0" applyNumberFormat="1" applyBorder="1"/>
    <xf numFmtId="0" fontId="0" fillId="0" borderId="0" xfId="0" applyBorder="1" applyAlignment="1">
      <alignment horizontal="right"/>
    </xf>
    <xf numFmtId="11" fontId="0" fillId="8" borderId="3" xfId="0" applyNumberFormat="1" applyFill="1" applyBorder="1"/>
    <xf numFmtId="11" fontId="0" fillId="8" borderId="5" xfId="0" applyNumberFormat="1" applyFill="1" applyBorder="1"/>
    <xf numFmtId="0" fontId="0" fillId="0" borderId="7" xfId="0" applyFill="1" applyBorder="1" applyAlignment="1">
      <alignment horizontal="right"/>
    </xf>
    <xf numFmtId="11" fontId="0" fillId="8" borderId="8" xfId="0" applyNumberFormat="1" applyFill="1" applyBorder="1"/>
    <xf numFmtId="0" fontId="0" fillId="0" borderId="2" xfId="0" applyFill="1" applyBorder="1" applyAlignment="1">
      <alignment horizontal="right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9" borderId="0" xfId="0" applyFill="1" applyBorder="1"/>
    <xf numFmtId="0" fontId="0" fillId="9" borderId="7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0" xfId="0" applyFont="1"/>
    <xf numFmtId="0" fontId="0" fillId="0" borderId="9" xfId="0" applyBorder="1"/>
    <xf numFmtId="11" fontId="0" fillId="0" borderId="3" xfId="0" applyNumberFormat="1" applyBorder="1"/>
    <xf numFmtId="11" fontId="0" fillId="0" borderId="5" xfId="0" applyNumberFormat="1" applyBorder="1"/>
    <xf numFmtId="11" fontId="0" fillId="0" borderId="8" xfId="0" applyNumberFormat="1" applyBorder="1"/>
    <xf numFmtId="0" fontId="4" fillId="0" borderId="7" xfId="0" applyFont="1" applyFill="1" applyBorder="1"/>
    <xf numFmtId="0" fontId="4" fillId="0" borderId="7" xfId="0" applyFont="1" applyBorder="1"/>
    <xf numFmtId="0" fontId="6" fillId="0" borderId="0" xfId="0" applyFont="1"/>
    <xf numFmtId="11" fontId="4" fillId="0" borderId="8" xfId="0" applyNumberFormat="1" applyFont="1" applyBorder="1"/>
    <xf numFmtId="0" fontId="4" fillId="0" borderId="10" xfId="0" applyFont="1" applyBorder="1"/>
    <xf numFmtId="11" fontId="4" fillId="0" borderId="11" xfId="0" applyNumberFormat="1" applyFont="1" applyBorder="1"/>
    <xf numFmtId="11" fontId="7" fillId="8" borderId="5" xfId="0" applyNumberFormat="1" applyFont="1" applyFill="1" applyBorder="1"/>
    <xf numFmtId="0" fontId="7" fillId="0" borderId="0" xfId="0" applyFont="1" applyFill="1" applyBorder="1"/>
    <xf numFmtId="0" fontId="7" fillId="0" borderId="7" xfId="0" applyFont="1" applyFill="1" applyBorder="1"/>
    <xf numFmtId="0" fontId="0" fillId="6" borderId="7" xfId="0" applyFill="1" applyBorder="1"/>
    <xf numFmtId="11" fontId="4" fillId="0" borderId="5" xfId="0" applyNumberFormat="1" applyFont="1" applyBorder="1"/>
    <xf numFmtId="11" fontId="0" fillId="9" borderId="5" xfId="0" applyNumberFormat="1" applyFill="1" applyBorder="1"/>
    <xf numFmtId="11" fontId="0" fillId="9" borderId="8" xfId="0" applyNumberFormat="1" applyFill="1" applyBorder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164" fontId="0" fillId="2" borderId="0" xfId="1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2">
    <cellStyle name="Milliers" xfId="1" builtinId="3"/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5" name="Table5" displayName="Table5" ref="A1:N39" totalsRowShown="0" headerRowDxfId="5">
  <autoFilter ref="A1:N39"/>
  <tableColumns count="14">
    <tableColumn id="1" name="Strain"/>
    <tableColumn id="2" name="Replicate Number"/>
    <tableColumn id="3" name="Sampling date"/>
    <tableColumn id="4" name="Cells/mL (fcm)"/>
    <tableColumn id="5" name="Abs. Chl a (665.2) or DV-Chl a"/>
    <tableColumn id="6" name="Abs chla (664)"/>
    <tableColumn id="7" name="Abs chla (666)"/>
    <tableColumn id="8" name="Abs. Chl b (652) red peak -13 nm"/>
    <tableColumn id="9" name="Abs. Chlc (630)"/>
    <tableColumn id="10" name="Abs Chlb/ Abs Chla"/>
    <tableColumn id="11" name="Vol sampled (ml)"/>
    <tableColumn id="12" name="Vol methanol (ml)"/>
    <tableColumn id="13" name="Chl a (µg/L)"/>
    <tableColumn id="14" name="Chl a (mg/L)">
      <calculatedColumnFormula>M2/1000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I77" totalsRowShown="0">
  <autoFilter ref="A1:I77"/>
  <tableColumns count="9">
    <tableColumn id="1" name="strain"/>
    <tableColumn id="2" name="replicate"/>
    <tableColumn id="3" name="chl_init"/>
    <tableColumn id="4" name="chl_wanted"/>
    <tableColumn id="5" name="medium_volume(ml)">
      <calculatedColumnFormula>1000-F2</calculatedColumnFormula>
    </tableColumn>
    <tableColumn id="6" name="culture_volume(ml)">
      <calculatedColumnFormula>1000/(C2/D2)</calculatedColumnFormula>
    </tableColumn>
    <tableColumn id="7" name="chl_real" dataDxfId="4">
      <calculatedColumnFormula>(Table1[[#This Row],[culture_volume_real]]*Table1[[#This Row],[chl_init]])/(Table1[[#This Row],[culture_volume_real]]+Table1[[#This Row],[medium_volume_real]])</calculatedColumnFormula>
    </tableColumn>
    <tableColumn id="8" name="medium_volume_real"/>
    <tableColumn id="9" name="culture_volume_real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78:I150" totalsRowShown="0">
  <autoFilter ref="A78:I150"/>
  <tableColumns count="9">
    <tableColumn id="1" name="strain"/>
    <tableColumn id="2" name="replicate"/>
    <tableColumn id="3" name="chl_init"/>
    <tableColumn id="4" name="chl_wanted"/>
    <tableColumn id="5" name="medium_volume(ml)">
      <calculatedColumnFormula>1000-F79</calculatedColumnFormula>
    </tableColumn>
    <tableColumn id="6" name="culture_volume(ml)">
      <calculatedColumnFormula>1000/(C79/D79)</calculatedColumnFormula>
    </tableColumn>
    <tableColumn id="7" name="chl_real" dataDxfId="3">
      <calculatedColumnFormula>(Table13[[#This Row],[culture_volume_real]]*Table13[[#This Row],[chl_init]])/(Table13[[#This Row],[medium_volume_real]]+Table13[[#This Row],[culture_volume_real]])</calculatedColumnFormula>
    </tableColumn>
    <tableColumn id="8" name="medium_volume_real"/>
    <tableColumn id="9" name="culture_volume_real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3" name="Table14" displayName="Table14" ref="A151:I223" totalsRowShown="0">
  <autoFilter ref="A151:I223"/>
  <tableColumns count="9">
    <tableColumn id="1" name="strain"/>
    <tableColumn id="2" name="replicate"/>
    <tableColumn id="3" name="chl_init"/>
    <tableColumn id="4" name="chl_wanted"/>
    <tableColumn id="5" name="medium_volume(ml)">
      <calculatedColumnFormula>1000-F152</calculatedColumnFormula>
    </tableColumn>
    <tableColumn id="6" name="culture_volume(ml)">
      <calculatedColumnFormula>1000/(C152/D152)</calculatedColumnFormula>
    </tableColumn>
    <tableColumn id="7" name="chl_real" dataDxfId="2">
      <calculatedColumnFormula>(Table14[[#This Row],[culture_volume_real]]*Table14[[#This Row],[chl_init]])/(Table14[[#This Row],[medium_volume_real]]+Table14[[#This Row],[culture_volume_real]])</calculatedColumnFormula>
    </tableColumn>
    <tableColumn id="8" name="medium_volume_real"/>
    <tableColumn id="9" name="culture_volume_real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L58" totalsRowShown="0">
  <autoFilter ref="A1:L58"/>
  <tableColumns count="12">
    <tableColumn id="1" name="Jour"/>
    <tableColumn id="2" name="Souche"/>
    <tableColumn id="10" name="repiquage_date"/>
    <tableColumn id="3" name="F0"/>
    <tableColumn id="4" name="Fm"/>
    <tableColumn id="5" name="Fv">
      <calculatedColumnFormula>E2-D2</calculatedColumnFormula>
    </tableColumn>
    <tableColumn id="6" name="Fv/Fm">
      <calculatedColumnFormula>F2/E2</calculatedColumnFormula>
    </tableColumn>
    <tableColumn id="11" name="Column1"/>
    <tableColumn id="7" name="cells_number(cells/ml)"/>
    <tableColumn id="8" name="Chla_concentration (µg/mL)" dataDxfId="1">
      <calculatedColumnFormula>chla_spectro!M5/1000</calculatedColumnFormula>
    </tableColumn>
    <tableColumn id="9" name="chla_cell" dataDxfId="0">
      <calculatedColumnFormula>Table4[[#This Row],[Chla_concentration (µg/mL)]]/Table4[[#This Row],[cells_number(cells/ml)]]</calculatedColumnFormula>
    </tableColumn>
    <tableColumn id="12" name="Column2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zoomScale="90" zoomScaleNormal="90" workbookViewId="0">
      <selection activeCell="H43" sqref="H43"/>
    </sheetView>
  </sheetViews>
  <sheetFormatPr baseColWidth="10" defaultColWidth="9.140625" defaultRowHeight="15" x14ac:dyDescent="0.25"/>
  <cols>
    <col min="2" max="2" width="19.140625" customWidth="1"/>
    <col min="3" max="3" width="15.7109375" customWidth="1"/>
    <col min="4" max="4" width="14.140625" customWidth="1"/>
    <col min="5" max="5" width="14.28515625" customWidth="1"/>
    <col min="6" max="7" width="15.28515625" style="1" customWidth="1"/>
    <col min="8" max="8" width="19.140625" customWidth="1"/>
    <col min="9" max="9" width="16" style="1" customWidth="1"/>
    <col min="10" max="10" width="19.7109375" customWidth="1"/>
    <col min="11" max="11" width="6.42578125" customWidth="1"/>
    <col min="12" max="12" width="5.140625" customWidth="1"/>
    <col min="13" max="13" width="13.140625" customWidth="1"/>
    <col min="14" max="14" width="13.7109375" style="1" customWidth="1"/>
  </cols>
  <sheetData>
    <row r="1" spans="1:15" ht="31.5" customHeight="1" x14ac:dyDescent="0.25">
      <c r="A1" s="2" t="s">
        <v>28</v>
      </c>
      <c r="B1" s="2" t="s">
        <v>29</v>
      </c>
      <c r="C1" s="2" t="s">
        <v>30</v>
      </c>
      <c r="D1" s="5" t="s">
        <v>31</v>
      </c>
      <c r="E1" s="3" t="s">
        <v>91</v>
      </c>
      <c r="F1" s="3" t="s">
        <v>60</v>
      </c>
      <c r="G1" s="3" t="s">
        <v>67</v>
      </c>
      <c r="H1" s="3" t="s">
        <v>58</v>
      </c>
      <c r="I1" s="3" t="s">
        <v>59</v>
      </c>
      <c r="J1" s="6" t="s">
        <v>32</v>
      </c>
      <c r="K1" s="2" t="s">
        <v>33</v>
      </c>
      <c r="L1" s="2" t="s">
        <v>34</v>
      </c>
      <c r="M1" s="2" t="s">
        <v>68</v>
      </c>
      <c r="N1" s="2" t="s">
        <v>35</v>
      </c>
      <c r="O1" s="4" t="s">
        <v>36</v>
      </c>
    </row>
    <row r="2" spans="1:15" x14ac:dyDescent="0.25">
      <c r="A2" t="s">
        <v>37</v>
      </c>
      <c r="B2" t="s">
        <v>49</v>
      </c>
      <c r="E2">
        <v>0.17</v>
      </c>
      <c r="H2">
        <v>5.0000000000000001E-3</v>
      </c>
      <c r="K2">
        <v>10</v>
      </c>
      <c r="L2">
        <v>1</v>
      </c>
      <c r="M2" s="1">
        <f>(((E2*16.29)-(8.54*H2))*(L2/K2)*1000)</f>
        <v>272.66000000000003</v>
      </c>
      <c r="N2" s="1">
        <f>M2/1000</f>
        <v>0.27266000000000001</v>
      </c>
    </row>
    <row r="3" spans="1:15" x14ac:dyDescent="0.25">
      <c r="A3" t="s">
        <v>38</v>
      </c>
      <c r="B3" s="1" t="s">
        <v>49</v>
      </c>
      <c r="M3" s="1" t="e">
        <f>((E3*16.29)-(8.54*H3))*(L3/K3)</f>
        <v>#DIV/0!</v>
      </c>
      <c r="N3" s="1" t="e">
        <f t="shared" ref="N3:N39" si="0">M3/1000</f>
        <v>#DIV/0!</v>
      </c>
    </row>
    <row r="4" spans="1:15" x14ac:dyDescent="0.25">
      <c r="A4" t="s">
        <v>39</v>
      </c>
      <c r="B4" s="1" t="s">
        <v>49</v>
      </c>
      <c r="E4">
        <v>2.1870000000000001E-2</v>
      </c>
      <c r="H4">
        <v>1.0800000000000001E-2</v>
      </c>
      <c r="K4">
        <v>10</v>
      </c>
      <c r="L4">
        <v>1</v>
      </c>
      <c r="M4" s="1">
        <f>((E4*16.29)-(8.54*H4))*(L4/K4)*1000</f>
        <v>26.403030000000001</v>
      </c>
      <c r="N4" s="1">
        <f t="shared" si="0"/>
        <v>2.6403030000000001E-2</v>
      </c>
    </row>
    <row r="5" spans="1:15" x14ac:dyDescent="0.25">
      <c r="A5" t="s">
        <v>40</v>
      </c>
      <c r="B5" s="1" t="s">
        <v>49</v>
      </c>
      <c r="E5">
        <v>3.85E-2</v>
      </c>
      <c r="K5">
        <v>10</v>
      </c>
      <c r="L5">
        <v>1</v>
      </c>
      <c r="M5" s="1">
        <f>E5*12.8*(L5/K5)*1000</f>
        <v>49.28</v>
      </c>
      <c r="N5" s="1">
        <f t="shared" si="0"/>
        <v>4.9280000000000004E-2</v>
      </c>
    </row>
    <row r="6" spans="1:15" x14ac:dyDescent="0.25">
      <c r="A6" t="s">
        <v>41</v>
      </c>
      <c r="B6" s="1" t="s">
        <v>49</v>
      </c>
      <c r="E6">
        <v>5.6358999999999999E-2</v>
      </c>
      <c r="K6">
        <v>10</v>
      </c>
      <c r="L6">
        <v>1</v>
      </c>
      <c r="M6" s="1">
        <f>E6*12.8*(L6/K6)*1000</f>
        <v>72.139520000000005</v>
      </c>
      <c r="N6" s="1">
        <f t="shared" si="0"/>
        <v>7.2139519999999999E-2</v>
      </c>
    </row>
    <row r="7" spans="1:15" x14ac:dyDescent="0.25">
      <c r="A7" t="s">
        <v>42</v>
      </c>
      <c r="B7" s="1" t="s">
        <v>49</v>
      </c>
      <c r="E7" s="1">
        <v>2.24E-2</v>
      </c>
      <c r="H7" s="1"/>
      <c r="J7" s="1"/>
      <c r="K7" s="1">
        <v>10</v>
      </c>
      <c r="L7" s="1">
        <v>1</v>
      </c>
      <c r="M7" s="1">
        <f>E7*12.8*(L7/K7)*1000</f>
        <v>28.672000000000004</v>
      </c>
      <c r="N7" s="1">
        <f t="shared" si="0"/>
        <v>2.8672000000000003E-2</v>
      </c>
    </row>
    <row r="8" spans="1:15" x14ac:dyDescent="0.25">
      <c r="A8" t="s">
        <v>43</v>
      </c>
      <c r="B8" s="1" t="s">
        <v>49</v>
      </c>
      <c r="F8" s="1">
        <v>0.13800000000000001</v>
      </c>
      <c r="I8" s="1">
        <v>3.5000000000000003E-2</v>
      </c>
      <c r="K8">
        <v>10</v>
      </c>
      <c r="L8">
        <v>1</v>
      </c>
      <c r="M8" s="1">
        <f>(((F8*13.2654)-(2.6839*I8))*(L8/K8))*1000</f>
        <v>173.66887</v>
      </c>
      <c r="N8" s="1">
        <f t="shared" si="0"/>
        <v>0.17366887</v>
      </c>
    </row>
    <row r="9" spans="1:15" x14ac:dyDescent="0.25">
      <c r="A9" t="s">
        <v>44</v>
      </c>
      <c r="B9" s="1" t="s">
        <v>49</v>
      </c>
      <c r="F9" s="1">
        <v>5.3999999999999999E-2</v>
      </c>
      <c r="I9" s="1">
        <v>1.4E-2</v>
      </c>
      <c r="K9">
        <v>10</v>
      </c>
      <c r="L9">
        <v>1</v>
      </c>
      <c r="M9" s="1">
        <f>(((F9*13.2654)-(2.6839*I9))*(L9/K9))*1000</f>
        <v>67.875699999999995</v>
      </c>
      <c r="N9" s="1">
        <f t="shared" si="0"/>
        <v>6.7875699999999997E-2</v>
      </c>
    </row>
    <row r="10" spans="1:15" x14ac:dyDescent="0.25">
      <c r="A10" t="s">
        <v>45</v>
      </c>
      <c r="B10" s="1" t="s">
        <v>49</v>
      </c>
      <c r="F10" s="1">
        <v>7.3929999999999996E-2</v>
      </c>
      <c r="I10" s="1">
        <v>2.9399999999999999E-2</v>
      </c>
      <c r="K10">
        <v>10</v>
      </c>
      <c r="L10">
        <v>1</v>
      </c>
      <c r="M10" s="1">
        <f>(((F10*13.2654)-(2.6839*I10))*(L10/K10))*1000</f>
        <v>90.180436199999988</v>
      </c>
      <c r="N10" s="1">
        <f t="shared" si="0"/>
        <v>9.0180436199999991E-2</v>
      </c>
    </row>
    <row r="11" spans="1:15" x14ac:dyDescent="0.25">
      <c r="A11" t="s">
        <v>46</v>
      </c>
      <c r="B11" s="1" t="s">
        <v>49</v>
      </c>
      <c r="F11" s="1">
        <v>6.6000000000000003E-2</v>
      </c>
      <c r="I11" s="1">
        <v>0.03</v>
      </c>
      <c r="K11">
        <v>10</v>
      </c>
      <c r="L11">
        <v>1</v>
      </c>
      <c r="M11" s="1">
        <f>(((F11*13.2654)-(2.6839*I11))*(L11/K11))*1000</f>
        <v>79.499940000000009</v>
      </c>
      <c r="N11" s="1">
        <f t="shared" si="0"/>
        <v>7.9499940000000005E-2</v>
      </c>
    </row>
    <row r="12" spans="1:15" x14ac:dyDescent="0.25">
      <c r="A12" t="s">
        <v>47</v>
      </c>
      <c r="B12" s="1" t="s">
        <v>49</v>
      </c>
      <c r="M12" s="1" t="e">
        <f>((F12*13.6849) -(3.4551*I12))*(L12/K12)</f>
        <v>#DIV/0!</v>
      </c>
      <c r="N12" s="1" t="e">
        <f t="shared" si="0"/>
        <v>#DIV/0!</v>
      </c>
    </row>
    <row r="13" spans="1:15" x14ac:dyDescent="0.25">
      <c r="A13" t="s">
        <v>48</v>
      </c>
      <c r="B13" s="1" t="s">
        <v>49</v>
      </c>
      <c r="F13" s="1">
        <v>2.1999999999999999E-2</v>
      </c>
      <c r="I13" s="1">
        <v>4.0000000000000001E-3</v>
      </c>
      <c r="K13">
        <v>10</v>
      </c>
      <c r="L13">
        <v>1</v>
      </c>
      <c r="M13" s="1">
        <f>(((F13*13.6849) -(3.4551*I13))*(L13/K13))*1000</f>
        <v>28.724739999999997</v>
      </c>
      <c r="N13" s="1">
        <f t="shared" si="0"/>
        <v>2.8724739999999999E-2</v>
      </c>
    </row>
    <row r="14" spans="1:15" x14ac:dyDescent="0.25">
      <c r="M14" s="1"/>
      <c r="N14" s="1">
        <f t="shared" si="0"/>
        <v>0</v>
      </c>
    </row>
    <row r="15" spans="1:15" x14ac:dyDescent="0.25">
      <c r="A15" s="1" t="s">
        <v>37</v>
      </c>
      <c r="B15" t="s">
        <v>50</v>
      </c>
      <c r="E15">
        <v>2.0809000000000001E-2</v>
      </c>
      <c r="H15">
        <v>8.5540000000000008E-3</v>
      </c>
      <c r="K15">
        <v>10</v>
      </c>
      <c r="L15">
        <v>1</v>
      </c>
      <c r="M15" s="1">
        <f>(((E15*16.29)-(8.54*H15))*(L15/K15)*1000)</f>
        <v>26.592745000000001</v>
      </c>
      <c r="N15" s="1">
        <f t="shared" si="0"/>
        <v>2.6592745000000001E-2</v>
      </c>
    </row>
    <row r="16" spans="1:15" x14ac:dyDescent="0.25">
      <c r="A16" s="1" t="s">
        <v>38</v>
      </c>
      <c r="B16" s="1" t="s">
        <v>50</v>
      </c>
      <c r="M16" s="1" t="e">
        <f>((E16*16.29)-(8.54*H16))*(L16/K16)</f>
        <v>#DIV/0!</v>
      </c>
      <c r="N16" s="1" t="e">
        <f t="shared" si="0"/>
        <v>#DIV/0!</v>
      </c>
    </row>
    <row r="17" spans="1:14" x14ac:dyDescent="0.25">
      <c r="A17" s="1" t="s">
        <v>39</v>
      </c>
      <c r="B17" s="1" t="s">
        <v>50</v>
      </c>
      <c r="E17">
        <v>2.4806000000000002E-2</v>
      </c>
      <c r="H17">
        <v>9.9769999999999998E-3</v>
      </c>
      <c r="K17">
        <v>10</v>
      </c>
      <c r="L17">
        <v>1</v>
      </c>
      <c r="M17" s="1">
        <f>((E17*16.29)-(8.54*H17))*(L17/K17)*1000</f>
        <v>31.888616000000003</v>
      </c>
      <c r="N17" s="1">
        <f t="shared" si="0"/>
        <v>3.1888616000000002E-2</v>
      </c>
    </row>
    <row r="18" spans="1:14" x14ac:dyDescent="0.25">
      <c r="A18" s="1" t="s">
        <v>40</v>
      </c>
      <c r="B18" s="1" t="s">
        <v>50</v>
      </c>
      <c r="E18">
        <v>2.9617999999999998E-2</v>
      </c>
      <c r="K18">
        <v>10</v>
      </c>
      <c r="L18">
        <v>1</v>
      </c>
      <c r="M18" s="1">
        <f>E18*12.8*(L18/K18)*1000</f>
        <v>37.911040000000007</v>
      </c>
      <c r="N18" s="1">
        <f t="shared" si="0"/>
        <v>3.7911040000000007E-2</v>
      </c>
    </row>
    <row r="19" spans="1:14" x14ac:dyDescent="0.25">
      <c r="A19" s="1" t="s">
        <v>41</v>
      </c>
      <c r="B19" s="1" t="s">
        <v>50</v>
      </c>
      <c r="E19">
        <v>2.6443000000000001E-2</v>
      </c>
      <c r="K19">
        <v>10</v>
      </c>
      <c r="L19">
        <v>1</v>
      </c>
      <c r="M19" s="1">
        <f>E19*12.8*(L19/K19)*1000</f>
        <v>33.847040000000007</v>
      </c>
      <c r="N19" s="1">
        <f t="shared" si="0"/>
        <v>3.3847040000000009E-2</v>
      </c>
    </row>
    <row r="20" spans="1:14" x14ac:dyDescent="0.25">
      <c r="A20" s="1" t="s">
        <v>42</v>
      </c>
      <c r="B20" s="1" t="s">
        <v>50</v>
      </c>
      <c r="E20">
        <v>1.7361000000000001E-2</v>
      </c>
      <c r="K20">
        <v>10</v>
      </c>
      <c r="L20">
        <v>1</v>
      </c>
      <c r="M20" s="1">
        <f>E20*12.8*(L20/K20)*1000</f>
        <v>22.222080000000005</v>
      </c>
      <c r="N20" s="1">
        <f t="shared" si="0"/>
        <v>2.2222080000000005E-2</v>
      </c>
    </row>
    <row r="21" spans="1:14" x14ac:dyDescent="0.25">
      <c r="A21" s="1" t="s">
        <v>43</v>
      </c>
      <c r="B21" s="1" t="s">
        <v>50</v>
      </c>
      <c r="F21" s="1">
        <v>0.151173</v>
      </c>
      <c r="I21" s="1">
        <v>3.6073000000000001E-2</v>
      </c>
      <c r="K21">
        <v>10</v>
      </c>
      <c r="L21">
        <v>1</v>
      </c>
      <c r="M21" s="1">
        <f>(((F21*13.2654)-(2.6839*I21))*(L21/K21))*1000</f>
        <v>190.85539894999999</v>
      </c>
      <c r="N21" s="1">
        <f t="shared" si="0"/>
        <v>0.19085539895</v>
      </c>
    </row>
    <row r="22" spans="1:14" x14ac:dyDescent="0.25">
      <c r="A22" s="1" t="s">
        <v>44</v>
      </c>
      <c r="B22" s="1" t="s">
        <v>50</v>
      </c>
      <c r="F22" s="1">
        <v>3.4134999999999999E-2</v>
      </c>
      <c r="I22" s="1">
        <v>8.5009999999999999E-3</v>
      </c>
      <c r="K22">
        <v>10</v>
      </c>
      <c r="L22">
        <v>1</v>
      </c>
      <c r="M22" s="1">
        <f>((F22*13.2654)-(2.6839*I22))*(L22/K22)*1000</f>
        <v>42.999859509999993</v>
      </c>
      <c r="N22" s="1">
        <f t="shared" si="0"/>
        <v>4.2999859509999995E-2</v>
      </c>
    </row>
    <row r="23" spans="1:14" x14ac:dyDescent="0.25">
      <c r="A23" s="1" t="s">
        <v>45</v>
      </c>
      <c r="B23" s="1" t="s">
        <v>50</v>
      </c>
      <c r="F23" s="1">
        <v>7.3187000000000002E-2</v>
      </c>
      <c r="I23" s="1">
        <v>2.1961000000000001E-2</v>
      </c>
      <c r="K23">
        <v>10</v>
      </c>
      <c r="L23">
        <v>1</v>
      </c>
      <c r="M23" s="1">
        <f>((F23*13.2654)-(2.6839*I23))*(L23/K23)*1000</f>
        <v>91.191370190000015</v>
      </c>
      <c r="N23" s="1">
        <f t="shared" si="0"/>
        <v>9.119137019000001E-2</v>
      </c>
    </row>
    <row r="24" spans="1:14" x14ac:dyDescent="0.25">
      <c r="A24" s="1" t="s">
        <v>46</v>
      </c>
      <c r="B24" s="1" t="s">
        <v>50</v>
      </c>
      <c r="F24" s="1">
        <v>6.2366999999999999E-2</v>
      </c>
      <c r="I24" s="1">
        <v>3.4305000000000002E-2</v>
      </c>
      <c r="K24">
        <v>10</v>
      </c>
      <c r="L24">
        <v>1</v>
      </c>
      <c r="M24" s="1">
        <f>((F24*13.2654)-(2.6839*I24))*(L24/K24)*1000</f>
        <v>73.525201229999993</v>
      </c>
      <c r="N24" s="1">
        <f t="shared" si="0"/>
        <v>7.352520122999999E-2</v>
      </c>
    </row>
    <row r="25" spans="1:14" x14ac:dyDescent="0.25">
      <c r="A25" s="1" t="s">
        <v>47</v>
      </c>
      <c r="B25" s="1" t="s">
        <v>50</v>
      </c>
      <c r="M25" s="1" t="e">
        <f>((F25*13.6849) -(3.4551*I25))*(L25/K25)</f>
        <v>#DIV/0!</v>
      </c>
      <c r="N25" s="1" t="e">
        <f t="shared" si="0"/>
        <v>#DIV/0!</v>
      </c>
    </row>
    <row r="26" spans="1:14" x14ac:dyDescent="0.25">
      <c r="A26" s="1" t="s">
        <v>48</v>
      </c>
      <c r="B26" s="1" t="s">
        <v>50</v>
      </c>
      <c r="F26" s="1">
        <f>0.057279-0.006</f>
        <v>5.1278999999999998E-2</v>
      </c>
      <c r="I26" s="1">
        <f>0.021512-0.006</f>
        <v>1.5512E-2</v>
      </c>
      <c r="K26">
        <v>10</v>
      </c>
      <c r="L26">
        <v>1</v>
      </c>
      <c r="M26" s="1">
        <f>((F26*13.6849) -(3.4551*I26))*(L26/K26)*1000</f>
        <v>64.815247589999998</v>
      </c>
      <c r="N26" s="1">
        <f t="shared" si="0"/>
        <v>6.481524759E-2</v>
      </c>
    </row>
    <row r="27" spans="1:14" x14ac:dyDescent="0.25">
      <c r="M27" s="1"/>
      <c r="N27" s="1">
        <f t="shared" si="0"/>
        <v>0</v>
      </c>
    </row>
    <row r="28" spans="1:14" x14ac:dyDescent="0.25">
      <c r="A28" s="1" t="s">
        <v>37</v>
      </c>
      <c r="B28" t="s">
        <v>51</v>
      </c>
      <c r="M28" s="1" t="e">
        <f>((E28*16.29)-(8.54*H28))*(L28/K28)</f>
        <v>#DIV/0!</v>
      </c>
      <c r="N28" s="1" t="e">
        <f t="shared" si="0"/>
        <v>#DIV/0!</v>
      </c>
    </row>
    <row r="29" spans="1:14" x14ac:dyDescent="0.25">
      <c r="A29" s="1" t="s">
        <v>38</v>
      </c>
      <c r="B29" s="1" t="s">
        <v>51</v>
      </c>
      <c r="M29" s="1" t="e">
        <f>((E29*16.29)-(8.54*H29))*(L29/K29)</f>
        <v>#DIV/0!</v>
      </c>
      <c r="N29" s="1" t="e">
        <f t="shared" si="0"/>
        <v>#DIV/0!</v>
      </c>
    </row>
    <row r="30" spans="1:14" x14ac:dyDescent="0.25">
      <c r="A30" s="1" t="s">
        <v>39</v>
      </c>
      <c r="B30" s="1" t="s">
        <v>51</v>
      </c>
      <c r="E30" s="1">
        <v>1.2283000000000001E-2</v>
      </c>
      <c r="H30" s="1">
        <v>4.228E-3</v>
      </c>
      <c r="J30" s="1"/>
      <c r="K30" s="1">
        <v>10</v>
      </c>
      <c r="L30" s="1">
        <v>1</v>
      </c>
      <c r="M30" s="1">
        <f>((E30*16.29)-(8.54*H30))*(L30/K30)*1000</f>
        <v>16.398295000000005</v>
      </c>
      <c r="N30" s="1">
        <f t="shared" ref="N30" si="1">M30/1000</f>
        <v>1.6398295000000004E-2</v>
      </c>
    </row>
    <row r="31" spans="1:14" x14ac:dyDescent="0.25">
      <c r="A31" s="1" t="s">
        <v>40</v>
      </c>
      <c r="B31" s="1" t="s">
        <v>51</v>
      </c>
      <c r="M31" s="1" t="e">
        <f>E31*12.8*(L31/K31)</f>
        <v>#DIV/0!</v>
      </c>
      <c r="N31" s="1" t="e">
        <f t="shared" si="0"/>
        <v>#DIV/0!</v>
      </c>
    </row>
    <row r="32" spans="1:14" x14ac:dyDescent="0.25">
      <c r="A32" s="1" t="s">
        <v>41</v>
      </c>
      <c r="B32" s="1" t="s">
        <v>51</v>
      </c>
      <c r="M32" s="1" t="e">
        <f>E32*12.8*(L32/K32)</f>
        <v>#DIV/0!</v>
      </c>
      <c r="N32" s="1" t="e">
        <f t="shared" si="0"/>
        <v>#DIV/0!</v>
      </c>
    </row>
    <row r="33" spans="1:14" x14ac:dyDescent="0.25">
      <c r="A33" s="1" t="s">
        <v>42</v>
      </c>
      <c r="B33" s="1" t="s">
        <v>51</v>
      </c>
      <c r="M33" s="1" t="e">
        <f>E33*12.8*(L33/K33)</f>
        <v>#DIV/0!</v>
      </c>
      <c r="N33" s="1" t="e">
        <f t="shared" si="0"/>
        <v>#DIV/0!</v>
      </c>
    </row>
    <row r="34" spans="1:14" x14ac:dyDescent="0.25">
      <c r="A34" s="1" t="s">
        <v>43</v>
      </c>
      <c r="B34" s="1" t="s">
        <v>51</v>
      </c>
      <c r="M34" s="1" t="e">
        <f>((F34*13.2654)-(2.6839*I34))*(L34/K34)</f>
        <v>#DIV/0!</v>
      </c>
      <c r="N34" s="1" t="e">
        <f t="shared" si="0"/>
        <v>#DIV/0!</v>
      </c>
    </row>
    <row r="35" spans="1:14" x14ac:dyDescent="0.25">
      <c r="A35" s="1" t="s">
        <v>44</v>
      </c>
      <c r="B35" s="1" t="s">
        <v>51</v>
      </c>
      <c r="F35" s="1">
        <v>3.8100000000000002E-2</v>
      </c>
      <c r="I35" s="1">
        <v>1.2800000000000001E-2</v>
      </c>
      <c r="K35">
        <v>10</v>
      </c>
      <c r="L35">
        <v>1</v>
      </c>
      <c r="M35" s="1">
        <f>((F35*13.2654)-(2.6839*I35))*(L35/K35)*1000</f>
        <v>47.105782000000005</v>
      </c>
      <c r="N35" s="1">
        <f t="shared" si="0"/>
        <v>4.7105782000000006E-2</v>
      </c>
    </row>
    <row r="36" spans="1:14" x14ac:dyDescent="0.25">
      <c r="A36" s="1" t="s">
        <v>45</v>
      </c>
      <c r="B36" s="1" t="s">
        <v>51</v>
      </c>
      <c r="M36" s="1" t="e">
        <f>((F36*13.2654)-(2.6839*I36))*(L36/K36)</f>
        <v>#DIV/0!</v>
      </c>
      <c r="N36" s="1" t="e">
        <f t="shared" si="0"/>
        <v>#DIV/0!</v>
      </c>
    </row>
    <row r="37" spans="1:14" x14ac:dyDescent="0.25">
      <c r="A37" s="1" t="s">
        <v>46</v>
      </c>
      <c r="B37" s="1" t="s">
        <v>51</v>
      </c>
      <c r="F37" s="1">
        <v>0.1133</v>
      </c>
      <c r="I37" s="1">
        <v>5.3609999999999998E-2</v>
      </c>
      <c r="K37">
        <v>10</v>
      </c>
      <c r="L37">
        <v>1</v>
      </c>
      <c r="M37" s="1">
        <f>((F37*13.2654)-(2.6839*I37))*(L37/K37)*1000</f>
        <v>135.90859410000002</v>
      </c>
      <c r="N37" s="1">
        <f t="shared" si="0"/>
        <v>0.13590859410000003</v>
      </c>
    </row>
    <row r="38" spans="1:14" x14ac:dyDescent="0.25">
      <c r="A38" s="1" t="s">
        <v>47</v>
      </c>
      <c r="B38" s="1" t="s">
        <v>51</v>
      </c>
      <c r="M38" s="1" t="e">
        <f>((F38*13.6849) -(3.4551*I38))*(L38/K38)</f>
        <v>#DIV/0!</v>
      </c>
      <c r="N38" s="1" t="e">
        <f t="shared" si="0"/>
        <v>#DIV/0!</v>
      </c>
    </row>
    <row r="39" spans="1:14" x14ac:dyDescent="0.25">
      <c r="A39" s="1" t="s">
        <v>48</v>
      </c>
      <c r="B39" s="1" t="s">
        <v>51</v>
      </c>
      <c r="M39" s="1" t="e">
        <f>((F39*13.6849) -(3.4551*I39))*(L39/K39)</f>
        <v>#DIV/0!</v>
      </c>
      <c r="N39" s="1" t="e">
        <f t="shared" si="0"/>
        <v>#DIV/0!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3"/>
  <sheetViews>
    <sheetView zoomScale="80" zoomScaleNormal="80" workbookViewId="0">
      <selection activeCell="L50" sqref="L50"/>
    </sheetView>
  </sheetViews>
  <sheetFormatPr baseColWidth="10" defaultColWidth="9.140625" defaultRowHeight="15" x14ac:dyDescent="0.25"/>
  <cols>
    <col min="2" max="2" width="11" style="1" customWidth="1"/>
    <col min="3" max="3" width="9.7109375" customWidth="1"/>
    <col min="4" max="4" width="16" customWidth="1"/>
    <col min="5" max="5" width="22" customWidth="1"/>
    <col min="6" max="6" width="21.5703125" customWidth="1"/>
    <col min="7" max="7" width="16.7109375" customWidth="1"/>
    <col min="8" max="8" width="20.7109375" customWidth="1"/>
    <col min="9" max="9" width="19" customWidth="1"/>
  </cols>
  <sheetData>
    <row r="1" spans="1:9" x14ac:dyDescent="0.25">
      <c r="A1" t="s">
        <v>0</v>
      </c>
      <c r="B1" s="1" t="s">
        <v>1</v>
      </c>
      <c r="C1" t="s">
        <v>52</v>
      </c>
      <c r="D1" t="s">
        <v>61</v>
      </c>
      <c r="E1" t="s">
        <v>62</v>
      </c>
      <c r="F1" t="s">
        <v>63</v>
      </c>
      <c r="G1" t="s">
        <v>69</v>
      </c>
      <c r="H1" t="s">
        <v>88</v>
      </c>
      <c r="I1" t="s">
        <v>89</v>
      </c>
    </row>
    <row r="2" spans="1:9" s="1" customFormat="1" x14ac:dyDescent="0.25">
      <c r="G2" s="1" t="e">
        <f>(Table1[[#This Row],[culture_volume_real]]*Table1[[#This Row],[chl_init]])/(Table1[[#This Row],[culture_volume_real]]+Table1[[#This Row],[medium_volume_real]])</f>
        <v>#DIV/0!</v>
      </c>
    </row>
    <row r="3" spans="1:9" s="1" customFormat="1" x14ac:dyDescent="0.25">
      <c r="A3" s="1" t="s">
        <v>37</v>
      </c>
      <c r="B3" s="1" t="s">
        <v>49</v>
      </c>
      <c r="C3" s="1">
        <f>chla_spectro!M2</f>
        <v>272.66000000000003</v>
      </c>
      <c r="D3" s="1">
        <v>40</v>
      </c>
      <c r="E3" s="1">
        <f t="shared" ref="E3:E9" si="0">1000-F3</f>
        <v>853.29714662950198</v>
      </c>
      <c r="F3" s="1">
        <f t="shared" ref="F3:F9" si="1">1000/(C3/D3)</f>
        <v>146.70285337049805</v>
      </c>
      <c r="G3" s="10">
        <f>(Table1[[#This Row],[culture_volume_real]]*Table1[[#This Row],[chl_init]])/(Table1[[#This Row],[culture_volume_real]]+Table1[[#This Row],[medium_volume_real]])</f>
        <v>40.899000000000008</v>
      </c>
      <c r="H3" s="1">
        <v>850</v>
      </c>
      <c r="I3" s="1">
        <v>150</v>
      </c>
    </row>
    <row r="4" spans="1:9" x14ac:dyDescent="0.25">
      <c r="A4" s="1" t="s">
        <v>37</v>
      </c>
      <c r="B4" s="1" t="s">
        <v>49</v>
      </c>
      <c r="C4" s="1">
        <f>chla_spectro!M2</f>
        <v>272.66000000000003</v>
      </c>
      <c r="D4" s="1">
        <v>20</v>
      </c>
      <c r="E4" s="1">
        <f t="shared" si="0"/>
        <v>926.64857331475093</v>
      </c>
      <c r="F4" s="1">
        <f t="shared" si="1"/>
        <v>73.351426685249024</v>
      </c>
      <c r="G4" s="10">
        <f>(Table1[[#This Row],[culture_volume_real]]*Table1[[#This Row],[chl_init]])/(Table1[[#This Row],[culture_volume_real]]+Table1[[#This Row],[medium_volume_real]])</f>
        <v>27.266000000000005</v>
      </c>
      <c r="H4" s="1">
        <v>900</v>
      </c>
      <c r="I4" s="1">
        <v>100</v>
      </c>
    </row>
    <row r="5" spans="1:9" s="1" customFormat="1" x14ac:dyDescent="0.25">
      <c r="A5" s="1" t="s">
        <v>37</v>
      </c>
      <c r="B5" s="1" t="s">
        <v>49</v>
      </c>
      <c r="C5">
        <f>chla_spectro!M2</f>
        <v>272.66000000000003</v>
      </c>
      <c r="D5">
        <v>5</v>
      </c>
      <c r="E5">
        <f t="shared" si="0"/>
        <v>981.66214332868776</v>
      </c>
      <c r="F5">
        <f t="shared" si="1"/>
        <v>18.337856671312256</v>
      </c>
      <c r="G5">
        <f>(Table1[[#This Row],[culture_volume_real]]*Table1[[#This Row],[chl_init]])/(Table1[[#This Row],[culture_volume_real]]+Table1[[#This Row],[medium_volume_real]])</f>
        <v>5.4532000000000007</v>
      </c>
      <c r="H5">
        <v>980</v>
      </c>
      <c r="I5">
        <v>20</v>
      </c>
    </row>
    <row r="6" spans="1:9" s="1" customFormat="1" x14ac:dyDescent="0.25">
      <c r="A6" s="1" t="s">
        <v>37</v>
      </c>
      <c r="B6" s="1" t="s">
        <v>49</v>
      </c>
      <c r="C6" s="1">
        <f>chla_spectro!M2</f>
        <v>272.66000000000003</v>
      </c>
      <c r="D6" s="1">
        <v>1</v>
      </c>
      <c r="E6" s="1">
        <f t="shared" si="0"/>
        <v>996.33242866573755</v>
      </c>
      <c r="F6" s="1">
        <f t="shared" si="1"/>
        <v>3.6675713342624512</v>
      </c>
      <c r="G6" s="1">
        <f>(Table1[[#This Row],[culture_volume_real]]*Table1[[#This Row],[chl_init]])/(Table1[[#This Row],[culture_volume_real]]+Table1[[#This Row],[medium_volume_real]])</f>
        <v>0.27238761238761239</v>
      </c>
      <c r="H6" s="1">
        <v>1000</v>
      </c>
      <c r="I6" s="1">
        <v>1</v>
      </c>
    </row>
    <row r="7" spans="1:9" s="1" customFormat="1" x14ac:dyDescent="0.25">
      <c r="A7" s="1" t="s">
        <v>64</v>
      </c>
      <c r="B7" s="1" t="s">
        <v>49</v>
      </c>
      <c r="C7" s="1">
        <f>chla_spectro!M2</f>
        <v>272.66000000000003</v>
      </c>
      <c r="D7" s="1">
        <v>0.3</v>
      </c>
      <c r="E7" s="1">
        <f t="shared" si="0"/>
        <v>998.89972859972124</v>
      </c>
      <c r="F7" s="1">
        <f t="shared" si="1"/>
        <v>1.1002714002787353</v>
      </c>
      <c r="G7" s="1">
        <f>(Table1[[#This Row],[culture_volume_real]]*Table1[[#This Row],[chl_init]])/(Table1[[#This Row],[culture_volume_real]]+Table1[[#This Row],[medium_volume_real]])</f>
        <v>0.27238761238761239</v>
      </c>
      <c r="H7" s="1">
        <v>1000</v>
      </c>
      <c r="I7" s="1">
        <v>1</v>
      </c>
    </row>
    <row r="8" spans="1:9" s="1" customFormat="1" x14ac:dyDescent="0.25">
      <c r="A8" s="1" t="s">
        <v>65</v>
      </c>
      <c r="B8" s="1" t="s">
        <v>49</v>
      </c>
      <c r="C8" s="1">
        <f>chla_spectro!M2</f>
        <v>272.66000000000003</v>
      </c>
      <c r="D8" s="1">
        <v>0.1</v>
      </c>
      <c r="E8" s="1">
        <f t="shared" si="0"/>
        <v>999.63324286657371</v>
      </c>
      <c r="F8" s="1">
        <f t="shared" si="1"/>
        <v>0.36675713342624516</v>
      </c>
      <c r="G8" s="1">
        <f>(Table1[[#This Row],[culture_volume_real]]*Table1[[#This Row],[chl_init]])/(Table1[[#This Row],[culture_volume_real]]+Table1[[#This Row],[medium_volume_real]])</f>
        <v>0.13626186906546728</v>
      </c>
      <c r="H8" s="1">
        <v>1000</v>
      </c>
      <c r="I8" s="1">
        <v>0.5</v>
      </c>
    </row>
    <row r="9" spans="1:9" s="1" customFormat="1" x14ac:dyDescent="0.25">
      <c r="A9" s="1" t="s">
        <v>66</v>
      </c>
      <c r="B9" s="1" t="s">
        <v>49</v>
      </c>
      <c r="C9" s="1">
        <f>chla_spectro!M2</f>
        <v>272.66000000000003</v>
      </c>
      <c r="D9" s="1">
        <v>0.05</v>
      </c>
      <c r="E9" s="1">
        <f t="shared" si="0"/>
        <v>999.81662143328685</v>
      </c>
      <c r="F9" s="1">
        <f t="shared" si="1"/>
        <v>0.18337856671312258</v>
      </c>
      <c r="G9" s="1">
        <f>(Table1[[#This Row],[culture_volume_real]]*Table1[[#This Row],[chl_init]])/(Table1[[#This Row],[culture_volume_real]]+Table1[[#This Row],[medium_volume_real]])</f>
        <v>5.452109578084384E-2</v>
      </c>
      <c r="H9" s="1">
        <v>1000</v>
      </c>
      <c r="I9" s="1">
        <v>0.2</v>
      </c>
    </row>
    <row r="10" spans="1:9" x14ac:dyDescent="0.25">
      <c r="A10" s="1"/>
      <c r="C10" s="1"/>
      <c r="D10" s="1"/>
      <c r="E10" s="1"/>
      <c r="F10" s="1"/>
      <c r="G10" s="1" t="e">
        <f>(Table1[[#This Row],[culture_volume_real]]*Table1[[#This Row],[chl_init]])/(Table1[[#This Row],[culture_volume_real]]+Table1[[#This Row],[medium_volume_real]])</f>
        <v>#DIV/0!</v>
      </c>
      <c r="H10" s="1"/>
      <c r="I10" s="1"/>
    </row>
    <row r="11" spans="1:9" s="1" customFormat="1" x14ac:dyDescent="0.25">
      <c r="A11" s="1" t="s">
        <v>38</v>
      </c>
      <c r="B11" s="1" t="s">
        <v>49</v>
      </c>
      <c r="C11" s="1" t="e">
        <f>chla_spectro!M3</f>
        <v>#DIV/0!</v>
      </c>
      <c r="D11" s="1">
        <v>5</v>
      </c>
      <c r="E11" s="1" t="e">
        <f>1000-F11</f>
        <v>#DIV/0!</v>
      </c>
      <c r="F11" s="1" t="e">
        <f>1000/(C11/D11)</f>
        <v>#DIV/0!</v>
      </c>
      <c r="G11" s="1" t="e">
        <f>(Table1[[#This Row],[culture_volume_real]]*Table1[[#This Row],[chl_init]])/(Table1[[#This Row],[culture_volume_real]]+Table1[[#This Row],[medium_volume_real]])</f>
        <v>#DIV/0!</v>
      </c>
    </row>
    <row r="12" spans="1:9" s="1" customFormat="1" x14ac:dyDescent="0.25">
      <c r="A12" s="1" t="s">
        <v>38</v>
      </c>
      <c r="B12" s="1" t="s">
        <v>49</v>
      </c>
      <c r="C12" s="1" t="e">
        <f>chla_spectro!M3</f>
        <v>#DIV/0!</v>
      </c>
      <c r="D12" s="1">
        <v>1</v>
      </c>
      <c r="E12" s="1" t="e">
        <f>1000-F12</f>
        <v>#DIV/0!</v>
      </c>
      <c r="F12" s="1" t="e">
        <f>1000/(C12/D12)</f>
        <v>#DIV/0!</v>
      </c>
      <c r="G12" s="1" t="e">
        <f>(Table1[[#This Row],[culture_volume_real]]*Table1[[#This Row],[chl_init]])/(Table1[[#This Row],[culture_volume_real]]+Table1[[#This Row],[medium_volume_real]])</f>
        <v>#DIV/0!</v>
      </c>
    </row>
    <row r="13" spans="1:9" s="1" customFormat="1" x14ac:dyDescent="0.25">
      <c r="A13" s="1" t="s">
        <v>38</v>
      </c>
      <c r="B13" s="1" t="s">
        <v>49</v>
      </c>
      <c r="C13" s="1" t="e">
        <f>chla_spectro!M3</f>
        <v>#DIV/0!</v>
      </c>
      <c r="D13" s="1">
        <v>0.3</v>
      </c>
      <c r="E13" s="1" t="e">
        <f>1000-F13</f>
        <v>#DIV/0!</v>
      </c>
      <c r="F13" s="1" t="e">
        <f>1000/(C13/D13)</f>
        <v>#DIV/0!</v>
      </c>
      <c r="G13" s="1" t="e">
        <f>(Table1[[#This Row],[culture_volume_real]]*Table1[[#This Row],[chl_init]])/(Table1[[#This Row],[culture_volume_real]]+Table1[[#This Row],[medium_volume_real]])</f>
        <v>#DIV/0!</v>
      </c>
    </row>
    <row r="14" spans="1:9" s="1" customFormat="1" x14ac:dyDescent="0.25">
      <c r="A14" s="1" t="s">
        <v>38</v>
      </c>
      <c r="B14" s="1" t="s">
        <v>49</v>
      </c>
      <c r="C14" s="1" t="e">
        <f>chla_spectro!M3</f>
        <v>#DIV/0!</v>
      </c>
      <c r="D14" s="1">
        <v>0.1</v>
      </c>
      <c r="E14" s="1" t="e">
        <f t="shared" ref="E14:E21" si="2">1000-F14</f>
        <v>#DIV/0!</v>
      </c>
      <c r="F14" s="1" t="e">
        <f>1000/(C14/D14)</f>
        <v>#DIV/0!</v>
      </c>
      <c r="G14" s="1" t="e">
        <f>(Table1[[#This Row],[culture_volume_real]]*Table1[[#This Row],[chl_init]])/(Table1[[#This Row],[culture_volume_real]]+Table1[[#This Row],[medium_volume_real]])</f>
        <v>#DIV/0!</v>
      </c>
    </row>
    <row r="15" spans="1:9" s="1" customFormat="1" x14ac:dyDescent="0.25">
      <c r="A15" s="1" t="s">
        <v>38</v>
      </c>
      <c r="B15" s="1" t="s">
        <v>49</v>
      </c>
      <c r="C15" s="1" t="e">
        <f>chla_spectro!M3</f>
        <v>#DIV/0!</v>
      </c>
      <c r="D15" s="1">
        <v>0.05</v>
      </c>
      <c r="E15" s="1" t="e">
        <f t="shared" si="2"/>
        <v>#DIV/0!</v>
      </c>
      <c r="F15" s="1" t="e">
        <f>1000/(C15/D15)</f>
        <v>#DIV/0!</v>
      </c>
      <c r="G15" s="1" t="e">
        <f>(Table1[[#This Row],[culture_volume_real]]*Table1[[#This Row],[chl_init]])/(Table1[[#This Row],[culture_volume_real]]+Table1[[#This Row],[medium_volume_real]])</f>
        <v>#DIV/0!</v>
      </c>
    </row>
    <row r="16" spans="1:9" x14ac:dyDescent="0.25">
      <c r="A16" s="1"/>
      <c r="C16" s="1"/>
      <c r="D16" s="1"/>
      <c r="E16" s="1"/>
      <c r="F16" s="1"/>
      <c r="G16" s="1" t="e">
        <f>(Table1[[#This Row],[culture_volume_real]]*Table1[[#This Row],[chl_init]])/(Table1[[#This Row],[culture_volume_real]]+Table1[[#This Row],[medium_volume_real]])</f>
        <v>#DIV/0!</v>
      </c>
      <c r="H16" s="1"/>
      <c r="I16" s="1"/>
    </row>
    <row r="17" spans="1:9" s="1" customFormat="1" x14ac:dyDescent="0.25">
      <c r="A17" s="1" t="s">
        <v>39</v>
      </c>
      <c r="B17" s="1" t="s">
        <v>49</v>
      </c>
      <c r="C17" s="1">
        <f>chla_spectro!M4</f>
        <v>26.403030000000001</v>
      </c>
      <c r="D17" s="1">
        <v>5</v>
      </c>
      <c r="E17" s="1">
        <f t="shared" si="2"/>
        <v>810.6277953704556</v>
      </c>
      <c r="F17" s="1">
        <f>1000/(C17/D17)</f>
        <v>189.3722046295444</v>
      </c>
      <c r="G17" s="1" t="e">
        <f>(Table1[[#This Row],[culture_volume_real]]*Table1[[#This Row],[chl_init]])/(Table1[[#This Row],[culture_volume_real]]+Table1[[#This Row],[medium_volume_real]])</f>
        <v>#VALUE!</v>
      </c>
      <c r="H17" s="1" t="s">
        <v>94</v>
      </c>
      <c r="I17" s="1">
        <v>190</v>
      </c>
    </row>
    <row r="18" spans="1:9" s="1" customFormat="1" x14ac:dyDescent="0.25">
      <c r="A18" s="1" t="s">
        <v>39</v>
      </c>
      <c r="B18" s="1" t="s">
        <v>49</v>
      </c>
      <c r="C18" s="1">
        <f>chla_spectro!M4</f>
        <v>26.403030000000001</v>
      </c>
      <c r="D18" s="1">
        <v>1</v>
      </c>
      <c r="E18" s="1">
        <f>1000-F18</f>
        <v>962.12555907409114</v>
      </c>
      <c r="F18" s="1">
        <f>1000/(C18/D18)</f>
        <v>37.874440925908878</v>
      </c>
      <c r="G18" s="1">
        <f>(Table1[[#This Row],[culture_volume_real]]*Table1[[#This Row],[chl_init]])/(Table1[[#This Row],[culture_volume_real]]+Table1[[#This Row],[medium_volume_real]])</f>
        <v>1.0561212</v>
      </c>
      <c r="H18" s="1">
        <v>960</v>
      </c>
      <c r="I18" s="1">
        <v>40</v>
      </c>
    </row>
    <row r="19" spans="1:9" s="1" customFormat="1" x14ac:dyDescent="0.25">
      <c r="A19" s="1" t="s">
        <v>39</v>
      </c>
      <c r="B19" s="1" t="s">
        <v>49</v>
      </c>
      <c r="C19" s="1">
        <f>chla_spectro!M4</f>
        <v>26.403030000000001</v>
      </c>
      <c r="D19" s="1">
        <v>0.3</v>
      </c>
      <c r="E19" s="1">
        <f>1000-F19</f>
        <v>988.63766772222732</v>
      </c>
      <c r="F19" s="1">
        <f>1000/(C19/D19)</f>
        <v>11.362332277772664</v>
      </c>
      <c r="G19" s="1">
        <f>(Table1[[#This Row],[culture_volume_real]]*Table1[[#This Row],[chl_init]])/(Table1[[#This Row],[culture_volume_real]]+Table1[[#This Row],[medium_volume_real]])</f>
        <v>0.2640303</v>
      </c>
      <c r="H19" s="1">
        <v>990</v>
      </c>
      <c r="I19" s="1">
        <v>10</v>
      </c>
    </row>
    <row r="20" spans="1:9" s="1" customFormat="1" x14ac:dyDescent="0.25">
      <c r="A20" s="1" t="s">
        <v>39</v>
      </c>
      <c r="B20" s="1" t="s">
        <v>49</v>
      </c>
      <c r="C20" s="1">
        <f>chla_spectro!M4</f>
        <v>26.403030000000001</v>
      </c>
      <c r="D20" s="1">
        <v>0.1</v>
      </c>
      <c r="E20" s="1">
        <f t="shared" si="2"/>
        <v>996.21255590740907</v>
      </c>
      <c r="F20" s="1">
        <f>1000/(C20/D20)</f>
        <v>3.7874440925908881</v>
      </c>
      <c r="G20" s="1">
        <f>(Table1[[#This Row],[culture_volume_real]]*Table1[[#This Row],[chl_init]])/(Table1[[#This Row],[culture_volume_real]]+Table1[[#This Row],[medium_volume_real]])</f>
        <v>0.13201515</v>
      </c>
      <c r="H20" s="1">
        <v>995</v>
      </c>
      <c r="I20" s="1">
        <v>5</v>
      </c>
    </row>
    <row r="21" spans="1:9" s="1" customFormat="1" x14ac:dyDescent="0.25">
      <c r="A21" s="1" t="s">
        <v>39</v>
      </c>
      <c r="B21" s="1" t="s">
        <v>49</v>
      </c>
      <c r="C21" s="1">
        <f>chla_spectro!M4</f>
        <v>26.403030000000001</v>
      </c>
      <c r="D21" s="1">
        <v>0.05</v>
      </c>
      <c r="E21" s="1">
        <f t="shared" si="2"/>
        <v>998.10627795370453</v>
      </c>
      <c r="F21" s="1">
        <f>1000/(C21/D21)</f>
        <v>1.8937220462954441</v>
      </c>
      <c r="G21" s="1">
        <f>(Table1[[#This Row],[culture_volume_real]]*Table1[[#This Row],[chl_init]])/(Table1[[#This Row],[culture_volume_real]]+Table1[[#This Row],[medium_volume_real]])</f>
        <v>2.6376653346653348E-2</v>
      </c>
      <c r="H21" s="1">
        <v>1000</v>
      </c>
      <c r="I21" s="1">
        <v>1</v>
      </c>
    </row>
    <row r="22" spans="1:9" x14ac:dyDescent="0.25">
      <c r="A22" s="1"/>
      <c r="C22" s="1"/>
      <c r="D22" s="1"/>
      <c r="E22" s="1"/>
      <c r="F22" s="1"/>
      <c r="G22" s="1" t="e">
        <f>(Table1[[#This Row],[culture_volume_real]]*Table1[[#This Row],[chl_init]])/(Table1[[#This Row],[culture_volume_real]]+Table1[[#This Row],[medium_volume_real]])</f>
        <v>#DIV/0!</v>
      </c>
      <c r="H22" s="1"/>
      <c r="I22" s="1"/>
    </row>
    <row r="23" spans="1:9" s="1" customFormat="1" x14ac:dyDescent="0.25">
      <c r="A23" s="1" t="s">
        <v>40</v>
      </c>
      <c r="B23" s="1" t="s">
        <v>49</v>
      </c>
      <c r="C23" s="1">
        <f>chla_spectro!M5</f>
        <v>49.28</v>
      </c>
      <c r="D23" s="1">
        <v>5</v>
      </c>
      <c r="E23" s="1">
        <f>1000-F23</f>
        <v>898.53896103896102</v>
      </c>
      <c r="F23" s="1">
        <f>1000/(C23/D23)</f>
        <v>101.46103896103897</v>
      </c>
      <c r="G23" s="1">
        <f>(Table1[[#This Row],[culture_volume_real]]*Table1[[#This Row],[chl_init]])/(Table1[[#This Row],[culture_volume_real]]+Table1[[#This Row],[medium_volume_real]])</f>
        <v>4.9279999999999999</v>
      </c>
      <c r="H23" s="1">
        <v>900</v>
      </c>
      <c r="I23" s="1">
        <v>100</v>
      </c>
    </row>
    <row r="24" spans="1:9" s="1" customFormat="1" x14ac:dyDescent="0.25">
      <c r="A24" s="1" t="s">
        <v>40</v>
      </c>
      <c r="B24" s="1" t="s">
        <v>49</v>
      </c>
      <c r="C24" s="1">
        <f>chla_spectro!M5</f>
        <v>49.28</v>
      </c>
      <c r="D24" s="1">
        <v>1</v>
      </c>
      <c r="E24" s="1">
        <f>1000-F24</f>
        <v>979.70779220779218</v>
      </c>
      <c r="F24" s="1">
        <f>1000/(C24/D24)</f>
        <v>20.29220779220779</v>
      </c>
      <c r="G24" s="1">
        <f>(Table1[[#This Row],[culture_volume_real]]*Table1[[#This Row],[chl_init]])/(Table1[[#This Row],[culture_volume_real]]+Table1[[#This Row],[medium_volume_real]])</f>
        <v>0.98560000000000003</v>
      </c>
      <c r="H24" s="1">
        <v>980</v>
      </c>
      <c r="I24" s="1">
        <v>20</v>
      </c>
    </row>
    <row r="25" spans="1:9" s="1" customFormat="1" x14ac:dyDescent="0.25">
      <c r="A25" s="1" t="s">
        <v>40</v>
      </c>
      <c r="B25" s="1" t="s">
        <v>49</v>
      </c>
      <c r="C25" s="1">
        <f>chla_spectro!M5</f>
        <v>49.28</v>
      </c>
      <c r="D25" s="1">
        <v>0.3</v>
      </c>
      <c r="E25" s="1">
        <f>1000-F25</f>
        <v>993.91233766233768</v>
      </c>
      <c r="F25" s="1">
        <f>1000/(C25/D25)</f>
        <v>6.0876623376623371</v>
      </c>
      <c r="G25" s="1">
        <f>(Table1[[#This Row],[culture_volume_real]]*Table1[[#This Row],[chl_init]])/(Table1[[#This Row],[culture_volume_real]]+Table1[[#This Row],[medium_volume_real]])</f>
        <v>0.49280000000000002</v>
      </c>
      <c r="H25" s="1">
        <v>990</v>
      </c>
      <c r="I25" s="1">
        <v>10</v>
      </c>
    </row>
    <row r="26" spans="1:9" s="1" customFormat="1" x14ac:dyDescent="0.25">
      <c r="A26" s="1" t="s">
        <v>40</v>
      </c>
      <c r="B26" s="1" t="s">
        <v>49</v>
      </c>
      <c r="C26" s="1">
        <f>chla_spectro!M5</f>
        <v>49.28</v>
      </c>
      <c r="D26" s="1">
        <v>0.1</v>
      </c>
      <c r="E26" s="1">
        <f>1000-F26</f>
        <v>997.97077922077926</v>
      </c>
      <c r="F26" s="1">
        <f>1000/(C26/D26)</f>
        <v>2.029220779220779</v>
      </c>
      <c r="G26" s="1">
        <f>(Table1[[#This Row],[culture_volume_real]]*Table1[[#This Row],[chl_init]])/(Table1[[#This Row],[culture_volume_real]]+Table1[[#This Row],[medium_volume_real]])</f>
        <v>0.14784</v>
      </c>
      <c r="H26" s="1">
        <v>997</v>
      </c>
      <c r="I26" s="1">
        <v>3</v>
      </c>
    </row>
    <row r="27" spans="1:9" s="1" customFormat="1" x14ac:dyDescent="0.25">
      <c r="A27" s="1" t="s">
        <v>40</v>
      </c>
      <c r="B27" s="1" t="s">
        <v>49</v>
      </c>
      <c r="C27" s="1">
        <f>chla_spectro!M5</f>
        <v>49.28</v>
      </c>
      <c r="D27" s="1">
        <v>0.05</v>
      </c>
      <c r="E27" s="1">
        <f>1000-F27</f>
        <v>998.98538961038957</v>
      </c>
      <c r="F27" s="1">
        <f>1000/(C27/D27)</f>
        <v>1.0146103896103895</v>
      </c>
      <c r="G27" s="1">
        <f>(Table1[[#This Row],[culture_volume_real]]*Table1[[#This Row],[chl_init]])/(Table1[[#This Row],[culture_volume_real]]+Table1[[#This Row],[medium_volume_real]])</f>
        <v>4.9280000000000004E-2</v>
      </c>
      <c r="H27" s="1">
        <v>999</v>
      </c>
      <c r="I27" s="1">
        <v>1</v>
      </c>
    </row>
    <row r="28" spans="1:9" x14ac:dyDescent="0.25">
      <c r="A28" s="1"/>
      <c r="C28" s="1"/>
      <c r="D28" s="1"/>
      <c r="E28" s="1"/>
      <c r="F28" s="1"/>
      <c r="G28" s="1" t="e">
        <f>(Table1[[#This Row],[culture_volume_real]]*Table1[[#This Row],[chl_init]])/(Table1[[#This Row],[culture_volume_real]]+Table1[[#This Row],[medium_volume_real]])</f>
        <v>#DIV/0!</v>
      </c>
      <c r="H28" s="1"/>
      <c r="I28" s="1"/>
    </row>
    <row r="29" spans="1:9" s="1" customFormat="1" x14ac:dyDescent="0.25">
      <c r="A29" s="1" t="s">
        <v>41</v>
      </c>
      <c r="B29" s="1" t="s">
        <v>49</v>
      </c>
      <c r="C29" s="1">
        <f>chla_spectro!M6</f>
        <v>72.139520000000005</v>
      </c>
      <c r="D29" s="1">
        <v>5</v>
      </c>
      <c r="E29" s="1">
        <f>1000-F29</f>
        <v>930.6898631984244</v>
      </c>
      <c r="F29" s="1">
        <f>1000/(C29/D29)</f>
        <v>69.310136801575609</v>
      </c>
      <c r="G29" s="1">
        <f>(Table1[[#This Row],[culture_volume_real]]*Table1[[#This Row],[chl_init]])/(Table1[[#This Row],[culture_volume_real]]+Table1[[#This Row],[medium_volume_real]])</f>
        <v>5.0497664000000002</v>
      </c>
      <c r="H29" s="1">
        <v>930</v>
      </c>
      <c r="I29" s="1">
        <v>70</v>
      </c>
    </row>
    <row r="30" spans="1:9" s="1" customFormat="1" x14ac:dyDescent="0.25">
      <c r="A30" s="1" t="s">
        <v>41</v>
      </c>
      <c r="B30" s="1" t="s">
        <v>49</v>
      </c>
      <c r="C30" s="1">
        <f>chla_spectro!M6</f>
        <v>72.139520000000005</v>
      </c>
      <c r="D30" s="1">
        <v>1</v>
      </c>
      <c r="E30" s="1">
        <f>1000-F30</f>
        <v>986.1379726396849</v>
      </c>
      <c r="F30" s="1">
        <f>1000/(C30/D30)</f>
        <v>13.862027360315121</v>
      </c>
      <c r="G30" s="1">
        <f>(Table1[[#This Row],[culture_volume_real]]*Table1[[#This Row],[chl_init]])/(Table1[[#This Row],[culture_volume_real]]+Table1[[#This Row],[medium_volume_real]])</f>
        <v>1.0820928000000001</v>
      </c>
      <c r="H30" s="1">
        <v>985</v>
      </c>
      <c r="I30" s="1">
        <v>15</v>
      </c>
    </row>
    <row r="31" spans="1:9" s="1" customFormat="1" x14ac:dyDescent="0.25">
      <c r="A31" s="1" t="s">
        <v>41</v>
      </c>
      <c r="B31" s="1" t="s">
        <v>49</v>
      </c>
      <c r="C31" s="1">
        <f>chla_spectro!M6</f>
        <v>72.139520000000005</v>
      </c>
      <c r="D31" s="1">
        <v>0.3</v>
      </c>
      <c r="E31" s="1">
        <f>1000-F31</f>
        <v>995.84139179190549</v>
      </c>
      <c r="F31" s="1">
        <f>1000/(C31/D31)</f>
        <v>4.1586082080945364</v>
      </c>
      <c r="G31" s="1">
        <f>(Table1[[#This Row],[culture_volume_real]]*Table1[[#This Row],[chl_init]])/(Table1[[#This Row],[culture_volume_real]]+Table1[[#This Row],[medium_volume_real]])</f>
        <v>0.36069760000000001</v>
      </c>
      <c r="H31" s="1">
        <v>995</v>
      </c>
      <c r="I31" s="1">
        <v>5</v>
      </c>
    </row>
    <row r="32" spans="1:9" s="1" customFormat="1" x14ac:dyDescent="0.25">
      <c r="A32" s="1" t="s">
        <v>41</v>
      </c>
      <c r="B32" s="1" t="s">
        <v>49</v>
      </c>
      <c r="C32" s="1">
        <f>chla_spectro!M6</f>
        <v>72.139520000000005</v>
      </c>
      <c r="D32" s="1">
        <v>0.1</v>
      </c>
      <c r="E32" s="1">
        <f>1000-F32</f>
        <v>998.61379726396854</v>
      </c>
      <c r="F32" s="1">
        <f>1000/(C32/D32)</f>
        <v>1.3862027360315121</v>
      </c>
      <c r="G32" s="1">
        <f>(Table1[[#This Row],[culture_volume_real]]*Table1[[#This Row],[chl_init]])/(Table1[[#This Row],[culture_volume_real]]+Table1[[#This Row],[medium_volume_real]])</f>
        <v>7.2067452547452546E-2</v>
      </c>
      <c r="H32" s="1">
        <v>1000</v>
      </c>
      <c r="I32" s="1">
        <v>1</v>
      </c>
    </row>
    <row r="33" spans="1:11" s="1" customFormat="1" x14ac:dyDescent="0.25">
      <c r="A33" s="1" t="s">
        <v>41</v>
      </c>
      <c r="B33" s="1" t="s">
        <v>49</v>
      </c>
      <c r="C33" s="1">
        <f>chla_spectro!M6</f>
        <v>72.139520000000005</v>
      </c>
      <c r="D33" s="1">
        <v>0.05</v>
      </c>
      <c r="E33" s="1">
        <f>1000-F33</f>
        <v>999.30689863198427</v>
      </c>
      <c r="F33" s="1">
        <f>1000/(C33/D33)</f>
        <v>0.69310136801575606</v>
      </c>
      <c r="G33" s="1">
        <f>(Table1[[#This Row],[culture_volume_real]]*Table1[[#This Row],[chl_init]])/(Table1[[#This Row],[culture_volume_real]]+Table1[[#This Row],[medium_volume_real]])</f>
        <v>3.6051734132933534E-2</v>
      </c>
      <c r="H33" s="1">
        <v>1000</v>
      </c>
      <c r="I33" s="1">
        <v>0.5</v>
      </c>
    </row>
    <row r="34" spans="1:11" s="1" customFormat="1" x14ac:dyDescent="0.25">
      <c r="G34" s="1" t="e">
        <f>(Table1[[#This Row],[culture_volume_real]]*Table1[[#This Row],[chl_init]])/(Table1[[#This Row],[culture_volume_real]]+Table1[[#This Row],[medium_volume_real]])</f>
        <v>#DIV/0!</v>
      </c>
    </row>
    <row r="35" spans="1:11" s="1" customFormat="1" x14ac:dyDescent="0.25">
      <c r="A35" s="1" t="s">
        <v>42</v>
      </c>
      <c r="B35" s="1" t="s">
        <v>49</v>
      </c>
      <c r="C35" s="1">
        <f>chla_spectro!M7</f>
        <v>28.672000000000004</v>
      </c>
      <c r="D35" s="1">
        <v>5</v>
      </c>
      <c r="E35" s="1">
        <f>1000-F35</f>
        <v>825.61383928571433</v>
      </c>
      <c r="F35" s="1">
        <f>1000/(C35/D35)</f>
        <v>174.38616071428569</v>
      </c>
      <c r="G35" s="1">
        <f>(Table1[[#This Row],[culture_volume_real]]*Table1[[#This Row],[chl_init]])/(Table1[[#This Row],[culture_volume_real]]+Table1[[#This Row],[medium_volume_real]])</f>
        <v>5.0176000000000007</v>
      </c>
      <c r="H35" s="1">
        <v>825</v>
      </c>
      <c r="I35" s="1">
        <v>175</v>
      </c>
    </row>
    <row r="36" spans="1:11" s="1" customFormat="1" x14ac:dyDescent="0.25">
      <c r="A36" s="1" t="s">
        <v>42</v>
      </c>
      <c r="B36" s="1" t="s">
        <v>49</v>
      </c>
      <c r="C36" s="1">
        <f>chla_spectro!M7</f>
        <v>28.672000000000004</v>
      </c>
      <c r="D36" s="1">
        <v>1</v>
      </c>
      <c r="E36" s="1">
        <f>1000-F36</f>
        <v>965.12276785714289</v>
      </c>
      <c r="F36" s="1">
        <f>1000/(C36/D36)</f>
        <v>34.877232142857139</v>
      </c>
      <c r="G36" s="1">
        <f>(Table1[[#This Row],[culture_volume_real]]*Table1[[#This Row],[chl_init]])/(Table1[[#This Row],[culture_volume_real]]+Table1[[#This Row],[medium_volume_real]])</f>
        <v>1.1468800000000001</v>
      </c>
      <c r="H36" s="1">
        <v>960</v>
      </c>
      <c r="I36" s="1">
        <v>40</v>
      </c>
    </row>
    <row r="37" spans="1:11" s="1" customFormat="1" x14ac:dyDescent="0.25">
      <c r="A37" s="1" t="s">
        <v>42</v>
      </c>
      <c r="B37" s="1" t="s">
        <v>49</v>
      </c>
      <c r="C37" s="1">
        <f>chla_spectro!M7</f>
        <v>28.672000000000004</v>
      </c>
      <c r="D37" s="1">
        <v>0.3</v>
      </c>
      <c r="E37" s="1">
        <f>1000-F37</f>
        <v>989.53683035714289</v>
      </c>
      <c r="F37" s="1">
        <f>1000/(C37/D37)</f>
        <v>10.463169642857141</v>
      </c>
      <c r="G37" s="1">
        <f>(Table1[[#This Row],[culture_volume_real]]*Table1[[#This Row],[chl_init]])/(Table1[[#This Row],[culture_volume_real]]+Table1[[#This Row],[medium_volume_real]])</f>
        <v>0.28672000000000003</v>
      </c>
      <c r="H37" s="1">
        <v>990</v>
      </c>
      <c r="I37" s="1">
        <v>10</v>
      </c>
    </row>
    <row r="38" spans="1:11" s="1" customFormat="1" x14ac:dyDescent="0.25">
      <c r="A38" s="1" t="s">
        <v>42</v>
      </c>
      <c r="B38" s="1" t="s">
        <v>49</v>
      </c>
      <c r="C38" s="1">
        <f>chla_spectro!M7</f>
        <v>28.672000000000004</v>
      </c>
      <c r="D38" s="1">
        <v>0.1</v>
      </c>
      <c r="E38" s="1">
        <f>1000-F38</f>
        <v>996.51227678571433</v>
      </c>
      <c r="F38" s="1">
        <f>1000/(C38/D38)</f>
        <v>3.487723214285714</v>
      </c>
      <c r="G38" s="1">
        <f>(Table1[[#This Row],[culture_volume_real]]*Table1[[#This Row],[chl_init]])/(Table1[[#This Row],[culture_volume_real]]+Table1[[#This Row],[medium_volume_real]])</f>
        <v>0.14336000000000002</v>
      </c>
      <c r="H38" s="1">
        <v>995</v>
      </c>
      <c r="I38" s="1">
        <v>5</v>
      </c>
    </row>
    <row r="39" spans="1:11" s="1" customFormat="1" x14ac:dyDescent="0.25">
      <c r="A39" s="1" t="s">
        <v>42</v>
      </c>
      <c r="B39" s="1" t="s">
        <v>49</v>
      </c>
      <c r="C39" s="1">
        <f>chla_spectro!M7</f>
        <v>28.672000000000004</v>
      </c>
      <c r="D39" s="1">
        <v>0.05</v>
      </c>
      <c r="E39" s="1">
        <f>1000-F39</f>
        <v>998.25613839285711</v>
      </c>
      <c r="F39" s="1">
        <f>1000/(C39/D39)</f>
        <v>1.743861607142857</v>
      </c>
      <c r="G39" s="1">
        <f>(Table1[[#This Row],[culture_volume_real]]*Table1[[#This Row],[chl_init]])/(Table1[[#This Row],[culture_volume_real]]+Table1[[#This Row],[medium_volume_real]])</f>
        <v>2.8643356643356647E-2</v>
      </c>
      <c r="H39" s="1">
        <v>1000</v>
      </c>
      <c r="I39" s="1">
        <v>1</v>
      </c>
    </row>
    <row r="40" spans="1:11" s="1" customFormat="1" x14ac:dyDescent="0.25">
      <c r="G40" s="1" t="e">
        <f>(Table1[[#This Row],[culture_volume_real]]*Table1[[#This Row],[chl_init]])/(Table1[[#This Row],[culture_volume_real]]+Table1[[#This Row],[medium_volume_real]])</f>
        <v>#DIV/0!</v>
      </c>
    </row>
    <row r="41" spans="1:11" s="1" customFormat="1" x14ac:dyDescent="0.25">
      <c r="A41" s="1" t="s">
        <v>43</v>
      </c>
      <c r="B41" s="1" t="s">
        <v>49</v>
      </c>
      <c r="C41" s="1">
        <f>chla_spectro!M8</f>
        <v>173.66887</v>
      </c>
      <c r="D41" s="1">
        <v>20</v>
      </c>
      <c r="E41" s="1">
        <f t="shared" ref="E41:E46" si="3">1000-F41</f>
        <v>884.83831327974895</v>
      </c>
      <c r="F41" s="1">
        <f>1000/(C41/D41)</f>
        <v>115.16168672025103</v>
      </c>
      <c r="G41" s="10">
        <f>(Table1[[#This Row],[culture_volume_real]]*Table1[[#This Row],[chl_init]])/(Table1[[#This Row],[culture_volume_real]]+Table1[[#This Row],[medium_volume_real]])</f>
        <v>17.366886999999998</v>
      </c>
      <c r="H41" s="1">
        <v>900</v>
      </c>
      <c r="I41" s="1">
        <v>100</v>
      </c>
    </row>
    <row r="42" spans="1:11" x14ac:dyDescent="0.25">
      <c r="A42" s="1" t="s">
        <v>43</v>
      </c>
      <c r="B42" s="1" t="s">
        <v>49</v>
      </c>
      <c r="C42" s="1">
        <f>chla_spectro!M8</f>
        <v>173.66887</v>
      </c>
      <c r="D42" s="1">
        <v>5</v>
      </c>
      <c r="E42" s="8">
        <f t="shared" si="3"/>
        <v>971.20957831993724</v>
      </c>
      <c r="F42" s="7">
        <f>(Table1[[#This Row],[chl_wanted]]/Table1[[#This Row],[chl_init]])*1000</f>
        <v>28.790421680062753</v>
      </c>
      <c r="G42" s="10">
        <f>(Table1[[#This Row],[culture_volume_real]]*Table1[[#This Row],[chl_init]])/(Table1[[#This Row],[culture_volume_real]]+Table1[[#This Row],[medium_volume_real]])</f>
        <v>5.2100660999999997</v>
      </c>
      <c r="H42" s="1">
        <v>970</v>
      </c>
      <c r="I42" s="1">
        <v>30</v>
      </c>
    </row>
    <row r="43" spans="1:11" x14ac:dyDescent="0.25">
      <c r="A43" s="1" t="s">
        <v>43</v>
      </c>
      <c r="B43" s="1" t="s">
        <v>49</v>
      </c>
      <c r="C43" s="1">
        <f>chla_spectro!M8</f>
        <v>173.66887</v>
      </c>
      <c r="D43" s="1">
        <v>1</v>
      </c>
      <c r="E43" s="8">
        <f t="shared" si="3"/>
        <v>994.24191566398747</v>
      </c>
      <c r="F43" s="7">
        <f>1000/(C43/D43)</f>
        <v>5.7580843360125504</v>
      </c>
      <c r="G43" s="10">
        <f>(Table1[[#This Row],[culture_volume_real]]*Table1[[#This Row],[chl_init]])/(Table1[[#This Row],[culture_volume_real]]+Table1[[#This Row],[medium_volume_real]])</f>
        <v>0.86834434999999999</v>
      </c>
      <c r="H43" s="1">
        <v>995</v>
      </c>
      <c r="I43" s="1">
        <v>5</v>
      </c>
    </row>
    <row r="44" spans="1:11" x14ac:dyDescent="0.25">
      <c r="A44" s="1" t="s">
        <v>43</v>
      </c>
      <c r="B44" s="1" t="s">
        <v>49</v>
      </c>
      <c r="C44" s="1">
        <f>chla_spectro!M8</f>
        <v>173.66887</v>
      </c>
      <c r="D44" s="1">
        <v>0.5</v>
      </c>
      <c r="E44" s="8">
        <f t="shared" si="3"/>
        <v>997.12095783199368</v>
      </c>
      <c r="F44" s="7">
        <f>1000/(C44/D44)</f>
        <v>2.8790421680062752</v>
      </c>
      <c r="G44" s="10">
        <f>(Table1[[#This Row],[culture_volume_real]]*Table1[[#This Row],[chl_init]])/(Table1[[#This Row],[culture_volume_real]]+Table1[[#This Row],[medium_volume_real]])</f>
        <v>0.3466444510978044</v>
      </c>
      <c r="H44" s="1">
        <v>1000</v>
      </c>
      <c r="I44" s="1">
        <v>2</v>
      </c>
    </row>
    <row r="45" spans="1:11" x14ac:dyDescent="0.25">
      <c r="A45" s="1" t="s">
        <v>43</v>
      </c>
      <c r="B45" s="1" t="s">
        <v>49</v>
      </c>
      <c r="C45" s="1">
        <f>chla_spectro!M8</f>
        <v>173.66887</v>
      </c>
      <c r="D45" s="1">
        <v>0.1</v>
      </c>
      <c r="E45" s="8">
        <f t="shared" si="3"/>
        <v>999.42419156639869</v>
      </c>
      <c r="F45" s="7">
        <f>1000/(C45/D45)</f>
        <v>0.57580843360125511</v>
      </c>
      <c r="G45" s="10">
        <f>(Table1[[#This Row],[culture_volume_real]]*Table1[[#This Row],[chl_init]])/(Table1[[#This Row],[culture_volume_real]]+Table1[[#This Row],[medium_volume_real]])</f>
        <v>0.17349537462537462</v>
      </c>
      <c r="H45" s="1">
        <v>1000</v>
      </c>
      <c r="I45" s="1">
        <v>1</v>
      </c>
    </row>
    <row r="46" spans="1:11" x14ac:dyDescent="0.25">
      <c r="A46" s="1" t="s">
        <v>43</v>
      </c>
      <c r="B46" s="1" t="s">
        <v>49</v>
      </c>
      <c r="C46" s="1">
        <f>chla_spectro!M8</f>
        <v>173.66887</v>
      </c>
      <c r="D46" s="1">
        <v>0.05</v>
      </c>
      <c r="E46" s="8">
        <f t="shared" si="3"/>
        <v>999.7120957831994</v>
      </c>
      <c r="F46" s="7">
        <f>1000/(C46/D46)</f>
        <v>0.28790421680062755</v>
      </c>
      <c r="G46" s="10">
        <f>(Table1[[#This Row],[culture_volume_real]]*Table1[[#This Row],[chl_init]])/(Table1[[#This Row],[culture_volume_real]]+Table1[[#This Row],[medium_volume_real]])</f>
        <v>8.6791039480259874E-2</v>
      </c>
      <c r="H46" s="1">
        <v>1000</v>
      </c>
      <c r="I46" s="1">
        <v>0.5</v>
      </c>
      <c r="K46" t="s">
        <v>87</v>
      </c>
    </row>
    <row r="47" spans="1:11" x14ac:dyDescent="0.25">
      <c r="A47" s="1"/>
      <c r="C47" s="1"/>
      <c r="D47" s="1"/>
      <c r="E47" s="1"/>
      <c r="F47" s="1"/>
      <c r="G47" s="10" t="e">
        <f>(Table1[[#This Row],[culture_volume_real]]*Table1[[#This Row],[chl_init]])/(Table1[[#This Row],[culture_volume_real]]+Table1[[#This Row],[medium_volume_real]])</f>
        <v>#DIV/0!</v>
      </c>
      <c r="H47" s="1"/>
      <c r="I47" s="1"/>
    </row>
    <row r="48" spans="1:11" x14ac:dyDescent="0.25">
      <c r="A48" s="1" t="s">
        <v>44</v>
      </c>
      <c r="B48" s="1" t="s">
        <v>49</v>
      </c>
      <c r="C48" s="1">
        <f>chla_spectro!M9</f>
        <v>67.875699999999995</v>
      </c>
      <c r="D48" s="1">
        <v>5</v>
      </c>
      <c r="E48" s="1">
        <f>1000-F48</f>
        <v>926.33593465702745</v>
      </c>
      <c r="F48" s="1">
        <f>1000/(C48/D48)</f>
        <v>73.664065342972521</v>
      </c>
      <c r="G48" s="10">
        <f>(Table1[[#This Row],[culture_volume_real]]*Table1[[#This Row],[chl_init]])/(Table1[[#This Row],[culture_volume_real]]+Table1[[#This Row],[medium_volume_real]])</f>
        <v>5.2784691924227314</v>
      </c>
      <c r="H48" s="1">
        <v>925</v>
      </c>
      <c r="I48" s="1">
        <v>78</v>
      </c>
    </row>
    <row r="49" spans="1:9" x14ac:dyDescent="0.25">
      <c r="A49" s="1" t="s">
        <v>44</v>
      </c>
      <c r="B49" s="1" t="s">
        <v>49</v>
      </c>
      <c r="C49" s="1">
        <f>chla_spectro!M9</f>
        <v>67.875699999999995</v>
      </c>
      <c r="D49" s="1">
        <v>1</v>
      </c>
      <c r="E49" s="1">
        <f>1000-F49</f>
        <v>985.26718693140549</v>
      </c>
      <c r="F49" s="1">
        <f>1000/(C49/D49)</f>
        <v>14.732813068594506</v>
      </c>
      <c r="G49" s="10">
        <f>(Table1[[#This Row],[culture_volume_real]]*Table1[[#This Row],[chl_init]])/(Table1[[#This Row],[culture_volume_real]]+Table1[[#This Row],[medium_volume_real]])</f>
        <v>1.0849262737262737</v>
      </c>
      <c r="H49" s="1">
        <v>985</v>
      </c>
      <c r="I49" s="1">
        <v>16</v>
      </c>
    </row>
    <row r="50" spans="1:9" x14ac:dyDescent="0.25">
      <c r="A50" s="1" t="s">
        <v>44</v>
      </c>
      <c r="B50" s="1" t="s">
        <v>49</v>
      </c>
      <c r="C50" s="1">
        <f>chla_spectro!M9</f>
        <v>67.875699999999995</v>
      </c>
      <c r="D50" s="1">
        <v>0.3</v>
      </c>
      <c r="E50" s="1">
        <f>1000-F50</f>
        <v>995.58015607942161</v>
      </c>
      <c r="F50" s="1">
        <f>1000/(C50/D50)</f>
        <v>4.4198439205783515</v>
      </c>
      <c r="G50" s="10">
        <f>(Table1[[#This Row],[culture_volume_real]]*Table1[[#This Row],[chl_init]])/(Table1[[#This Row],[culture_volume_real]]+Table1[[#This Row],[medium_volume_real]])</f>
        <v>0.33937849999999997</v>
      </c>
      <c r="H50" s="1">
        <v>995</v>
      </c>
      <c r="I50" s="1">
        <v>5</v>
      </c>
    </row>
    <row r="51" spans="1:9" x14ac:dyDescent="0.25">
      <c r="A51" s="1" t="s">
        <v>44</v>
      </c>
      <c r="B51" s="1" t="s">
        <v>49</v>
      </c>
      <c r="C51" s="1">
        <f>chla_spectro!M9</f>
        <v>67.875699999999995</v>
      </c>
      <c r="D51" s="1">
        <v>0.1</v>
      </c>
      <c r="E51" s="1">
        <f t="shared" ref="E51:E60" si="4">1000-F51</f>
        <v>998.52671869314054</v>
      </c>
      <c r="F51" s="1">
        <f>1000/(C51/D51)</f>
        <v>1.4732813068594506</v>
      </c>
      <c r="G51" s="10">
        <f>(Table1[[#This Row],[culture_volume_real]]*Table1[[#This Row],[chl_init]])/(Table1[[#This Row],[culture_volume_real]]+Table1[[#This Row],[medium_volume_real]])</f>
        <v>6.7807892107892107E-2</v>
      </c>
      <c r="H51" s="1">
        <v>1000</v>
      </c>
      <c r="I51" s="1">
        <v>1</v>
      </c>
    </row>
    <row r="52" spans="1:9" s="1" customFormat="1" x14ac:dyDescent="0.25">
      <c r="A52" s="1" t="s">
        <v>44</v>
      </c>
      <c r="B52" s="1" t="s">
        <v>49</v>
      </c>
      <c r="C52" s="1">
        <f>chla_spectro!M9</f>
        <v>67.875699999999995</v>
      </c>
      <c r="D52" s="1">
        <v>0.05</v>
      </c>
      <c r="E52" s="1">
        <f t="shared" si="4"/>
        <v>999.26335934657027</v>
      </c>
      <c r="F52" s="1">
        <f>1000/(C52/D52)</f>
        <v>0.73664065342972529</v>
      </c>
      <c r="G52" s="10">
        <f>(Table1[[#This Row],[culture_volume_real]]*Table1[[#This Row],[chl_init]])/(Table1[[#This Row],[culture_volume_real]]+Table1[[#This Row],[medium_volume_real]])</f>
        <v>3.3920889555222385E-2</v>
      </c>
      <c r="H52" s="1">
        <v>1000</v>
      </c>
      <c r="I52" s="1">
        <v>0.5</v>
      </c>
    </row>
    <row r="53" spans="1:9" s="1" customFormat="1" x14ac:dyDescent="0.25">
      <c r="G53" s="10" t="e">
        <f>(Table1[[#This Row],[culture_volume_real]]*Table1[[#This Row],[chl_init]])/(Table1[[#This Row],[culture_volume_real]]+Table1[[#This Row],[medium_volume_real]])</f>
        <v>#DIV/0!</v>
      </c>
    </row>
    <row r="54" spans="1:9" s="1" customFormat="1" x14ac:dyDescent="0.25">
      <c r="A54" s="1" t="s">
        <v>45</v>
      </c>
      <c r="B54" s="1" t="s">
        <v>49</v>
      </c>
      <c r="C54" s="1">
        <f>chla_spectro!M10</f>
        <v>90.180436199999988</v>
      </c>
      <c r="D54" s="1">
        <v>5</v>
      </c>
      <c r="E54" s="1">
        <f>1000-F54</f>
        <v>944.55560196103818</v>
      </c>
      <c r="F54" s="1">
        <f>1000/(C54/D54)</f>
        <v>55.444398038961815</v>
      </c>
      <c r="G54" s="10">
        <f>(Table1[[#This Row],[culture_volume_real]]*Table1[[#This Row],[chl_init]])/(Table1[[#This Row],[culture_volume_real]]+Table1[[#This Row],[medium_volume_real]])</f>
        <v>4.9599239909999993</v>
      </c>
      <c r="H54" s="1">
        <v>945</v>
      </c>
      <c r="I54" s="1">
        <v>55</v>
      </c>
    </row>
    <row r="55" spans="1:9" s="1" customFormat="1" x14ac:dyDescent="0.25">
      <c r="A55" s="1" t="s">
        <v>45</v>
      </c>
      <c r="B55" s="1" t="s">
        <v>49</v>
      </c>
      <c r="C55" s="1">
        <f>chla_spectro!M10</f>
        <v>90.180436199999988</v>
      </c>
      <c r="D55" s="1">
        <v>1</v>
      </c>
      <c r="E55" s="1">
        <f>1000-F55</f>
        <v>988.91112039220764</v>
      </c>
      <c r="F55" s="1">
        <f>1000/(C55/D55)</f>
        <v>11.088879607792363</v>
      </c>
      <c r="G55" s="10">
        <f>(Table1[[#This Row],[culture_volume_real]]*Table1[[#This Row],[chl_init]])/(Table1[[#This Row],[culture_volume_real]]+Table1[[#This Row],[medium_volume_real]])</f>
        <v>0.9018043619999998</v>
      </c>
      <c r="H55" s="1">
        <v>990</v>
      </c>
      <c r="I55" s="1">
        <v>10</v>
      </c>
    </row>
    <row r="56" spans="1:9" s="1" customFormat="1" x14ac:dyDescent="0.25">
      <c r="A56" s="1" t="s">
        <v>45</v>
      </c>
      <c r="B56" s="1" t="s">
        <v>49</v>
      </c>
      <c r="C56" s="1">
        <f>chla_spectro!M10</f>
        <v>90.180436199999988</v>
      </c>
      <c r="D56" s="1">
        <v>0.3</v>
      </c>
      <c r="E56" s="1">
        <f>1000-F56</f>
        <v>996.6733361176623</v>
      </c>
      <c r="F56" s="1">
        <f>1000/(C56/D56)</f>
        <v>3.3266638823377082</v>
      </c>
      <c r="G56" s="10">
        <f>(Table1[[#This Row],[culture_volume_real]]*Table1[[#This Row],[chl_init]])/(Table1[[#This Row],[culture_volume_real]]+Table1[[#This Row],[medium_volume_real]])</f>
        <v>0.4509021809999999</v>
      </c>
      <c r="H56" s="1">
        <v>995</v>
      </c>
      <c r="I56" s="1">
        <v>5</v>
      </c>
    </row>
    <row r="57" spans="1:9" s="1" customFormat="1" x14ac:dyDescent="0.25">
      <c r="A57" s="1" t="s">
        <v>45</v>
      </c>
      <c r="B57" s="1" t="s">
        <v>49</v>
      </c>
      <c r="C57" s="1">
        <f>chla_spectro!M10</f>
        <v>90.180436199999988</v>
      </c>
      <c r="D57" s="1">
        <v>0.1</v>
      </c>
      <c r="E57" s="1">
        <f t="shared" si="4"/>
        <v>998.89111203922073</v>
      </c>
      <c r="F57" s="1">
        <f>1000/(C57/D57)</f>
        <v>1.1088879607792363</v>
      </c>
      <c r="G57" s="10">
        <f>(Table1[[#This Row],[culture_volume_real]]*Table1[[#This Row],[chl_init]])/(Table1[[#This Row],[culture_volume_real]]+Table1[[#This Row],[medium_volume_real]])</f>
        <v>9.0180436199999991E-2</v>
      </c>
      <c r="H57" s="1">
        <v>999</v>
      </c>
      <c r="I57" s="1">
        <v>1</v>
      </c>
    </row>
    <row r="58" spans="1:9" s="1" customFormat="1" x14ac:dyDescent="0.25">
      <c r="A58" s="1" t="s">
        <v>45</v>
      </c>
      <c r="B58" s="1" t="s">
        <v>49</v>
      </c>
      <c r="C58" s="1">
        <f>chla_spectro!M10</f>
        <v>90.180436199999988</v>
      </c>
      <c r="D58" s="1">
        <v>0.05</v>
      </c>
      <c r="E58" s="1">
        <f t="shared" si="4"/>
        <v>999.44555601961042</v>
      </c>
      <c r="F58" s="1">
        <f>1000/(C58/D58)</f>
        <v>0.55444398038961817</v>
      </c>
      <c r="G58" s="10" t="e">
        <f>(Table1[[#This Row],[culture_volume_real]]*Table1[[#This Row],[chl_init]])/(Table1[[#This Row],[culture_volume_real]]+Table1[[#This Row],[medium_volume_real]])</f>
        <v>#DIV/0!</v>
      </c>
    </row>
    <row r="59" spans="1:9" s="1" customFormat="1" x14ac:dyDescent="0.25">
      <c r="G59" s="10" t="e">
        <f>(Table1[[#This Row],[culture_volume_real]]*Table1[[#This Row],[chl_init]])/(Table1[[#This Row],[culture_volume_real]]+Table1[[#This Row],[medium_volume_real]])</f>
        <v>#DIV/0!</v>
      </c>
    </row>
    <row r="60" spans="1:9" s="1" customFormat="1" x14ac:dyDescent="0.25">
      <c r="A60" s="1" t="s">
        <v>46</v>
      </c>
      <c r="B60" s="1" t="s">
        <v>49</v>
      </c>
      <c r="C60" s="1">
        <f>chla_spectro!M11</f>
        <v>79.499940000000009</v>
      </c>
      <c r="D60" s="1">
        <v>5</v>
      </c>
      <c r="E60" s="1">
        <f t="shared" si="4"/>
        <v>937.1068707724811</v>
      </c>
      <c r="F60" s="1">
        <f>1000/(C60/D60)</f>
        <v>62.893129227518905</v>
      </c>
      <c r="G60" s="10">
        <f>(Table1[[#This Row],[culture_volume_real]]*Table1[[#This Row],[chl_init]])/(Table1[[#This Row],[culture_volume_real]]+Table1[[#This Row],[medium_volume_real]])</f>
        <v>5.5649958000000002</v>
      </c>
      <c r="H60" s="1">
        <v>930</v>
      </c>
      <c r="I60" s="1">
        <v>70</v>
      </c>
    </row>
    <row r="61" spans="1:9" s="1" customFormat="1" x14ac:dyDescent="0.25">
      <c r="A61" s="1" t="s">
        <v>46</v>
      </c>
      <c r="B61" s="1" t="s">
        <v>49</v>
      </c>
      <c r="C61" s="1">
        <f>chla_spectro!M11</f>
        <v>79.499940000000009</v>
      </c>
      <c r="D61" s="1">
        <v>1</v>
      </c>
      <c r="E61" s="1">
        <f>1000-F61</f>
        <v>987.42137415449622</v>
      </c>
      <c r="F61" s="1">
        <f>1000/(C61/D61)</f>
        <v>12.578625845503781</v>
      </c>
      <c r="G61" s="10">
        <f>(Table1[[#This Row],[culture_volume_real]]*Table1[[#This Row],[chl_init]])/(Table1[[#This Row],[culture_volume_real]]+Table1[[#This Row],[medium_volume_real]])</f>
        <v>0.79499940000000013</v>
      </c>
      <c r="H61" s="1">
        <v>990</v>
      </c>
      <c r="I61" s="1">
        <v>10</v>
      </c>
    </row>
    <row r="62" spans="1:9" s="1" customFormat="1" x14ac:dyDescent="0.25">
      <c r="A62" s="1" t="s">
        <v>46</v>
      </c>
      <c r="B62" s="1" t="s">
        <v>49</v>
      </c>
      <c r="C62" s="1">
        <f>chla_spectro!M11</f>
        <v>79.499940000000009</v>
      </c>
      <c r="D62" s="1">
        <v>0.3</v>
      </c>
      <c r="E62" s="1">
        <f>1000-F62</f>
        <v>996.2264122463489</v>
      </c>
      <c r="F62" s="1">
        <f>1000/(C62/D62)</f>
        <v>3.773587753651134</v>
      </c>
      <c r="G62" s="10">
        <f>(Table1[[#This Row],[culture_volume_real]]*Table1[[#This Row],[chl_init]])/(Table1[[#This Row],[culture_volume_real]]+Table1[[#This Row],[medium_volume_real]])</f>
        <v>0.39749970000000007</v>
      </c>
      <c r="H62" s="1">
        <v>995</v>
      </c>
      <c r="I62" s="1">
        <v>5</v>
      </c>
    </row>
    <row r="63" spans="1:9" s="1" customFormat="1" x14ac:dyDescent="0.25">
      <c r="A63" s="1" t="s">
        <v>46</v>
      </c>
      <c r="B63" s="1" t="s">
        <v>49</v>
      </c>
      <c r="C63" s="1">
        <f>chla_spectro!M11</f>
        <v>79.499940000000009</v>
      </c>
      <c r="D63" s="1">
        <v>0.1</v>
      </c>
      <c r="E63" s="1">
        <f>1000-F63</f>
        <v>998.74213741544963</v>
      </c>
      <c r="F63" s="1">
        <f>1000/(C63/D63)</f>
        <v>1.2578625845503781</v>
      </c>
      <c r="G63" s="10">
        <f>(Table1[[#This Row],[culture_volume_real]]*Table1[[#This Row],[chl_init]])/(Table1[[#This Row],[culture_volume_real]]+Table1[[#This Row],[medium_volume_real]])</f>
        <v>7.9420519480519494E-2</v>
      </c>
      <c r="H63" s="1">
        <v>1000</v>
      </c>
      <c r="I63" s="1">
        <v>1</v>
      </c>
    </row>
    <row r="64" spans="1:9" s="1" customFormat="1" x14ac:dyDescent="0.25">
      <c r="A64" s="1" t="s">
        <v>46</v>
      </c>
      <c r="B64" s="1" t="s">
        <v>49</v>
      </c>
      <c r="C64" s="1">
        <f>chla_spectro!M11</f>
        <v>79.499940000000009</v>
      </c>
      <c r="D64" s="1">
        <v>0.05</v>
      </c>
      <c r="E64" s="1">
        <f>1000-F64</f>
        <v>999.37106870772482</v>
      </c>
      <c r="F64" s="1">
        <f>1000/(C64/D64)</f>
        <v>0.62893129227518907</v>
      </c>
      <c r="G64" s="10">
        <f>(Table1[[#This Row],[culture_volume_real]]*Table1[[#This Row],[chl_init]])/(Table1[[#This Row],[culture_volume_real]]+Table1[[#This Row],[medium_volume_real]])</f>
        <v>3.973010494752624E-2</v>
      </c>
      <c r="H64" s="1">
        <v>1000</v>
      </c>
      <c r="I64" s="1">
        <v>0.5</v>
      </c>
    </row>
    <row r="65" spans="1:9" s="1" customFormat="1" x14ac:dyDescent="0.25">
      <c r="G65" s="1" t="e">
        <f>(Table1[[#This Row],[culture_volume_real]]*Table1[[#This Row],[chl_init]])/(Table1[[#This Row],[culture_volume_real]]+Table1[[#This Row],[medium_volume_real]])</f>
        <v>#DIV/0!</v>
      </c>
    </row>
    <row r="66" spans="1:9" s="1" customFormat="1" x14ac:dyDescent="0.25">
      <c r="A66" s="1" t="s">
        <v>47</v>
      </c>
      <c r="B66" s="1" t="s">
        <v>49</v>
      </c>
      <c r="C66" s="1" t="e">
        <f>chla_spectro!M12</f>
        <v>#DIV/0!</v>
      </c>
      <c r="D66" s="1">
        <v>5</v>
      </c>
      <c r="E66" s="1" t="e">
        <f>1000-F66</f>
        <v>#DIV/0!</v>
      </c>
      <c r="F66" s="1" t="e">
        <f>1000/(C66/D66)</f>
        <v>#DIV/0!</v>
      </c>
      <c r="G66" s="1" t="e">
        <f>(Table1[[#This Row],[culture_volume_real]]*Table1[[#This Row],[chl_init]])/(Table1[[#This Row],[culture_volume_real]]+Table1[[#This Row],[medium_volume_real]])</f>
        <v>#DIV/0!</v>
      </c>
    </row>
    <row r="67" spans="1:9" s="1" customFormat="1" x14ac:dyDescent="0.25">
      <c r="A67" s="1" t="s">
        <v>47</v>
      </c>
      <c r="B67" s="1" t="s">
        <v>49</v>
      </c>
      <c r="C67" s="1" t="e">
        <f>chla_spectro!M12</f>
        <v>#DIV/0!</v>
      </c>
      <c r="D67" s="1">
        <v>1</v>
      </c>
      <c r="E67" s="1" t="e">
        <f>1000-F67</f>
        <v>#DIV/0!</v>
      </c>
      <c r="F67" s="1" t="e">
        <f>1000/(C67/D67)</f>
        <v>#DIV/0!</v>
      </c>
      <c r="G67" s="1" t="e">
        <f>(Table1[[#This Row],[culture_volume_real]]*Table1[[#This Row],[chl_init]])/(Table1[[#This Row],[culture_volume_real]]+Table1[[#This Row],[medium_volume_real]])</f>
        <v>#DIV/0!</v>
      </c>
    </row>
    <row r="68" spans="1:9" s="1" customFormat="1" x14ac:dyDescent="0.25">
      <c r="A68" s="1" t="s">
        <v>47</v>
      </c>
      <c r="B68" s="1" t="s">
        <v>49</v>
      </c>
      <c r="C68" s="1" t="e">
        <f>chla_spectro!M12</f>
        <v>#DIV/0!</v>
      </c>
      <c r="D68" s="1">
        <v>0.3</v>
      </c>
      <c r="E68" s="1" t="e">
        <f>1000-F68</f>
        <v>#DIV/0!</v>
      </c>
      <c r="F68" s="1" t="e">
        <f>1000/(C68/D68)</f>
        <v>#DIV/0!</v>
      </c>
      <c r="G68" s="1" t="e">
        <f>(Table1[[#This Row],[culture_volume_real]]*Table1[[#This Row],[chl_init]])/(Table1[[#This Row],[culture_volume_real]]+Table1[[#This Row],[medium_volume_real]])</f>
        <v>#DIV/0!</v>
      </c>
    </row>
    <row r="69" spans="1:9" s="1" customFormat="1" x14ac:dyDescent="0.25">
      <c r="A69" s="1" t="s">
        <v>47</v>
      </c>
      <c r="B69" s="1" t="s">
        <v>49</v>
      </c>
      <c r="C69" s="1" t="e">
        <f>chla_spectro!M12</f>
        <v>#DIV/0!</v>
      </c>
      <c r="D69" s="1">
        <v>0.1</v>
      </c>
      <c r="E69" s="1" t="e">
        <f>1000-F69</f>
        <v>#DIV/0!</v>
      </c>
      <c r="F69" s="1" t="e">
        <f>1000/(C69/D69)</f>
        <v>#DIV/0!</v>
      </c>
      <c r="G69" s="1" t="e">
        <f>(Table1[[#This Row],[culture_volume_real]]*Table1[[#This Row],[chl_init]])/(Table1[[#This Row],[culture_volume_real]]+Table1[[#This Row],[medium_volume_real]])</f>
        <v>#DIV/0!</v>
      </c>
    </row>
    <row r="70" spans="1:9" s="1" customFormat="1" x14ac:dyDescent="0.25">
      <c r="A70" s="1" t="s">
        <v>47</v>
      </c>
      <c r="B70" s="1" t="s">
        <v>49</v>
      </c>
      <c r="C70" s="1" t="e">
        <f>chla_spectro!M12</f>
        <v>#DIV/0!</v>
      </c>
      <c r="D70" s="1">
        <v>0.05</v>
      </c>
      <c r="E70" s="1" t="e">
        <f>1000-F70</f>
        <v>#DIV/0!</v>
      </c>
      <c r="F70" s="1" t="e">
        <f>1000/(C70/D70)</f>
        <v>#DIV/0!</v>
      </c>
      <c r="G70" s="1" t="e">
        <f>(Table1[[#This Row],[culture_volume_real]]*Table1[[#This Row],[chl_init]])/(Table1[[#This Row],[culture_volume_real]]+Table1[[#This Row],[medium_volume_real]])</f>
        <v>#DIV/0!</v>
      </c>
    </row>
    <row r="71" spans="1:9" s="1" customFormat="1" x14ac:dyDescent="0.25">
      <c r="G71" s="1" t="e">
        <f>(Table1[[#This Row],[culture_volume_real]]*Table1[[#This Row],[chl_init]])/(Table1[[#This Row],[culture_volume_real]]+Table1[[#This Row],[medium_volume_real]])</f>
        <v>#DIV/0!</v>
      </c>
    </row>
    <row r="72" spans="1:9" s="1" customFormat="1" x14ac:dyDescent="0.25">
      <c r="A72" s="1" t="s">
        <v>48</v>
      </c>
      <c r="B72" s="1" t="s">
        <v>49</v>
      </c>
      <c r="C72" s="1">
        <f>chla_spectro!M13</f>
        <v>28.724739999999997</v>
      </c>
      <c r="D72" s="1">
        <v>5</v>
      </c>
      <c r="E72" s="1">
        <f t="shared" ref="E72:E77" si="5">1000-F72</f>
        <v>825.93402063865506</v>
      </c>
      <c r="F72" s="1">
        <f t="shared" ref="F72:F77" si="6">1000/(C72/D72)</f>
        <v>174.065979361345</v>
      </c>
      <c r="G72" s="1">
        <f>(Table1[[#This Row],[culture_volume_real]]*Table1[[#This Row],[chl_init]])/(Table1[[#This Row],[culture_volume_real]]+Table1[[#This Row],[medium_volume_real]])</f>
        <v>5.0268294999999998</v>
      </c>
      <c r="H72" s="1">
        <v>825</v>
      </c>
      <c r="I72" s="1">
        <v>175</v>
      </c>
    </row>
    <row r="73" spans="1:9" s="1" customFormat="1" x14ac:dyDescent="0.25">
      <c r="A73" s="1" t="s">
        <v>48</v>
      </c>
      <c r="B73" s="1" t="s">
        <v>49</v>
      </c>
      <c r="C73" s="1">
        <f>chla_spectro!M13</f>
        <v>28.724739999999997</v>
      </c>
      <c r="D73" s="1">
        <v>1</v>
      </c>
      <c r="E73" s="1">
        <f t="shared" si="5"/>
        <v>965.18680412773097</v>
      </c>
      <c r="F73" s="1">
        <f t="shared" si="6"/>
        <v>34.813195872268999</v>
      </c>
      <c r="G73" s="1">
        <f>(Table1[[#This Row],[culture_volume_real]]*Table1[[#This Row],[chl_init]])/(Table1[[#This Row],[culture_volume_real]]+Table1[[#This Row],[medium_volume_real]])</f>
        <v>1.0053658999999999</v>
      </c>
      <c r="H73" s="1">
        <v>965</v>
      </c>
      <c r="I73" s="1">
        <v>35</v>
      </c>
    </row>
    <row r="74" spans="1:9" s="1" customFormat="1" x14ac:dyDescent="0.25">
      <c r="A74" s="1" t="s">
        <v>48</v>
      </c>
      <c r="B74" s="1" t="s">
        <v>49</v>
      </c>
      <c r="C74" s="1">
        <f>chla_spectro!M13</f>
        <v>28.724739999999997</v>
      </c>
      <c r="D74" s="1">
        <v>0.3</v>
      </c>
      <c r="E74" s="1">
        <f t="shared" si="5"/>
        <v>989.55604123831927</v>
      </c>
      <c r="F74" s="1">
        <f t="shared" si="6"/>
        <v>10.443958761680697</v>
      </c>
      <c r="G74" s="1">
        <f>(Table1[[#This Row],[culture_volume_real]]*Table1[[#This Row],[chl_init]])/(Table1[[#This Row],[culture_volume_real]]+Table1[[#This Row],[medium_volume_real]])</f>
        <v>0.28724739999999999</v>
      </c>
      <c r="H74" s="1">
        <v>990</v>
      </c>
      <c r="I74" s="1">
        <v>10</v>
      </c>
    </row>
    <row r="75" spans="1:9" s="1" customFormat="1" x14ac:dyDescent="0.25">
      <c r="A75" s="1" t="s">
        <v>48</v>
      </c>
      <c r="B75" s="1" t="s">
        <v>49</v>
      </c>
      <c r="C75" s="1">
        <f>chla_spectro!M13</f>
        <v>28.724739999999997</v>
      </c>
      <c r="D75" s="1">
        <v>0.1</v>
      </c>
      <c r="E75" s="1">
        <f t="shared" si="5"/>
        <v>996.51868041277305</v>
      </c>
      <c r="F75" s="1">
        <f t="shared" si="6"/>
        <v>3.4813195872268996</v>
      </c>
      <c r="G75" s="1">
        <f>(Table1[[#This Row],[culture_volume_real]]*Table1[[#This Row],[chl_init]])/(Table1[[#This Row],[culture_volume_real]]+Table1[[#This Row],[medium_volume_real]])</f>
        <v>0.14362369999999999</v>
      </c>
      <c r="H75" s="1">
        <v>995</v>
      </c>
      <c r="I75" s="1">
        <v>5</v>
      </c>
    </row>
    <row r="76" spans="1:9" x14ac:dyDescent="0.25">
      <c r="A76" s="1" t="s">
        <v>48</v>
      </c>
      <c r="B76" s="1" t="s">
        <v>49</v>
      </c>
      <c r="C76" s="1">
        <f>chla_spectro!M13</f>
        <v>28.724739999999997</v>
      </c>
      <c r="D76" s="1">
        <v>0.05</v>
      </c>
      <c r="E76" s="1">
        <f t="shared" si="5"/>
        <v>998.25934020638658</v>
      </c>
      <c r="F76" s="1">
        <f t="shared" si="6"/>
        <v>1.7406597936134498</v>
      </c>
      <c r="G76" s="1">
        <f>(Table1[[#This Row],[culture_volume_real]]*Table1[[#This Row],[chl_init]])/(Table1[[#This Row],[culture_volume_real]]+Table1[[#This Row],[medium_volume_real]])</f>
        <v>5.7334810379241513E-2</v>
      </c>
      <c r="H76" s="1">
        <v>1000</v>
      </c>
      <c r="I76" s="1">
        <v>2</v>
      </c>
    </row>
    <row r="77" spans="1:9" x14ac:dyDescent="0.25">
      <c r="A77" s="1"/>
      <c r="C77" s="1"/>
      <c r="D77" s="1"/>
      <c r="E77" s="1" t="e">
        <f t="shared" si="5"/>
        <v>#DIV/0!</v>
      </c>
      <c r="F77" s="1" t="e">
        <f t="shared" si="6"/>
        <v>#DIV/0!</v>
      </c>
      <c r="G77" s="10" t="e">
        <f>(Table1[[#This Row],[culture_volume_real]]*Table1[[#This Row],[chl_init]])/(Table1[[#This Row],[culture_volume_real]]+Table1[[#This Row],[medium_volume_real]])</f>
        <v>#DIV/0!</v>
      </c>
      <c r="H77" s="1"/>
      <c r="I77" s="1"/>
    </row>
    <row r="78" spans="1:9" x14ac:dyDescent="0.25">
      <c r="A78" s="1" t="s">
        <v>0</v>
      </c>
      <c r="B78" s="1" t="s">
        <v>1</v>
      </c>
      <c r="C78" s="1" t="s">
        <v>52</v>
      </c>
      <c r="D78" s="1" t="s">
        <v>61</v>
      </c>
      <c r="E78" s="1" t="s">
        <v>62</v>
      </c>
      <c r="F78" s="1" t="s">
        <v>63</v>
      </c>
      <c r="G78" s="1" t="s">
        <v>69</v>
      </c>
      <c r="H78" s="1" t="s">
        <v>88</v>
      </c>
      <c r="I78" s="1" t="s">
        <v>89</v>
      </c>
    </row>
    <row r="79" spans="1:9" x14ac:dyDescent="0.25">
      <c r="A79" s="1" t="s">
        <v>37</v>
      </c>
      <c r="B79" s="1" t="s">
        <v>50</v>
      </c>
      <c r="C79" s="1">
        <f>chla_spectro!M15</f>
        <v>26.592745000000001</v>
      </c>
      <c r="D79" s="1">
        <v>5</v>
      </c>
      <c r="E79" s="1">
        <f>1000-F79</f>
        <v>811.97879346415721</v>
      </c>
      <c r="F79" s="1">
        <f>1000/(C79/D79)</f>
        <v>188.02120653584277</v>
      </c>
      <c r="G79" s="1">
        <f>(Table13[[#This Row],[culture_volume_real]]*Table13[[#This Row],[chl_init]])/(Table13[[#This Row],[medium_volume_real]]+Table13[[#This Row],[culture_volume_real]])</f>
        <v>5.0526215499999996</v>
      </c>
      <c r="H79" s="1">
        <v>810</v>
      </c>
      <c r="I79" s="1">
        <v>190</v>
      </c>
    </row>
    <row r="80" spans="1:9" x14ac:dyDescent="0.25">
      <c r="A80" s="1" t="s">
        <v>37</v>
      </c>
      <c r="B80" s="1" t="s">
        <v>50</v>
      </c>
      <c r="C80" s="1">
        <f>chla_spectro!M15</f>
        <v>26.592745000000001</v>
      </c>
      <c r="D80" s="1">
        <v>1</v>
      </c>
      <c r="E80" s="1">
        <f>1000-F80</f>
        <v>962.39575869283146</v>
      </c>
      <c r="F80" s="1">
        <f>1000/(C80/D80)</f>
        <v>37.60424130716855</v>
      </c>
      <c r="G80" s="1">
        <f>(Table13[[#This Row],[culture_volume_real]]*Table13[[#This Row],[chl_init]])/(Table13[[#This Row],[medium_volume_real]]+Table13[[#This Row],[culture_volume_real]])</f>
        <v>1.0637098</v>
      </c>
      <c r="H80" s="1">
        <v>960</v>
      </c>
      <c r="I80" s="1">
        <v>40</v>
      </c>
    </row>
    <row r="81" spans="1:9" x14ac:dyDescent="0.25">
      <c r="A81" s="1" t="s">
        <v>64</v>
      </c>
      <c r="B81" s="1" t="s">
        <v>50</v>
      </c>
      <c r="C81" s="1">
        <f>chla_spectro!M15</f>
        <v>26.592745000000001</v>
      </c>
      <c r="D81" s="1">
        <v>0.3</v>
      </c>
      <c r="E81" s="1">
        <f>1000-F81</f>
        <v>988.71872760784947</v>
      </c>
      <c r="F81" s="1">
        <f>1000/(C81/D81)</f>
        <v>11.281272392150564</v>
      </c>
      <c r="G81" s="1">
        <f>(Table13[[#This Row],[culture_volume_real]]*Table13[[#This Row],[chl_init]])/(Table13[[#This Row],[medium_volume_real]]+Table13[[#This Row],[culture_volume_real]])</f>
        <v>0.26592745000000001</v>
      </c>
      <c r="H81" s="1">
        <v>990</v>
      </c>
      <c r="I81" s="1">
        <v>10</v>
      </c>
    </row>
    <row r="82" spans="1:9" x14ac:dyDescent="0.25">
      <c r="A82" s="1" t="s">
        <v>65</v>
      </c>
      <c r="B82" s="1" t="s">
        <v>50</v>
      </c>
      <c r="C82" s="1">
        <f>chla_spectro!M15</f>
        <v>26.592745000000001</v>
      </c>
      <c r="D82" s="1">
        <v>0.1</v>
      </c>
      <c r="E82" s="1">
        <f>1000-F82</f>
        <v>996.23957586928316</v>
      </c>
      <c r="F82" s="1">
        <f>1000/(C82/D82)</f>
        <v>3.760424130716856</v>
      </c>
      <c r="G82" s="1">
        <f>(Table13[[#This Row],[culture_volume_real]]*Table13[[#This Row],[chl_init]])/(Table13[[#This Row],[medium_volume_real]]+Table13[[#This Row],[culture_volume_real]])</f>
        <v>0.132963725</v>
      </c>
      <c r="H82" s="1">
        <v>995</v>
      </c>
      <c r="I82" s="1">
        <v>5</v>
      </c>
    </row>
    <row r="83" spans="1:9" x14ac:dyDescent="0.25">
      <c r="A83" s="1" t="s">
        <v>66</v>
      </c>
      <c r="B83" s="1" t="s">
        <v>50</v>
      </c>
      <c r="C83" s="1">
        <f>chla_spectro!M15</f>
        <v>26.592745000000001</v>
      </c>
      <c r="D83" s="1">
        <v>0.05</v>
      </c>
      <c r="E83" s="1">
        <f>1000-F83</f>
        <v>998.11978793464152</v>
      </c>
      <c r="F83" s="1">
        <f>1000/(C83/D83)</f>
        <v>1.880212065358428</v>
      </c>
      <c r="G83" s="1">
        <f>(Table13[[#This Row],[culture_volume_real]]*Table13[[#This Row],[chl_init]])/(Table13[[#This Row],[medium_volume_real]]+Table13[[#This Row],[culture_volume_real]])</f>
        <v>2.6566178821178822E-2</v>
      </c>
      <c r="H83" s="1">
        <v>1000</v>
      </c>
      <c r="I83" s="1">
        <v>1</v>
      </c>
    </row>
    <row r="84" spans="1:9" x14ac:dyDescent="0.25">
      <c r="A84" s="1"/>
      <c r="C84" s="1"/>
      <c r="D84" s="1"/>
      <c r="E84" s="1"/>
      <c r="F84" s="1"/>
      <c r="G84" s="1" t="e">
        <f>(Table13[[#This Row],[culture_volume_real]]*Table13[[#This Row],[chl_init]])/(Table13[[#This Row],[medium_volume_real]]+Table13[[#This Row],[culture_volume_real]])</f>
        <v>#DIV/0!</v>
      </c>
      <c r="H84" s="1"/>
      <c r="I84" s="1"/>
    </row>
    <row r="85" spans="1:9" x14ac:dyDescent="0.25">
      <c r="A85" s="1" t="s">
        <v>38</v>
      </c>
      <c r="B85" s="1" t="s">
        <v>50</v>
      </c>
      <c r="C85" s="1" t="e">
        <f>chla_spectro!M16</f>
        <v>#DIV/0!</v>
      </c>
      <c r="D85" s="1">
        <v>5</v>
      </c>
      <c r="E85" s="1" t="e">
        <f>1000-F85</f>
        <v>#DIV/0!</v>
      </c>
      <c r="F85" s="1" t="e">
        <f>1000/(C85/D85)</f>
        <v>#DIV/0!</v>
      </c>
      <c r="G85" s="1" t="e">
        <f>(Table13[[#This Row],[culture_volume_real]]*Table13[[#This Row],[chl_init]])/(Table13[[#This Row],[medium_volume_real]]+Table13[[#This Row],[culture_volume_real]])</f>
        <v>#DIV/0!</v>
      </c>
      <c r="H85" s="1"/>
      <c r="I85" s="1"/>
    </row>
    <row r="86" spans="1:9" x14ac:dyDescent="0.25">
      <c r="A86" s="1" t="s">
        <v>38</v>
      </c>
      <c r="B86" s="1" t="s">
        <v>50</v>
      </c>
      <c r="C86" s="1" t="e">
        <f>chla_spectro!M16</f>
        <v>#DIV/0!</v>
      </c>
      <c r="D86" s="1">
        <v>1</v>
      </c>
      <c r="E86" s="1" t="e">
        <f>1000-F86</f>
        <v>#DIV/0!</v>
      </c>
      <c r="F86" s="1" t="e">
        <f>1000/(C86/D86)</f>
        <v>#DIV/0!</v>
      </c>
      <c r="G86" s="1" t="e">
        <f>(Table13[[#This Row],[culture_volume_real]]*Table13[[#This Row],[chl_init]])/(Table13[[#This Row],[medium_volume_real]]+Table13[[#This Row],[culture_volume_real]])</f>
        <v>#DIV/0!</v>
      </c>
      <c r="H86" s="1"/>
      <c r="I86" s="1"/>
    </row>
    <row r="87" spans="1:9" x14ac:dyDescent="0.25">
      <c r="A87" s="1" t="s">
        <v>38</v>
      </c>
      <c r="B87" s="1" t="s">
        <v>50</v>
      </c>
      <c r="C87" s="1" t="e">
        <f>chla_spectro!M16</f>
        <v>#DIV/0!</v>
      </c>
      <c r="D87" s="1">
        <v>0.3</v>
      </c>
      <c r="E87" s="1" t="e">
        <f>1000-F87</f>
        <v>#DIV/0!</v>
      </c>
      <c r="F87" s="1" t="e">
        <f>1000/(C87/D87)</f>
        <v>#DIV/0!</v>
      </c>
      <c r="G87" s="1" t="e">
        <f>(Table13[[#This Row],[culture_volume_real]]*Table13[[#This Row],[chl_init]])/(Table13[[#This Row],[medium_volume_real]]+Table13[[#This Row],[culture_volume_real]])</f>
        <v>#DIV/0!</v>
      </c>
      <c r="H87" s="1"/>
      <c r="I87" s="1"/>
    </row>
    <row r="88" spans="1:9" x14ac:dyDescent="0.25">
      <c r="A88" s="1" t="s">
        <v>38</v>
      </c>
      <c r="B88" s="1" t="s">
        <v>50</v>
      </c>
      <c r="C88" s="1" t="e">
        <f>chla_spectro!M16</f>
        <v>#DIV/0!</v>
      </c>
      <c r="D88" s="1">
        <v>0.1</v>
      </c>
      <c r="E88" s="1" t="e">
        <f t="shared" ref="E88:E95" si="7">1000-F88</f>
        <v>#DIV/0!</v>
      </c>
      <c r="F88" s="1" t="e">
        <f>1000/(C88/D88)</f>
        <v>#DIV/0!</v>
      </c>
      <c r="G88" s="1" t="e">
        <f>(Table13[[#This Row],[culture_volume_real]]*Table13[[#This Row],[chl_init]])/(Table13[[#This Row],[medium_volume_real]]+Table13[[#This Row],[culture_volume_real]])</f>
        <v>#DIV/0!</v>
      </c>
      <c r="H88" s="1"/>
      <c r="I88" s="1"/>
    </row>
    <row r="89" spans="1:9" x14ac:dyDescent="0.25">
      <c r="A89" s="1" t="s">
        <v>38</v>
      </c>
      <c r="B89" s="1" t="s">
        <v>50</v>
      </c>
      <c r="C89" s="1" t="e">
        <f>chla_spectro!M16</f>
        <v>#DIV/0!</v>
      </c>
      <c r="D89" s="1">
        <v>0.05</v>
      </c>
      <c r="E89" s="1" t="e">
        <f t="shared" si="7"/>
        <v>#DIV/0!</v>
      </c>
      <c r="F89" s="1" t="e">
        <f>1000/(C89/D89)</f>
        <v>#DIV/0!</v>
      </c>
      <c r="G89" s="1" t="e">
        <f>(Table13[[#This Row],[culture_volume_real]]*Table13[[#This Row],[chl_init]])/(Table13[[#This Row],[medium_volume_real]]+Table13[[#This Row],[culture_volume_real]])</f>
        <v>#DIV/0!</v>
      </c>
      <c r="H89" s="1"/>
      <c r="I89" s="1"/>
    </row>
    <row r="90" spans="1:9" x14ac:dyDescent="0.25">
      <c r="A90" s="1"/>
      <c r="C90" s="1"/>
      <c r="D90" s="1"/>
      <c r="E90" s="1"/>
      <c r="F90" s="1"/>
      <c r="G90" t="e">
        <f>(Table13[[#This Row],[culture_volume_real]]*Table13[[#This Row],[chl_init]])/(Table13[[#This Row],[medium_volume_real]]+Table13[[#This Row],[culture_volume_real]])</f>
        <v>#DIV/0!</v>
      </c>
    </row>
    <row r="91" spans="1:9" x14ac:dyDescent="0.25">
      <c r="A91" s="1" t="s">
        <v>39</v>
      </c>
      <c r="B91" s="1" t="s">
        <v>50</v>
      </c>
      <c r="C91" s="1">
        <f>chla_spectro!M17</f>
        <v>31.888616000000003</v>
      </c>
      <c r="D91" s="1">
        <v>5</v>
      </c>
      <c r="E91" s="1">
        <f t="shared" si="7"/>
        <v>843.20423313448282</v>
      </c>
      <c r="F91" s="1">
        <f>1000/(C91/D91)</f>
        <v>156.79576686551715</v>
      </c>
      <c r="G91">
        <f>(Table13[[#This Row],[culture_volume_real]]*Table13[[#This Row],[chl_init]])/(Table13[[#This Row],[medium_volume_real]]+Table13[[#This Row],[culture_volume_real]])</f>
        <v>4.7832924000000006</v>
      </c>
      <c r="H91">
        <v>850</v>
      </c>
      <c r="I91">
        <v>150</v>
      </c>
    </row>
    <row r="92" spans="1:9" x14ac:dyDescent="0.25">
      <c r="A92" s="1" t="s">
        <v>39</v>
      </c>
      <c r="B92" s="1" t="s">
        <v>50</v>
      </c>
      <c r="C92" s="1">
        <f>chla_spectro!M17</f>
        <v>31.888616000000003</v>
      </c>
      <c r="D92" s="1">
        <v>1</v>
      </c>
      <c r="E92" s="1">
        <f>1000-F92</f>
        <v>968.64084662689652</v>
      </c>
      <c r="F92" s="1">
        <f>1000/(C92/D92)</f>
        <v>31.359153373103428</v>
      </c>
      <c r="G92">
        <f>(Table13[[#This Row],[culture_volume_real]]*Table13[[#This Row],[chl_init]])/(Table13[[#This Row],[medium_volume_real]]+Table13[[#This Row],[culture_volume_real]])</f>
        <v>0.95665848000000009</v>
      </c>
      <c r="H92">
        <v>970</v>
      </c>
      <c r="I92">
        <v>30</v>
      </c>
    </row>
    <row r="93" spans="1:9" x14ac:dyDescent="0.25">
      <c r="A93" s="1" t="s">
        <v>39</v>
      </c>
      <c r="B93" s="1" t="s">
        <v>50</v>
      </c>
      <c r="C93" s="1">
        <f>chla_spectro!M17</f>
        <v>31.888616000000003</v>
      </c>
      <c r="D93" s="1">
        <v>0.3</v>
      </c>
      <c r="E93" s="1">
        <f>1000-F93</f>
        <v>990.59225398806893</v>
      </c>
      <c r="F93" s="1">
        <f>1000/(C93/D93)</f>
        <v>9.4077460119310281</v>
      </c>
      <c r="G93">
        <f>(Table13[[#This Row],[culture_volume_real]]*Table13[[#This Row],[chl_init]])/(Table13[[#This Row],[medium_volume_real]]+Table13[[#This Row],[culture_volume_real]])</f>
        <v>0.31888616000000003</v>
      </c>
      <c r="H93">
        <v>990</v>
      </c>
      <c r="I93">
        <v>10</v>
      </c>
    </row>
    <row r="94" spans="1:9" x14ac:dyDescent="0.25">
      <c r="A94" s="1" t="s">
        <v>39</v>
      </c>
      <c r="B94" s="1" t="s">
        <v>50</v>
      </c>
      <c r="C94" s="1">
        <f>chla_spectro!M17</f>
        <v>31.888616000000003</v>
      </c>
      <c r="D94" s="1">
        <v>0.1</v>
      </c>
      <c r="E94" s="1">
        <f t="shared" si="7"/>
        <v>996.86408466268961</v>
      </c>
      <c r="F94" s="1">
        <f>1000/(C94/D94)</f>
        <v>3.135915337310343</v>
      </c>
      <c r="G94">
        <f>(Table13[[#This Row],[culture_volume_real]]*Table13[[#This Row],[chl_init]])/(Table13[[#This Row],[medium_volume_real]]+Table13[[#This Row],[culture_volume_real]])</f>
        <v>0.15944308000000001</v>
      </c>
      <c r="H94">
        <v>995</v>
      </c>
      <c r="I94">
        <v>5</v>
      </c>
    </row>
    <row r="95" spans="1:9" x14ac:dyDescent="0.25">
      <c r="A95" s="1" t="s">
        <v>39</v>
      </c>
      <c r="B95" s="1" t="s">
        <v>50</v>
      </c>
      <c r="C95" s="1">
        <f>chla_spectro!M17</f>
        <v>31.888616000000003</v>
      </c>
      <c r="D95" s="1">
        <v>0.05</v>
      </c>
      <c r="E95" s="1">
        <f t="shared" si="7"/>
        <v>998.43204233134486</v>
      </c>
      <c r="F95" s="1">
        <f>1000/(C95/D95)</f>
        <v>1.5679576686551715</v>
      </c>
      <c r="G95">
        <f>(Table13[[#This Row],[culture_volume_real]]*Table13[[#This Row],[chl_init]])/(Table13[[#This Row],[medium_volume_real]]+Table13[[#This Row],[culture_volume_real]])</f>
        <v>6.3649932135728546E-2</v>
      </c>
      <c r="H95">
        <v>1000</v>
      </c>
      <c r="I95">
        <v>2</v>
      </c>
    </row>
    <row r="96" spans="1:9" x14ac:dyDescent="0.25">
      <c r="A96" s="1"/>
      <c r="C96" s="1"/>
      <c r="D96" s="1"/>
      <c r="E96" s="1"/>
      <c r="F96" s="1"/>
      <c r="G96" t="e">
        <f>(Table13[[#This Row],[culture_volume_real]]*Table13[[#This Row],[chl_init]])/(Table13[[#This Row],[medium_volume_real]]+Table13[[#This Row],[culture_volume_real]])</f>
        <v>#DIV/0!</v>
      </c>
    </row>
    <row r="97" spans="1:9" x14ac:dyDescent="0.25">
      <c r="A97" s="1" t="s">
        <v>40</v>
      </c>
      <c r="B97" s="1" t="s">
        <v>50</v>
      </c>
      <c r="C97" s="1">
        <f>chla_spectro!M18</f>
        <v>37.911040000000007</v>
      </c>
      <c r="D97" s="1">
        <v>5</v>
      </c>
      <c r="E97" s="1">
        <f>1000-F97</f>
        <v>868.11229657640627</v>
      </c>
      <c r="F97" s="1">
        <f>1000/(C97/D97)</f>
        <v>131.88770342359373</v>
      </c>
      <c r="G97">
        <f>(Table13[[#This Row],[culture_volume_real]]*Table13[[#This Row],[chl_init]])/(Table13[[#This Row],[medium_volume_real]]+Table13[[#This Row],[culture_volume_real]])</f>
        <v>5.686656000000001</v>
      </c>
      <c r="H97">
        <v>850</v>
      </c>
      <c r="I97">
        <v>150</v>
      </c>
    </row>
    <row r="98" spans="1:9" x14ac:dyDescent="0.25">
      <c r="A98" s="1" t="s">
        <v>40</v>
      </c>
      <c r="B98" s="1" t="s">
        <v>50</v>
      </c>
      <c r="C98" s="1">
        <f>chla_spectro!M18</f>
        <v>37.911040000000007</v>
      </c>
      <c r="D98" s="1">
        <v>1</v>
      </c>
      <c r="E98" s="1">
        <f>1000-F98</f>
        <v>973.62245931528128</v>
      </c>
      <c r="F98" s="1">
        <f>1000/(C98/D98)</f>
        <v>26.377540684718749</v>
      </c>
      <c r="G98">
        <f>(Table13[[#This Row],[culture_volume_real]]*Table13[[#This Row],[chl_init]])/(Table13[[#This Row],[medium_volume_real]]+Table13[[#This Row],[culture_volume_real]])</f>
        <v>1.1373312000000002</v>
      </c>
      <c r="H98">
        <v>970</v>
      </c>
      <c r="I98">
        <v>30</v>
      </c>
    </row>
    <row r="99" spans="1:9" x14ac:dyDescent="0.25">
      <c r="A99" s="1" t="s">
        <v>40</v>
      </c>
      <c r="B99" s="1" t="s">
        <v>50</v>
      </c>
      <c r="C99" s="1">
        <f>chla_spectro!M18</f>
        <v>37.911040000000007</v>
      </c>
      <c r="D99" s="1">
        <v>0.3</v>
      </c>
      <c r="E99" s="1">
        <f>1000-F99</f>
        <v>992.08673779458434</v>
      </c>
      <c r="F99" s="1">
        <f>1000/(C99/D99)</f>
        <v>7.9132622054156245</v>
      </c>
      <c r="G99">
        <f>(Table13[[#This Row],[culture_volume_real]]*Table13[[#This Row],[chl_init]])/(Table13[[#This Row],[medium_volume_real]]+Table13[[#This Row],[culture_volume_real]])</f>
        <v>0.37911040000000007</v>
      </c>
      <c r="H99">
        <v>990</v>
      </c>
      <c r="I99">
        <v>10</v>
      </c>
    </row>
    <row r="100" spans="1:9" x14ac:dyDescent="0.25">
      <c r="A100" s="1" t="s">
        <v>40</v>
      </c>
      <c r="B100" s="1" t="s">
        <v>50</v>
      </c>
      <c r="C100" s="1">
        <f>chla_spectro!M18</f>
        <v>37.911040000000007</v>
      </c>
      <c r="D100" s="1">
        <v>0.1</v>
      </c>
      <c r="E100" s="1">
        <f>1000-F100</f>
        <v>997.36224593152815</v>
      </c>
      <c r="F100" s="1">
        <f>1000/(C100/D100)</f>
        <v>2.637754068471875</v>
      </c>
      <c r="G100">
        <f>(Table13[[#This Row],[culture_volume_real]]*Table13[[#This Row],[chl_init]])/(Table13[[#This Row],[medium_volume_real]]+Table13[[#This Row],[culture_volume_real]])</f>
        <v>0.18955520000000003</v>
      </c>
      <c r="H100">
        <v>995</v>
      </c>
      <c r="I100">
        <v>5</v>
      </c>
    </row>
    <row r="101" spans="1:9" x14ac:dyDescent="0.25">
      <c r="A101" s="1" t="s">
        <v>40</v>
      </c>
      <c r="B101" s="1" t="s">
        <v>50</v>
      </c>
      <c r="C101" s="1">
        <f>chla_spectro!M18</f>
        <v>37.911040000000007</v>
      </c>
      <c r="D101" s="1">
        <v>0.05</v>
      </c>
      <c r="E101" s="1">
        <f>1000-F101</f>
        <v>998.68112296576408</v>
      </c>
      <c r="F101" s="1">
        <f>1000/(C101/D101)</f>
        <v>1.3188770342359375</v>
      </c>
      <c r="G101">
        <f>(Table13[[#This Row],[culture_volume_real]]*Table13[[#This Row],[chl_init]])/(Table13[[#This Row],[medium_volume_real]]+Table13[[#This Row],[culture_volume_real]])</f>
        <v>3.7873166833166841E-2</v>
      </c>
      <c r="H101">
        <v>1000</v>
      </c>
      <c r="I101">
        <v>1</v>
      </c>
    </row>
    <row r="102" spans="1:9" x14ac:dyDescent="0.25">
      <c r="A102" s="1"/>
      <c r="C102" s="1"/>
      <c r="D102" s="1"/>
      <c r="E102" s="1"/>
      <c r="F102" s="1"/>
      <c r="G102" t="e">
        <f>(Table13[[#This Row],[culture_volume_real]]*Table13[[#This Row],[chl_init]])/(Table13[[#This Row],[medium_volume_real]]+Table13[[#This Row],[culture_volume_real]])</f>
        <v>#DIV/0!</v>
      </c>
    </row>
    <row r="103" spans="1:9" x14ac:dyDescent="0.25">
      <c r="A103" s="1" t="s">
        <v>41</v>
      </c>
      <c r="B103" s="1" t="s">
        <v>50</v>
      </c>
      <c r="C103" s="1">
        <f>chla_spectro!M19</f>
        <v>33.847040000000007</v>
      </c>
      <c r="D103" s="1">
        <v>5</v>
      </c>
      <c r="E103" s="1">
        <f>1000-F103</f>
        <v>852.27659494005979</v>
      </c>
      <c r="F103" s="1">
        <f>1000/(C103/D103)</f>
        <v>147.72340505994023</v>
      </c>
      <c r="G103">
        <f>(Table13[[#This Row],[culture_volume_real]]*Table13[[#This Row],[chl_init]])/(Table13[[#This Row],[medium_volume_real]]+Table13[[#This Row],[culture_volume_real]])</f>
        <v>5.0770560000000016</v>
      </c>
      <c r="H103">
        <v>850</v>
      </c>
      <c r="I103">
        <v>150</v>
      </c>
    </row>
    <row r="104" spans="1:9" x14ac:dyDescent="0.25">
      <c r="A104" s="1" t="s">
        <v>41</v>
      </c>
      <c r="B104" s="1" t="s">
        <v>50</v>
      </c>
      <c r="C104" s="1">
        <f>chla_spectro!M19</f>
        <v>33.847040000000007</v>
      </c>
      <c r="D104" s="1">
        <v>1</v>
      </c>
      <c r="E104" s="1">
        <f>1000-F104</f>
        <v>970.45531898801198</v>
      </c>
      <c r="F104" s="1">
        <f>1000/(C104/D104)</f>
        <v>29.544681011988043</v>
      </c>
      <c r="G104">
        <f>(Table13[[#This Row],[culture_volume_real]]*Table13[[#This Row],[chl_init]])/(Table13[[#This Row],[medium_volume_real]]+Table13[[#This Row],[culture_volume_real]])</f>
        <v>1.0154112000000002</v>
      </c>
      <c r="H104">
        <v>970</v>
      </c>
      <c r="I104">
        <v>30</v>
      </c>
    </row>
    <row r="105" spans="1:9" x14ac:dyDescent="0.25">
      <c r="A105" s="1" t="s">
        <v>41</v>
      </c>
      <c r="B105" s="1" t="s">
        <v>50</v>
      </c>
      <c r="C105" s="1">
        <f>chla_spectro!M19</f>
        <v>33.847040000000007</v>
      </c>
      <c r="D105" s="1">
        <v>0.3</v>
      </c>
      <c r="E105" s="1">
        <f>1000-F105</f>
        <v>991.13659569640356</v>
      </c>
      <c r="F105" s="1">
        <f>1000/(C105/D105)</f>
        <v>8.863404303596413</v>
      </c>
      <c r="G105">
        <f>(Table13[[#This Row],[culture_volume_real]]*Table13[[#This Row],[chl_init]])/(Table13[[#This Row],[medium_volume_real]]+Table13[[#This Row],[culture_volume_real]])</f>
        <v>0.33847040000000006</v>
      </c>
      <c r="H105">
        <v>990</v>
      </c>
      <c r="I105">
        <v>10</v>
      </c>
    </row>
    <row r="106" spans="1:9" x14ac:dyDescent="0.25">
      <c r="A106" s="1" t="s">
        <v>41</v>
      </c>
      <c r="B106" s="1" t="s">
        <v>50</v>
      </c>
      <c r="C106" s="1">
        <f>chla_spectro!M19</f>
        <v>33.847040000000007</v>
      </c>
      <c r="D106" s="1">
        <v>0.1</v>
      </c>
      <c r="E106" s="1">
        <f>1000-F106</f>
        <v>997.04553189880119</v>
      </c>
      <c r="F106" s="1">
        <f>1000/(C106/D106)</f>
        <v>2.9544681011988048</v>
      </c>
      <c r="G106">
        <f>(Table13[[#This Row],[culture_volume_real]]*Table13[[#This Row],[chl_init]])/(Table13[[#This Row],[medium_volume_real]]+Table13[[#This Row],[culture_volume_real]])</f>
        <v>0.16923520000000003</v>
      </c>
      <c r="H106">
        <v>995</v>
      </c>
      <c r="I106">
        <v>5</v>
      </c>
    </row>
    <row r="107" spans="1:9" x14ac:dyDescent="0.25">
      <c r="A107" s="1" t="s">
        <v>41</v>
      </c>
      <c r="B107" s="1" t="s">
        <v>50</v>
      </c>
      <c r="C107" s="1">
        <f>chla_spectro!M19</f>
        <v>33.847040000000007</v>
      </c>
      <c r="D107" s="1">
        <v>0.05</v>
      </c>
      <c r="E107" s="1">
        <f>1000-F107</f>
        <v>998.52276594940065</v>
      </c>
      <c r="F107" s="1">
        <f>1000/(C107/D107)</f>
        <v>1.4772340505994024</v>
      </c>
      <c r="G107">
        <f>(Table13[[#This Row],[culture_volume_real]]*Table13[[#This Row],[chl_init]])/(Table13[[#This Row],[medium_volume_real]]+Table13[[#This Row],[culture_volume_real]])</f>
        <v>3.3813226773226783E-2</v>
      </c>
      <c r="H107">
        <v>1000</v>
      </c>
      <c r="I107">
        <v>1</v>
      </c>
    </row>
    <row r="108" spans="1:9" x14ac:dyDescent="0.25">
      <c r="A108" s="1"/>
      <c r="C108" s="1"/>
      <c r="D108" s="1"/>
      <c r="E108" s="1"/>
      <c r="F108" s="1"/>
      <c r="G108" t="e">
        <f>(Table13[[#This Row],[culture_volume_real]]*Table13[[#This Row],[chl_init]])/(Table13[[#This Row],[medium_volume_real]]+Table13[[#This Row],[culture_volume_real]])</f>
        <v>#DIV/0!</v>
      </c>
    </row>
    <row r="109" spans="1:9" x14ac:dyDescent="0.25">
      <c r="A109" s="1" t="s">
        <v>42</v>
      </c>
      <c r="B109" s="1" t="s">
        <v>50</v>
      </c>
      <c r="C109" s="1">
        <f>chla_spectro!M20</f>
        <v>22.222080000000005</v>
      </c>
      <c r="D109" s="1">
        <v>5</v>
      </c>
      <c r="E109" s="1">
        <f t="shared" ref="E109:E119" si="8">1000-F109</f>
        <v>774.99855999078397</v>
      </c>
      <c r="F109" s="1">
        <f t="shared" ref="F109:F119" si="9">1000/(C109/D109)</f>
        <v>225.001440009216</v>
      </c>
      <c r="G109">
        <f>(Table13[[#This Row],[culture_volume_real]]*Table13[[#This Row],[chl_init]])/(Table13[[#This Row],[medium_volume_real]]+Table13[[#This Row],[culture_volume_real]])</f>
        <v>5.1110784000000011</v>
      </c>
      <c r="H109">
        <v>770</v>
      </c>
      <c r="I109">
        <v>230</v>
      </c>
    </row>
    <row r="110" spans="1:9" x14ac:dyDescent="0.25">
      <c r="A110" s="1" t="s">
        <v>42</v>
      </c>
      <c r="B110" s="1" t="s">
        <v>50</v>
      </c>
      <c r="C110" s="1">
        <f>chla_spectro!M20</f>
        <v>22.222080000000005</v>
      </c>
      <c r="D110" s="1">
        <v>1</v>
      </c>
      <c r="E110" s="1">
        <f t="shared" si="8"/>
        <v>954.99971199815684</v>
      </c>
      <c r="F110" s="1">
        <f t="shared" si="9"/>
        <v>45.000288001843202</v>
      </c>
      <c r="G110">
        <f>(Table13[[#This Row],[culture_volume_real]]*Table13[[#This Row],[chl_init]])/(Table13[[#This Row],[medium_volume_real]]+Table13[[#This Row],[culture_volume_real]])</f>
        <v>1.1111040000000003</v>
      </c>
      <c r="H110">
        <v>950</v>
      </c>
      <c r="I110">
        <v>50</v>
      </c>
    </row>
    <row r="111" spans="1:9" x14ac:dyDescent="0.25">
      <c r="A111" s="1" t="s">
        <v>42</v>
      </c>
      <c r="B111" s="1" t="s">
        <v>50</v>
      </c>
      <c r="C111" s="1">
        <f>chla_spectro!M20</f>
        <v>22.222080000000005</v>
      </c>
      <c r="D111" s="1">
        <v>0.3</v>
      </c>
      <c r="E111" s="1">
        <f t="shared" si="8"/>
        <v>986.49991359944704</v>
      </c>
      <c r="F111" s="1">
        <f t="shared" si="9"/>
        <v>13.500086400552959</v>
      </c>
      <c r="G111">
        <f>(Table13[[#This Row],[culture_volume_real]]*Table13[[#This Row],[chl_init]])/(Table13[[#This Row],[medium_volume_real]]+Table13[[#This Row],[culture_volume_real]])</f>
        <v>0.33333120000000011</v>
      </c>
      <c r="H111">
        <v>985</v>
      </c>
      <c r="I111">
        <v>15</v>
      </c>
    </row>
    <row r="112" spans="1:9" x14ac:dyDescent="0.25">
      <c r="A112" s="1" t="s">
        <v>42</v>
      </c>
      <c r="B112" s="1" t="s">
        <v>50</v>
      </c>
      <c r="C112" s="1">
        <f>chla_spectro!M20</f>
        <v>22.222080000000005</v>
      </c>
      <c r="D112" s="1">
        <v>0.1</v>
      </c>
      <c r="E112" s="1">
        <f t="shared" si="8"/>
        <v>995.49997119981572</v>
      </c>
      <c r="F112" s="1">
        <f t="shared" si="9"/>
        <v>4.5000288001843201</v>
      </c>
      <c r="G112">
        <f>(Table13[[#This Row],[culture_volume_real]]*Table13[[#This Row],[chl_init]])/(Table13[[#This Row],[medium_volume_real]]+Table13[[#This Row],[culture_volume_real]])</f>
        <v>0.11111040000000003</v>
      </c>
      <c r="H112">
        <v>995</v>
      </c>
      <c r="I112">
        <v>5</v>
      </c>
    </row>
    <row r="113" spans="1:9" x14ac:dyDescent="0.25">
      <c r="A113" s="1" t="s">
        <v>42</v>
      </c>
      <c r="B113" s="1" t="s">
        <v>50</v>
      </c>
      <c r="C113" s="1">
        <f>chla_spectro!M20</f>
        <v>22.222080000000005</v>
      </c>
      <c r="D113" s="1">
        <v>0.05</v>
      </c>
      <c r="E113" s="1">
        <f t="shared" si="8"/>
        <v>997.74998559990786</v>
      </c>
      <c r="F113" s="1">
        <f t="shared" si="9"/>
        <v>2.25001440009216</v>
      </c>
      <c r="G113">
        <f>(Table13[[#This Row],[culture_volume_real]]*Table13[[#This Row],[chl_init]])/(Table13[[#This Row],[medium_volume_real]]+Table13[[#This Row],[culture_volume_real]])</f>
        <v>2.2199880119880125E-2</v>
      </c>
      <c r="H113">
        <v>1000</v>
      </c>
      <c r="I113">
        <v>1</v>
      </c>
    </row>
    <row r="114" spans="1:9" x14ac:dyDescent="0.25">
      <c r="A114" s="1" t="s">
        <v>43</v>
      </c>
      <c r="B114" s="1" t="s">
        <v>50</v>
      </c>
      <c r="C114" s="1">
        <f>chla_spectro!M21</f>
        <v>190.85539894999999</v>
      </c>
      <c r="D114" s="1">
        <v>20</v>
      </c>
      <c r="E114" s="1">
        <f t="shared" si="8"/>
        <v>895.20862333457194</v>
      </c>
      <c r="F114" s="1">
        <f t="shared" si="9"/>
        <v>104.79137666542809</v>
      </c>
      <c r="G114">
        <f>(Table13[[#This Row],[culture_volume_real]]*Table13[[#This Row],[chl_init]])/(Table13[[#This Row],[medium_volume_real]]+Table13[[#This Row],[culture_volume_real]])</f>
        <v>19.085539894999997</v>
      </c>
      <c r="H114">
        <v>900</v>
      </c>
      <c r="I114">
        <v>100</v>
      </c>
    </row>
    <row r="115" spans="1:9" x14ac:dyDescent="0.25">
      <c r="A115" s="1" t="s">
        <v>43</v>
      </c>
      <c r="B115" s="1" t="s">
        <v>50</v>
      </c>
      <c r="C115" s="1">
        <f>chla_spectro!M21</f>
        <v>190.85539894999999</v>
      </c>
      <c r="D115" s="1">
        <v>5</v>
      </c>
      <c r="E115" s="1">
        <f t="shared" si="8"/>
        <v>973.80215583364293</v>
      </c>
      <c r="F115" s="1">
        <f t="shared" si="9"/>
        <v>26.197844166357022</v>
      </c>
      <c r="G115">
        <f>(Table13[[#This Row],[culture_volume_real]]*Table13[[#This Row],[chl_init]])/(Table13[[#This Row],[medium_volume_real]]+Table13[[#This Row],[culture_volume_real]])</f>
        <v>5.7256619684999999</v>
      </c>
      <c r="H115">
        <v>970</v>
      </c>
      <c r="I115">
        <v>30</v>
      </c>
    </row>
    <row r="116" spans="1:9" x14ac:dyDescent="0.25">
      <c r="A116" s="1" t="s">
        <v>43</v>
      </c>
      <c r="B116" s="1" t="s">
        <v>50</v>
      </c>
      <c r="C116" s="1">
        <f>chla_spectro!M21</f>
        <v>190.85539894999999</v>
      </c>
      <c r="D116" s="1">
        <v>1</v>
      </c>
      <c r="E116" s="1">
        <f t="shared" si="8"/>
        <v>994.76043116672861</v>
      </c>
      <c r="F116" s="1">
        <f t="shared" si="9"/>
        <v>5.239568833271405</v>
      </c>
      <c r="G116">
        <f>(Table13[[#This Row],[culture_volume_real]]*Table13[[#This Row],[chl_init]])/(Table13[[#This Row],[medium_volume_real]]+Table13[[#This Row],[culture_volume_real]])</f>
        <v>1.9085539894999999</v>
      </c>
      <c r="H116">
        <v>990</v>
      </c>
      <c r="I116">
        <v>10</v>
      </c>
    </row>
    <row r="117" spans="1:9" x14ac:dyDescent="0.25">
      <c r="A117" s="1" t="s">
        <v>43</v>
      </c>
      <c r="B117" s="1" t="s">
        <v>50</v>
      </c>
      <c r="C117" s="1">
        <f>chla_spectro!M21</f>
        <v>190.85539894999999</v>
      </c>
      <c r="D117" s="1">
        <v>0.3</v>
      </c>
      <c r="E117" s="1">
        <f t="shared" si="8"/>
        <v>998.42812935001859</v>
      </c>
      <c r="F117" s="1">
        <f t="shared" si="9"/>
        <v>1.5718706499814212</v>
      </c>
      <c r="G117">
        <f>(Table13[[#This Row],[culture_volume_real]]*Table13[[#This Row],[chl_init]])/(Table13[[#This Row],[medium_volume_real]]+Table13[[#This Row],[culture_volume_real]])</f>
        <v>0.38094890009980037</v>
      </c>
      <c r="H117">
        <v>1000</v>
      </c>
      <c r="I117">
        <v>2</v>
      </c>
    </row>
    <row r="118" spans="1:9" x14ac:dyDescent="0.25">
      <c r="A118" s="1" t="s">
        <v>43</v>
      </c>
      <c r="B118" s="1" t="s">
        <v>50</v>
      </c>
      <c r="C118" s="1">
        <f>chla_spectro!M21</f>
        <v>190.85539894999999</v>
      </c>
      <c r="D118" s="1">
        <v>0.1</v>
      </c>
      <c r="E118" s="1">
        <f t="shared" si="8"/>
        <v>999.47604311667283</v>
      </c>
      <c r="F118" s="1">
        <f t="shared" si="9"/>
        <v>0.52395688332714052</v>
      </c>
      <c r="G118">
        <f>(Table13[[#This Row],[culture_volume_real]]*Table13[[#This Row],[chl_init]])/(Table13[[#This Row],[medium_volume_real]]+Table13[[#This Row],[culture_volume_real]])</f>
        <v>9.538000947026487E-2</v>
      </c>
      <c r="H118">
        <v>1000</v>
      </c>
      <c r="I118">
        <v>0.5</v>
      </c>
    </row>
    <row r="119" spans="1:9" x14ac:dyDescent="0.25">
      <c r="A119" s="1" t="s">
        <v>43</v>
      </c>
      <c r="B119" s="1" t="s">
        <v>50</v>
      </c>
      <c r="C119" s="1">
        <f>chla_spectro!M21</f>
        <v>190.85539894999999</v>
      </c>
      <c r="D119" s="1">
        <v>0.05</v>
      </c>
      <c r="E119" s="1">
        <f t="shared" si="8"/>
        <v>999.73802155833641</v>
      </c>
      <c r="F119" s="1">
        <f t="shared" si="9"/>
        <v>0.26197844166357026</v>
      </c>
      <c r="G119">
        <f>(Table13[[#This Row],[culture_volume_real]]*Table13[[#This Row],[chl_init]])/(Table13[[#This Row],[medium_volume_real]]+Table13[[#This Row],[culture_volume_real]])</f>
        <v>3.8163447100579881E-2</v>
      </c>
      <c r="H119">
        <v>1000</v>
      </c>
      <c r="I119">
        <v>0.2</v>
      </c>
    </row>
    <row r="120" spans="1:9" x14ac:dyDescent="0.25">
      <c r="A120" s="1"/>
      <c r="C120" s="1"/>
      <c r="D120" s="1"/>
      <c r="E120" s="1"/>
      <c r="F120" s="1"/>
      <c r="G120" t="e">
        <f>(Table13[[#This Row],[culture_volume_real]]*Table13[[#This Row],[chl_init]])/(Table13[[#This Row],[medium_volume_real]]+Table13[[#This Row],[culture_volume_real]])</f>
        <v>#DIV/0!</v>
      </c>
    </row>
    <row r="121" spans="1:9" x14ac:dyDescent="0.25">
      <c r="A121" s="1" t="s">
        <v>44</v>
      </c>
      <c r="B121" s="1" t="s">
        <v>50</v>
      </c>
      <c r="C121" s="1">
        <f>chla_spectro!M22</f>
        <v>42.999859509999993</v>
      </c>
      <c r="D121" s="1">
        <v>5</v>
      </c>
      <c r="E121" s="1">
        <f>1000-F121</f>
        <v>883.72055032325852</v>
      </c>
      <c r="F121" s="1">
        <f>1000/(C121/D121)</f>
        <v>116.27944967674154</v>
      </c>
      <c r="G121">
        <f>(Table13[[#This Row],[culture_volume_real]]*Table13[[#This Row],[chl_init]])/(Table13[[#This Row],[medium_volume_real]]+Table13[[#This Row],[culture_volume_real]])</f>
        <v>5.1599831411999997</v>
      </c>
      <c r="H121">
        <v>880</v>
      </c>
      <c r="I121">
        <v>120</v>
      </c>
    </row>
    <row r="122" spans="1:9" x14ac:dyDescent="0.25">
      <c r="A122" s="1" t="s">
        <v>44</v>
      </c>
      <c r="B122" s="1" t="s">
        <v>50</v>
      </c>
      <c r="C122" s="1">
        <f>chla_spectro!M22</f>
        <v>42.999859509999993</v>
      </c>
      <c r="D122" s="1">
        <v>1</v>
      </c>
      <c r="E122" s="1">
        <f>1000-F122</f>
        <v>976.74411006465175</v>
      </c>
      <c r="F122" s="1">
        <f>1000/(C122/D122)</f>
        <v>23.255889935348307</v>
      </c>
      <c r="G122">
        <f>(Table13[[#This Row],[culture_volume_real]]*Table13[[#This Row],[chl_init]])/(Table13[[#This Row],[medium_volume_real]]+Table13[[#This Row],[culture_volume_real]])</f>
        <v>1.07499648775</v>
      </c>
      <c r="H122">
        <v>975</v>
      </c>
      <c r="I122">
        <v>25</v>
      </c>
    </row>
    <row r="123" spans="1:9" x14ac:dyDescent="0.25">
      <c r="A123" s="1" t="s">
        <v>44</v>
      </c>
      <c r="B123" s="1" t="s">
        <v>50</v>
      </c>
      <c r="C123" s="1">
        <f>chla_spectro!M22</f>
        <v>42.999859509999993</v>
      </c>
      <c r="D123" s="1">
        <v>0.3</v>
      </c>
      <c r="E123" s="1">
        <f>1000-F123</f>
        <v>993.02323301939555</v>
      </c>
      <c r="F123" s="1">
        <f>1000/(C123/D123)</f>
        <v>6.9767669806044914</v>
      </c>
      <c r="G123">
        <f>(Table13[[#This Row],[culture_volume_real]]*Table13[[#This Row],[chl_init]])/(Table13[[#This Row],[medium_volume_real]]+Table13[[#This Row],[culture_volume_real]])</f>
        <v>0.42999859509999994</v>
      </c>
      <c r="H123">
        <v>990</v>
      </c>
      <c r="I123">
        <v>10</v>
      </c>
    </row>
    <row r="124" spans="1:9" x14ac:dyDescent="0.25">
      <c r="A124" s="1" t="s">
        <v>44</v>
      </c>
      <c r="B124" s="1" t="s">
        <v>50</v>
      </c>
      <c r="C124" s="1">
        <f>chla_spectro!M22</f>
        <v>42.999859509999993</v>
      </c>
      <c r="D124" s="1">
        <v>0.1</v>
      </c>
      <c r="E124" s="1">
        <f t="shared" ref="E124:E133" si="10">1000-F124</f>
        <v>997.67441100646522</v>
      </c>
      <c r="F124" s="1">
        <f>1000/(C124/D124)</f>
        <v>2.3255889935348306</v>
      </c>
      <c r="G124">
        <f>(Table13[[#This Row],[culture_volume_real]]*Table13[[#This Row],[chl_init]])/(Table13[[#This Row],[medium_volume_real]]+Table13[[#This Row],[culture_volume_real]])</f>
        <v>0.21499929754999997</v>
      </c>
      <c r="H124">
        <v>995</v>
      </c>
      <c r="I124">
        <v>5</v>
      </c>
    </row>
    <row r="125" spans="1:9" x14ac:dyDescent="0.25">
      <c r="A125" s="1" t="s">
        <v>44</v>
      </c>
      <c r="B125" s="1" t="s">
        <v>50</v>
      </c>
      <c r="C125" s="1">
        <f>chla_spectro!M22</f>
        <v>42.999859509999993</v>
      </c>
      <c r="D125" s="1">
        <v>0.05</v>
      </c>
      <c r="E125" s="1">
        <f t="shared" si="10"/>
        <v>998.83720550323255</v>
      </c>
      <c r="F125" s="1">
        <f>1000/(C125/D125)</f>
        <v>1.1627944967674153</v>
      </c>
      <c r="G125">
        <f>(Table13[[#This Row],[culture_volume_real]]*Table13[[#This Row],[chl_init]])/(Table13[[#This Row],[medium_volume_real]]+Table13[[#This Row],[culture_volume_real]])</f>
        <v>4.29569026073926E-2</v>
      </c>
      <c r="H125">
        <v>1000</v>
      </c>
      <c r="I125">
        <v>1</v>
      </c>
    </row>
    <row r="126" spans="1:9" x14ac:dyDescent="0.25">
      <c r="A126" s="1"/>
      <c r="C126" s="1"/>
      <c r="D126" s="1"/>
      <c r="E126" s="1"/>
      <c r="F126" s="1"/>
      <c r="G126" t="e">
        <f>(Table13[[#This Row],[culture_volume_real]]*Table13[[#This Row],[chl_init]])/(Table13[[#This Row],[medium_volume_real]]+Table13[[#This Row],[culture_volume_real]])</f>
        <v>#DIV/0!</v>
      </c>
    </row>
    <row r="127" spans="1:9" x14ac:dyDescent="0.25">
      <c r="A127" s="1" t="s">
        <v>45</v>
      </c>
      <c r="B127" s="1" t="s">
        <v>50</v>
      </c>
      <c r="C127" s="1">
        <f>chla_spectro!M23</f>
        <v>91.191370190000015</v>
      </c>
      <c r="D127" s="1">
        <v>5</v>
      </c>
      <c r="E127" s="1">
        <f>1000-F127</f>
        <v>945.17025032541619</v>
      </c>
      <c r="F127" s="1">
        <f>1000/(C127/D127)</f>
        <v>54.829749674583752</v>
      </c>
      <c r="G127">
        <f>(Table13[[#This Row],[culture_volume_real]]*Table13[[#This Row],[chl_init]])/(Table13[[#This Row],[medium_volume_real]]+Table13[[#This Row],[culture_volume_real]])</f>
        <v>5.0155253604500016</v>
      </c>
      <c r="H127">
        <v>945</v>
      </c>
      <c r="I127">
        <v>55</v>
      </c>
    </row>
    <row r="128" spans="1:9" x14ac:dyDescent="0.25">
      <c r="A128" s="1" t="s">
        <v>45</v>
      </c>
      <c r="B128" s="1" t="s">
        <v>50</v>
      </c>
      <c r="C128" s="1">
        <f>chla_spectro!M23</f>
        <v>91.191370190000015</v>
      </c>
      <c r="D128" s="1">
        <v>1</v>
      </c>
      <c r="E128" s="1">
        <f>1000-F128</f>
        <v>989.03405006508319</v>
      </c>
      <c r="F128" s="1">
        <f>1000/(C128/D128)</f>
        <v>10.96594993491675</v>
      </c>
      <c r="G128">
        <f>(Table13[[#This Row],[culture_volume_real]]*Table13[[#This Row],[chl_init]])/(Table13[[#This Row],[medium_volume_real]]+Table13[[#This Row],[culture_volume_real]])</f>
        <v>0.91191370190000021</v>
      </c>
      <c r="H128">
        <v>990</v>
      </c>
      <c r="I128">
        <v>10</v>
      </c>
    </row>
    <row r="129" spans="1:9" x14ac:dyDescent="0.25">
      <c r="A129" s="1" t="s">
        <v>45</v>
      </c>
      <c r="B129" s="1" t="s">
        <v>50</v>
      </c>
      <c r="C129" s="1">
        <f>chla_spectro!M23</f>
        <v>91.191370190000015</v>
      </c>
      <c r="D129" s="1">
        <v>0.3</v>
      </c>
      <c r="E129" s="1">
        <f>1000-F129</f>
        <v>996.71021501952498</v>
      </c>
      <c r="F129" s="1">
        <f>1000/(C129/D129)</f>
        <v>3.2897849804750252</v>
      </c>
      <c r="G129">
        <f>(Table13[[#This Row],[culture_volume_real]]*Table13[[#This Row],[chl_init]])/(Table13[[#This Row],[medium_volume_real]]+Table13[[#This Row],[culture_volume_real]])</f>
        <v>0.4559568509500001</v>
      </c>
      <c r="H129">
        <v>995</v>
      </c>
      <c r="I129">
        <v>5</v>
      </c>
    </row>
    <row r="130" spans="1:9" x14ac:dyDescent="0.25">
      <c r="A130" s="1" t="s">
        <v>45</v>
      </c>
      <c r="B130" s="1" t="s">
        <v>50</v>
      </c>
      <c r="C130" s="1">
        <f>chla_spectro!M23</f>
        <v>91.191370190000015</v>
      </c>
      <c r="D130" s="1">
        <v>0.1</v>
      </c>
      <c r="E130" s="1">
        <f t="shared" si="10"/>
        <v>998.90340500650836</v>
      </c>
      <c r="F130" s="1">
        <f>1000/(C130/D130)</f>
        <v>1.0965949934916752</v>
      </c>
      <c r="G130">
        <f>(Table13[[#This Row],[culture_volume_real]]*Table13[[#This Row],[chl_init]])/(Table13[[#This Row],[medium_volume_real]]+Table13[[#This Row],[culture_volume_real]])</f>
        <v>9.110026992007994E-2</v>
      </c>
      <c r="H130">
        <v>1000</v>
      </c>
      <c r="I130">
        <v>1</v>
      </c>
    </row>
    <row r="131" spans="1:9" x14ac:dyDescent="0.25">
      <c r="A131" s="1" t="s">
        <v>45</v>
      </c>
      <c r="B131" s="1" t="s">
        <v>50</v>
      </c>
      <c r="C131" s="1">
        <f>chla_spectro!M23</f>
        <v>91.191370190000015</v>
      </c>
      <c r="D131" s="1">
        <v>0.05</v>
      </c>
      <c r="E131" s="1">
        <f t="shared" si="10"/>
        <v>999.45170250325418</v>
      </c>
      <c r="F131" s="1">
        <f>1000/(C131/D131)</f>
        <v>0.54829749674583761</v>
      </c>
      <c r="G131">
        <f>(Table13[[#This Row],[culture_volume_real]]*Table13[[#This Row],[chl_init]])/(Table13[[#This Row],[medium_volume_real]]+Table13[[#This Row],[culture_volume_real]])</f>
        <v>4.5572898645677172E-2</v>
      </c>
      <c r="H131">
        <v>1000</v>
      </c>
      <c r="I131">
        <v>0.5</v>
      </c>
    </row>
    <row r="132" spans="1:9" x14ac:dyDescent="0.25">
      <c r="A132" s="1"/>
      <c r="C132" s="1"/>
      <c r="D132" s="1"/>
      <c r="E132" s="1"/>
      <c r="F132" s="1"/>
      <c r="G132" t="e">
        <f>(Table13[[#This Row],[culture_volume_real]]*Table13[[#This Row],[chl_init]])/(Table13[[#This Row],[medium_volume_real]]+Table13[[#This Row],[culture_volume_real]])</f>
        <v>#DIV/0!</v>
      </c>
    </row>
    <row r="133" spans="1:9" x14ac:dyDescent="0.25">
      <c r="A133" s="1" t="s">
        <v>46</v>
      </c>
      <c r="B133" s="1" t="s">
        <v>50</v>
      </c>
      <c r="C133" s="1">
        <f>chla_spectro!M24</f>
        <v>73.525201229999993</v>
      </c>
      <c r="D133" s="1">
        <v>5</v>
      </c>
      <c r="E133" s="1">
        <f t="shared" si="10"/>
        <v>931.99610587451366</v>
      </c>
      <c r="F133" s="1">
        <f>1000/(C133/D133)</f>
        <v>68.003894125486369</v>
      </c>
      <c r="G133">
        <f>(Table13[[#This Row],[culture_volume_real]]*Table13[[#This Row],[chl_init]])/(Table13[[#This Row],[medium_volume_real]]+Table13[[#This Row],[culture_volume_real]])</f>
        <v>5.1467640861000001</v>
      </c>
      <c r="H133">
        <v>930</v>
      </c>
      <c r="I133">
        <v>70</v>
      </c>
    </row>
    <row r="134" spans="1:9" x14ac:dyDescent="0.25">
      <c r="A134" s="1" t="s">
        <v>46</v>
      </c>
      <c r="B134" s="1" t="s">
        <v>50</v>
      </c>
      <c r="C134" s="1">
        <f>chla_spectro!M24</f>
        <v>73.525201229999993</v>
      </c>
      <c r="D134" s="1">
        <v>1</v>
      </c>
      <c r="E134" s="1">
        <f>1000-F134</f>
        <v>986.39922117490278</v>
      </c>
      <c r="F134" s="1">
        <f>1000/(C134/D134)</f>
        <v>13.600778825097274</v>
      </c>
      <c r="G134">
        <f>(Table13[[#This Row],[culture_volume_real]]*Table13[[#This Row],[chl_init]])/(Table13[[#This Row],[medium_volume_real]]+Table13[[#This Row],[culture_volume_real]])</f>
        <v>1.4705040245999998</v>
      </c>
      <c r="H134">
        <v>980</v>
      </c>
      <c r="I134">
        <v>20</v>
      </c>
    </row>
    <row r="135" spans="1:9" x14ac:dyDescent="0.25">
      <c r="A135" s="1" t="s">
        <v>46</v>
      </c>
      <c r="B135" s="1" t="s">
        <v>50</v>
      </c>
      <c r="C135" s="1">
        <f>chla_spectro!M24</f>
        <v>73.525201229999993</v>
      </c>
      <c r="D135" s="1">
        <v>0.3</v>
      </c>
      <c r="E135" s="1">
        <f>1000-F135</f>
        <v>995.91976635247079</v>
      </c>
      <c r="F135" s="1">
        <f>1000/(C135/D135)</f>
        <v>4.0802336475291821</v>
      </c>
      <c r="G135">
        <f>(Table13[[#This Row],[culture_volume_real]]*Table13[[#This Row],[chl_init]])/(Table13[[#This Row],[medium_volume_real]]+Table13[[#This Row],[culture_volume_real]])</f>
        <v>0.36762600614999996</v>
      </c>
      <c r="H135">
        <v>995</v>
      </c>
      <c r="I135">
        <v>5</v>
      </c>
    </row>
    <row r="136" spans="1:9" x14ac:dyDescent="0.25">
      <c r="A136" s="1" t="s">
        <v>46</v>
      </c>
      <c r="B136" s="1" t="s">
        <v>50</v>
      </c>
      <c r="C136" s="1">
        <f>chla_spectro!M24</f>
        <v>73.525201229999993</v>
      </c>
      <c r="D136" s="1">
        <v>0.1</v>
      </c>
      <c r="E136" s="1">
        <f>1000-F136</f>
        <v>998.6399221174903</v>
      </c>
      <c r="F136" s="1">
        <f>1000/(C136/D136)</f>
        <v>1.3600778825097275</v>
      </c>
      <c r="G136">
        <f>(Table13[[#This Row],[culture_volume_real]]*Table13[[#This Row],[chl_init]])/(Table13[[#This Row],[medium_volume_real]]+Table13[[#This Row],[culture_volume_real]])</f>
        <v>7.3451749480519468E-2</v>
      </c>
      <c r="H136">
        <v>1000</v>
      </c>
      <c r="I136">
        <v>1</v>
      </c>
    </row>
    <row r="137" spans="1:9" x14ac:dyDescent="0.25">
      <c r="A137" s="1" t="s">
        <v>46</v>
      </c>
      <c r="B137" s="1" t="s">
        <v>50</v>
      </c>
      <c r="C137" s="1">
        <f>chla_spectro!M24</f>
        <v>73.525201229999993</v>
      </c>
      <c r="D137" s="1">
        <v>0.05</v>
      </c>
      <c r="E137" s="1">
        <f>1000-F137</f>
        <v>999.31996105874509</v>
      </c>
      <c r="F137" s="1">
        <f>1000/(C137/D137)</f>
        <v>0.68003894125486375</v>
      </c>
      <c r="G137">
        <f>(Table13[[#This Row],[culture_volume_real]]*Table13[[#This Row],[chl_init]])/(Table13[[#This Row],[medium_volume_real]]+Table13[[#This Row],[culture_volume_real]])</f>
        <v>3.6744228500749619E-2</v>
      </c>
      <c r="H137">
        <v>1000</v>
      </c>
      <c r="I137">
        <v>0.5</v>
      </c>
    </row>
    <row r="138" spans="1:9" x14ac:dyDescent="0.25">
      <c r="A138" s="1"/>
      <c r="C138" s="1"/>
      <c r="D138" s="1"/>
      <c r="E138" s="1"/>
      <c r="F138" s="1"/>
      <c r="G138" t="e">
        <f>(Table13[[#This Row],[culture_volume_real]]*Table13[[#This Row],[chl_init]])/(Table13[[#This Row],[medium_volume_real]]+Table13[[#This Row],[culture_volume_real]])</f>
        <v>#DIV/0!</v>
      </c>
    </row>
    <row r="139" spans="1:9" x14ac:dyDescent="0.25">
      <c r="A139" s="1" t="s">
        <v>47</v>
      </c>
      <c r="B139" s="1" t="s">
        <v>50</v>
      </c>
      <c r="C139" s="1" t="e">
        <f>chla_spectro!M25</f>
        <v>#DIV/0!</v>
      </c>
      <c r="D139" s="1">
        <v>5</v>
      </c>
      <c r="E139" s="1" t="e">
        <f t="shared" ref="E139:E150" si="11">1000-F139</f>
        <v>#DIV/0!</v>
      </c>
      <c r="F139" s="1" t="e">
        <f t="shared" ref="F139:F150" si="12">1000/(C139/D139)</f>
        <v>#DIV/0!</v>
      </c>
      <c r="G139" t="e">
        <f>(Table13[[#This Row],[culture_volume_real]]*Table13[[#This Row],[chl_init]])/(Table13[[#This Row],[medium_volume_real]]+Table13[[#This Row],[culture_volume_real]])</f>
        <v>#DIV/0!</v>
      </c>
    </row>
    <row r="140" spans="1:9" x14ac:dyDescent="0.25">
      <c r="A140" s="1" t="s">
        <v>47</v>
      </c>
      <c r="B140" s="1" t="s">
        <v>50</v>
      </c>
      <c r="C140" s="1" t="e">
        <f>chla_spectro!M25</f>
        <v>#DIV/0!</v>
      </c>
      <c r="D140" s="1">
        <v>1</v>
      </c>
      <c r="E140" s="1" t="e">
        <f t="shared" si="11"/>
        <v>#DIV/0!</v>
      </c>
      <c r="F140" s="1" t="e">
        <f t="shared" si="12"/>
        <v>#DIV/0!</v>
      </c>
      <c r="G140" t="e">
        <f>(Table13[[#This Row],[culture_volume_real]]*Table13[[#This Row],[chl_init]])/(Table13[[#This Row],[medium_volume_real]]+Table13[[#This Row],[culture_volume_real]])</f>
        <v>#DIV/0!</v>
      </c>
    </row>
    <row r="141" spans="1:9" x14ac:dyDescent="0.25">
      <c r="A141" s="1" t="s">
        <v>47</v>
      </c>
      <c r="B141" s="1" t="s">
        <v>50</v>
      </c>
      <c r="C141" s="1" t="e">
        <f>chla_spectro!M25</f>
        <v>#DIV/0!</v>
      </c>
      <c r="D141" s="1">
        <v>0.3</v>
      </c>
      <c r="E141" s="1" t="e">
        <f t="shared" si="11"/>
        <v>#DIV/0!</v>
      </c>
      <c r="F141" s="1" t="e">
        <f t="shared" si="12"/>
        <v>#DIV/0!</v>
      </c>
      <c r="G141" t="e">
        <f>(Table13[[#This Row],[culture_volume_real]]*Table13[[#This Row],[chl_init]])/(Table13[[#This Row],[medium_volume_real]]+Table13[[#This Row],[culture_volume_real]])</f>
        <v>#DIV/0!</v>
      </c>
    </row>
    <row r="142" spans="1:9" x14ac:dyDescent="0.25">
      <c r="A142" s="1" t="s">
        <v>47</v>
      </c>
      <c r="B142" s="1" t="s">
        <v>50</v>
      </c>
      <c r="C142" s="1" t="e">
        <f>chla_spectro!M25</f>
        <v>#DIV/0!</v>
      </c>
      <c r="D142" s="1">
        <v>0.1</v>
      </c>
      <c r="E142" s="1" t="e">
        <f t="shared" si="11"/>
        <v>#DIV/0!</v>
      </c>
      <c r="F142" s="1" t="e">
        <f t="shared" si="12"/>
        <v>#DIV/0!</v>
      </c>
      <c r="G142" t="e">
        <f>(Table13[[#This Row],[culture_volume_real]]*Table13[[#This Row],[chl_init]])/(Table13[[#This Row],[medium_volume_real]]+Table13[[#This Row],[culture_volume_real]])</f>
        <v>#DIV/0!</v>
      </c>
    </row>
    <row r="143" spans="1:9" x14ac:dyDescent="0.25">
      <c r="A143" s="1" t="s">
        <v>47</v>
      </c>
      <c r="B143" s="1" t="s">
        <v>50</v>
      </c>
      <c r="C143" s="1" t="e">
        <f>chla_spectro!M25</f>
        <v>#DIV/0!</v>
      </c>
      <c r="D143" s="1">
        <v>0.05</v>
      </c>
      <c r="E143" s="1" t="e">
        <f t="shared" si="11"/>
        <v>#DIV/0!</v>
      </c>
      <c r="F143" s="1" t="e">
        <f t="shared" si="12"/>
        <v>#DIV/0!</v>
      </c>
      <c r="G143" t="e">
        <f>(Table13[[#This Row],[culture_volume_real]]*Table13[[#This Row],[chl_init]])/(Table13[[#This Row],[medium_volume_real]]+Table13[[#This Row],[culture_volume_real]])</f>
        <v>#DIV/0!</v>
      </c>
    </row>
    <row r="144" spans="1:9" x14ac:dyDescent="0.25">
      <c r="A144" s="1" t="s">
        <v>48</v>
      </c>
      <c r="B144" s="1" t="s">
        <v>50</v>
      </c>
      <c r="C144" s="1">
        <f>chla_spectro!M26</f>
        <v>64.815247589999998</v>
      </c>
      <c r="D144" s="1">
        <v>10</v>
      </c>
      <c r="E144" s="1">
        <f t="shared" si="11"/>
        <v>845.71531588899074</v>
      </c>
      <c r="F144" s="1">
        <f t="shared" si="12"/>
        <v>154.2846841110092</v>
      </c>
      <c r="G144">
        <f>(Table13[[#This Row],[culture_volume_real]]*Table13[[#This Row],[chl_init]])/(Table13[[#This Row],[medium_volume_real]]+Table13[[#This Row],[culture_volume_real]])</f>
        <v>9.7222871385000005</v>
      </c>
      <c r="H144">
        <v>850</v>
      </c>
      <c r="I144">
        <v>150</v>
      </c>
    </row>
    <row r="145" spans="1:11" x14ac:dyDescent="0.25">
      <c r="A145" s="1" t="s">
        <v>48</v>
      </c>
      <c r="B145" s="1" t="s">
        <v>50</v>
      </c>
      <c r="C145" s="1">
        <f>chla_spectro!M26</f>
        <v>64.815247589999998</v>
      </c>
      <c r="D145" s="1">
        <v>5</v>
      </c>
      <c r="E145" s="1">
        <f t="shared" si="11"/>
        <v>922.85765794449537</v>
      </c>
      <c r="F145" s="1">
        <f t="shared" si="12"/>
        <v>77.142342055504599</v>
      </c>
      <c r="G145">
        <f>(Table13[[#This Row],[culture_volume_real]]*Table13[[#This Row],[chl_init]])/(Table13[[#This Row],[medium_volume_real]]+Table13[[#This Row],[culture_volume_real]])</f>
        <v>4.5370673312999994</v>
      </c>
      <c r="H145">
        <v>930</v>
      </c>
      <c r="I145">
        <v>70</v>
      </c>
    </row>
    <row r="146" spans="1:11" x14ac:dyDescent="0.25">
      <c r="A146" s="1" t="s">
        <v>48</v>
      </c>
      <c r="B146" s="1" t="s">
        <v>50</v>
      </c>
      <c r="C146" s="1">
        <f>chla_spectro!M26</f>
        <v>64.815247589999998</v>
      </c>
      <c r="D146" s="1">
        <v>1</v>
      </c>
      <c r="E146" s="1">
        <f t="shared" si="11"/>
        <v>984.57153158889912</v>
      </c>
      <c r="F146" s="1">
        <f t="shared" si="12"/>
        <v>15.428468411100919</v>
      </c>
      <c r="G146">
        <f>(Table13[[#This Row],[culture_volume_real]]*Table13[[#This Row],[chl_init]])/(Table13[[#This Row],[medium_volume_real]]+Table13[[#This Row],[culture_volume_real]])</f>
        <v>0.97222871384999998</v>
      </c>
      <c r="H146">
        <v>985</v>
      </c>
      <c r="I146">
        <v>15</v>
      </c>
      <c r="K146" t="s">
        <v>95</v>
      </c>
    </row>
    <row r="147" spans="1:11" x14ac:dyDescent="0.25">
      <c r="A147" s="1" t="s">
        <v>48</v>
      </c>
      <c r="B147" s="1" t="s">
        <v>50</v>
      </c>
      <c r="C147" s="1">
        <f>chla_spectro!M26</f>
        <v>64.815247589999998</v>
      </c>
      <c r="D147" s="1">
        <v>0.3</v>
      </c>
      <c r="E147" s="1">
        <f t="shared" si="11"/>
        <v>995.37145947666977</v>
      </c>
      <c r="F147" s="1">
        <f t="shared" si="12"/>
        <v>4.6285405233302752</v>
      </c>
      <c r="G147">
        <f>(Table13[[#This Row],[culture_volume_real]]*Table13[[#This Row],[chl_init]])/(Table13[[#This Row],[medium_volume_real]]+Table13[[#This Row],[culture_volume_real]])</f>
        <v>0.32407623795000001</v>
      </c>
      <c r="H147">
        <v>995</v>
      </c>
      <c r="I147">
        <v>5</v>
      </c>
    </row>
    <row r="148" spans="1:11" x14ac:dyDescent="0.25">
      <c r="A148" s="1" t="s">
        <v>48</v>
      </c>
      <c r="B148" s="1" t="s">
        <v>50</v>
      </c>
      <c r="C148" s="1">
        <f>chla_spectro!M26</f>
        <v>64.815247589999998</v>
      </c>
      <c r="D148" s="1">
        <v>0.1</v>
      </c>
      <c r="E148" s="1">
        <f t="shared" si="11"/>
        <v>998.45715315888992</v>
      </c>
      <c r="F148" s="1">
        <f t="shared" si="12"/>
        <v>1.5428468411100922</v>
      </c>
      <c r="G148">
        <f>(Table13[[#This Row],[culture_volume_real]]*Table13[[#This Row],[chl_init]])/(Table13[[#This Row],[medium_volume_real]]+Table13[[#This Row],[culture_volume_real]])</f>
        <v>6.4750497092907089E-2</v>
      </c>
      <c r="H148">
        <v>1000</v>
      </c>
      <c r="I148">
        <v>1</v>
      </c>
    </row>
    <row r="149" spans="1:11" x14ac:dyDescent="0.25">
      <c r="A149" s="1" t="s">
        <v>48</v>
      </c>
      <c r="B149" s="1" t="s">
        <v>50</v>
      </c>
      <c r="C149" s="1">
        <f>chla_spectro!M26</f>
        <v>64.815247589999998</v>
      </c>
      <c r="D149" s="1">
        <v>0.05</v>
      </c>
      <c r="E149" s="1">
        <f t="shared" si="11"/>
        <v>999.22857657944496</v>
      </c>
      <c r="F149" s="1">
        <f t="shared" si="12"/>
        <v>0.77142342055504609</v>
      </c>
      <c r="G149">
        <f>(Table13[[#This Row],[culture_volume_real]]*Table13[[#This Row],[chl_init]])/(Table13[[#This Row],[medium_volume_real]]+Table13[[#This Row],[culture_volume_real]])</f>
        <v>3.2391428080959517E-2</v>
      </c>
      <c r="H149">
        <v>1000</v>
      </c>
      <c r="I149">
        <v>0.5</v>
      </c>
    </row>
    <row r="150" spans="1:11" x14ac:dyDescent="0.25">
      <c r="E150" t="e">
        <f t="shared" si="11"/>
        <v>#DIV/0!</v>
      </c>
      <c r="F150" t="e">
        <f t="shared" si="12"/>
        <v>#DIV/0!</v>
      </c>
      <c r="G150" s="10" t="e">
        <f>(Table13[[#This Row],[culture_volume_real]]*Table13[[#This Row],[chl_init]])/(Table13[[#This Row],[medium_volume_real]]+Table13[[#This Row],[culture_volume_real]])</f>
        <v>#DIV/0!</v>
      </c>
    </row>
    <row r="151" spans="1:11" x14ac:dyDescent="0.25">
      <c r="A151" s="1" t="s">
        <v>0</v>
      </c>
      <c r="B151" s="1" t="s">
        <v>1</v>
      </c>
      <c r="C151" s="1" t="s">
        <v>52</v>
      </c>
      <c r="D151" s="1" t="s">
        <v>61</v>
      </c>
      <c r="E151" s="1" t="s">
        <v>62</v>
      </c>
      <c r="F151" s="1" t="s">
        <v>63</v>
      </c>
      <c r="G151" s="1" t="s">
        <v>69</v>
      </c>
      <c r="H151" s="1" t="s">
        <v>88</v>
      </c>
      <c r="I151" s="1" t="s">
        <v>89</v>
      </c>
    </row>
    <row r="152" spans="1:11" x14ac:dyDescent="0.25">
      <c r="A152" s="1"/>
      <c r="C152" s="1"/>
      <c r="D152" s="1"/>
      <c r="E152" s="1"/>
      <c r="F152" s="1"/>
      <c r="G152" s="1" t="e">
        <f>(Table14[[#This Row],[culture_volume_real]]*Table14[[#This Row],[chl_init]])/(Table14[[#This Row],[medium_volume_real]]+Table14[[#This Row],[culture_volume_real]])</f>
        <v>#DIV/0!</v>
      </c>
      <c r="H152" s="1"/>
      <c r="I152" s="1"/>
    </row>
    <row r="153" spans="1:11" x14ac:dyDescent="0.25">
      <c r="A153" s="1" t="s">
        <v>37</v>
      </c>
      <c r="B153" s="1" t="s">
        <v>51</v>
      </c>
      <c r="C153" s="1" t="e">
        <f>chla_spectro!M28</f>
        <v>#DIV/0!</v>
      </c>
      <c r="D153" s="1">
        <v>5</v>
      </c>
      <c r="E153" s="1" t="e">
        <f>1000-F153</f>
        <v>#DIV/0!</v>
      </c>
      <c r="F153" s="1" t="e">
        <f>1000/(C153/D153)</f>
        <v>#DIV/0!</v>
      </c>
      <c r="G153" s="1" t="e">
        <f>(Table14[[#This Row],[culture_volume_real]]*Table14[[#This Row],[chl_init]])/(Table14[[#This Row],[medium_volume_real]]+Table14[[#This Row],[culture_volume_real]])</f>
        <v>#DIV/0!</v>
      </c>
      <c r="H153" s="1"/>
      <c r="I153" s="1"/>
    </row>
    <row r="154" spans="1:11" x14ac:dyDescent="0.25">
      <c r="A154" s="1" t="s">
        <v>37</v>
      </c>
      <c r="B154" s="1" t="s">
        <v>51</v>
      </c>
      <c r="C154" s="1" t="e">
        <f>chla_spectro!M28</f>
        <v>#DIV/0!</v>
      </c>
      <c r="D154" s="1">
        <v>1</v>
      </c>
      <c r="E154" s="1" t="e">
        <f>1000-F154</f>
        <v>#DIV/0!</v>
      </c>
      <c r="F154" s="1" t="e">
        <f>1000/(C154/D154)</f>
        <v>#DIV/0!</v>
      </c>
      <c r="G154" s="1" t="e">
        <f>(Table14[[#This Row],[culture_volume_real]]*Table14[[#This Row],[chl_init]])/(Table14[[#This Row],[medium_volume_real]]+Table14[[#This Row],[culture_volume_real]])</f>
        <v>#DIV/0!</v>
      </c>
      <c r="H154" s="1"/>
      <c r="I154" s="1"/>
    </row>
    <row r="155" spans="1:11" x14ac:dyDescent="0.25">
      <c r="A155" s="1" t="s">
        <v>64</v>
      </c>
      <c r="B155" s="1" t="s">
        <v>51</v>
      </c>
      <c r="C155" s="1" t="e">
        <f>chla_spectro!M28</f>
        <v>#DIV/0!</v>
      </c>
      <c r="D155" s="1">
        <v>0.3</v>
      </c>
      <c r="E155" s="1" t="e">
        <f>1000-F155</f>
        <v>#DIV/0!</v>
      </c>
      <c r="F155" s="1" t="e">
        <f>1000/(C155/D155)</f>
        <v>#DIV/0!</v>
      </c>
      <c r="G155" s="1" t="e">
        <f>(Table14[[#This Row],[culture_volume_real]]*Table14[[#This Row],[chl_init]])/(Table14[[#This Row],[medium_volume_real]]+Table14[[#This Row],[culture_volume_real]])</f>
        <v>#DIV/0!</v>
      </c>
      <c r="H155" s="1"/>
      <c r="I155" s="1"/>
    </row>
    <row r="156" spans="1:11" x14ac:dyDescent="0.25">
      <c r="A156" s="1" t="s">
        <v>65</v>
      </c>
      <c r="B156" s="1" t="s">
        <v>51</v>
      </c>
      <c r="C156" s="1" t="e">
        <f>chla_spectro!M28</f>
        <v>#DIV/0!</v>
      </c>
      <c r="D156" s="1">
        <v>0.1</v>
      </c>
      <c r="E156" s="1" t="e">
        <f>1000-F156</f>
        <v>#DIV/0!</v>
      </c>
      <c r="F156" s="1" t="e">
        <f>1000/(C156/D156)</f>
        <v>#DIV/0!</v>
      </c>
      <c r="G156" s="1" t="e">
        <f>(Table14[[#This Row],[culture_volume_real]]*Table14[[#This Row],[chl_init]])/(Table14[[#This Row],[medium_volume_real]]+Table14[[#This Row],[culture_volume_real]])</f>
        <v>#DIV/0!</v>
      </c>
      <c r="H156" s="1"/>
      <c r="I156" s="1"/>
    </row>
    <row r="157" spans="1:11" x14ac:dyDescent="0.25">
      <c r="A157" s="1" t="s">
        <v>66</v>
      </c>
      <c r="B157" s="1" t="s">
        <v>51</v>
      </c>
      <c r="C157" s="1" t="e">
        <f>chla_spectro!M28</f>
        <v>#DIV/0!</v>
      </c>
      <c r="D157" s="1">
        <v>0.05</v>
      </c>
      <c r="E157" s="1" t="e">
        <f>1000-F157</f>
        <v>#DIV/0!</v>
      </c>
      <c r="F157" s="1" t="e">
        <f>1000/(C157/D157)</f>
        <v>#DIV/0!</v>
      </c>
      <c r="G157" s="1" t="e">
        <f>(Table14[[#This Row],[culture_volume_real]]*Table14[[#This Row],[chl_init]])/(Table14[[#This Row],[medium_volume_real]]+Table14[[#This Row],[culture_volume_real]])</f>
        <v>#DIV/0!</v>
      </c>
      <c r="H157" s="1"/>
      <c r="I157" s="1"/>
    </row>
    <row r="158" spans="1:11" x14ac:dyDescent="0.25">
      <c r="A158" s="1"/>
      <c r="C158" s="1"/>
      <c r="D158" s="1"/>
      <c r="E158" s="1"/>
      <c r="F158" s="1"/>
      <c r="G158" s="1" t="e">
        <f>(Table14[[#This Row],[culture_volume_real]]*Table14[[#This Row],[chl_init]])/(Table14[[#This Row],[medium_volume_real]]+Table14[[#This Row],[culture_volume_real]])</f>
        <v>#DIV/0!</v>
      </c>
      <c r="H158" s="1"/>
      <c r="I158" s="1"/>
    </row>
    <row r="159" spans="1:11" x14ac:dyDescent="0.25">
      <c r="A159" s="1" t="s">
        <v>38</v>
      </c>
      <c r="B159" s="1" t="s">
        <v>51</v>
      </c>
      <c r="C159" s="1" t="e">
        <f>chla_spectro!M29</f>
        <v>#DIV/0!</v>
      </c>
      <c r="D159" s="1">
        <v>5</v>
      </c>
      <c r="E159" s="1" t="e">
        <f>1000-F159</f>
        <v>#DIV/0!</v>
      </c>
      <c r="F159" s="1" t="e">
        <f>1000/(C159/D159)</f>
        <v>#DIV/0!</v>
      </c>
      <c r="G159" s="1" t="e">
        <f>(Table14[[#This Row],[culture_volume_real]]*Table14[[#This Row],[chl_init]])/(Table14[[#This Row],[medium_volume_real]]+Table14[[#This Row],[culture_volume_real]])</f>
        <v>#DIV/0!</v>
      </c>
      <c r="H159" s="1"/>
      <c r="I159" s="1"/>
    </row>
    <row r="160" spans="1:11" x14ac:dyDescent="0.25">
      <c r="A160" s="1" t="s">
        <v>38</v>
      </c>
      <c r="B160" s="1" t="s">
        <v>51</v>
      </c>
      <c r="C160" s="1" t="e">
        <f>chla_spectro!M29</f>
        <v>#DIV/0!</v>
      </c>
      <c r="D160" s="1">
        <v>1</v>
      </c>
      <c r="E160" s="1" t="e">
        <f>1000-F160</f>
        <v>#DIV/0!</v>
      </c>
      <c r="F160" s="1" t="e">
        <f>1000/(C160/D160)</f>
        <v>#DIV/0!</v>
      </c>
      <c r="G160" s="1" t="e">
        <f>(Table14[[#This Row],[culture_volume_real]]*Table14[[#This Row],[chl_init]])/(Table14[[#This Row],[medium_volume_real]]+Table14[[#This Row],[culture_volume_real]])</f>
        <v>#DIV/0!</v>
      </c>
      <c r="H160" s="1"/>
      <c r="I160" s="1"/>
    </row>
    <row r="161" spans="1:9" x14ac:dyDescent="0.25">
      <c r="A161" s="1" t="s">
        <v>38</v>
      </c>
      <c r="B161" s="1" t="s">
        <v>51</v>
      </c>
      <c r="C161" s="1" t="e">
        <f>chla_spectro!M29</f>
        <v>#DIV/0!</v>
      </c>
      <c r="D161" s="1">
        <v>0.3</v>
      </c>
      <c r="E161" s="1" t="e">
        <f>1000-F161</f>
        <v>#DIV/0!</v>
      </c>
      <c r="F161" s="1" t="e">
        <f>1000/(C161/D161)</f>
        <v>#DIV/0!</v>
      </c>
      <c r="G161" s="1" t="e">
        <f>(Table14[[#This Row],[culture_volume_real]]*Table14[[#This Row],[chl_init]])/(Table14[[#This Row],[medium_volume_real]]+Table14[[#This Row],[culture_volume_real]])</f>
        <v>#DIV/0!</v>
      </c>
      <c r="H161" s="1"/>
      <c r="I161" s="1"/>
    </row>
    <row r="162" spans="1:9" x14ac:dyDescent="0.25">
      <c r="A162" s="1" t="s">
        <v>38</v>
      </c>
      <c r="B162" s="1" t="s">
        <v>51</v>
      </c>
      <c r="C162" s="1" t="e">
        <f>chla_spectro!M29</f>
        <v>#DIV/0!</v>
      </c>
      <c r="D162" s="1">
        <v>0.1</v>
      </c>
      <c r="E162" s="1" t="e">
        <f t="shared" ref="E162:E169" si="13">1000-F162</f>
        <v>#DIV/0!</v>
      </c>
      <c r="F162" s="1" t="e">
        <f>1000/(C162/D162)</f>
        <v>#DIV/0!</v>
      </c>
      <c r="G162" s="1" t="e">
        <f>(Table14[[#This Row],[culture_volume_real]]*Table14[[#This Row],[chl_init]])/(Table14[[#This Row],[medium_volume_real]]+Table14[[#This Row],[culture_volume_real]])</f>
        <v>#DIV/0!</v>
      </c>
      <c r="H162" s="1"/>
      <c r="I162" s="1"/>
    </row>
    <row r="163" spans="1:9" x14ac:dyDescent="0.25">
      <c r="A163" s="1" t="s">
        <v>38</v>
      </c>
      <c r="B163" s="1" t="s">
        <v>51</v>
      </c>
      <c r="C163" s="1" t="e">
        <f>chla_spectro!M29</f>
        <v>#DIV/0!</v>
      </c>
      <c r="D163" s="1">
        <v>0.05</v>
      </c>
      <c r="E163" s="1" t="e">
        <f t="shared" si="13"/>
        <v>#DIV/0!</v>
      </c>
      <c r="F163" s="1" t="e">
        <f>1000/(C163/D163)</f>
        <v>#DIV/0!</v>
      </c>
      <c r="G163" s="1" t="e">
        <f>(Table14[[#This Row],[culture_volume_real]]*Table14[[#This Row],[chl_init]])/(Table14[[#This Row],[medium_volume_real]]+Table14[[#This Row],[culture_volume_real]])</f>
        <v>#DIV/0!</v>
      </c>
      <c r="H163" s="1"/>
      <c r="I163" s="1"/>
    </row>
    <row r="164" spans="1:9" x14ac:dyDescent="0.25">
      <c r="A164" s="1"/>
      <c r="C164" s="1"/>
      <c r="D164" s="1"/>
      <c r="E164" s="1"/>
      <c r="F164" s="1"/>
      <c r="G164" s="1" t="e">
        <f>(Table14[[#This Row],[culture_volume_real]]*Table14[[#This Row],[chl_init]])/(Table14[[#This Row],[medium_volume_real]]+Table14[[#This Row],[culture_volume_real]])</f>
        <v>#DIV/0!</v>
      </c>
      <c r="H164" s="1"/>
      <c r="I164" s="1"/>
    </row>
    <row r="165" spans="1:9" x14ac:dyDescent="0.25">
      <c r="A165" s="1" t="s">
        <v>39</v>
      </c>
      <c r="B165" s="1" t="s">
        <v>51</v>
      </c>
      <c r="C165" s="1">
        <f>chla_spectro!M30</f>
        <v>16.398295000000005</v>
      </c>
      <c r="D165" s="1">
        <v>5</v>
      </c>
      <c r="E165" s="1">
        <f t="shared" si="13"/>
        <v>695.09025176093019</v>
      </c>
      <c r="F165" s="1">
        <f>1000/(C165/D165)</f>
        <v>304.90974823906987</v>
      </c>
      <c r="G165" s="1">
        <f>(Table14[[#This Row],[culture_volume_real]]*Table14[[#This Row],[chl_init]])/(Table14[[#This Row],[medium_volume_real]]+Table14[[#This Row],[culture_volume_real]])</f>
        <v>4.9194885000000017</v>
      </c>
      <c r="H165" s="1">
        <v>700</v>
      </c>
      <c r="I165" s="1">
        <v>300</v>
      </c>
    </row>
    <row r="166" spans="1:9" x14ac:dyDescent="0.25">
      <c r="A166" s="1" t="s">
        <v>39</v>
      </c>
      <c r="B166" s="1" t="s">
        <v>51</v>
      </c>
      <c r="C166" s="1">
        <f>chla_spectro!M30</f>
        <v>16.398295000000005</v>
      </c>
      <c r="D166" s="1">
        <v>1</v>
      </c>
      <c r="E166" s="1">
        <f>1000-F166</f>
        <v>939.01805035218604</v>
      </c>
      <c r="F166" s="1">
        <f>1000/(C166/D166)</f>
        <v>60.981949647813977</v>
      </c>
      <c r="G166" s="1">
        <f>(Table14[[#This Row],[culture_volume_real]]*Table14[[#This Row],[chl_init]])/(Table14[[#This Row],[medium_volume_real]]+Table14[[#This Row],[culture_volume_real]])</f>
        <v>0.98389770000000021</v>
      </c>
      <c r="H166" s="1">
        <v>940</v>
      </c>
      <c r="I166" s="1">
        <v>60</v>
      </c>
    </row>
    <row r="167" spans="1:9" x14ac:dyDescent="0.25">
      <c r="A167" s="1" t="s">
        <v>39</v>
      </c>
      <c r="B167" s="1" t="s">
        <v>51</v>
      </c>
      <c r="C167" s="1">
        <f>chla_spectro!M30</f>
        <v>16.398295000000005</v>
      </c>
      <c r="D167" s="1">
        <v>0.3</v>
      </c>
      <c r="E167" s="1">
        <f>1000-F167</f>
        <v>981.70541510565579</v>
      </c>
      <c r="F167" s="1">
        <f>1000/(C167/D167)</f>
        <v>18.294584894344194</v>
      </c>
      <c r="G167" s="1">
        <f>(Table14[[#This Row],[culture_volume_real]]*Table14[[#This Row],[chl_init]])/(Table14[[#This Row],[medium_volume_real]]+Table14[[#This Row],[culture_volume_real]])</f>
        <v>0.32796590000000009</v>
      </c>
      <c r="H167" s="1">
        <v>980</v>
      </c>
      <c r="I167" s="1">
        <v>20</v>
      </c>
    </row>
    <row r="168" spans="1:9" x14ac:dyDescent="0.25">
      <c r="A168" s="1" t="s">
        <v>39</v>
      </c>
      <c r="B168" s="1" t="s">
        <v>51</v>
      </c>
      <c r="C168" s="1">
        <f>chla_spectro!M30</f>
        <v>16.398295000000005</v>
      </c>
      <c r="D168" s="1">
        <v>0.1</v>
      </c>
      <c r="E168" s="1">
        <f t="shared" si="13"/>
        <v>993.90180503521856</v>
      </c>
      <c r="F168" s="1">
        <f>1000/(C168/D168)</f>
        <v>6.0981949647813982</v>
      </c>
      <c r="G168" s="1">
        <f>(Table14[[#This Row],[culture_volume_real]]*Table14[[#This Row],[chl_init]])/(Table14[[#This Row],[medium_volume_real]]+Table14[[#This Row],[culture_volume_real]])</f>
        <v>0.16398295000000004</v>
      </c>
      <c r="H168" s="1">
        <v>990</v>
      </c>
      <c r="I168" s="1">
        <v>10</v>
      </c>
    </row>
    <row r="169" spans="1:9" x14ac:dyDescent="0.25">
      <c r="A169" s="1" t="s">
        <v>39</v>
      </c>
      <c r="B169" s="1" t="s">
        <v>51</v>
      </c>
      <c r="C169" s="1">
        <f>chla_spectro!M30</f>
        <v>16.398295000000005</v>
      </c>
      <c r="D169" s="1">
        <v>0.05</v>
      </c>
      <c r="E169" s="1">
        <f t="shared" si="13"/>
        <v>996.95090251760928</v>
      </c>
      <c r="F169" s="1">
        <f>1000/(C169/D169)</f>
        <v>3.0490974823906991</v>
      </c>
      <c r="G169" s="1">
        <f>(Table14[[#This Row],[culture_volume_real]]*Table14[[#This Row],[chl_init]])/(Table14[[#This Row],[medium_volume_real]]+Table14[[#This Row],[culture_volume_real]])</f>
        <v>4.9047741774675989E-2</v>
      </c>
      <c r="H169" s="1">
        <v>1000</v>
      </c>
      <c r="I169" s="1">
        <v>3</v>
      </c>
    </row>
    <row r="170" spans="1:9" x14ac:dyDescent="0.25">
      <c r="A170" s="1"/>
      <c r="C170" s="1"/>
      <c r="D170" s="1"/>
      <c r="E170" s="1"/>
      <c r="F170" s="1"/>
      <c r="G170" s="1" t="e">
        <f>(Table14[[#This Row],[culture_volume_real]]*Table14[[#This Row],[chl_init]])/(Table14[[#This Row],[medium_volume_real]]+Table14[[#This Row],[culture_volume_real]])</f>
        <v>#DIV/0!</v>
      </c>
      <c r="H170" s="1"/>
      <c r="I170" s="1"/>
    </row>
    <row r="171" spans="1:9" x14ac:dyDescent="0.25">
      <c r="A171" s="1" t="s">
        <v>40</v>
      </c>
      <c r="B171" s="1" t="s">
        <v>51</v>
      </c>
      <c r="C171" s="1" t="e">
        <f>chla_spectro!M31</f>
        <v>#DIV/0!</v>
      </c>
      <c r="D171" s="1">
        <v>5</v>
      </c>
      <c r="E171" s="1" t="e">
        <f>1000-F171</f>
        <v>#DIV/0!</v>
      </c>
      <c r="F171" s="1" t="e">
        <f>1000/(C171/D171)</f>
        <v>#DIV/0!</v>
      </c>
      <c r="G171" s="1" t="e">
        <f>(Table14[[#This Row],[culture_volume_real]]*Table14[[#This Row],[chl_init]])/(Table14[[#This Row],[medium_volume_real]]+Table14[[#This Row],[culture_volume_real]])</f>
        <v>#DIV/0!</v>
      </c>
      <c r="H171" s="1"/>
      <c r="I171" s="1"/>
    </row>
    <row r="172" spans="1:9" x14ac:dyDescent="0.25">
      <c r="A172" s="1" t="s">
        <v>40</v>
      </c>
      <c r="B172" s="1" t="s">
        <v>51</v>
      </c>
      <c r="C172" s="1" t="e">
        <f>chla_spectro!M31</f>
        <v>#DIV/0!</v>
      </c>
      <c r="D172" s="1">
        <v>1</v>
      </c>
      <c r="E172" s="1" t="e">
        <f>1000-F172</f>
        <v>#DIV/0!</v>
      </c>
      <c r="F172" s="1" t="e">
        <f>1000/(C172/D172)</f>
        <v>#DIV/0!</v>
      </c>
      <c r="G172" s="1" t="e">
        <f>(Table14[[#This Row],[culture_volume_real]]*Table14[[#This Row],[chl_init]])/(Table14[[#This Row],[medium_volume_real]]+Table14[[#This Row],[culture_volume_real]])</f>
        <v>#DIV/0!</v>
      </c>
      <c r="H172" s="1"/>
      <c r="I172" s="1"/>
    </row>
    <row r="173" spans="1:9" x14ac:dyDescent="0.25">
      <c r="A173" s="1" t="s">
        <v>40</v>
      </c>
      <c r="B173" s="1" t="s">
        <v>51</v>
      </c>
      <c r="C173" s="1" t="e">
        <f>chla_spectro!M31</f>
        <v>#DIV/0!</v>
      </c>
      <c r="D173" s="1">
        <v>0.3</v>
      </c>
      <c r="E173" s="1" t="e">
        <f>1000-F173</f>
        <v>#DIV/0!</v>
      </c>
      <c r="F173" s="1" t="e">
        <f>1000/(C173/D173)</f>
        <v>#DIV/0!</v>
      </c>
      <c r="G173" s="1" t="e">
        <f>(Table14[[#This Row],[culture_volume_real]]*Table14[[#This Row],[chl_init]])/(Table14[[#This Row],[medium_volume_real]]+Table14[[#This Row],[culture_volume_real]])</f>
        <v>#DIV/0!</v>
      </c>
      <c r="H173" s="1"/>
      <c r="I173" s="1"/>
    </row>
    <row r="174" spans="1:9" x14ac:dyDescent="0.25">
      <c r="A174" s="1" t="s">
        <v>40</v>
      </c>
      <c r="B174" s="1" t="s">
        <v>51</v>
      </c>
      <c r="C174" s="1" t="e">
        <f>chla_spectro!M31</f>
        <v>#DIV/0!</v>
      </c>
      <c r="D174" s="1">
        <v>0.1</v>
      </c>
      <c r="E174" s="1" t="e">
        <f>1000-F174</f>
        <v>#DIV/0!</v>
      </c>
      <c r="F174" s="1" t="e">
        <f>1000/(C174/D174)</f>
        <v>#DIV/0!</v>
      </c>
      <c r="G174" s="1" t="e">
        <f>(Table14[[#This Row],[culture_volume_real]]*Table14[[#This Row],[chl_init]])/(Table14[[#This Row],[medium_volume_real]]+Table14[[#This Row],[culture_volume_real]])</f>
        <v>#DIV/0!</v>
      </c>
      <c r="H174" s="1"/>
      <c r="I174" s="1"/>
    </row>
    <row r="175" spans="1:9" x14ac:dyDescent="0.25">
      <c r="A175" s="1" t="s">
        <v>40</v>
      </c>
      <c r="B175" s="1" t="s">
        <v>51</v>
      </c>
      <c r="C175" s="1" t="e">
        <f>chla_spectro!M31</f>
        <v>#DIV/0!</v>
      </c>
      <c r="D175" s="1">
        <v>0.05</v>
      </c>
      <c r="E175" s="1" t="e">
        <f>1000-F175</f>
        <v>#DIV/0!</v>
      </c>
      <c r="F175" s="1" t="e">
        <f>1000/(C175/D175)</f>
        <v>#DIV/0!</v>
      </c>
      <c r="G175" s="1" t="e">
        <f>(Table14[[#This Row],[culture_volume_real]]*Table14[[#This Row],[chl_init]])/(Table14[[#This Row],[medium_volume_real]]+Table14[[#This Row],[culture_volume_real]])</f>
        <v>#DIV/0!</v>
      </c>
      <c r="H175" s="1"/>
      <c r="I175" s="1"/>
    </row>
    <row r="176" spans="1:9" x14ac:dyDescent="0.25">
      <c r="A176" s="1"/>
      <c r="C176" s="1"/>
      <c r="D176" s="1"/>
      <c r="E176" s="1"/>
      <c r="F176" s="1"/>
      <c r="G176" s="1" t="e">
        <f>(Table14[[#This Row],[culture_volume_real]]*Table14[[#This Row],[chl_init]])/(Table14[[#This Row],[medium_volume_real]]+Table14[[#This Row],[culture_volume_real]])</f>
        <v>#DIV/0!</v>
      </c>
      <c r="H176" s="1"/>
      <c r="I176" s="1"/>
    </row>
    <row r="177" spans="1:9" x14ac:dyDescent="0.25">
      <c r="A177" s="1" t="s">
        <v>41</v>
      </c>
      <c r="B177" s="1" t="s">
        <v>51</v>
      </c>
      <c r="C177" s="1" t="e">
        <f>chla_spectro!M32</f>
        <v>#DIV/0!</v>
      </c>
      <c r="D177" s="1">
        <v>5</v>
      </c>
      <c r="E177" s="1" t="e">
        <f>1000-F177</f>
        <v>#DIV/0!</v>
      </c>
      <c r="F177" s="1" t="e">
        <f>1000/(C177/D177)</f>
        <v>#DIV/0!</v>
      </c>
      <c r="G177" s="1" t="e">
        <f>(Table14[[#This Row],[culture_volume_real]]*Table14[[#This Row],[chl_init]])/(Table14[[#This Row],[medium_volume_real]]+Table14[[#This Row],[culture_volume_real]])</f>
        <v>#DIV/0!</v>
      </c>
      <c r="H177" s="1"/>
      <c r="I177" s="1"/>
    </row>
    <row r="178" spans="1:9" x14ac:dyDescent="0.25">
      <c r="A178" s="1" t="s">
        <v>41</v>
      </c>
      <c r="B178" s="1" t="s">
        <v>51</v>
      </c>
      <c r="C178" s="1" t="e">
        <f>chla_spectro!M32</f>
        <v>#DIV/0!</v>
      </c>
      <c r="D178" s="1">
        <v>1</v>
      </c>
      <c r="E178" s="1" t="e">
        <f>1000-F178</f>
        <v>#DIV/0!</v>
      </c>
      <c r="F178" s="1" t="e">
        <f>1000/(C178/D178)</f>
        <v>#DIV/0!</v>
      </c>
      <c r="G178" s="1" t="e">
        <f>(Table14[[#This Row],[culture_volume_real]]*Table14[[#This Row],[chl_init]])/(Table14[[#This Row],[medium_volume_real]]+Table14[[#This Row],[culture_volume_real]])</f>
        <v>#DIV/0!</v>
      </c>
      <c r="H178" s="1"/>
      <c r="I178" s="1"/>
    </row>
    <row r="179" spans="1:9" x14ac:dyDescent="0.25">
      <c r="A179" s="1" t="s">
        <v>41</v>
      </c>
      <c r="B179" s="1" t="s">
        <v>51</v>
      </c>
      <c r="C179" s="1" t="e">
        <f>chla_spectro!M32</f>
        <v>#DIV/0!</v>
      </c>
      <c r="D179" s="1">
        <v>0.3</v>
      </c>
      <c r="E179" s="1" t="e">
        <f>1000-F179</f>
        <v>#DIV/0!</v>
      </c>
      <c r="F179" s="1" t="e">
        <f>1000/(C179/D179)</f>
        <v>#DIV/0!</v>
      </c>
      <c r="G179" s="1" t="e">
        <f>(Table14[[#This Row],[culture_volume_real]]*Table14[[#This Row],[chl_init]])/(Table14[[#This Row],[medium_volume_real]]+Table14[[#This Row],[culture_volume_real]])</f>
        <v>#DIV/0!</v>
      </c>
      <c r="H179" s="1"/>
      <c r="I179" s="1"/>
    </row>
    <row r="180" spans="1:9" x14ac:dyDescent="0.25">
      <c r="A180" s="1" t="s">
        <v>41</v>
      </c>
      <c r="B180" s="1" t="s">
        <v>51</v>
      </c>
      <c r="C180" s="1" t="e">
        <f>chla_spectro!M32</f>
        <v>#DIV/0!</v>
      </c>
      <c r="D180" s="1">
        <v>0.1</v>
      </c>
      <c r="E180" s="1" t="e">
        <f>1000-F180</f>
        <v>#DIV/0!</v>
      </c>
      <c r="F180" s="1" t="e">
        <f>1000/(C180/D180)</f>
        <v>#DIV/0!</v>
      </c>
      <c r="G180" s="1" t="e">
        <f>(Table14[[#This Row],[culture_volume_real]]*Table14[[#This Row],[chl_init]])/(Table14[[#This Row],[medium_volume_real]]+Table14[[#This Row],[culture_volume_real]])</f>
        <v>#DIV/0!</v>
      </c>
      <c r="H180" s="1"/>
      <c r="I180" s="1"/>
    </row>
    <row r="181" spans="1:9" x14ac:dyDescent="0.25">
      <c r="A181" s="1" t="s">
        <v>41</v>
      </c>
      <c r="B181" s="1" t="s">
        <v>51</v>
      </c>
      <c r="C181" s="1" t="e">
        <f>chla_spectro!M32</f>
        <v>#DIV/0!</v>
      </c>
      <c r="D181" s="1">
        <v>0.05</v>
      </c>
      <c r="E181" s="1" t="e">
        <f>1000-F181</f>
        <v>#DIV/0!</v>
      </c>
      <c r="F181" s="1" t="e">
        <f>1000/(C181/D181)</f>
        <v>#DIV/0!</v>
      </c>
      <c r="G181" s="1" t="e">
        <f>(Table14[[#This Row],[culture_volume_real]]*Table14[[#This Row],[chl_init]])/(Table14[[#This Row],[medium_volume_real]]+Table14[[#This Row],[culture_volume_real]])</f>
        <v>#DIV/0!</v>
      </c>
      <c r="H181" s="1"/>
      <c r="I181" s="1"/>
    </row>
    <row r="182" spans="1:9" x14ac:dyDescent="0.25">
      <c r="A182" s="1"/>
      <c r="C182" s="1"/>
      <c r="D182" s="1"/>
      <c r="E182" s="1"/>
      <c r="F182" s="1"/>
      <c r="G182" s="1" t="e">
        <f>(Table14[[#This Row],[culture_volume_real]]*Table14[[#This Row],[chl_init]])/(Table14[[#This Row],[medium_volume_real]]+Table14[[#This Row],[culture_volume_real]])</f>
        <v>#DIV/0!</v>
      </c>
      <c r="H182" s="1"/>
      <c r="I182" s="1"/>
    </row>
    <row r="183" spans="1:9" x14ac:dyDescent="0.25">
      <c r="A183" s="1" t="s">
        <v>42</v>
      </c>
      <c r="B183" s="1" t="s">
        <v>51</v>
      </c>
      <c r="C183" s="1" t="e">
        <f>chla_spectro!M33</f>
        <v>#DIV/0!</v>
      </c>
      <c r="D183" s="1">
        <v>5</v>
      </c>
      <c r="E183" s="1" t="e">
        <f>1000-F183</f>
        <v>#DIV/0!</v>
      </c>
      <c r="F183" s="1" t="e">
        <f>1000/(C183/D183)</f>
        <v>#DIV/0!</v>
      </c>
      <c r="G183" s="1" t="e">
        <f>(Table14[[#This Row],[culture_volume_real]]*Table14[[#This Row],[chl_init]])/(Table14[[#This Row],[medium_volume_real]]+Table14[[#This Row],[culture_volume_real]])</f>
        <v>#DIV/0!</v>
      </c>
      <c r="H183" s="1"/>
      <c r="I183" s="1"/>
    </row>
    <row r="184" spans="1:9" x14ac:dyDescent="0.25">
      <c r="A184" s="1" t="s">
        <v>42</v>
      </c>
      <c r="B184" s="1" t="s">
        <v>51</v>
      </c>
      <c r="C184" s="1" t="e">
        <f>chla_spectro!M33</f>
        <v>#DIV/0!</v>
      </c>
      <c r="D184" s="1">
        <v>1</v>
      </c>
      <c r="E184" s="1" t="e">
        <f>1000-F184</f>
        <v>#DIV/0!</v>
      </c>
      <c r="F184" s="1" t="e">
        <f>1000/(C184/D184)</f>
        <v>#DIV/0!</v>
      </c>
      <c r="G184" s="1" t="e">
        <f>(Table14[[#This Row],[culture_volume_real]]*Table14[[#This Row],[chl_init]])/(Table14[[#This Row],[medium_volume_real]]+Table14[[#This Row],[culture_volume_real]])</f>
        <v>#DIV/0!</v>
      </c>
      <c r="H184" s="1"/>
      <c r="I184" s="1"/>
    </row>
    <row r="185" spans="1:9" x14ac:dyDescent="0.25">
      <c r="A185" s="1" t="s">
        <v>42</v>
      </c>
      <c r="B185" s="1" t="s">
        <v>51</v>
      </c>
      <c r="C185" s="1" t="e">
        <f>chla_spectro!M33</f>
        <v>#DIV/0!</v>
      </c>
      <c r="D185" s="1">
        <v>0.3</v>
      </c>
      <c r="E185" s="1" t="e">
        <f>1000-F185</f>
        <v>#DIV/0!</v>
      </c>
      <c r="F185" s="1" t="e">
        <f>1000/(C185/D185)</f>
        <v>#DIV/0!</v>
      </c>
      <c r="G185" s="1" t="e">
        <f>(Table14[[#This Row],[culture_volume_real]]*Table14[[#This Row],[chl_init]])/(Table14[[#This Row],[medium_volume_real]]+Table14[[#This Row],[culture_volume_real]])</f>
        <v>#DIV/0!</v>
      </c>
      <c r="H185" s="1"/>
      <c r="I185" s="1"/>
    </row>
    <row r="186" spans="1:9" x14ac:dyDescent="0.25">
      <c r="A186" s="1" t="s">
        <v>42</v>
      </c>
      <c r="B186" s="1" t="s">
        <v>51</v>
      </c>
      <c r="C186" s="1" t="e">
        <f>chla_spectro!M33</f>
        <v>#DIV/0!</v>
      </c>
      <c r="D186" s="1">
        <v>0.1</v>
      </c>
      <c r="E186" s="1" t="e">
        <f>1000-F186</f>
        <v>#DIV/0!</v>
      </c>
      <c r="F186" s="1" t="e">
        <f>1000/(C186/D186)</f>
        <v>#DIV/0!</v>
      </c>
      <c r="G186" s="1" t="e">
        <f>(Table14[[#This Row],[culture_volume_real]]*Table14[[#This Row],[chl_init]])/(Table14[[#This Row],[medium_volume_real]]+Table14[[#This Row],[culture_volume_real]])</f>
        <v>#DIV/0!</v>
      </c>
      <c r="H186" s="1"/>
      <c r="I186" s="1"/>
    </row>
    <row r="187" spans="1:9" x14ac:dyDescent="0.25">
      <c r="A187" s="1" t="s">
        <v>42</v>
      </c>
      <c r="B187" s="1" t="s">
        <v>51</v>
      </c>
      <c r="C187" s="1" t="e">
        <f>chla_spectro!M33</f>
        <v>#DIV/0!</v>
      </c>
      <c r="D187" s="1">
        <v>0.05</v>
      </c>
      <c r="E187" s="1" t="e">
        <f>1000-F187</f>
        <v>#DIV/0!</v>
      </c>
      <c r="F187" s="1" t="e">
        <f>1000/(C187/D187)</f>
        <v>#DIV/0!</v>
      </c>
      <c r="G187" s="1" t="e">
        <f>(Table14[[#This Row],[culture_volume_real]]*Table14[[#This Row],[chl_init]])/(Table14[[#This Row],[medium_volume_real]]+Table14[[#This Row],[culture_volume_real]])</f>
        <v>#DIV/0!</v>
      </c>
      <c r="H187" s="1"/>
      <c r="I187" s="1"/>
    </row>
    <row r="188" spans="1:9" x14ac:dyDescent="0.25">
      <c r="A188" s="1"/>
      <c r="C188" s="1"/>
      <c r="D188" s="1"/>
      <c r="E188" s="1"/>
      <c r="F188" s="1"/>
      <c r="G188" s="1" t="e">
        <f>(Table14[[#This Row],[culture_volume_real]]*Table14[[#This Row],[chl_init]])/(Table14[[#This Row],[medium_volume_real]]+Table14[[#This Row],[culture_volume_real]])</f>
        <v>#DIV/0!</v>
      </c>
      <c r="H188" s="1"/>
      <c r="I188" s="1"/>
    </row>
    <row r="189" spans="1:9" x14ac:dyDescent="0.25">
      <c r="A189" s="1" t="s">
        <v>43</v>
      </c>
      <c r="B189" s="1" t="s">
        <v>51</v>
      </c>
      <c r="C189" s="1" t="e">
        <f>chla_spectro!M34</f>
        <v>#DIV/0!</v>
      </c>
      <c r="D189" s="1">
        <v>5</v>
      </c>
      <c r="E189" s="1" t="e">
        <f>1000-F189</f>
        <v>#DIV/0!</v>
      </c>
      <c r="F189" s="1" t="e">
        <f>1000/(C189/D189)</f>
        <v>#DIV/0!</v>
      </c>
      <c r="G189" s="1" t="e">
        <f>(Table14[[#This Row],[culture_volume_real]]*Table14[[#This Row],[chl_init]])/(Table14[[#This Row],[medium_volume_real]]+Table14[[#This Row],[culture_volume_real]])</f>
        <v>#DIV/0!</v>
      </c>
      <c r="H189" s="1"/>
      <c r="I189" s="1"/>
    </row>
    <row r="190" spans="1:9" x14ac:dyDescent="0.25">
      <c r="A190" s="1" t="s">
        <v>43</v>
      </c>
      <c r="B190" s="1" t="s">
        <v>51</v>
      </c>
      <c r="C190" s="1" t="e">
        <f>chla_spectro!M34</f>
        <v>#DIV/0!</v>
      </c>
      <c r="D190" s="1">
        <v>1</v>
      </c>
      <c r="E190" s="1" t="e">
        <f>1000-F190</f>
        <v>#DIV/0!</v>
      </c>
      <c r="F190" s="1" t="e">
        <f>1000/(C190/D190)</f>
        <v>#DIV/0!</v>
      </c>
      <c r="G190" s="1" t="e">
        <f>(Table14[[#This Row],[culture_volume_real]]*Table14[[#This Row],[chl_init]])/(Table14[[#This Row],[medium_volume_real]]+Table14[[#This Row],[culture_volume_real]])</f>
        <v>#DIV/0!</v>
      </c>
      <c r="H190" s="1"/>
      <c r="I190" s="1"/>
    </row>
    <row r="191" spans="1:9" x14ac:dyDescent="0.25">
      <c r="A191" s="1" t="s">
        <v>43</v>
      </c>
      <c r="B191" s="1" t="s">
        <v>51</v>
      </c>
      <c r="C191" s="1" t="e">
        <f>chla_spectro!M34</f>
        <v>#DIV/0!</v>
      </c>
      <c r="D191" s="1">
        <v>0.3</v>
      </c>
      <c r="E191" s="1" t="e">
        <f>1000-F191</f>
        <v>#DIV/0!</v>
      </c>
      <c r="F191" s="1" t="e">
        <f>1000/(C191/D191)</f>
        <v>#DIV/0!</v>
      </c>
      <c r="G191" s="1" t="e">
        <f>(Table14[[#This Row],[culture_volume_real]]*Table14[[#This Row],[chl_init]])/(Table14[[#This Row],[medium_volume_real]]+Table14[[#This Row],[culture_volume_real]])</f>
        <v>#DIV/0!</v>
      </c>
      <c r="H191" s="1"/>
      <c r="I191" s="1"/>
    </row>
    <row r="192" spans="1:9" x14ac:dyDescent="0.25">
      <c r="A192" s="1" t="s">
        <v>43</v>
      </c>
      <c r="B192" s="1" t="s">
        <v>51</v>
      </c>
      <c r="C192" s="1" t="e">
        <f>chla_spectro!M34</f>
        <v>#DIV/0!</v>
      </c>
      <c r="D192" s="1">
        <v>0.1</v>
      </c>
      <c r="E192" s="1" t="e">
        <f>1000-F192</f>
        <v>#DIV/0!</v>
      </c>
      <c r="F192" s="1" t="e">
        <f>1000/(C192/D192)</f>
        <v>#DIV/0!</v>
      </c>
      <c r="G192" s="1" t="e">
        <f>(Table14[[#This Row],[culture_volume_real]]*Table14[[#This Row],[chl_init]])/(Table14[[#This Row],[medium_volume_real]]+Table14[[#This Row],[culture_volume_real]])</f>
        <v>#DIV/0!</v>
      </c>
      <c r="H192" s="1"/>
      <c r="I192" s="1"/>
    </row>
    <row r="193" spans="1:9" x14ac:dyDescent="0.25">
      <c r="A193" s="1" t="s">
        <v>43</v>
      </c>
      <c r="B193" s="1" t="s">
        <v>51</v>
      </c>
      <c r="C193" s="1" t="e">
        <f>chla_spectro!M34</f>
        <v>#DIV/0!</v>
      </c>
      <c r="D193" s="1">
        <v>0.05</v>
      </c>
      <c r="E193" s="1" t="e">
        <f>1000-F193</f>
        <v>#DIV/0!</v>
      </c>
      <c r="F193" s="1" t="e">
        <f>1000/(C193/D193)</f>
        <v>#DIV/0!</v>
      </c>
      <c r="G193" s="1" t="e">
        <f>(Table14[[#This Row],[culture_volume_real]]*Table14[[#This Row],[chl_init]])/(Table14[[#This Row],[medium_volume_real]]+Table14[[#This Row],[culture_volume_real]])</f>
        <v>#DIV/0!</v>
      </c>
      <c r="H193" s="1"/>
      <c r="I193" s="1"/>
    </row>
    <row r="194" spans="1:9" x14ac:dyDescent="0.25">
      <c r="A194" s="1"/>
      <c r="C194" s="1"/>
      <c r="D194" s="1"/>
      <c r="E194" s="1"/>
      <c r="F194" s="1"/>
      <c r="G194" s="1" t="e">
        <f>(Table14[[#This Row],[culture_volume_real]]*Table14[[#This Row],[chl_init]])/(Table14[[#This Row],[medium_volume_real]]+Table14[[#This Row],[culture_volume_real]])</f>
        <v>#DIV/0!</v>
      </c>
      <c r="H194" s="1"/>
      <c r="I194" s="1"/>
    </row>
    <row r="195" spans="1:9" x14ac:dyDescent="0.25">
      <c r="A195" s="1" t="s">
        <v>44</v>
      </c>
      <c r="B195" s="1" t="s">
        <v>51</v>
      </c>
      <c r="C195" s="1">
        <f>chla_spectro!M35</f>
        <v>47.105782000000005</v>
      </c>
      <c r="D195" s="1">
        <v>5</v>
      </c>
      <c r="E195" s="1">
        <f>1000-F195</f>
        <v>893.85591773001454</v>
      </c>
      <c r="F195" s="1">
        <f>1000/(C195/D195)</f>
        <v>106.14408226998545</v>
      </c>
      <c r="G195" s="1">
        <f>(Table14[[#This Row],[culture_volume_real]]*Table14[[#This Row],[chl_init]])/(Table14[[#This Row],[medium_volume_real]]+Table14[[#This Row],[culture_volume_real]])</f>
        <v>5.1816360200000009</v>
      </c>
      <c r="H195" s="1">
        <v>890</v>
      </c>
      <c r="I195" s="1">
        <v>110</v>
      </c>
    </row>
    <row r="196" spans="1:9" x14ac:dyDescent="0.25">
      <c r="A196" s="1" t="s">
        <v>44</v>
      </c>
      <c r="B196" s="1" t="s">
        <v>51</v>
      </c>
      <c r="C196" s="1">
        <f>chla_spectro!M35</f>
        <v>47.105782000000005</v>
      </c>
      <c r="D196" s="1">
        <v>1</v>
      </c>
      <c r="E196" s="1">
        <f>1000-F196</f>
        <v>978.77118354600293</v>
      </c>
      <c r="F196" s="1">
        <f>1000/(C196/D196)</f>
        <v>21.228816453997087</v>
      </c>
      <c r="G196" s="1">
        <f>(Table14[[#This Row],[culture_volume_real]]*Table14[[#This Row],[chl_init]])/(Table14[[#This Row],[medium_volume_real]]+Table14[[#This Row],[culture_volume_real]])</f>
        <v>0.94211564000000014</v>
      </c>
      <c r="H196" s="1">
        <v>980</v>
      </c>
      <c r="I196" s="1">
        <v>20</v>
      </c>
    </row>
    <row r="197" spans="1:9" x14ac:dyDescent="0.25">
      <c r="A197" s="1" t="s">
        <v>44</v>
      </c>
      <c r="B197" s="1" t="s">
        <v>51</v>
      </c>
      <c r="C197" s="1">
        <f>chla_spectro!M35</f>
        <v>47.105782000000005</v>
      </c>
      <c r="D197" s="1">
        <v>0.3</v>
      </c>
      <c r="E197" s="1">
        <f>1000-F197</f>
        <v>993.63135506380092</v>
      </c>
      <c r="F197" s="1">
        <f>1000/(C197/D197)</f>
        <v>6.368644936199126</v>
      </c>
      <c r="G197" s="1">
        <f>(Table14[[#This Row],[culture_volume_real]]*Table14[[#This Row],[chl_init]])/(Table14[[#This Row],[medium_volume_real]]+Table14[[#This Row],[culture_volume_real]])</f>
        <v>0.47105782000000007</v>
      </c>
      <c r="H197" s="1">
        <v>990</v>
      </c>
      <c r="I197" s="1">
        <v>10</v>
      </c>
    </row>
    <row r="198" spans="1:9" x14ac:dyDescent="0.25">
      <c r="A198" s="1" t="s">
        <v>44</v>
      </c>
      <c r="B198" s="1" t="s">
        <v>51</v>
      </c>
      <c r="C198" s="1">
        <f>chla_spectro!M35</f>
        <v>47.105782000000005</v>
      </c>
      <c r="D198" s="1">
        <v>0.1</v>
      </c>
      <c r="E198" s="1">
        <f t="shared" ref="E198:E207" si="14">1000-F198</f>
        <v>997.87711835460027</v>
      </c>
      <c r="F198" s="1">
        <f>1000/(C198/D198)</f>
        <v>2.1228816453997088</v>
      </c>
      <c r="G198" s="1">
        <f>(Table14[[#This Row],[culture_volume_real]]*Table14[[#This Row],[chl_init]])/(Table14[[#This Row],[medium_volume_real]]+Table14[[#This Row],[culture_volume_real]])</f>
        <v>0.23552891000000004</v>
      </c>
      <c r="H198" s="1">
        <v>995</v>
      </c>
      <c r="I198" s="1">
        <v>5</v>
      </c>
    </row>
    <row r="199" spans="1:9" x14ac:dyDescent="0.25">
      <c r="A199" s="1" t="s">
        <v>44</v>
      </c>
      <c r="B199" s="1" t="s">
        <v>51</v>
      </c>
      <c r="C199" s="1">
        <f>chla_spectro!M35</f>
        <v>47.105782000000005</v>
      </c>
      <c r="D199" s="1">
        <v>0.05</v>
      </c>
      <c r="E199" s="1">
        <f t="shared" si="14"/>
        <v>998.93855917730014</v>
      </c>
      <c r="F199" s="1">
        <f>1000/(C199/D199)</f>
        <v>1.0614408226998544</v>
      </c>
      <c r="G199" s="1">
        <f>(Table14[[#This Row],[culture_volume_real]]*Table14[[#This Row],[chl_init]])/(Table14[[#This Row],[medium_volume_real]]+Table14[[#This Row],[culture_volume_real]])</f>
        <v>4.705872327672328E-2</v>
      </c>
      <c r="H199" s="1">
        <v>1000</v>
      </c>
      <c r="I199" s="1">
        <v>1</v>
      </c>
    </row>
    <row r="200" spans="1:9" x14ac:dyDescent="0.25">
      <c r="A200" s="1"/>
      <c r="C200" s="1"/>
      <c r="D200" s="1"/>
      <c r="E200" s="1"/>
      <c r="F200" s="1"/>
      <c r="G200" s="1" t="e">
        <f>(Table14[[#This Row],[culture_volume_real]]*Table14[[#This Row],[chl_init]])/(Table14[[#This Row],[medium_volume_real]]+Table14[[#This Row],[culture_volume_real]])</f>
        <v>#DIV/0!</v>
      </c>
      <c r="H200" s="1"/>
      <c r="I200" s="1"/>
    </row>
    <row r="201" spans="1:9" x14ac:dyDescent="0.25">
      <c r="A201" s="1" t="s">
        <v>45</v>
      </c>
      <c r="B201" s="1" t="s">
        <v>51</v>
      </c>
      <c r="C201" s="1" t="e">
        <f>chla_spectro!M36</f>
        <v>#DIV/0!</v>
      </c>
      <c r="D201" s="1">
        <v>5</v>
      </c>
      <c r="E201" s="1" t="e">
        <f>1000-F201</f>
        <v>#DIV/0!</v>
      </c>
      <c r="F201" s="1" t="e">
        <f>1000/(C201/D201)</f>
        <v>#DIV/0!</v>
      </c>
      <c r="G201" s="1" t="e">
        <f>(Table14[[#This Row],[culture_volume_real]]*Table14[[#This Row],[chl_init]])/(Table14[[#This Row],[medium_volume_real]]+Table14[[#This Row],[culture_volume_real]])</f>
        <v>#DIV/0!</v>
      </c>
      <c r="H201" s="1"/>
      <c r="I201" s="1"/>
    </row>
    <row r="202" spans="1:9" x14ac:dyDescent="0.25">
      <c r="A202" s="1" t="s">
        <v>45</v>
      </c>
      <c r="B202" s="1" t="s">
        <v>51</v>
      </c>
      <c r="C202" s="1" t="e">
        <f>chla_spectro!M36</f>
        <v>#DIV/0!</v>
      </c>
      <c r="D202" s="1">
        <v>1</v>
      </c>
      <c r="E202" s="1" t="e">
        <f>1000-F202</f>
        <v>#DIV/0!</v>
      </c>
      <c r="F202" s="1" t="e">
        <f>1000/(C202/D202)</f>
        <v>#DIV/0!</v>
      </c>
      <c r="G202" s="1" t="e">
        <f>(Table14[[#This Row],[culture_volume_real]]*Table14[[#This Row],[chl_init]])/(Table14[[#This Row],[medium_volume_real]]+Table14[[#This Row],[culture_volume_real]])</f>
        <v>#DIV/0!</v>
      </c>
      <c r="H202" s="1"/>
      <c r="I202" s="1"/>
    </row>
    <row r="203" spans="1:9" x14ac:dyDescent="0.25">
      <c r="A203" s="1" t="s">
        <v>45</v>
      </c>
      <c r="B203" s="1" t="s">
        <v>51</v>
      </c>
      <c r="C203" s="1" t="e">
        <f>chla_spectro!M36</f>
        <v>#DIV/0!</v>
      </c>
      <c r="D203" s="1">
        <v>0.3</v>
      </c>
      <c r="E203" s="1" t="e">
        <f>1000-F203</f>
        <v>#DIV/0!</v>
      </c>
      <c r="F203" s="1" t="e">
        <f>1000/(C203/D203)</f>
        <v>#DIV/0!</v>
      </c>
      <c r="G203" s="1" t="e">
        <f>(Table14[[#This Row],[culture_volume_real]]*Table14[[#This Row],[chl_init]])/(Table14[[#This Row],[medium_volume_real]]+Table14[[#This Row],[culture_volume_real]])</f>
        <v>#DIV/0!</v>
      </c>
      <c r="H203" s="1"/>
      <c r="I203" s="1"/>
    </row>
    <row r="204" spans="1:9" x14ac:dyDescent="0.25">
      <c r="A204" s="1" t="s">
        <v>45</v>
      </c>
      <c r="B204" s="1" t="s">
        <v>51</v>
      </c>
      <c r="C204" s="1" t="e">
        <f>chla_spectro!M36</f>
        <v>#DIV/0!</v>
      </c>
      <c r="D204" s="1">
        <v>0.1</v>
      </c>
      <c r="E204" s="1" t="e">
        <f t="shared" si="14"/>
        <v>#DIV/0!</v>
      </c>
      <c r="F204" s="1" t="e">
        <f>1000/(C204/D204)</f>
        <v>#DIV/0!</v>
      </c>
      <c r="G204" s="1" t="e">
        <f>(Table14[[#This Row],[culture_volume_real]]*Table14[[#This Row],[chl_init]])/(Table14[[#This Row],[medium_volume_real]]+Table14[[#This Row],[culture_volume_real]])</f>
        <v>#DIV/0!</v>
      </c>
      <c r="H204" s="1"/>
      <c r="I204" s="1"/>
    </row>
    <row r="205" spans="1:9" x14ac:dyDescent="0.25">
      <c r="A205" s="1" t="s">
        <v>45</v>
      </c>
      <c r="B205" s="1" t="s">
        <v>51</v>
      </c>
      <c r="C205" s="1" t="e">
        <f>chla_spectro!M36</f>
        <v>#DIV/0!</v>
      </c>
      <c r="D205" s="1">
        <v>0.05</v>
      </c>
      <c r="E205" s="1" t="e">
        <f t="shared" si="14"/>
        <v>#DIV/0!</v>
      </c>
      <c r="F205" s="1" t="e">
        <f>1000/(C205/D205)</f>
        <v>#DIV/0!</v>
      </c>
      <c r="G205" s="1" t="e">
        <f>(Table14[[#This Row],[culture_volume_real]]*Table14[[#This Row],[chl_init]])/(Table14[[#This Row],[medium_volume_real]]+Table14[[#This Row],[culture_volume_real]])</f>
        <v>#DIV/0!</v>
      </c>
      <c r="H205" s="1"/>
      <c r="I205" s="1"/>
    </row>
    <row r="206" spans="1:9" x14ac:dyDescent="0.25">
      <c r="A206" s="1"/>
      <c r="C206" s="1"/>
      <c r="D206" s="1"/>
      <c r="E206" s="1"/>
      <c r="F206" s="1"/>
      <c r="G206" s="1" t="e">
        <f>(Table14[[#This Row],[culture_volume_real]]*Table14[[#This Row],[chl_init]])/(Table14[[#This Row],[medium_volume_real]]+Table14[[#This Row],[culture_volume_real]])</f>
        <v>#DIV/0!</v>
      </c>
      <c r="H206" s="1"/>
      <c r="I206" s="1"/>
    </row>
    <row r="207" spans="1:9" x14ac:dyDescent="0.25">
      <c r="A207" s="1" t="s">
        <v>46</v>
      </c>
      <c r="B207" s="1" t="s">
        <v>51</v>
      </c>
      <c r="C207" s="1">
        <f>chla_spectro!M37</f>
        <v>135.90859410000002</v>
      </c>
      <c r="D207" s="1">
        <v>5</v>
      </c>
      <c r="E207" s="1">
        <f t="shared" si="14"/>
        <v>963.21056785915209</v>
      </c>
      <c r="F207" s="1">
        <f>1000/(C207/D207)</f>
        <v>36.789432140847957</v>
      </c>
      <c r="G207" s="1">
        <f>(Table14[[#This Row],[culture_volume_real]]*Table14[[#This Row],[chl_init]])/(Table14[[#This Row],[medium_volume_real]]+Table14[[#This Row],[culture_volume_real]])</f>
        <v>5.436343764000001</v>
      </c>
      <c r="H207" s="1">
        <v>960</v>
      </c>
      <c r="I207" s="1">
        <v>40</v>
      </c>
    </row>
    <row r="208" spans="1:9" x14ac:dyDescent="0.25">
      <c r="A208" s="1" t="s">
        <v>46</v>
      </c>
      <c r="B208" s="1" t="s">
        <v>51</v>
      </c>
      <c r="C208" s="1">
        <f>chla_spectro!M37</f>
        <v>135.90859410000002</v>
      </c>
      <c r="D208" s="1">
        <v>1</v>
      </c>
      <c r="E208" s="1">
        <f>1000-F208</f>
        <v>992.64211357183046</v>
      </c>
      <c r="F208" s="1">
        <f>1000/(C208/D208)</f>
        <v>7.3578864281695919</v>
      </c>
      <c r="G208" s="1">
        <f>(Table14[[#This Row],[culture_volume_real]]*Table14[[#This Row],[chl_init]])/(Table14[[#This Row],[medium_volume_real]]+Table14[[#This Row],[culture_volume_real]])</f>
        <v>1.3590859410000002</v>
      </c>
      <c r="H208" s="1">
        <v>990</v>
      </c>
      <c r="I208" s="1">
        <v>10</v>
      </c>
    </row>
    <row r="209" spans="1:9" x14ac:dyDescent="0.25">
      <c r="A209" s="1" t="s">
        <v>46</v>
      </c>
      <c r="B209" s="1" t="s">
        <v>51</v>
      </c>
      <c r="C209" s="1">
        <f>chla_spectro!M37</f>
        <v>135.90859410000002</v>
      </c>
      <c r="D209" s="1">
        <v>0.3</v>
      </c>
      <c r="E209" s="1">
        <f>1000-F209</f>
        <v>997.79263407154917</v>
      </c>
      <c r="F209" s="1">
        <f>1000/(C209/D209)</f>
        <v>2.2073659284508773</v>
      </c>
      <c r="G209" s="1">
        <f>(Table14[[#This Row],[culture_volume_real]]*Table14[[#This Row],[chl_init]])/(Table14[[#This Row],[medium_volume_real]]+Table14[[#This Row],[culture_volume_real]])</f>
        <v>0.67954297050000012</v>
      </c>
      <c r="H209" s="1">
        <v>995</v>
      </c>
      <c r="I209" s="1">
        <v>5</v>
      </c>
    </row>
    <row r="210" spans="1:9" x14ac:dyDescent="0.25">
      <c r="A210" s="1" t="s">
        <v>46</v>
      </c>
      <c r="B210" s="1" t="s">
        <v>51</v>
      </c>
      <c r="C210" s="1">
        <f>chla_spectro!M37</f>
        <v>135.90859410000002</v>
      </c>
      <c r="D210" s="1">
        <v>0.1</v>
      </c>
      <c r="E210" s="1">
        <f>1000-F210</f>
        <v>999.26421135718306</v>
      </c>
      <c r="F210" s="1">
        <f>1000/(C210/D210)</f>
        <v>0.73578864281695922</v>
      </c>
      <c r="G210" s="1">
        <f>(Table14[[#This Row],[culture_volume_real]]*Table14[[#This Row],[chl_init]])/(Table14[[#This Row],[medium_volume_real]]+Table14[[#This Row],[culture_volume_real]])</f>
        <v>0.13577282127872128</v>
      </c>
      <c r="H210" s="1">
        <v>1000</v>
      </c>
      <c r="I210" s="1">
        <v>1</v>
      </c>
    </row>
    <row r="211" spans="1:9" x14ac:dyDescent="0.25">
      <c r="A211" s="1" t="s">
        <v>46</v>
      </c>
      <c r="B211" s="1" t="s">
        <v>51</v>
      </c>
      <c r="C211" s="1">
        <f>chla_spectro!M37</f>
        <v>135.90859410000002</v>
      </c>
      <c r="D211" s="1">
        <v>0.05</v>
      </c>
      <c r="E211" s="1">
        <f>1000-F211</f>
        <v>999.63210567859153</v>
      </c>
      <c r="F211" s="1">
        <f>1000/(C211/D211)</f>
        <v>0.36789432140847961</v>
      </c>
      <c r="G211" s="1">
        <f>(Table14[[#This Row],[culture_volume_real]]*Table14[[#This Row],[chl_init]])/(Table14[[#This Row],[medium_volume_real]]+Table14[[#This Row],[culture_volume_real]])</f>
        <v>3.3968656360909774E-2</v>
      </c>
      <c r="H211" s="1">
        <v>1000</v>
      </c>
      <c r="I211" s="1">
        <v>0.25</v>
      </c>
    </row>
    <row r="212" spans="1:9" x14ac:dyDescent="0.25">
      <c r="A212" s="1"/>
      <c r="C212" s="1"/>
      <c r="D212" s="1"/>
      <c r="E212" s="1"/>
      <c r="F212" s="1"/>
      <c r="G212" s="1" t="e">
        <f>(Table14[[#This Row],[culture_volume_real]]*Table14[[#This Row],[chl_init]])/(Table14[[#This Row],[medium_volume_real]]+Table14[[#This Row],[culture_volume_real]])</f>
        <v>#DIV/0!</v>
      </c>
      <c r="H212" s="1"/>
      <c r="I212" s="1"/>
    </row>
    <row r="213" spans="1:9" x14ac:dyDescent="0.25">
      <c r="A213" s="1" t="s">
        <v>47</v>
      </c>
      <c r="B213" s="1" t="s">
        <v>51</v>
      </c>
      <c r="C213" s="1" t="e">
        <f>chla_spectro!M38</f>
        <v>#DIV/0!</v>
      </c>
      <c r="D213" s="1">
        <v>5</v>
      </c>
      <c r="E213" s="1" t="e">
        <f>1000-F213</f>
        <v>#DIV/0!</v>
      </c>
      <c r="F213" s="1" t="e">
        <f>1000/(C213/D213)</f>
        <v>#DIV/0!</v>
      </c>
      <c r="G213" s="1" t="e">
        <f>(Table14[[#This Row],[culture_volume_real]]*Table14[[#This Row],[chl_init]])/(Table14[[#This Row],[medium_volume_real]]+Table14[[#This Row],[culture_volume_real]])</f>
        <v>#DIV/0!</v>
      </c>
      <c r="H213" s="1"/>
      <c r="I213" s="1"/>
    </row>
    <row r="214" spans="1:9" x14ac:dyDescent="0.25">
      <c r="A214" s="1" t="s">
        <v>47</v>
      </c>
      <c r="B214" s="1" t="s">
        <v>51</v>
      </c>
      <c r="C214" s="1" t="e">
        <f>chla_spectro!M38</f>
        <v>#DIV/0!</v>
      </c>
      <c r="D214" s="1">
        <v>1</v>
      </c>
      <c r="E214" s="1" t="e">
        <f>1000-F214</f>
        <v>#DIV/0!</v>
      </c>
      <c r="F214" s="1" t="e">
        <f>1000/(C214/D214)</f>
        <v>#DIV/0!</v>
      </c>
      <c r="G214" s="1" t="e">
        <f>(Table14[[#This Row],[culture_volume_real]]*Table14[[#This Row],[chl_init]])/(Table14[[#This Row],[medium_volume_real]]+Table14[[#This Row],[culture_volume_real]])</f>
        <v>#DIV/0!</v>
      </c>
      <c r="H214" s="1"/>
      <c r="I214" s="1"/>
    </row>
    <row r="215" spans="1:9" x14ac:dyDescent="0.25">
      <c r="A215" s="1" t="s">
        <v>47</v>
      </c>
      <c r="B215" s="1" t="s">
        <v>51</v>
      </c>
      <c r="C215" s="1" t="e">
        <f>chla_spectro!M38</f>
        <v>#DIV/0!</v>
      </c>
      <c r="D215" s="1">
        <v>0.3</v>
      </c>
      <c r="E215" s="1" t="e">
        <f>1000-F215</f>
        <v>#DIV/0!</v>
      </c>
      <c r="F215" s="1" t="e">
        <f>1000/(C215/D215)</f>
        <v>#DIV/0!</v>
      </c>
      <c r="G215" s="1" t="e">
        <f>(Table14[[#This Row],[culture_volume_real]]*Table14[[#This Row],[chl_init]])/(Table14[[#This Row],[medium_volume_real]]+Table14[[#This Row],[culture_volume_real]])</f>
        <v>#DIV/0!</v>
      </c>
      <c r="H215" s="1"/>
      <c r="I215" s="1"/>
    </row>
    <row r="216" spans="1:9" x14ac:dyDescent="0.25">
      <c r="A216" s="1" t="s">
        <v>47</v>
      </c>
      <c r="B216" s="1" t="s">
        <v>51</v>
      </c>
      <c r="C216" s="1" t="e">
        <f>chla_spectro!M38</f>
        <v>#DIV/0!</v>
      </c>
      <c r="D216" s="1">
        <v>0.1</v>
      </c>
      <c r="E216" s="1" t="e">
        <f>1000-F216</f>
        <v>#DIV/0!</v>
      </c>
      <c r="F216" s="1" t="e">
        <f>1000/(C216/D216)</f>
        <v>#DIV/0!</v>
      </c>
      <c r="G216" s="1" t="e">
        <f>(Table14[[#This Row],[culture_volume_real]]*Table14[[#This Row],[chl_init]])/(Table14[[#This Row],[medium_volume_real]]+Table14[[#This Row],[culture_volume_real]])</f>
        <v>#DIV/0!</v>
      </c>
      <c r="H216" s="1"/>
      <c r="I216" s="1"/>
    </row>
    <row r="217" spans="1:9" x14ac:dyDescent="0.25">
      <c r="A217" s="1" t="s">
        <v>47</v>
      </c>
      <c r="B217" s="1" t="s">
        <v>51</v>
      </c>
      <c r="C217" s="1" t="e">
        <f>chla_spectro!M38</f>
        <v>#DIV/0!</v>
      </c>
      <c r="D217" s="1">
        <v>0.05</v>
      </c>
      <c r="E217" s="1" t="e">
        <f>1000-F217</f>
        <v>#DIV/0!</v>
      </c>
      <c r="F217" s="1" t="e">
        <f>1000/(C217/D217)</f>
        <v>#DIV/0!</v>
      </c>
      <c r="G217" s="1" t="e">
        <f>(Table14[[#This Row],[culture_volume_real]]*Table14[[#This Row],[chl_init]])/(Table14[[#This Row],[medium_volume_real]]+Table14[[#This Row],[culture_volume_real]])</f>
        <v>#DIV/0!</v>
      </c>
      <c r="H217" s="1"/>
      <c r="I217" s="1"/>
    </row>
    <row r="218" spans="1:9" x14ac:dyDescent="0.25">
      <c r="A218" s="1"/>
      <c r="C218" s="1"/>
      <c r="D218" s="1"/>
      <c r="E218" s="1"/>
      <c r="F218" s="1"/>
      <c r="G218" s="1" t="e">
        <f>(Table14[[#This Row],[culture_volume_real]]*Table14[[#This Row],[chl_init]])/(Table14[[#This Row],[medium_volume_real]]+Table14[[#This Row],[culture_volume_real]])</f>
        <v>#DIV/0!</v>
      </c>
      <c r="H218" s="1"/>
      <c r="I218" s="1"/>
    </row>
    <row r="219" spans="1:9" x14ac:dyDescent="0.25">
      <c r="A219" s="1" t="s">
        <v>48</v>
      </c>
      <c r="B219" s="1" t="s">
        <v>51</v>
      </c>
      <c r="C219" s="1" t="e">
        <f>chla_spectro!M39</f>
        <v>#DIV/0!</v>
      </c>
      <c r="D219" s="1">
        <v>5</v>
      </c>
      <c r="E219" s="1" t="e">
        <f>1000-F219</f>
        <v>#DIV/0!</v>
      </c>
      <c r="F219" s="1" t="e">
        <f>1000/(C219/D219)</f>
        <v>#DIV/0!</v>
      </c>
      <c r="G219" s="1" t="e">
        <f>(Table14[[#This Row],[culture_volume_real]]*Table14[[#This Row],[chl_init]])/(Table14[[#This Row],[medium_volume_real]]+Table14[[#This Row],[culture_volume_real]])</f>
        <v>#DIV/0!</v>
      </c>
      <c r="H219" s="1"/>
      <c r="I219" s="1"/>
    </row>
    <row r="220" spans="1:9" x14ac:dyDescent="0.25">
      <c r="A220" s="1" t="s">
        <v>48</v>
      </c>
      <c r="B220" s="1" t="s">
        <v>51</v>
      </c>
      <c r="C220" s="1" t="e">
        <f>chla_spectro!M39</f>
        <v>#DIV/0!</v>
      </c>
      <c r="D220" s="1">
        <v>1</v>
      </c>
      <c r="E220" s="1" t="e">
        <f>1000-F220</f>
        <v>#DIV/0!</v>
      </c>
      <c r="F220" s="1" t="e">
        <f>1000/(C220/D220)</f>
        <v>#DIV/0!</v>
      </c>
      <c r="G220" s="1" t="e">
        <f>(Table14[[#This Row],[culture_volume_real]]*Table14[[#This Row],[chl_init]])/(Table14[[#This Row],[medium_volume_real]]+Table14[[#This Row],[culture_volume_real]])</f>
        <v>#DIV/0!</v>
      </c>
      <c r="H220" s="1"/>
      <c r="I220" s="1"/>
    </row>
    <row r="221" spans="1:9" x14ac:dyDescent="0.25">
      <c r="A221" s="1" t="s">
        <v>48</v>
      </c>
      <c r="B221" s="1" t="s">
        <v>51</v>
      </c>
      <c r="C221" s="1" t="e">
        <f>chla_spectro!M39</f>
        <v>#DIV/0!</v>
      </c>
      <c r="D221" s="1">
        <v>0.3</v>
      </c>
      <c r="E221" s="1" t="e">
        <f>1000-F221</f>
        <v>#DIV/0!</v>
      </c>
      <c r="F221" s="1" t="e">
        <f>1000/(C221/D221)</f>
        <v>#DIV/0!</v>
      </c>
      <c r="G221" s="1" t="e">
        <f>(Table14[[#This Row],[culture_volume_real]]*Table14[[#This Row],[chl_init]])/(Table14[[#This Row],[medium_volume_real]]+Table14[[#This Row],[culture_volume_real]])</f>
        <v>#DIV/0!</v>
      </c>
      <c r="H221" s="1"/>
      <c r="I221" s="1"/>
    </row>
    <row r="222" spans="1:9" x14ac:dyDescent="0.25">
      <c r="A222" s="1" t="s">
        <v>48</v>
      </c>
      <c r="B222" s="1" t="s">
        <v>51</v>
      </c>
      <c r="C222" s="1" t="e">
        <f>chla_spectro!M39</f>
        <v>#DIV/0!</v>
      </c>
      <c r="D222" s="1">
        <v>0.1</v>
      </c>
      <c r="E222" s="1" t="e">
        <f>1000-F222</f>
        <v>#DIV/0!</v>
      </c>
      <c r="F222" s="1" t="e">
        <f>1000/(C222/D222)</f>
        <v>#DIV/0!</v>
      </c>
      <c r="G222" s="1" t="e">
        <f>(Table14[[#This Row],[culture_volume_real]]*Table14[[#This Row],[chl_init]])/(Table14[[#This Row],[medium_volume_real]]+Table14[[#This Row],[culture_volume_real]])</f>
        <v>#DIV/0!</v>
      </c>
      <c r="H222" s="1"/>
      <c r="I222" s="1"/>
    </row>
    <row r="223" spans="1:9" x14ac:dyDescent="0.25">
      <c r="A223" s="1" t="s">
        <v>48</v>
      </c>
      <c r="B223" s="1" t="s">
        <v>51</v>
      </c>
      <c r="C223" s="1" t="e">
        <f>chla_spectro!M39</f>
        <v>#DIV/0!</v>
      </c>
      <c r="D223" s="1">
        <v>0.05</v>
      </c>
      <c r="E223" s="1" t="e">
        <f>1000-F223</f>
        <v>#DIV/0!</v>
      </c>
      <c r="F223" s="1" t="e">
        <f>1000/(C223/D223)</f>
        <v>#DIV/0!</v>
      </c>
      <c r="G223" t="e">
        <f>(Table14[[#This Row],[culture_volume_real]]*Table14[[#This Row],[chl_init]])/(Table14[[#This Row],[medium_volume_real]]+Table14[[#This Row],[culture_volume_real]])</f>
        <v>#DIV/0!</v>
      </c>
    </row>
  </sheetData>
  <conditionalFormatting sqref="A2:F77 A79:F150">
    <cfRule type="expression" priority="3">
      <formula>$A2</formula>
    </cfRule>
  </conditionalFormatting>
  <conditionalFormatting sqref="A152:F223">
    <cfRule type="expression" priority="1">
      <formula>$A152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zoomScaleNormal="100" workbookViewId="0">
      <selection activeCell="F33" sqref="F33"/>
    </sheetView>
  </sheetViews>
  <sheetFormatPr baseColWidth="10" defaultColWidth="9.140625" defaultRowHeight="15" x14ac:dyDescent="0.25"/>
  <cols>
    <col min="2" max="2" width="9.5703125" customWidth="1"/>
    <col min="3" max="3" width="9.5703125" style="1" customWidth="1"/>
    <col min="8" max="8" width="22.28515625" customWidth="1"/>
    <col min="9" max="9" width="28.85546875" customWidth="1"/>
    <col min="10" max="10" width="18.28515625" customWidth="1"/>
  </cols>
  <sheetData>
    <row r="1" spans="1:12" x14ac:dyDescent="0.25">
      <c r="A1" t="s">
        <v>70</v>
      </c>
      <c r="B1" t="s">
        <v>71</v>
      </c>
      <c r="C1" s="1" t="s">
        <v>84</v>
      </c>
      <c r="D1" t="s">
        <v>72</v>
      </c>
      <c r="E1" t="s">
        <v>73</v>
      </c>
      <c r="F1" t="s">
        <v>74</v>
      </c>
      <c r="G1" t="s">
        <v>75</v>
      </c>
      <c r="H1" s="1" t="s">
        <v>82</v>
      </c>
      <c r="I1" t="s">
        <v>76</v>
      </c>
      <c r="J1" t="s">
        <v>77</v>
      </c>
      <c r="K1" t="s">
        <v>78</v>
      </c>
      <c r="L1" t="s">
        <v>83</v>
      </c>
    </row>
    <row r="2" spans="1:12" x14ac:dyDescent="0.25">
      <c r="A2">
        <v>2</v>
      </c>
      <c r="B2">
        <v>100</v>
      </c>
      <c r="C2" s="12">
        <v>44130</v>
      </c>
      <c r="D2">
        <v>1296</v>
      </c>
      <c r="E2">
        <v>2546</v>
      </c>
      <c r="F2">
        <f t="shared" ref="F2:F33" si="0">E2-D2</f>
        <v>1250</v>
      </c>
      <c r="G2">
        <f t="shared" ref="G2:G33" si="1">F2/E2</f>
        <v>0.49096622152395913</v>
      </c>
      <c r="H2" s="1" t="s">
        <v>85</v>
      </c>
      <c r="J2">
        <f>chla_spectro!M5/1000</f>
        <v>4.9280000000000004E-2</v>
      </c>
      <c r="K2" t="e">
        <f>Table4[[#This Row],[Chla_concentration (µg/mL)]]/Table4[[#This Row],[cells_number(cells/ml)]]</f>
        <v>#DIV/0!</v>
      </c>
    </row>
    <row r="3" spans="1:12" x14ac:dyDescent="0.25">
      <c r="A3">
        <v>2</v>
      </c>
      <c r="B3">
        <v>4213</v>
      </c>
      <c r="C3" s="12">
        <v>44130</v>
      </c>
      <c r="D3">
        <v>1220</v>
      </c>
      <c r="E3">
        <v>3699</v>
      </c>
      <c r="F3">
        <f t="shared" si="0"/>
        <v>2479</v>
      </c>
      <c r="G3">
        <f t="shared" si="1"/>
        <v>0.67018113003514468</v>
      </c>
      <c r="H3" s="1"/>
      <c r="J3">
        <f>chla_spectro!M6/1000</f>
        <v>7.2139519999999999E-2</v>
      </c>
      <c r="K3" t="e">
        <f>Table4[[#This Row],[Chla_concentration (µg/mL)]]/Table4[[#This Row],[cells_number(cells/ml)]]</f>
        <v>#DIV/0!</v>
      </c>
    </row>
    <row r="4" spans="1:12" x14ac:dyDescent="0.25">
      <c r="A4">
        <v>2</v>
      </c>
      <c r="B4">
        <v>76</v>
      </c>
      <c r="C4" s="12">
        <v>44130</v>
      </c>
      <c r="D4">
        <v>1034</v>
      </c>
      <c r="E4">
        <v>3992</v>
      </c>
      <c r="F4">
        <f t="shared" si="0"/>
        <v>2958</v>
      </c>
      <c r="G4">
        <f t="shared" si="1"/>
        <v>0.74098196392785576</v>
      </c>
      <c r="H4" s="1"/>
      <c r="J4">
        <f>chla_spectro!M7/1000</f>
        <v>2.8672000000000003E-2</v>
      </c>
      <c r="K4" t="e">
        <f>Table4[[#This Row],[Chla_concentration (µg/mL)]]/Table4[[#This Row],[cells_number(cells/ml)]]</f>
        <v>#DIV/0!</v>
      </c>
    </row>
    <row r="5" spans="1:12" x14ac:dyDescent="0.25">
      <c r="A5">
        <v>3</v>
      </c>
      <c r="B5">
        <v>76</v>
      </c>
      <c r="C5" s="12">
        <v>44127</v>
      </c>
      <c r="D5">
        <v>1518</v>
      </c>
      <c r="E5">
        <v>5030</v>
      </c>
      <c r="F5">
        <f t="shared" si="0"/>
        <v>3512</v>
      </c>
      <c r="G5">
        <f t="shared" si="1"/>
        <v>0.69821073558648117</v>
      </c>
      <c r="H5" s="1"/>
      <c r="J5">
        <f>chla_spectro!M8/1000</f>
        <v>0.17366887</v>
      </c>
      <c r="K5" t="e">
        <f>Table4[[#This Row],[Chla_concentration (µg/mL)]]/Table4[[#This Row],[cells_number(cells/ml)]]</f>
        <v>#DIV/0!</v>
      </c>
    </row>
    <row r="6" spans="1:12" x14ac:dyDescent="0.25">
      <c r="A6">
        <v>3</v>
      </c>
      <c r="B6">
        <v>100</v>
      </c>
      <c r="C6" s="12">
        <v>44130</v>
      </c>
      <c r="D6">
        <v>1160</v>
      </c>
      <c r="E6">
        <v>2502</v>
      </c>
      <c r="F6">
        <f t="shared" si="0"/>
        <v>1342</v>
      </c>
      <c r="G6">
        <f t="shared" si="1"/>
        <v>0.53637090327737813</v>
      </c>
      <c r="H6" s="1"/>
      <c r="J6">
        <f>chla_spectro!M9/1000</f>
        <v>6.7875699999999997E-2</v>
      </c>
      <c r="K6" t="e">
        <f>Table4[[#This Row],[Chla_concentration (µg/mL)]]/Table4[[#This Row],[cells_number(cells/ml)]]</f>
        <v>#DIV/0!</v>
      </c>
    </row>
    <row r="7" spans="1:12" x14ac:dyDescent="0.25">
      <c r="A7">
        <v>3</v>
      </c>
      <c r="B7">
        <v>3030</v>
      </c>
      <c r="C7" s="12">
        <v>44130</v>
      </c>
      <c r="D7">
        <v>1111</v>
      </c>
      <c r="E7">
        <v>1117</v>
      </c>
      <c r="F7">
        <f t="shared" si="0"/>
        <v>6</v>
      </c>
      <c r="G7">
        <f t="shared" si="1"/>
        <v>5.3715308863025966E-3</v>
      </c>
      <c r="H7" s="1"/>
      <c r="J7">
        <f>chla_spectro!M10/1000</f>
        <v>9.0180436199999991E-2</v>
      </c>
      <c r="K7" t="e">
        <f>Table4[[#This Row],[Chla_concentration (µg/mL)]]/Table4[[#This Row],[cells_number(cells/ml)]]</f>
        <v>#DIV/0!</v>
      </c>
    </row>
    <row r="8" spans="1:12" x14ac:dyDescent="0.25">
      <c r="A8">
        <v>3</v>
      </c>
      <c r="B8">
        <v>1717</v>
      </c>
      <c r="C8" s="12">
        <v>44130</v>
      </c>
      <c r="D8">
        <v>1103</v>
      </c>
      <c r="E8">
        <v>3756</v>
      </c>
      <c r="F8">
        <f t="shared" si="0"/>
        <v>2653</v>
      </c>
      <c r="G8">
        <f t="shared" si="1"/>
        <v>0.70633652822151227</v>
      </c>
      <c r="H8" s="1"/>
      <c r="I8" s="9">
        <v>111000</v>
      </c>
      <c r="J8">
        <f>chla_spectro!M11/1000</f>
        <v>7.9499940000000005E-2</v>
      </c>
      <c r="K8">
        <f>Table4[[#This Row],[Chla_concentration (µg/mL)]]/Table4[[#This Row],[cells_number(cells/ml)]]</f>
        <v>7.1621567567567577E-7</v>
      </c>
    </row>
    <row r="9" spans="1:12" x14ac:dyDescent="0.25">
      <c r="A9">
        <v>3</v>
      </c>
      <c r="B9">
        <v>2379</v>
      </c>
      <c r="C9" s="12">
        <v>44130</v>
      </c>
      <c r="D9">
        <v>1103</v>
      </c>
      <c r="E9">
        <v>2517</v>
      </c>
      <c r="F9">
        <f t="shared" si="0"/>
        <v>1414</v>
      </c>
      <c r="G9">
        <f t="shared" si="1"/>
        <v>0.56177989670242356</v>
      </c>
      <c r="H9" s="1"/>
      <c r="J9" t="e">
        <f>chla_spectro!M12/1000</f>
        <v>#DIV/0!</v>
      </c>
      <c r="K9" t="e">
        <f>Table4[[#This Row],[Chla_concentration (µg/mL)]]/Table4[[#This Row],[cells_number(cells/ml)]]</f>
        <v>#DIV/0!</v>
      </c>
    </row>
    <row r="10" spans="1:12" x14ac:dyDescent="0.25">
      <c r="A10">
        <v>3</v>
      </c>
      <c r="B10">
        <v>4213</v>
      </c>
      <c r="C10" s="12">
        <v>44130</v>
      </c>
      <c r="D10">
        <v>1156</v>
      </c>
      <c r="E10">
        <v>3467</v>
      </c>
      <c r="F10">
        <f t="shared" si="0"/>
        <v>2311</v>
      </c>
      <c r="G10">
        <f t="shared" si="1"/>
        <v>0.66657052206518608</v>
      </c>
      <c r="H10" s="1"/>
      <c r="J10">
        <f>chla_spectro!M13/1000</f>
        <v>2.8724739999999999E-2</v>
      </c>
      <c r="K10" t="e">
        <f>Table4[[#This Row],[Chla_concentration (µg/mL)]]/Table4[[#This Row],[cells_number(cells/ml)]]</f>
        <v>#DIV/0!</v>
      </c>
    </row>
    <row r="11" spans="1:12" x14ac:dyDescent="0.25">
      <c r="A11">
        <v>3</v>
      </c>
      <c r="B11">
        <v>2319</v>
      </c>
      <c r="C11" s="12">
        <v>44130</v>
      </c>
      <c r="D11">
        <v>1424</v>
      </c>
      <c r="E11">
        <v>4065</v>
      </c>
      <c r="F11">
        <f t="shared" si="0"/>
        <v>2641</v>
      </c>
      <c r="G11">
        <f t="shared" si="1"/>
        <v>0.64969249692496922</v>
      </c>
      <c r="H11" s="1"/>
      <c r="J11">
        <f>chla_spectro!M14/1000</f>
        <v>0</v>
      </c>
      <c r="K11" t="e">
        <f>Table4[[#This Row],[Chla_concentration (µg/mL)]]/Table4[[#This Row],[cells_number(cells/ml)]]</f>
        <v>#DIV/0!</v>
      </c>
    </row>
    <row r="12" spans="1:12" x14ac:dyDescent="0.25">
      <c r="A12">
        <v>3</v>
      </c>
      <c r="B12">
        <v>9511</v>
      </c>
      <c r="C12" s="12">
        <v>44130</v>
      </c>
      <c r="D12">
        <v>1495</v>
      </c>
      <c r="E12">
        <v>4912</v>
      </c>
      <c r="F12">
        <f t="shared" si="0"/>
        <v>3417</v>
      </c>
      <c r="G12">
        <f t="shared" si="1"/>
        <v>0.69564332247557004</v>
      </c>
      <c r="H12" s="1"/>
      <c r="J12">
        <f>chla_spectro!M15/1000</f>
        <v>2.6592745000000001E-2</v>
      </c>
      <c r="K12" t="e">
        <f>Table4[[#This Row],[Chla_concentration (µg/mL)]]/Table4[[#This Row],[cells_number(cells/ml)]]</f>
        <v>#DIV/0!</v>
      </c>
    </row>
    <row r="13" spans="1:12" x14ac:dyDescent="0.25">
      <c r="A13">
        <v>3</v>
      </c>
      <c r="B13">
        <v>2374</v>
      </c>
      <c r="C13" s="12">
        <v>44130</v>
      </c>
      <c r="D13">
        <v>1544</v>
      </c>
      <c r="E13">
        <v>2913</v>
      </c>
      <c r="F13">
        <f t="shared" si="0"/>
        <v>1369</v>
      </c>
      <c r="G13">
        <f t="shared" si="1"/>
        <v>0.46996223824236183</v>
      </c>
      <c r="H13" s="1"/>
      <c r="J13" t="e">
        <f>chla_spectro!M16/1000</f>
        <v>#DIV/0!</v>
      </c>
      <c r="K13" t="e">
        <f>Table4[[#This Row],[Chla_concentration (µg/mL)]]/Table4[[#This Row],[cells_number(cells/ml)]]</f>
        <v>#DIV/0!</v>
      </c>
    </row>
    <row r="14" spans="1:12" x14ac:dyDescent="0.25">
      <c r="A14">
        <v>3</v>
      </c>
      <c r="B14">
        <v>162</v>
      </c>
      <c r="C14" s="12">
        <v>44130</v>
      </c>
      <c r="D14">
        <v>773</v>
      </c>
      <c r="E14">
        <v>974</v>
      </c>
      <c r="F14">
        <f t="shared" si="0"/>
        <v>201</v>
      </c>
      <c r="G14">
        <f t="shared" si="1"/>
        <v>0.20636550308008214</v>
      </c>
      <c r="H14" s="1"/>
      <c r="J14">
        <f>chla_spectro!M17/1000</f>
        <v>3.1888616000000002E-2</v>
      </c>
      <c r="K14" t="e">
        <f>Table4[[#This Row],[Chla_concentration (µg/mL)]]/Table4[[#This Row],[cells_number(cells/ml)]]</f>
        <v>#DIV/0!</v>
      </c>
    </row>
    <row r="15" spans="1:12" x14ac:dyDescent="0.25">
      <c r="A15">
        <v>3</v>
      </c>
      <c r="B15">
        <v>156</v>
      </c>
      <c r="C15" s="12">
        <v>44130</v>
      </c>
      <c r="D15">
        <v>779</v>
      </c>
      <c r="E15">
        <v>1372</v>
      </c>
      <c r="F15">
        <f t="shared" si="0"/>
        <v>593</v>
      </c>
      <c r="G15">
        <f t="shared" si="1"/>
        <v>0.43221574344023322</v>
      </c>
      <c r="H15" s="1"/>
      <c r="J15">
        <f>chla_spectro!M18/1000</f>
        <v>3.7911040000000007E-2</v>
      </c>
      <c r="K15" t="e">
        <f>Table4[[#This Row],[Chla_concentration (µg/mL)]]/Table4[[#This Row],[cells_number(cells/ml)]]</f>
        <v>#DIV/0!</v>
      </c>
    </row>
    <row r="16" spans="1:12" x14ac:dyDescent="0.25">
      <c r="A16">
        <v>3</v>
      </c>
      <c r="B16">
        <v>3006</v>
      </c>
      <c r="C16" s="12">
        <v>44130</v>
      </c>
      <c r="D16">
        <v>1130</v>
      </c>
      <c r="E16">
        <v>3463</v>
      </c>
      <c r="F16">
        <f t="shared" si="0"/>
        <v>2333</v>
      </c>
      <c r="G16">
        <f t="shared" si="1"/>
        <v>0.67369332948310712</v>
      </c>
      <c r="H16" s="1"/>
      <c r="J16">
        <f>chla_spectro!M19/1000</f>
        <v>3.3847040000000009E-2</v>
      </c>
      <c r="K16" t="e">
        <f>Table4[[#This Row],[Chla_concentration (µg/mL)]]/Table4[[#This Row],[cells_number(cells/ml)]]</f>
        <v>#DIV/0!</v>
      </c>
    </row>
    <row r="17" spans="1:11" x14ac:dyDescent="0.25">
      <c r="A17" s="13">
        <v>4</v>
      </c>
      <c r="B17" s="13">
        <v>3006</v>
      </c>
      <c r="C17" s="14">
        <v>44132</v>
      </c>
      <c r="D17" s="13">
        <v>1364</v>
      </c>
      <c r="E17" s="13">
        <v>4792</v>
      </c>
      <c r="F17" s="13">
        <f t="shared" si="0"/>
        <v>3428</v>
      </c>
      <c r="G17" s="13">
        <f t="shared" si="1"/>
        <v>0.71535893155258767</v>
      </c>
      <c r="H17" s="13">
        <v>0.81</v>
      </c>
      <c r="J17" s="10">
        <f>chla_spectro!M20/1000</f>
        <v>2.2222080000000005E-2</v>
      </c>
      <c r="K17" s="10" t="e">
        <f>Table4[[#This Row],[Chla_concentration (µg/mL)]]/Table4[[#This Row],[cells_number(cells/ml)]]</f>
        <v>#DIV/0!</v>
      </c>
    </row>
    <row r="18" spans="1:11" x14ac:dyDescent="0.25">
      <c r="A18">
        <v>4</v>
      </c>
      <c r="B18">
        <v>2374</v>
      </c>
      <c r="C18" s="12">
        <v>44132</v>
      </c>
      <c r="D18">
        <v>1171</v>
      </c>
      <c r="E18">
        <v>2443</v>
      </c>
      <c r="F18">
        <f t="shared" si="0"/>
        <v>1272</v>
      </c>
      <c r="G18">
        <f t="shared" si="1"/>
        <v>0.52067130577159226</v>
      </c>
      <c r="H18" s="1">
        <v>0.67</v>
      </c>
      <c r="J18" s="10">
        <f>chla_spectro!M21/1000</f>
        <v>0.19085539895</v>
      </c>
      <c r="K18" s="10" t="e">
        <f>Table4[[#This Row],[Chla_concentration (µg/mL)]]/Table4[[#This Row],[cells_number(cells/ml)]]</f>
        <v>#DIV/0!</v>
      </c>
    </row>
    <row r="19" spans="1:11" x14ac:dyDescent="0.25">
      <c r="A19">
        <v>4</v>
      </c>
      <c r="B19">
        <v>156</v>
      </c>
      <c r="C19" s="12">
        <v>44132</v>
      </c>
      <c r="D19">
        <v>1264</v>
      </c>
      <c r="E19">
        <v>2574</v>
      </c>
      <c r="F19">
        <f t="shared" si="0"/>
        <v>1310</v>
      </c>
      <c r="G19">
        <f t="shared" si="1"/>
        <v>0.50893550893550898</v>
      </c>
      <c r="H19" s="1">
        <v>0.62</v>
      </c>
      <c r="J19" s="10">
        <f>chla_spectro!M22/1000</f>
        <v>4.2999859509999995E-2</v>
      </c>
      <c r="K19" s="10" t="e">
        <f>Table4[[#This Row],[Chla_concentration (µg/mL)]]/Table4[[#This Row],[cells_number(cells/ml)]]</f>
        <v>#DIV/0!</v>
      </c>
    </row>
    <row r="20" spans="1:11" x14ac:dyDescent="0.25">
      <c r="A20">
        <v>4</v>
      </c>
      <c r="B20">
        <v>162</v>
      </c>
      <c r="C20" s="12">
        <v>44132</v>
      </c>
      <c r="D20">
        <v>952</v>
      </c>
      <c r="E20">
        <v>1240</v>
      </c>
      <c r="F20">
        <f t="shared" si="0"/>
        <v>288</v>
      </c>
      <c r="G20">
        <f t="shared" si="1"/>
        <v>0.23225806451612904</v>
      </c>
      <c r="H20" s="1">
        <v>0.5</v>
      </c>
      <c r="J20" s="10">
        <f>chla_spectro!M23/1000</f>
        <v>9.119137019000001E-2</v>
      </c>
      <c r="K20" s="10" t="e">
        <f>Table4[[#This Row],[Chla_concentration (µg/mL)]]/Table4[[#This Row],[cells_number(cells/ml)]]</f>
        <v>#DIV/0!</v>
      </c>
    </row>
    <row r="21" spans="1:11" x14ac:dyDescent="0.25">
      <c r="A21" s="21">
        <v>4</v>
      </c>
      <c r="B21" s="21">
        <v>1717</v>
      </c>
      <c r="C21" s="22">
        <v>44132</v>
      </c>
      <c r="D21" s="21">
        <v>1362</v>
      </c>
      <c r="E21" s="21">
        <v>4640</v>
      </c>
      <c r="F21" s="21">
        <f t="shared" si="0"/>
        <v>3278</v>
      </c>
      <c r="G21" s="21">
        <f t="shared" si="1"/>
        <v>0.70646551724137929</v>
      </c>
      <c r="H21" s="21">
        <v>0.72</v>
      </c>
      <c r="I21" s="9" t="s">
        <v>86</v>
      </c>
      <c r="J21" s="10">
        <f>chla_spectro!M24/1000</f>
        <v>7.352520122999999E-2</v>
      </c>
      <c r="K21" s="10" t="e">
        <f>Table4[[#This Row],[Chla_concentration (µg/mL)]]/Table4[[#This Row],[cells_number(cells/ml)]]</f>
        <v>#VALUE!</v>
      </c>
    </row>
    <row r="22" spans="1:11" x14ac:dyDescent="0.25">
      <c r="A22" s="21">
        <v>4</v>
      </c>
      <c r="B22" s="21">
        <v>76</v>
      </c>
      <c r="C22" s="22">
        <v>44132</v>
      </c>
      <c r="D22" s="21">
        <v>1568</v>
      </c>
      <c r="E22" s="21">
        <v>5052</v>
      </c>
      <c r="F22" s="21">
        <f t="shared" si="0"/>
        <v>3484</v>
      </c>
      <c r="G22" s="21">
        <f t="shared" si="1"/>
        <v>0.68962787015043547</v>
      </c>
      <c r="H22" s="21">
        <v>0.68</v>
      </c>
      <c r="J22" s="10" t="e">
        <f>chla_spectro!M25/1000</f>
        <v>#DIV/0!</v>
      </c>
      <c r="K22" s="10" t="e">
        <f>Table4[[#This Row],[Chla_concentration (µg/mL)]]/Table4[[#This Row],[cells_number(cells/ml)]]</f>
        <v>#DIV/0!</v>
      </c>
    </row>
    <row r="23" spans="1:11" x14ac:dyDescent="0.25">
      <c r="A23" s="21">
        <v>4</v>
      </c>
      <c r="B23" s="21">
        <v>3030</v>
      </c>
      <c r="C23" s="22">
        <v>44132</v>
      </c>
      <c r="D23" s="21">
        <v>935</v>
      </c>
      <c r="E23" s="21">
        <v>955</v>
      </c>
      <c r="F23" s="21">
        <f t="shared" si="0"/>
        <v>20</v>
      </c>
      <c r="G23" s="21">
        <f t="shared" si="1"/>
        <v>2.0942408376963352E-2</v>
      </c>
      <c r="H23" s="21">
        <v>0.6</v>
      </c>
      <c r="J23" s="10">
        <f>chla_spectro!M26/1000</f>
        <v>6.481524759E-2</v>
      </c>
      <c r="K23" s="10" t="e">
        <f>Table4[[#This Row],[Chla_concentration (µg/mL)]]/Table4[[#This Row],[cells_number(cells/ml)]]</f>
        <v>#DIV/0!</v>
      </c>
    </row>
    <row r="24" spans="1:11" x14ac:dyDescent="0.25">
      <c r="A24" s="21">
        <v>4</v>
      </c>
      <c r="B24" s="21">
        <v>4213</v>
      </c>
      <c r="C24" s="22">
        <v>44132</v>
      </c>
      <c r="D24" s="21">
        <v>1493</v>
      </c>
      <c r="E24" s="21">
        <v>4496</v>
      </c>
      <c r="F24" s="21">
        <f t="shared" si="0"/>
        <v>3003</v>
      </c>
      <c r="G24" s="21">
        <f t="shared" si="1"/>
        <v>0.6679270462633452</v>
      </c>
      <c r="H24" s="21">
        <v>0.69</v>
      </c>
      <c r="J24" s="10">
        <f>chla_spectro!M27/1000</f>
        <v>0</v>
      </c>
      <c r="K24" s="10" t="e">
        <f>Table4[[#This Row],[Chla_concentration (µg/mL)]]/Table4[[#This Row],[cells_number(cells/ml)]]</f>
        <v>#DIV/0!</v>
      </c>
    </row>
    <row r="25" spans="1:11" x14ac:dyDescent="0.25">
      <c r="A25" s="21">
        <v>4</v>
      </c>
      <c r="B25" s="21">
        <v>9511</v>
      </c>
      <c r="C25" s="22">
        <v>44130</v>
      </c>
      <c r="D25" s="21">
        <v>1394</v>
      </c>
      <c r="E25" s="21">
        <v>4982</v>
      </c>
      <c r="F25" s="21">
        <f t="shared" si="0"/>
        <v>3588</v>
      </c>
      <c r="G25" s="21">
        <f t="shared" si="1"/>
        <v>0.72019269369731032</v>
      </c>
      <c r="H25" s="21">
        <v>0.74</v>
      </c>
      <c r="J25" s="10" t="e">
        <f>chla_spectro!M28/1000</f>
        <v>#DIV/0!</v>
      </c>
      <c r="K25" s="10" t="e">
        <f>Table4[[#This Row],[Chla_concentration (µg/mL)]]/Table4[[#This Row],[cells_number(cells/ml)]]</f>
        <v>#DIV/0!</v>
      </c>
    </row>
    <row r="26" spans="1:11" x14ac:dyDescent="0.25">
      <c r="A26">
        <v>4</v>
      </c>
      <c r="B26">
        <v>9511</v>
      </c>
      <c r="C26" s="12">
        <v>44132</v>
      </c>
      <c r="D26">
        <v>1259</v>
      </c>
      <c r="E26">
        <v>3730</v>
      </c>
      <c r="F26">
        <f t="shared" si="0"/>
        <v>2471</v>
      </c>
      <c r="G26">
        <f t="shared" si="1"/>
        <v>0.66246648793565688</v>
      </c>
      <c r="H26" s="1">
        <v>0.74</v>
      </c>
      <c r="J26" s="10" t="e">
        <f>chla_spectro!M29/1000</f>
        <v>#DIV/0!</v>
      </c>
      <c r="K26" s="10" t="e">
        <f>Table4[[#This Row],[Chla_concentration (µg/mL)]]/Table4[[#This Row],[cells_number(cells/ml)]]</f>
        <v>#DIV/0!</v>
      </c>
    </row>
    <row r="27" spans="1:11" x14ac:dyDescent="0.25">
      <c r="A27" s="21">
        <v>5</v>
      </c>
      <c r="B27" s="21">
        <v>76</v>
      </c>
      <c r="C27" s="22">
        <v>44133</v>
      </c>
      <c r="D27" s="21">
        <v>1178</v>
      </c>
      <c r="E27" s="21">
        <v>4274</v>
      </c>
      <c r="F27" s="21">
        <f t="shared" si="0"/>
        <v>3096</v>
      </c>
      <c r="G27" s="21">
        <f t="shared" si="1"/>
        <v>0.72437997192325687</v>
      </c>
      <c r="H27" s="21">
        <v>0.68</v>
      </c>
      <c r="J27" s="10">
        <f>chla_spectro!M30/1000</f>
        <v>1.6398295000000004E-2</v>
      </c>
      <c r="K27" s="10" t="e">
        <f>Table4[[#This Row],[Chla_concentration (µg/mL)]]/Table4[[#This Row],[cells_number(cells/ml)]]</f>
        <v>#DIV/0!</v>
      </c>
    </row>
    <row r="28" spans="1:11" x14ac:dyDescent="0.25">
      <c r="A28" s="21">
        <v>5</v>
      </c>
      <c r="B28" s="21">
        <v>162</v>
      </c>
      <c r="C28" s="22">
        <v>44130</v>
      </c>
      <c r="D28" s="21">
        <v>935</v>
      </c>
      <c r="E28" s="21">
        <v>1236</v>
      </c>
      <c r="F28" s="21">
        <f t="shared" si="0"/>
        <v>301</v>
      </c>
      <c r="G28" s="21">
        <f t="shared" si="1"/>
        <v>0.24352750809061488</v>
      </c>
      <c r="H28" s="21">
        <v>0.5</v>
      </c>
      <c r="J28" s="10" t="e">
        <f>chla_spectro!M32/1000</f>
        <v>#DIV/0!</v>
      </c>
      <c r="K28" s="10" t="e">
        <f>Table4[[#This Row],[Chla_concentration (µg/mL)]]/Table4[[#This Row],[cells_number(cells/ml)]]</f>
        <v>#DIV/0!</v>
      </c>
    </row>
    <row r="29" spans="1:11" x14ac:dyDescent="0.25">
      <c r="A29" s="21">
        <v>5</v>
      </c>
      <c r="B29" s="21">
        <v>156</v>
      </c>
      <c r="C29" s="22">
        <v>44130</v>
      </c>
      <c r="D29" s="21">
        <v>1453</v>
      </c>
      <c r="E29" s="21">
        <v>2859</v>
      </c>
      <c r="F29" s="21">
        <f t="shared" si="0"/>
        <v>1406</v>
      </c>
      <c r="G29" s="21">
        <f t="shared" si="1"/>
        <v>0.49178034277719485</v>
      </c>
      <c r="H29" s="21">
        <v>0.62</v>
      </c>
      <c r="J29" s="10" t="e">
        <f>chla_spectro!M33/1000</f>
        <v>#DIV/0!</v>
      </c>
      <c r="K29" s="10" t="e">
        <f>Table4[[#This Row],[Chla_concentration (µg/mL)]]/Table4[[#This Row],[cells_number(cells/ml)]]</f>
        <v>#DIV/0!</v>
      </c>
    </row>
    <row r="30" spans="1:11" x14ac:dyDescent="0.25">
      <c r="A30" s="21">
        <v>5</v>
      </c>
      <c r="B30" s="21">
        <v>2319</v>
      </c>
      <c r="C30" s="22">
        <v>44132</v>
      </c>
      <c r="D30" s="21">
        <v>1508</v>
      </c>
      <c r="E30" s="21">
        <v>4180</v>
      </c>
      <c r="F30" s="21">
        <f t="shared" si="0"/>
        <v>2672</v>
      </c>
      <c r="G30" s="21">
        <f t="shared" si="1"/>
        <v>0.6392344497607656</v>
      </c>
      <c r="H30" s="21">
        <v>0.69</v>
      </c>
      <c r="J30" s="10" t="e">
        <f>chla_spectro!M34/1000</f>
        <v>#DIV/0!</v>
      </c>
      <c r="K30" s="10" t="e">
        <f>Table4[[#This Row],[Chla_concentration (µg/mL)]]/Table4[[#This Row],[cells_number(cells/ml)]]</f>
        <v>#DIV/0!</v>
      </c>
    </row>
    <row r="31" spans="1:11" x14ac:dyDescent="0.25">
      <c r="A31" s="21">
        <v>5</v>
      </c>
      <c r="B31" s="21">
        <v>9511</v>
      </c>
      <c r="C31" s="22">
        <v>44132</v>
      </c>
      <c r="D31" s="21">
        <v>1148</v>
      </c>
      <c r="E31" s="21">
        <v>3866</v>
      </c>
      <c r="F31" s="21">
        <f t="shared" si="0"/>
        <v>2718</v>
      </c>
      <c r="G31" s="21">
        <f t="shared" si="1"/>
        <v>0.7030522503879979</v>
      </c>
      <c r="H31" s="21">
        <v>0.74</v>
      </c>
      <c r="J31" s="10">
        <f>chla_spectro!M35/1000</f>
        <v>4.7105782000000006E-2</v>
      </c>
      <c r="K31" s="10" t="e">
        <f>Table4[[#This Row],[Chla_concentration (µg/mL)]]/Table4[[#This Row],[cells_number(cells/ml)]]</f>
        <v>#DIV/0!</v>
      </c>
    </row>
    <row r="32" spans="1:11" x14ac:dyDescent="0.25">
      <c r="A32" s="21">
        <v>5</v>
      </c>
      <c r="B32" s="21">
        <v>2379</v>
      </c>
      <c r="C32" s="22">
        <v>44132</v>
      </c>
      <c r="D32" s="21">
        <v>1281</v>
      </c>
      <c r="E32" s="21">
        <v>3012</v>
      </c>
      <c r="F32" s="21">
        <f t="shared" si="0"/>
        <v>1731</v>
      </c>
      <c r="G32" s="21">
        <f t="shared" si="1"/>
        <v>0.57470119521912355</v>
      </c>
      <c r="H32" s="21">
        <v>0.6</v>
      </c>
      <c r="J32" s="10" t="e">
        <f>chla_spectro!M36/1000</f>
        <v>#DIV/0!</v>
      </c>
      <c r="K32" s="10" t="e">
        <f>Table4[[#This Row],[Chla_concentration (µg/mL)]]/Table4[[#This Row],[cells_number(cells/ml)]]</f>
        <v>#DIV/0!</v>
      </c>
    </row>
    <row r="33" spans="1:12" x14ac:dyDescent="0.25">
      <c r="A33" s="21">
        <v>5</v>
      </c>
      <c r="B33" s="21">
        <v>2374</v>
      </c>
      <c r="C33" s="22">
        <v>44133</v>
      </c>
      <c r="D33" s="21">
        <v>1285</v>
      </c>
      <c r="E33" s="21">
        <v>2433</v>
      </c>
      <c r="F33" s="21">
        <f t="shared" si="0"/>
        <v>1148</v>
      </c>
      <c r="G33" s="21">
        <f t="shared" si="1"/>
        <v>0.47184545828195645</v>
      </c>
      <c r="H33" s="21">
        <v>0.67</v>
      </c>
      <c r="J33" s="10">
        <f>chla_spectro!M37/1000</f>
        <v>0.13590859410000003</v>
      </c>
      <c r="K33" s="10" t="e">
        <f>Table4[[#This Row],[Chla_concentration (µg/mL)]]/Table4[[#This Row],[cells_number(cells/ml)]]</f>
        <v>#DIV/0!</v>
      </c>
    </row>
    <row r="34" spans="1:12" x14ac:dyDescent="0.25">
      <c r="A34" s="21">
        <v>5</v>
      </c>
      <c r="B34" s="21">
        <v>2374</v>
      </c>
      <c r="C34" s="22">
        <v>44133</v>
      </c>
      <c r="D34" s="21">
        <v>1472</v>
      </c>
      <c r="E34" s="21">
        <v>3713</v>
      </c>
      <c r="F34" s="21">
        <f t="shared" ref="F34:F58" si="2">E34-D34</f>
        <v>2241</v>
      </c>
      <c r="G34" s="21">
        <f t="shared" ref="G34:G58" si="3">F34/E34</f>
        <v>0.6035550767573391</v>
      </c>
      <c r="H34" s="21">
        <v>0.67</v>
      </c>
      <c r="J34" s="10" t="e">
        <f>chla_spectro!M38/1000</f>
        <v>#DIV/0!</v>
      </c>
      <c r="K34" s="10" t="e">
        <f>Table4[[#This Row],[Chla_concentration (µg/mL)]]/Table4[[#This Row],[cells_number(cells/ml)]]</f>
        <v>#DIV/0!</v>
      </c>
      <c r="L34" t="s">
        <v>90</v>
      </c>
    </row>
    <row r="35" spans="1:12" x14ac:dyDescent="0.25">
      <c r="A35">
        <v>5</v>
      </c>
      <c r="B35">
        <v>2374</v>
      </c>
      <c r="C35" s="12">
        <v>44127</v>
      </c>
      <c r="D35">
        <v>1358</v>
      </c>
      <c r="E35">
        <v>3901</v>
      </c>
      <c r="F35">
        <f t="shared" si="2"/>
        <v>2543</v>
      </c>
      <c r="G35">
        <f t="shared" si="3"/>
        <v>0.65188413227377595</v>
      </c>
      <c r="H35">
        <v>0.67</v>
      </c>
      <c r="J35" s="10" t="e">
        <f>chla_spectro!M39/1000</f>
        <v>#DIV/0!</v>
      </c>
      <c r="K35" s="10" t="e">
        <f>Table4[[#This Row],[Chla_concentration (µg/mL)]]/Table4[[#This Row],[cells_number(cells/ml)]]</f>
        <v>#DIV/0!</v>
      </c>
    </row>
    <row r="36" spans="1:12" x14ac:dyDescent="0.25">
      <c r="A36" s="15">
        <v>6</v>
      </c>
      <c r="B36" s="15">
        <v>3006</v>
      </c>
      <c r="C36" s="16">
        <v>44133</v>
      </c>
      <c r="D36" s="15">
        <v>998</v>
      </c>
      <c r="E36" s="15">
        <v>4365</v>
      </c>
      <c r="F36" s="15">
        <f t="shared" si="2"/>
        <v>3367</v>
      </c>
      <c r="G36" s="15">
        <f t="shared" si="3"/>
        <v>0.77136311569301264</v>
      </c>
      <c r="H36" s="15">
        <v>0.81</v>
      </c>
      <c r="J36" s="10" t="e">
        <f>chla_spectro!M39/1000</f>
        <v>#DIV/0!</v>
      </c>
      <c r="K36" s="10" t="e">
        <f>Table4[[#This Row],[Chla_concentration (µg/mL)]]/Table4[[#This Row],[cells_number(cells/ml)]]</f>
        <v>#DIV/0!</v>
      </c>
    </row>
    <row r="37" spans="1:12" x14ac:dyDescent="0.25">
      <c r="A37" s="17">
        <v>6</v>
      </c>
      <c r="B37" s="17">
        <v>100</v>
      </c>
      <c r="C37" s="18">
        <v>44132</v>
      </c>
      <c r="D37" s="17">
        <v>1284</v>
      </c>
      <c r="E37" s="17">
        <v>2748</v>
      </c>
      <c r="F37" s="17">
        <f t="shared" si="2"/>
        <v>1464</v>
      </c>
      <c r="G37" s="17">
        <f t="shared" si="3"/>
        <v>0.53275109170305679</v>
      </c>
      <c r="H37" s="17">
        <v>0.59</v>
      </c>
      <c r="J37" s="10">
        <f>chla_spectro!M40/1000</f>
        <v>0</v>
      </c>
      <c r="K37" s="10" t="e">
        <f>Table4[[#This Row],[Chla_concentration (µg/mL)]]/Table4[[#This Row],[cells_number(cells/ml)]]</f>
        <v>#DIV/0!</v>
      </c>
    </row>
    <row r="38" spans="1:12" x14ac:dyDescent="0.25">
      <c r="A38" s="15">
        <v>6</v>
      </c>
      <c r="B38" s="15">
        <v>76</v>
      </c>
      <c r="C38" s="16">
        <v>44133</v>
      </c>
      <c r="D38" s="15">
        <v>1679</v>
      </c>
      <c r="E38" s="15">
        <v>5126</v>
      </c>
      <c r="F38" s="15">
        <f t="shared" si="2"/>
        <v>3447</v>
      </c>
      <c r="G38" s="15">
        <f t="shared" si="3"/>
        <v>0.67245415528677333</v>
      </c>
      <c r="H38" s="15">
        <v>0.68</v>
      </c>
      <c r="J38" s="10">
        <f>chla_spectro!M41/1000</f>
        <v>0</v>
      </c>
      <c r="K38" s="10" t="e">
        <f>Table4[[#This Row],[Chla_concentration (µg/mL)]]/Table4[[#This Row],[cells_number(cells/ml)]]</f>
        <v>#DIV/0!</v>
      </c>
    </row>
    <row r="39" spans="1:12" x14ac:dyDescent="0.25">
      <c r="A39" s="15">
        <v>6</v>
      </c>
      <c r="B39" s="15">
        <v>2374</v>
      </c>
      <c r="C39" s="16">
        <v>44133</v>
      </c>
      <c r="D39" s="15">
        <v>1325</v>
      </c>
      <c r="E39" s="15">
        <v>3566</v>
      </c>
      <c r="F39" s="15">
        <f t="shared" si="2"/>
        <v>2241</v>
      </c>
      <c r="G39" s="15">
        <f t="shared" si="3"/>
        <v>0.62843522153673581</v>
      </c>
      <c r="H39" s="15">
        <v>0.67</v>
      </c>
      <c r="J39" s="10">
        <f>chla_spectro!M42/1000</f>
        <v>0</v>
      </c>
      <c r="K39" s="10" t="e">
        <f>Table4[[#This Row],[Chla_concentration (µg/mL)]]/Table4[[#This Row],[cells_number(cells/ml)]]</f>
        <v>#DIV/0!</v>
      </c>
    </row>
    <row r="40" spans="1:12" x14ac:dyDescent="0.25">
      <c r="A40">
        <v>6</v>
      </c>
      <c r="B40">
        <v>162</v>
      </c>
      <c r="C40" s="12">
        <v>44130</v>
      </c>
      <c r="D40">
        <v>1014</v>
      </c>
      <c r="E40">
        <v>1370</v>
      </c>
      <c r="F40">
        <f t="shared" si="2"/>
        <v>356</v>
      </c>
      <c r="G40">
        <f t="shared" si="3"/>
        <v>0.25985401459854013</v>
      </c>
      <c r="H40" t="s">
        <v>93</v>
      </c>
      <c r="J40" s="10">
        <f>chla_spectro!M43/1000</f>
        <v>0</v>
      </c>
      <c r="K40" s="10" t="e">
        <f>Table4[[#This Row],[Chla_concentration (µg/mL)]]/Table4[[#This Row],[cells_number(cells/ml)]]</f>
        <v>#DIV/0!</v>
      </c>
    </row>
    <row r="41" spans="1:12" x14ac:dyDescent="0.25">
      <c r="A41">
        <v>6</v>
      </c>
      <c r="B41">
        <v>156</v>
      </c>
      <c r="C41" s="12">
        <v>44130</v>
      </c>
      <c r="D41">
        <v>1196</v>
      </c>
      <c r="E41">
        <v>2620</v>
      </c>
      <c r="F41">
        <f t="shared" si="2"/>
        <v>1424</v>
      </c>
      <c r="G41">
        <f t="shared" si="3"/>
        <v>0.54351145038167936</v>
      </c>
      <c r="H41">
        <v>0.62</v>
      </c>
      <c r="J41" s="10">
        <f>chla_spectro!M44/1000</f>
        <v>0</v>
      </c>
      <c r="K41" s="10" t="e">
        <f>Table4[[#This Row],[Chla_concentration (µg/mL)]]/Table4[[#This Row],[cells_number(cells/ml)]]</f>
        <v>#DIV/0!</v>
      </c>
    </row>
    <row r="42" spans="1:12" x14ac:dyDescent="0.25">
      <c r="A42" s="21">
        <v>6</v>
      </c>
      <c r="B42" s="21">
        <v>9511</v>
      </c>
      <c r="C42" s="22">
        <v>44132</v>
      </c>
      <c r="D42" s="21">
        <v>1256</v>
      </c>
      <c r="E42" s="21">
        <v>4705</v>
      </c>
      <c r="F42" s="21">
        <f t="shared" si="2"/>
        <v>3449</v>
      </c>
      <c r="G42" s="21">
        <f t="shared" si="3"/>
        <v>0.73304994686503722</v>
      </c>
      <c r="H42" s="21">
        <v>0.74</v>
      </c>
      <c r="J42" s="10">
        <f>chla_spectro!M45/1000</f>
        <v>0</v>
      </c>
      <c r="K42" s="10" t="e">
        <f>Table4[[#This Row],[Chla_concentration (µg/mL)]]/Table4[[#This Row],[cells_number(cells/ml)]]</f>
        <v>#DIV/0!</v>
      </c>
    </row>
    <row r="43" spans="1:12" x14ac:dyDescent="0.25">
      <c r="A43" s="21">
        <v>6</v>
      </c>
      <c r="B43" s="21">
        <v>2319</v>
      </c>
      <c r="C43" s="22">
        <v>44132</v>
      </c>
      <c r="D43" s="21">
        <v>1516</v>
      </c>
      <c r="E43" s="21">
        <v>4528</v>
      </c>
      <c r="F43" s="21">
        <f t="shared" si="2"/>
        <v>3012</v>
      </c>
      <c r="G43" s="21">
        <f t="shared" si="3"/>
        <v>0.6651943462897526</v>
      </c>
      <c r="H43" s="21">
        <v>0.69</v>
      </c>
      <c r="J43" s="10">
        <f>chla_spectro!M46/1000</f>
        <v>0</v>
      </c>
      <c r="K43" s="10" t="e">
        <f>Table4[[#This Row],[Chla_concentration (µg/mL)]]/Table4[[#This Row],[cells_number(cells/ml)]]</f>
        <v>#DIV/0!</v>
      </c>
    </row>
    <row r="44" spans="1:12" x14ac:dyDescent="0.25">
      <c r="A44" s="21">
        <v>7</v>
      </c>
      <c r="B44" s="21">
        <v>4213</v>
      </c>
      <c r="C44" s="22">
        <v>44134</v>
      </c>
      <c r="D44" s="21">
        <v>1089</v>
      </c>
      <c r="E44" s="21">
        <v>2976</v>
      </c>
      <c r="F44" s="21">
        <f t="shared" si="2"/>
        <v>1887</v>
      </c>
      <c r="G44" s="21">
        <f t="shared" si="3"/>
        <v>0.63407258064516125</v>
      </c>
      <c r="H44" s="21">
        <v>0.67</v>
      </c>
      <c r="J44" s="10">
        <f>chla_spectro!M47/1000</f>
        <v>0</v>
      </c>
      <c r="K44" s="10" t="e">
        <f>Table4[[#This Row],[Chla_concentration (µg/mL)]]/Table4[[#This Row],[cells_number(cells/ml)]]</f>
        <v>#DIV/0!</v>
      </c>
    </row>
    <row r="45" spans="1:12" x14ac:dyDescent="0.25">
      <c r="A45" s="21">
        <v>7</v>
      </c>
      <c r="B45" s="21">
        <v>1717</v>
      </c>
      <c r="C45" s="22">
        <v>44134</v>
      </c>
      <c r="D45" s="21">
        <v>1513</v>
      </c>
      <c r="E45" s="21">
        <v>4862</v>
      </c>
      <c r="F45" s="21">
        <f t="shared" si="2"/>
        <v>3349</v>
      </c>
      <c r="G45" s="21">
        <f t="shared" si="3"/>
        <v>0.68881118881118886</v>
      </c>
      <c r="H45" s="21">
        <v>0.72</v>
      </c>
      <c r="J45" s="10">
        <f>chla_spectro!M48/1000</f>
        <v>0</v>
      </c>
      <c r="K45" s="10" t="e">
        <f>Table4[[#This Row],[Chla_concentration (µg/mL)]]/Table4[[#This Row],[cells_number(cells/ml)]]</f>
        <v>#DIV/0!</v>
      </c>
    </row>
    <row r="46" spans="1:12" x14ac:dyDescent="0.25">
      <c r="A46" s="21">
        <v>7</v>
      </c>
      <c r="B46" s="21">
        <v>100</v>
      </c>
      <c r="C46" s="22">
        <v>44134</v>
      </c>
      <c r="D46" s="21">
        <v>1581</v>
      </c>
      <c r="E46" s="21">
        <v>3251</v>
      </c>
      <c r="F46" s="21">
        <f t="shared" si="2"/>
        <v>1670</v>
      </c>
      <c r="G46" s="21">
        <f t="shared" si="3"/>
        <v>0.5136880959704706</v>
      </c>
      <c r="H46" s="21">
        <v>0.59</v>
      </c>
      <c r="J46" s="10">
        <f>chla_spectro!M49/1000</f>
        <v>0</v>
      </c>
      <c r="K46" s="10" t="e">
        <f>Table4[[#This Row],[Chla_concentration (µg/mL)]]/Table4[[#This Row],[cells_number(cells/ml)]]</f>
        <v>#DIV/0!</v>
      </c>
    </row>
    <row r="47" spans="1:12" x14ac:dyDescent="0.25">
      <c r="A47" s="21">
        <v>7</v>
      </c>
      <c r="B47" s="21">
        <v>156</v>
      </c>
      <c r="C47" s="22">
        <v>44130</v>
      </c>
      <c r="D47" s="21">
        <v>1550</v>
      </c>
      <c r="E47" s="21">
        <v>3655</v>
      </c>
      <c r="F47" s="21">
        <f t="shared" si="2"/>
        <v>2105</v>
      </c>
      <c r="G47" s="21">
        <f t="shared" si="3"/>
        <v>0.57592339261285908</v>
      </c>
      <c r="H47" s="21">
        <v>0.62</v>
      </c>
      <c r="J47" s="10">
        <f>chla_spectro!M50/1000</f>
        <v>0</v>
      </c>
      <c r="K47" s="10" t="e">
        <f>Table4[[#This Row],[Chla_concentration (µg/mL)]]/Table4[[#This Row],[cells_number(cells/ml)]]</f>
        <v>#DIV/0!</v>
      </c>
    </row>
    <row r="48" spans="1:12" x14ac:dyDescent="0.25">
      <c r="A48" s="21">
        <v>7</v>
      </c>
      <c r="B48" s="21">
        <v>3006</v>
      </c>
      <c r="C48" s="22">
        <v>44133</v>
      </c>
      <c r="D48" s="21">
        <v>1231</v>
      </c>
      <c r="E48" s="21">
        <v>5301</v>
      </c>
      <c r="F48" s="21">
        <f t="shared" si="2"/>
        <v>4070</v>
      </c>
      <c r="G48" s="21">
        <f t="shared" si="3"/>
        <v>0.76777966421429922</v>
      </c>
      <c r="H48" s="21">
        <v>0.81</v>
      </c>
      <c r="J48" s="10">
        <f>chla_spectro!M51/1000</f>
        <v>0</v>
      </c>
      <c r="K48" s="10" t="e">
        <f>Table4[[#This Row],[Chla_concentration (µg/mL)]]/Table4[[#This Row],[cells_number(cells/ml)]]</f>
        <v>#DIV/0!</v>
      </c>
      <c r="L48" t="s">
        <v>92</v>
      </c>
    </row>
    <row r="49" spans="1:12" x14ac:dyDescent="0.25">
      <c r="A49" s="21">
        <v>7</v>
      </c>
      <c r="B49" s="21">
        <v>156</v>
      </c>
      <c r="C49" s="22">
        <v>44134</v>
      </c>
      <c r="D49" s="21">
        <v>848</v>
      </c>
      <c r="E49" s="21">
        <v>1455</v>
      </c>
      <c r="F49" s="21">
        <f t="shared" si="2"/>
        <v>607</v>
      </c>
      <c r="G49" s="21">
        <f t="shared" si="3"/>
        <v>0.41718213058419246</v>
      </c>
      <c r="H49" s="21">
        <v>0.62</v>
      </c>
      <c r="J49" s="10">
        <f>chla_spectro!M52/1000</f>
        <v>0</v>
      </c>
      <c r="K49" s="10" t="e">
        <f>Table4[[#This Row],[Chla_concentration (µg/mL)]]/Table4[[#This Row],[cells_number(cells/ml)]]</f>
        <v>#DIV/0!</v>
      </c>
    </row>
    <row r="50" spans="1:12" x14ac:dyDescent="0.25">
      <c r="A50" s="21">
        <v>7</v>
      </c>
      <c r="B50" s="21">
        <v>162</v>
      </c>
      <c r="C50" s="22">
        <v>44134</v>
      </c>
      <c r="D50" s="21">
        <v>810</v>
      </c>
      <c r="E50" s="21">
        <v>820</v>
      </c>
      <c r="F50" s="21">
        <f t="shared" si="2"/>
        <v>10</v>
      </c>
      <c r="G50" s="21">
        <f t="shared" si="3"/>
        <v>1.2195121951219513E-2</v>
      </c>
      <c r="H50" s="21" t="s">
        <v>93</v>
      </c>
      <c r="J50" s="10">
        <f>chla_spectro!M53/1000</f>
        <v>0</v>
      </c>
      <c r="K50" s="10" t="e">
        <f>Table4[[#This Row],[Chla_concentration (µg/mL)]]/Table4[[#This Row],[cells_number(cells/ml)]]</f>
        <v>#DIV/0!</v>
      </c>
      <c r="L50" t="s">
        <v>92</v>
      </c>
    </row>
    <row r="51" spans="1:12" x14ac:dyDescent="0.25">
      <c r="A51">
        <v>7</v>
      </c>
      <c r="B51">
        <v>2319</v>
      </c>
      <c r="C51" s="12">
        <v>44134</v>
      </c>
      <c r="D51">
        <v>1537</v>
      </c>
      <c r="E51">
        <v>3334</v>
      </c>
      <c r="F51">
        <f t="shared" si="2"/>
        <v>1797</v>
      </c>
      <c r="G51">
        <f t="shared" si="3"/>
        <v>0.53899220155968808</v>
      </c>
      <c r="H51">
        <v>0.6</v>
      </c>
      <c r="J51" s="10">
        <f>chla_spectro!M54/1000</f>
        <v>0</v>
      </c>
      <c r="K51" s="10" t="e">
        <f>Table4[[#This Row],[Chla_concentration (µg/mL)]]/Table4[[#This Row],[cells_number(cells/ml)]]</f>
        <v>#DIV/0!</v>
      </c>
    </row>
    <row r="52" spans="1:12" x14ac:dyDescent="0.25">
      <c r="A52" s="19">
        <v>8</v>
      </c>
      <c r="B52" s="19">
        <v>9511</v>
      </c>
      <c r="C52" s="20">
        <v>44135</v>
      </c>
      <c r="D52" s="19">
        <v>1432</v>
      </c>
      <c r="E52" s="19">
        <v>4835</v>
      </c>
      <c r="F52" s="19">
        <f t="shared" si="2"/>
        <v>3403</v>
      </c>
      <c r="G52" s="19">
        <f t="shared" si="3"/>
        <v>0.70382626680455018</v>
      </c>
      <c r="H52" s="19">
        <v>0.74</v>
      </c>
      <c r="J52" s="10">
        <f>chla_spectro!M55/1000</f>
        <v>0</v>
      </c>
      <c r="K52" s="10" t="e">
        <f>Table4[[#This Row],[Chla_concentration (µg/mL)]]/Table4[[#This Row],[cells_number(cells/ml)]]</f>
        <v>#DIV/0!</v>
      </c>
    </row>
    <row r="53" spans="1:12" x14ac:dyDescent="0.25">
      <c r="A53">
        <v>8</v>
      </c>
      <c r="B53">
        <v>2374</v>
      </c>
      <c r="C53" s="12">
        <v>44135</v>
      </c>
      <c r="D53">
        <v>1386</v>
      </c>
      <c r="E53">
        <v>3604</v>
      </c>
      <c r="F53">
        <f t="shared" si="2"/>
        <v>2218</v>
      </c>
      <c r="G53">
        <f t="shared" si="3"/>
        <v>0.61542730299667037</v>
      </c>
      <c r="H53">
        <v>0.67</v>
      </c>
      <c r="J53" s="10">
        <f>chla_spectro!M56/1000</f>
        <v>0</v>
      </c>
      <c r="K53" s="10" t="e">
        <f>Table4[[#This Row],[Chla_concentration (µg/mL)]]/Table4[[#This Row],[cells_number(cells/ml)]]</f>
        <v>#DIV/0!</v>
      </c>
    </row>
    <row r="54" spans="1:12" x14ac:dyDescent="0.25">
      <c r="A54">
        <v>8</v>
      </c>
      <c r="B54">
        <v>156</v>
      </c>
      <c r="C54" s="12">
        <v>44134</v>
      </c>
      <c r="D54">
        <v>1476</v>
      </c>
      <c r="E54">
        <v>2739</v>
      </c>
      <c r="F54">
        <f t="shared" si="2"/>
        <v>1263</v>
      </c>
      <c r="G54">
        <f t="shared" si="3"/>
        <v>0.46111719605695511</v>
      </c>
      <c r="H54">
        <v>0.62</v>
      </c>
      <c r="J54" s="10">
        <f>chla_spectro!M57/1000</f>
        <v>0</v>
      </c>
      <c r="K54" s="10" t="e">
        <f>Table4[[#This Row],[Chla_concentration (µg/mL)]]/Table4[[#This Row],[cells_number(cells/ml)]]</f>
        <v>#DIV/0!</v>
      </c>
    </row>
    <row r="55" spans="1:12" x14ac:dyDescent="0.25">
      <c r="A55" s="15">
        <v>8</v>
      </c>
      <c r="B55" s="15">
        <v>76</v>
      </c>
      <c r="C55" s="16">
        <v>44135</v>
      </c>
      <c r="D55" s="15">
        <v>1102</v>
      </c>
      <c r="E55" s="15">
        <v>3601</v>
      </c>
      <c r="F55" s="15">
        <f t="shared" si="2"/>
        <v>2499</v>
      </c>
      <c r="G55" s="15">
        <f t="shared" si="3"/>
        <v>0.69397389613996108</v>
      </c>
      <c r="H55" s="15">
        <v>0.68</v>
      </c>
      <c r="J55" s="10">
        <f>chla_spectro!M58/1000</f>
        <v>0</v>
      </c>
      <c r="K55" s="10" t="e">
        <f>Table4[[#This Row],[Chla_concentration (µg/mL)]]/Table4[[#This Row],[cells_number(cells/ml)]]</f>
        <v>#DIV/0!</v>
      </c>
    </row>
    <row r="56" spans="1:12" x14ac:dyDescent="0.25">
      <c r="A56">
        <v>8</v>
      </c>
      <c r="B56">
        <v>2319</v>
      </c>
      <c r="C56" s="12">
        <v>44135</v>
      </c>
      <c r="D56">
        <v>1283</v>
      </c>
      <c r="E56">
        <v>3421</v>
      </c>
      <c r="F56">
        <f t="shared" si="2"/>
        <v>2138</v>
      </c>
      <c r="G56">
        <f t="shared" si="3"/>
        <v>0.62496346097632272</v>
      </c>
      <c r="H56">
        <v>0.69</v>
      </c>
      <c r="J56" s="10">
        <f>chla_spectro!M59/1000</f>
        <v>0</v>
      </c>
      <c r="K56" s="10" t="e">
        <f>Table4[[#This Row],[Chla_concentration (µg/mL)]]/Table4[[#This Row],[cells_number(cells/ml)]]</f>
        <v>#DIV/0!</v>
      </c>
    </row>
    <row r="57" spans="1:12" x14ac:dyDescent="0.25">
      <c r="A57" s="23">
        <v>8</v>
      </c>
      <c r="B57" s="23">
        <v>2379</v>
      </c>
      <c r="C57" s="24">
        <v>44134</v>
      </c>
      <c r="D57" s="23">
        <v>1311</v>
      </c>
      <c r="E57" s="23">
        <v>2998</v>
      </c>
      <c r="F57" s="23">
        <f t="shared" si="2"/>
        <v>1687</v>
      </c>
      <c r="G57" s="23">
        <f t="shared" si="3"/>
        <v>0.56270847231487664</v>
      </c>
      <c r="H57" s="23">
        <v>0.6</v>
      </c>
      <c r="J57" s="10">
        <f>chla_spectro!M60/1000</f>
        <v>0</v>
      </c>
      <c r="K57" s="10" t="e">
        <f>Table4[[#This Row],[Chla_concentration (µg/mL)]]/Table4[[#This Row],[cells_number(cells/ml)]]</f>
        <v>#DIV/0!</v>
      </c>
    </row>
    <row r="58" spans="1:12" x14ac:dyDescent="0.25">
      <c r="A58" s="23">
        <v>8</v>
      </c>
      <c r="B58" s="23">
        <v>100</v>
      </c>
      <c r="C58" s="24">
        <v>44134</v>
      </c>
      <c r="D58" s="23">
        <v>1378</v>
      </c>
      <c r="E58" s="23">
        <v>3030</v>
      </c>
      <c r="F58" s="23">
        <f t="shared" si="2"/>
        <v>1652</v>
      </c>
      <c r="G58" s="23">
        <f t="shared" si="3"/>
        <v>0.54521452145214522</v>
      </c>
      <c r="H58" s="23">
        <v>0.59</v>
      </c>
      <c r="J58" s="10">
        <f>chla_spectro!M61/1000</f>
        <v>0</v>
      </c>
      <c r="K58" s="10" t="e">
        <f>Table4[[#This Row],[Chla_concentration (µg/mL)]]/Table4[[#This Row],[cells_number(cells/ml)]]</f>
        <v>#DIV/0!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1"/>
  <sheetViews>
    <sheetView zoomScale="90" zoomScaleNormal="90" workbookViewId="0">
      <pane xSplit="1" topLeftCell="B1" activePane="topRight" state="frozen"/>
      <selection pane="topRight" activeCell="AA298" sqref="AA298"/>
    </sheetView>
  </sheetViews>
  <sheetFormatPr baseColWidth="10" defaultColWidth="9.140625" defaultRowHeight="15" x14ac:dyDescent="0.25"/>
  <cols>
    <col min="3" max="3" width="15" style="11" customWidth="1"/>
    <col min="6" max="6" width="11.85546875" customWidth="1"/>
    <col min="7" max="7" width="11.140625" customWidth="1"/>
    <col min="8" max="8" width="11.42578125" customWidth="1"/>
    <col min="9" max="9" width="12.85546875" customWidth="1"/>
    <col min="10" max="10" width="12.42578125" customWidth="1"/>
    <col min="11" max="11" width="12.85546875" customWidth="1"/>
    <col min="12" max="13" width="13.140625" style="102" customWidth="1"/>
    <col min="14" max="14" width="17.140625" style="102" customWidth="1"/>
    <col min="15" max="15" width="13.42578125" customWidth="1"/>
    <col min="16" max="16" width="11.140625" style="102" customWidth="1"/>
    <col min="17" max="17" width="15" customWidth="1"/>
    <col min="18" max="18" width="10.28515625" customWidth="1"/>
    <col min="20" max="22" width="9.140625" style="1"/>
  </cols>
  <sheetData>
    <row r="1" spans="1:28" x14ac:dyDescent="0.25">
      <c r="F1" s="144" t="s">
        <v>5</v>
      </c>
      <c r="G1" s="144"/>
      <c r="H1" s="144"/>
      <c r="I1" s="144"/>
      <c r="J1" s="144"/>
      <c r="K1" s="144"/>
      <c r="L1" s="145" t="s">
        <v>12</v>
      </c>
      <c r="M1" s="145"/>
      <c r="N1" s="145"/>
      <c r="O1" s="145"/>
      <c r="P1" s="106"/>
      <c r="Q1" s="146" t="s">
        <v>17</v>
      </c>
      <c r="R1" s="146"/>
      <c r="S1" s="143" t="s">
        <v>21</v>
      </c>
      <c r="T1" s="143"/>
      <c r="U1" s="143"/>
      <c r="V1" s="143"/>
      <c r="W1" s="143"/>
      <c r="X1" s="143"/>
      <c r="Y1" s="143"/>
      <c r="Z1" s="143"/>
      <c r="AA1" s="143"/>
      <c r="AB1" s="143"/>
    </row>
    <row r="2" spans="1:28" ht="15.75" thickBot="1" x14ac:dyDescent="0.3">
      <c r="A2" t="s">
        <v>0</v>
      </c>
      <c r="B2" t="s">
        <v>1</v>
      </c>
      <c r="C2" s="11" t="s">
        <v>2</v>
      </c>
      <c r="D2" t="s">
        <v>3</v>
      </c>
      <c r="E2" t="s">
        <v>4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s="102" t="s">
        <v>13</v>
      </c>
      <c r="M2" s="102" t="s">
        <v>14</v>
      </c>
      <c r="N2" s="102" t="s">
        <v>16</v>
      </c>
      <c r="O2" t="s">
        <v>15</v>
      </c>
      <c r="P2" s="102" t="s">
        <v>20</v>
      </c>
      <c r="Q2" t="s">
        <v>18</v>
      </c>
      <c r="R2" t="s">
        <v>19</v>
      </c>
      <c r="S2" t="s">
        <v>22</v>
      </c>
      <c r="T2" s="1" t="s">
        <v>72</v>
      </c>
      <c r="U2" s="38" t="s">
        <v>97</v>
      </c>
      <c r="V2" s="1" t="s">
        <v>73</v>
      </c>
      <c r="W2" t="s">
        <v>75</v>
      </c>
      <c r="X2" s="21" t="s">
        <v>23</v>
      </c>
      <c r="Y2" s="21" t="s">
        <v>24</v>
      </c>
      <c r="Z2" s="21" t="s">
        <v>27</v>
      </c>
      <c r="AA2" s="21" t="s">
        <v>25</v>
      </c>
      <c r="AB2" s="21" t="s">
        <v>26</v>
      </c>
    </row>
    <row r="3" spans="1:28" x14ac:dyDescent="0.25">
      <c r="A3" s="25" t="s">
        <v>40</v>
      </c>
      <c r="B3" s="26" t="s">
        <v>49</v>
      </c>
      <c r="C3" s="27">
        <v>44132</v>
      </c>
      <c r="D3" s="28"/>
      <c r="E3" s="29" t="s">
        <v>96</v>
      </c>
      <c r="F3" s="29"/>
      <c r="G3" s="29"/>
      <c r="H3" s="29"/>
      <c r="I3" s="29"/>
      <c r="J3" s="29"/>
      <c r="K3" s="29"/>
      <c r="L3" s="103"/>
      <c r="M3" s="103"/>
      <c r="N3" s="103"/>
      <c r="O3" s="29"/>
      <c r="P3" s="103"/>
      <c r="Q3" s="29">
        <v>10</v>
      </c>
      <c r="R3" s="29"/>
      <c r="S3" s="29">
        <v>14</v>
      </c>
      <c r="T3" s="29">
        <f>Z3</f>
        <v>1094</v>
      </c>
      <c r="U3" s="42" t="s">
        <v>93</v>
      </c>
      <c r="V3" s="29">
        <v>2694</v>
      </c>
      <c r="W3" s="29">
        <f>(V3-T3)/V3</f>
        <v>0.59391239792130657</v>
      </c>
      <c r="X3" s="44">
        <v>424</v>
      </c>
      <c r="Y3" s="44">
        <v>645</v>
      </c>
      <c r="Z3" s="44">
        <v>1094</v>
      </c>
      <c r="AA3" s="44">
        <v>575</v>
      </c>
      <c r="AB3" s="56">
        <v>531</v>
      </c>
    </row>
    <row r="4" spans="1:28" x14ac:dyDescent="0.25">
      <c r="A4" s="30" t="s">
        <v>40</v>
      </c>
      <c r="B4" s="31" t="s">
        <v>49</v>
      </c>
      <c r="C4" s="32">
        <v>44132</v>
      </c>
      <c r="D4" s="33"/>
      <c r="E4" s="33">
        <v>1</v>
      </c>
      <c r="F4" s="33"/>
      <c r="G4" s="33"/>
      <c r="H4" s="33"/>
      <c r="I4" s="33"/>
      <c r="J4" s="33"/>
      <c r="K4" s="33"/>
      <c r="L4" s="104"/>
      <c r="M4" s="104"/>
      <c r="N4" s="104"/>
      <c r="O4" s="33"/>
      <c r="P4" s="104"/>
      <c r="Q4" s="33" t="s">
        <v>93</v>
      </c>
      <c r="R4" s="33"/>
      <c r="S4" s="33">
        <v>18</v>
      </c>
      <c r="T4" s="33">
        <f>Z4</f>
        <v>1448</v>
      </c>
      <c r="U4" s="42" t="s">
        <v>93</v>
      </c>
      <c r="V4" s="33">
        <v>2306</v>
      </c>
      <c r="W4" s="33">
        <f t="shared" ref="W4:W67" si="0">(V4-T4)/V4</f>
        <v>0.37207285342584562</v>
      </c>
      <c r="X4" s="33">
        <v>724</v>
      </c>
      <c r="Y4" s="33">
        <v>721</v>
      </c>
      <c r="Z4" s="33">
        <v>1448</v>
      </c>
      <c r="AA4" s="33">
        <v>1570</v>
      </c>
      <c r="AB4" s="34">
        <v>1448</v>
      </c>
    </row>
    <row r="5" spans="1:28" x14ac:dyDescent="0.25">
      <c r="A5" s="30" t="s">
        <v>40</v>
      </c>
      <c r="B5" s="31" t="s">
        <v>49</v>
      </c>
      <c r="C5" s="32">
        <v>44132</v>
      </c>
      <c r="D5" s="33"/>
      <c r="E5" s="33">
        <v>2</v>
      </c>
      <c r="F5" s="33"/>
      <c r="G5" s="33"/>
      <c r="H5" s="33"/>
      <c r="I5" s="33"/>
      <c r="J5" s="33"/>
      <c r="K5" s="33"/>
      <c r="L5" s="104"/>
      <c r="M5" s="104"/>
      <c r="N5" s="104"/>
      <c r="O5" s="33"/>
      <c r="P5" s="104"/>
      <c r="Q5" s="33">
        <v>995.03</v>
      </c>
      <c r="R5" s="33"/>
      <c r="S5" s="33">
        <v>18</v>
      </c>
      <c r="T5" s="33">
        <f t="shared" ref="T5:T8" si="1">Z5</f>
        <v>1033</v>
      </c>
      <c r="U5" s="42" t="s">
        <v>93</v>
      </c>
      <c r="V5" s="33">
        <v>1221</v>
      </c>
      <c r="W5" s="33">
        <f t="shared" si="0"/>
        <v>0.15397215397215397</v>
      </c>
      <c r="X5" s="33">
        <v>568</v>
      </c>
      <c r="Y5" s="33">
        <v>462</v>
      </c>
      <c r="Z5" s="33">
        <v>1033</v>
      </c>
      <c r="AA5" s="33">
        <v>1403</v>
      </c>
      <c r="AB5" s="34">
        <v>1248</v>
      </c>
    </row>
    <row r="6" spans="1:28" x14ac:dyDescent="0.25">
      <c r="A6" s="30" t="s">
        <v>40</v>
      </c>
      <c r="B6" s="31" t="s">
        <v>49</v>
      </c>
      <c r="C6" s="32">
        <v>44132</v>
      </c>
      <c r="D6" s="33"/>
      <c r="E6" s="33">
        <v>3</v>
      </c>
      <c r="F6" s="33"/>
      <c r="G6" s="33"/>
      <c r="H6" s="33"/>
      <c r="I6" s="33"/>
      <c r="J6" s="33"/>
      <c r="K6" s="33"/>
      <c r="L6" s="104"/>
      <c r="M6" s="104"/>
      <c r="N6" s="104"/>
      <c r="O6" s="33"/>
      <c r="P6" s="104"/>
      <c r="Q6" s="33" t="s">
        <v>93</v>
      </c>
      <c r="R6" s="33"/>
      <c r="S6" s="33">
        <v>18</v>
      </c>
      <c r="T6" s="33">
        <f t="shared" si="1"/>
        <v>1004</v>
      </c>
      <c r="U6" s="42" t="s">
        <v>93</v>
      </c>
      <c r="V6" s="33">
        <v>1071</v>
      </c>
      <c r="W6" s="33">
        <f t="shared" si="0"/>
        <v>6.2558356676003735E-2</v>
      </c>
      <c r="X6" s="33">
        <v>567</v>
      </c>
      <c r="Y6" s="33">
        <v>439</v>
      </c>
      <c r="Z6" s="33">
        <v>1004</v>
      </c>
      <c r="AA6" s="33">
        <v>1412</v>
      </c>
      <c r="AB6" s="34">
        <v>1286</v>
      </c>
    </row>
    <row r="7" spans="1:28" x14ac:dyDescent="0.25">
      <c r="A7" s="30" t="s">
        <v>40</v>
      </c>
      <c r="B7" s="31" t="s">
        <v>49</v>
      </c>
      <c r="C7" s="32">
        <v>44132</v>
      </c>
      <c r="D7" s="33"/>
      <c r="E7" s="33">
        <v>4</v>
      </c>
      <c r="F7" s="33"/>
      <c r="G7" s="33"/>
      <c r="H7" s="33"/>
      <c r="I7" s="33"/>
      <c r="J7" s="33"/>
      <c r="K7" s="33"/>
      <c r="L7" s="104"/>
      <c r="M7" s="104"/>
      <c r="N7" s="104"/>
      <c r="O7" s="33"/>
      <c r="P7" s="104"/>
      <c r="Q7" s="33" t="s">
        <v>93</v>
      </c>
      <c r="R7" s="33"/>
      <c r="S7" s="33">
        <v>18</v>
      </c>
      <c r="T7" s="33">
        <f t="shared" si="1"/>
        <v>952</v>
      </c>
      <c r="U7" s="42" t="s">
        <v>93</v>
      </c>
      <c r="V7" s="33">
        <v>950</v>
      </c>
      <c r="W7" s="33">
        <f t="shared" si="0"/>
        <v>-2.1052631578947368E-3</v>
      </c>
      <c r="X7" s="33">
        <v>549</v>
      </c>
      <c r="Y7" s="33">
        <v>411</v>
      </c>
      <c r="Z7" s="33">
        <v>952</v>
      </c>
      <c r="AA7" s="33">
        <v>1396</v>
      </c>
      <c r="AB7" s="34">
        <v>1236</v>
      </c>
    </row>
    <row r="8" spans="1:28" ht="15.75" thickBot="1" x14ac:dyDescent="0.3">
      <c r="A8" s="35" t="s">
        <v>40</v>
      </c>
      <c r="B8" s="36" t="s">
        <v>49</v>
      </c>
      <c r="C8" s="37">
        <v>44132</v>
      </c>
      <c r="D8" s="38"/>
      <c r="E8" s="38">
        <v>5</v>
      </c>
      <c r="F8" s="38"/>
      <c r="G8" s="38"/>
      <c r="H8" s="38"/>
      <c r="I8" s="38"/>
      <c r="J8" s="38"/>
      <c r="K8" s="38"/>
      <c r="L8" s="105"/>
      <c r="M8" s="105"/>
      <c r="N8" s="105"/>
      <c r="O8" s="38"/>
      <c r="P8" s="105"/>
      <c r="Q8" s="38" t="s">
        <v>93</v>
      </c>
      <c r="R8" s="38"/>
      <c r="S8" s="38">
        <v>18</v>
      </c>
      <c r="T8" s="38">
        <f t="shared" si="1"/>
        <v>962</v>
      </c>
      <c r="U8" s="45" t="s">
        <v>93</v>
      </c>
      <c r="V8" s="38">
        <v>951</v>
      </c>
      <c r="W8" s="38">
        <f t="shared" si="0"/>
        <v>-1.1566771819137749E-2</v>
      </c>
      <c r="X8" s="38">
        <v>555</v>
      </c>
      <c r="Y8" s="38">
        <v>415</v>
      </c>
      <c r="Z8" s="38">
        <v>962</v>
      </c>
      <c r="AA8" s="38">
        <v>1401</v>
      </c>
      <c r="AB8" s="39">
        <v>1214</v>
      </c>
    </row>
    <row r="9" spans="1:28" x14ac:dyDescent="0.25">
      <c r="A9" s="25" t="s">
        <v>42</v>
      </c>
      <c r="B9" s="26" t="s">
        <v>49</v>
      </c>
      <c r="C9" s="27">
        <v>44132</v>
      </c>
      <c r="D9" s="28"/>
      <c r="E9" s="29" t="s">
        <v>96</v>
      </c>
      <c r="F9" s="29"/>
      <c r="G9" s="29"/>
      <c r="H9" s="29"/>
      <c r="I9" s="29"/>
      <c r="J9" s="29"/>
      <c r="K9" s="29"/>
      <c r="L9" s="103"/>
      <c r="M9" s="103"/>
      <c r="N9" s="103"/>
      <c r="O9" s="29"/>
      <c r="P9" s="103"/>
      <c r="Q9" s="29">
        <v>20</v>
      </c>
      <c r="R9" s="29"/>
      <c r="S9" s="29">
        <v>15</v>
      </c>
      <c r="T9" s="29">
        <f>Z9</f>
        <v>1467</v>
      </c>
      <c r="U9" s="42" t="s">
        <v>93</v>
      </c>
      <c r="V9" s="40">
        <v>4365</v>
      </c>
      <c r="W9" s="29">
        <f t="shared" si="0"/>
        <v>0.66391752577319585</v>
      </c>
      <c r="X9" s="44">
        <v>489</v>
      </c>
      <c r="Y9" s="44">
        <v>659</v>
      </c>
      <c r="Z9" s="44">
        <v>1467</v>
      </c>
      <c r="AA9" s="44">
        <v>596</v>
      </c>
      <c r="AB9" s="56">
        <v>525</v>
      </c>
    </row>
    <row r="10" spans="1:28" x14ac:dyDescent="0.25">
      <c r="A10" s="30" t="s">
        <v>42</v>
      </c>
      <c r="B10" s="31" t="s">
        <v>49</v>
      </c>
      <c r="C10" s="32">
        <v>44132</v>
      </c>
      <c r="D10" s="41"/>
      <c r="E10" s="33">
        <v>1</v>
      </c>
      <c r="F10" s="33"/>
      <c r="G10" s="33"/>
      <c r="H10" s="33"/>
      <c r="I10" s="33"/>
      <c r="J10" s="33"/>
      <c r="K10" s="33"/>
      <c r="L10" s="104"/>
      <c r="M10" s="104"/>
      <c r="N10" s="104"/>
      <c r="O10" s="33"/>
      <c r="P10" s="104"/>
      <c r="Q10" s="33" t="s">
        <v>93</v>
      </c>
      <c r="R10" s="33"/>
      <c r="S10" s="33">
        <v>18</v>
      </c>
      <c r="T10" s="33">
        <f t="shared" ref="T10:T14" si="2">Z10</f>
        <v>1642</v>
      </c>
      <c r="U10" s="42" t="s">
        <v>93</v>
      </c>
      <c r="V10" s="33">
        <v>3428</v>
      </c>
      <c r="W10" s="33">
        <f t="shared" si="0"/>
        <v>0.52100350058343059</v>
      </c>
      <c r="X10" s="33">
        <v>737</v>
      </c>
      <c r="Y10" s="33">
        <v>736</v>
      </c>
      <c r="Z10" s="33">
        <v>1642</v>
      </c>
      <c r="AA10" s="33">
        <v>1456</v>
      </c>
      <c r="AB10" s="34">
        <v>1416</v>
      </c>
    </row>
    <row r="11" spans="1:28" x14ac:dyDescent="0.25">
      <c r="A11" s="30" t="s">
        <v>42</v>
      </c>
      <c r="B11" s="31" t="s">
        <v>49</v>
      </c>
      <c r="C11" s="32">
        <v>44132</v>
      </c>
      <c r="D11" s="33"/>
      <c r="E11" s="33">
        <v>2</v>
      </c>
      <c r="F11" s="33"/>
      <c r="G11" s="33"/>
      <c r="H11" s="33"/>
      <c r="I11" s="33"/>
      <c r="J11" s="33"/>
      <c r="K11" s="33"/>
      <c r="L11" s="104"/>
      <c r="M11" s="104"/>
      <c r="N11" s="104"/>
      <c r="O11" s="33"/>
      <c r="P11" s="104"/>
      <c r="Q11" s="33">
        <v>995.03</v>
      </c>
      <c r="R11" s="33"/>
      <c r="S11" s="33">
        <v>18</v>
      </c>
      <c r="T11" s="33">
        <f t="shared" si="2"/>
        <v>1084</v>
      </c>
      <c r="U11" s="42" t="s">
        <v>93</v>
      </c>
      <c r="V11" s="33">
        <v>1472</v>
      </c>
      <c r="W11" s="33">
        <f t="shared" si="0"/>
        <v>0.26358695652173914</v>
      </c>
      <c r="X11" s="33">
        <v>588</v>
      </c>
      <c r="Y11" s="33">
        <v>488</v>
      </c>
      <c r="Z11" s="33">
        <v>1084</v>
      </c>
      <c r="AA11" s="33">
        <v>1390</v>
      </c>
      <c r="AB11" s="34">
        <v>1286</v>
      </c>
    </row>
    <row r="12" spans="1:28" x14ac:dyDescent="0.25">
      <c r="A12" s="30" t="s">
        <v>42</v>
      </c>
      <c r="B12" s="31" t="s">
        <v>49</v>
      </c>
      <c r="C12" s="32">
        <v>44132</v>
      </c>
      <c r="D12" s="33"/>
      <c r="E12" s="33">
        <v>3</v>
      </c>
      <c r="F12" s="33"/>
      <c r="G12" s="33"/>
      <c r="H12" s="33"/>
      <c r="I12" s="33"/>
      <c r="J12" s="33"/>
      <c r="K12" s="33"/>
      <c r="L12" s="104"/>
      <c r="M12" s="104"/>
      <c r="N12" s="104"/>
      <c r="O12" s="33"/>
      <c r="P12" s="104"/>
      <c r="Q12" s="33" t="s">
        <v>93</v>
      </c>
      <c r="R12" s="33"/>
      <c r="S12" s="33">
        <v>18</v>
      </c>
      <c r="T12" s="33">
        <f t="shared" si="2"/>
        <v>998</v>
      </c>
      <c r="U12" s="42" t="s">
        <v>93</v>
      </c>
      <c r="V12" s="33">
        <v>1118</v>
      </c>
      <c r="W12" s="33">
        <f t="shared" si="0"/>
        <v>0.1073345259391771</v>
      </c>
      <c r="X12" s="33">
        <v>563</v>
      </c>
      <c r="Y12" s="33">
        <v>432</v>
      </c>
      <c r="Z12" s="33">
        <v>998</v>
      </c>
      <c r="AA12" s="33">
        <v>1406</v>
      </c>
      <c r="AB12" s="34">
        <v>1302</v>
      </c>
    </row>
    <row r="13" spans="1:28" x14ac:dyDescent="0.25">
      <c r="A13" s="30" t="s">
        <v>42</v>
      </c>
      <c r="B13" s="31" t="s">
        <v>49</v>
      </c>
      <c r="C13" s="32">
        <v>44132</v>
      </c>
      <c r="D13" s="33"/>
      <c r="E13" s="33">
        <v>4</v>
      </c>
      <c r="F13" s="33"/>
      <c r="G13" s="33"/>
      <c r="H13" s="33"/>
      <c r="I13" s="33"/>
      <c r="J13" s="33"/>
      <c r="K13" s="33"/>
      <c r="L13" s="104"/>
      <c r="M13" s="104"/>
      <c r="N13" s="104"/>
      <c r="O13" s="33"/>
      <c r="P13" s="104"/>
      <c r="Q13" s="33" t="s">
        <v>93</v>
      </c>
      <c r="R13" s="33"/>
      <c r="S13" s="33">
        <v>18</v>
      </c>
      <c r="T13" s="33">
        <f t="shared" si="2"/>
        <v>956</v>
      </c>
      <c r="U13" s="42" t="s">
        <v>93</v>
      </c>
      <c r="V13" s="33">
        <v>919</v>
      </c>
      <c r="W13" s="33">
        <f t="shared" si="0"/>
        <v>-4.0261153427638738E-2</v>
      </c>
      <c r="X13" s="33">
        <v>552</v>
      </c>
      <c r="Y13" s="33">
        <v>413</v>
      </c>
      <c r="Z13" s="33">
        <v>956</v>
      </c>
      <c r="AA13" s="33">
        <v>1394</v>
      </c>
      <c r="AB13" s="34">
        <v>1293</v>
      </c>
    </row>
    <row r="14" spans="1:28" ht="15.75" thickBot="1" x14ac:dyDescent="0.3">
      <c r="A14" s="35" t="s">
        <v>42</v>
      </c>
      <c r="B14" s="36" t="s">
        <v>49</v>
      </c>
      <c r="C14" s="37">
        <v>44132</v>
      </c>
      <c r="D14" s="38"/>
      <c r="E14" s="38">
        <v>5</v>
      </c>
      <c r="F14" s="38"/>
      <c r="G14" s="38"/>
      <c r="H14" s="38"/>
      <c r="I14" s="38"/>
      <c r="J14" s="38"/>
      <c r="K14" s="38"/>
      <c r="L14" s="105"/>
      <c r="M14" s="105"/>
      <c r="N14" s="105"/>
      <c r="O14" s="38"/>
      <c r="P14" s="105"/>
      <c r="Q14" s="38" t="s">
        <v>93</v>
      </c>
      <c r="R14" s="38"/>
      <c r="S14" s="38">
        <v>18</v>
      </c>
      <c r="T14" s="38">
        <f t="shared" si="2"/>
        <v>930</v>
      </c>
      <c r="U14" s="45" t="s">
        <v>93</v>
      </c>
      <c r="V14" s="38">
        <v>953</v>
      </c>
      <c r="W14" s="38">
        <f t="shared" si="0"/>
        <v>2.4134312696747113E-2</v>
      </c>
      <c r="X14" s="38">
        <v>530</v>
      </c>
      <c r="Y14" s="38">
        <v>400</v>
      </c>
      <c r="Z14" s="38">
        <v>930</v>
      </c>
      <c r="AA14" s="38">
        <v>1357</v>
      </c>
      <c r="AB14" s="39">
        <v>1172</v>
      </c>
    </row>
    <row r="15" spans="1:28" x14ac:dyDescent="0.25">
      <c r="A15" s="25" t="s">
        <v>45</v>
      </c>
      <c r="B15" s="26" t="s">
        <v>49</v>
      </c>
      <c r="C15" s="27">
        <v>44132</v>
      </c>
      <c r="D15" s="29"/>
      <c r="E15" s="29" t="s">
        <v>96</v>
      </c>
      <c r="F15" s="29"/>
      <c r="G15" s="29"/>
      <c r="H15" s="29"/>
      <c r="I15" s="29"/>
      <c r="J15" s="29"/>
      <c r="K15" s="29"/>
      <c r="L15" s="103"/>
      <c r="M15" s="103"/>
      <c r="N15" s="103"/>
      <c r="O15" s="29"/>
      <c r="P15" s="103"/>
      <c r="Q15" s="29">
        <v>10</v>
      </c>
      <c r="R15" s="29"/>
      <c r="S15" s="29">
        <v>10</v>
      </c>
      <c r="T15" s="29">
        <f>X15</f>
        <v>1232</v>
      </c>
      <c r="U15" s="42" t="s">
        <v>93</v>
      </c>
      <c r="V15" s="44">
        <v>2913</v>
      </c>
      <c r="W15" s="29">
        <f>(V15-T15)/V16</f>
        <v>0.50209080047789723</v>
      </c>
      <c r="X15" s="44">
        <v>1232</v>
      </c>
      <c r="Y15" s="44">
        <v>814</v>
      </c>
      <c r="Z15" s="44">
        <v>407</v>
      </c>
      <c r="AA15" s="44">
        <v>282</v>
      </c>
      <c r="AB15" s="56">
        <v>221</v>
      </c>
    </row>
    <row r="16" spans="1:28" x14ac:dyDescent="0.25">
      <c r="A16" s="30" t="s">
        <v>45</v>
      </c>
      <c r="B16" s="31" t="s">
        <v>49</v>
      </c>
      <c r="C16" s="32">
        <v>44132</v>
      </c>
      <c r="D16" s="33"/>
      <c r="E16" s="33">
        <v>1</v>
      </c>
      <c r="F16" s="33"/>
      <c r="G16" s="33"/>
      <c r="H16" s="33"/>
      <c r="I16" s="33"/>
      <c r="J16" s="33"/>
      <c r="K16" s="33"/>
      <c r="L16" s="104"/>
      <c r="M16" s="104"/>
      <c r="N16" s="104"/>
      <c r="O16" s="33"/>
      <c r="P16" s="104"/>
      <c r="Q16" s="33" t="s">
        <v>93</v>
      </c>
      <c r="R16" s="33"/>
      <c r="S16" s="42">
        <v>17</v>
      </c>
      <c r="T16" s="33">
        <f t="shared" ref="T16:T20" si="3">X16</f>
        <v>1561</v>
      </c>
      <c r="U16" s="42" t="s">
        <v>93</v>
      </c>
      <c r="V16" s="42">
        <v>3348</v>
      </c>
      <c r="W16" s="33">
        <f>(V16-T16)/V16</f>
        <v>0.53375149342891282</v>
      </c>
      <c r="X16" s="42">
        <v>1561</v>
      </c>
      <c r="Y16" s="42">
        <v>1058</v>
      </c>
      <c r="Z16" s="42">
        <v>984</v>
      </c>
      <c r="AA16" s="42">
        <v>1136</v>
      </c>
      <c r="AB16" s="43">
        <v>1013</v>
      </c>
    </row>
    <row r="17" spans="1:28" x14ac:dyDescent="0.25">
      <c r="A17" s="30" t="s">
        <v>45</v>
      </c>
      <c r="B17" s="31" t="s">
        <v>49</v>
      </c>
      <c r="C17" s="32">
        <v>44132</v>
      </c>
      <c r="D17" s="33"/>
      <c r="E17" s="33">
        <v>2</v>
      </c>
      <c r="F17" s="33"/>
      <c r="G17" s="33"/>
      <c r="H17" s="33"/>
      <c r="I17" s="33"/>
      <c r="J17" s="33"/>
      <c r="K17" s="33"/>
      <c r="L17" s="104"/>
      <c r="M17" s="104"/>
      <c r="N17" s="104"/>
      <c r="O17" s="33"/>
      <c r="P17" s="104"/>
      <c r="Q17" s="33">
        <v>995.03</v>
      </c>
      <c r="R17" s="33"/>
      <c r="S17" s="42">
        <v>18</v>
      </c>
      <c r="T17" s="33">
        <f t="shared" si="3"/>
        <v>911</v>
      </c>
      <c r="U17" s="42" t="s">
        <v>93</v>
      </c>
      <c r="V17" s="42">
        <v>1421</v>
      </c>
      <c r="W17" s="33">
        <f t="shared" si="0"/>
        <v>0.3589021815622801</v>
      </c>
      <c r="X17" s="42">
        <v>911</v>
      </c>
      <c r="Y17" s="42">
        <v>659</v>
      </c>
      <c r="Z17" s="42">
        <v>1059</v>
      </c>
      <c r="AA17" s="42">
        <v>1466</v>
      </c>
      <c r="AB17" s="43">
        <v>1349</v>
      </c>
    </row>
    <row r="18" spans="1:28" x14ac:dyDescent="0.25">
      <c r="A18" s="30" t="s">
        <v>45</v>
      </c>
      <c r="B18" s="31" t="s">
        <v>49</v>
      </c>
      <c r="C18" s="32">
        <v>44132</v>
      </c>
      <c r="D18" s="33"/>
      <c r="E18" s="33">
        <v>3</v>
      </c>
      <c r="F18" s="33"/>
      <c r="G18" s="33"/>
      <c r="H18" s="33"/>
      <c r="I18" s="33"/>
      <c r="J18" s="33"/>
      <c r="K18" s="33"/>
      <c r="L18" s="104"/>
      <c r="M18" s="104"/>
      <c r="N18" s="104"/>
      <c r="O18" s="33"/>
      <c r="P18" s="104"/>
      <c r="Q18" s="33" t="s">
        <v>93</v>
      </c>
      <c r="R18" s="33"/>
      <c r="S18" s="42">
        <v>18</v>
      </c>
      <c r="T18" s="33">
        <f t="shared" si="3"/>
        <v>731</v>
      </c>
      <c r="U18" s="42" t="s">
        <v>93</v>
      </c>
      <c r="V18" s="42">
        <v>981</v>
      </c>
      <c r="W18" s="33">
        <f t="shared" si="0"/>
        <v>0.254841997961264</v>
      </c>
      <c r="X18" s="42">
        <v>731</v>
      </c>
      <c r="Y18" s="42">
        <v>532</v>
      </c>
      <c r="Z18" s="42">
        <v>1000</v>
      </c>
      <c r="AA18" s="42">
        <v>1422</v>
      </c>
      <c r="AB18" s="43">
        <v>1280</v>
      </c>
    </row>
    <row r="19" spans="1:28" x14ac:dyDescent="0.25">
      <c r="A19" s="30" t="s">
        <v>45</v>
      </c>
      <c r="B19" s="31" t="s">
        <v>49</v>
      </c>
      <c r="C19" s="32">
        <v>44132</v>
      </c>
      <c r="D19" s="33"/>
      <c r="E19" s="33">
        <v>4</v>
      </c>
      <c r="F19" s="33"/>
      <c r="G19" s="33"/>
      <c r="H19" s="33"/>
      <c r="I19" s="33"/>
      <c r="J19" s="33"/>
      <c r="K19" s="33"/>
      <c r="L19" s="104"/>
      <c r="M19" s="104"/>
      <c r="N19" s="104"/>
      <c r="O19" s="33"/>
      <c r="P19" s="104"/>
      <c r="Q19" s="33" t="s">
        <v>93</v>
      </c>
      <c r="R19" s="33"/>
      <c r="S19" s="42">
        <v>18</v>
      </c>
      <c r="T19" s="33">
        <f t="shared" si="3"/>
        <v>578</v>
      </c>
      <c r="U19" s="42" t="s">
        <v>93</v>
      </c>
      <c r="V19" s="42">
        <v>646</v>
      </c>
      <c r="W19" s="33">
        <f t="shared" si="0"/>
        <v>0.10526315789473684</v>
      </c>
      <c r="X19" s="42">
        <v>578</v>
      </c>
      <c r="Y19" s="42">
        <v>427</v>
      </c>
      <c r="Z19" s="42">
        <v>932</v>
      </c>
      <c r="AA19" s="42">
        <v>1356</v>
      </c>
      <c r="AB19" s="43">
        <v>1196</v>
      </c>
    </row>
    <row r="20" spans="1:28" ht="15.75" thickBot="1" x14ac:dyDescent="0.3">
      <c r="A20" s="35" t="s">
        <v>45</v>
      </c>
      <c r="B20" s="36" t="s">
        <v>49</v>
      </c>
      <c r="C20" s="37">
        <v>44132</v>
      </c>
      <c r="D20" s="38"/>
      <c r="E20" s="38">
        <v>5</v>
      </c>
      <c r="F20" s="38"/>
      <c r="G20" s="38"/>
      <c r="H20" s="38"/>
      <c r="I20" s="38"/>
      <c r="J20" s="38"/>
      <c r="K20" s="38"/>
      <c r="L20" s="105"/>
      <c r="M20" s="105"/>
      <c r="N20" s="105"/>
      <c r="O20" s="38"/>
      <c r="P20" s="105"/>
      <c r="Q20" s="38" t="s">
        <v>93</v>
      </c>
      <c r="R20" s="38"/>
      <c r="S20" s="38">
        <v>18</v>
      </c>
      <c r="T20" s="38">
        <f t="shared" si="3"/>
        <v>575</v>
      </c>
      <c r="U20" s="45" t="s">
        <v>93</v>
      </c>
      <c r="V20" s="45">
        <v>593</v>
      </c>
      <c r="W20" s="38">
        <f t="shared" si="0"/>
        <v>3.0354131534569982E-2</v>
      </c>
      <c r="X20" s="45">
        <v>575</v>
      </c>
      <c r="Y20" s="45">
        <v>431</v>
      </c>
      <c r="Z20" s="45">
        <v>945</v>
      </c>
      <c r="AA20" s="45">
        <v>1381</v>
      </c>
      <c r="AB20" s="46">
        <v>1260</v>
      </c>
    </row>
    <row r="21" spans="1:28" x14ac:dyDescent="0.25">
      <c r="A21" s="47" t="s">
        <v>46</v>
      </c>
      <c r="B21" s="26" t="s">
        <v>49</v>
      </c>
      <c r="C21" s="27">
        <v>44133</v>
      </c>
      <c r="D21" s="29"/>
      <c r="E21" s="29" t="s">
        <v>96</v>
      </c>
      <c r="F21" s="29"/>
      <c r="G21" s="29"/>
      <c r="H21" s="29"/>
      <c r="I21" s="29"/>
      <c r="J21" s="29"/>
      <c r="K21" s="29"/>
      <c r="L21" s="103"/>
      <c r="M21" s="103"/>
      <c r="N21" s="103"/>
      <c r="O21" s="29"/>
      <c r="P21" s="103"/>
      <c r="Q21" s="29">
        <v>10</v>
      </c>
      <c r="R21" s="29"/>
      <c r="S21" s="44">
        <v>12</v>
      </c>
      <c r="T21" s="44">
        <f>X21</f>
        <v>1151</v>
      </c>
      <c r="U21" s="42" t="s">
        <v>93</v>
      </c>
      <c r="V21" s="44">
        <v>3686</v>
      </c>
      <c r="W21" s="29">
        <f t="shared" si="0"/>
        <v>0.68773738469886059</v>
      </c>
      <c r="X21" s="44">
        <v>1151</v>
      </c>
      <c r="Y21" s="44">
        <v>650</v>
      </c>
      <c r="Z21" s="44">
        <v>685</v>
      </c>
      <c r="AA21" s="44">
        <v>366</v>
      </c>
      <c r="AB21" s="56">
        <v>357</v>
      </c>
    </row>
    <row r="22" spans="1:28" x14ac:dyDescent="0.25">
      <c r="A22" s="48" t="s">
        <v>46</v>
      </c>
      <c r="B22" s="31" t="s">
        <v>49</v>
      </c>
      <c r="C22" s="32">
        <v>44133</v>
      </c>
      <c r="D22" s="33"/>
      <c r="E22" s="33">
        <v>1</v>
      </c>
      <c r="F22" s="33"/>
      <c r="G22" s="33"/>
      <c r="H22" s="33"/>
      <c r="I22" s="33"/>
      <c r="J22" s="33"/>
      <c r="K22" s="33"/>
      <c r="L22" s="104"/>
      <c r="M22" s="104"/>
      <c r="N22" s="104"/>
      <c r="O22" s="33"/>
      <c r="P22" s="104"/>
      <c r="Q22" s="33" t="s">
        <v>93</v>
      </c>
      <c r="R22" s="33"/>
      <c r="S22" s="42">
        <v>18</v>
      </c>
      <c r="T22" s="42">
        <f t="shared" ref="T22:T26" si="4">X22</f>
        <v>955</v>
      </c>
      <c r="U22" s="42" t="s">
        <v>93</v>
      </c>
      <c r="V22" s="42">
        <v>1861</v>
      </c>
      <c r="W22" s="33">
        <f t="shared" si="0"/>
        <v>0.48683503492745833</v>
      </c>
      <c r="X22" s="42">
        <v>955</v>
      </c>
      <c r="Y22" s="33">
        <v>635</v>
      </c>
      <c r="Z22" s="33">
        <v>1150</v>
      </c>
      <c r="AA22" s="33">
        <v>1449</v>
      </c>
      <c r="AB22" s="34">
        <v>1340</v>
      </c>
    </row>
    <row r="23" spans="1:28" x14ac:dyDescent="0.25">
      <c r="A23" s="48" t="s">
        <v>46</v>
      </c>
      <c r="B23" s="31" t="s">
        <v>49</v>
      </c>
      <c r="C23" s="32">
        <v>44133</v>
      </c>
      <c r="D23" s="33"/>
      <c r="E23" s="33">
        <v>2</v>
      </c>
      <c r="F23" s="33"/>
      <c r="G23" s="33"/>
      <c r="H23" s="33"/>
      <c r="I23" s="33"/>
      <c r="J23" s="33"/>
      <c r="K23" s="33"/>
      <c r="L23" s="104"/>
      <c r="M23" s="104"/>
      <c r="N23" s="104"/>
      <c r="O23" s="33"/>
      <c r="P23" s="104"/>
      <c r="Q23" s="33">
        <v>995.03</v>
      </c>
      <c r="R23" s="33"/>
      <c r="S23" s="42">
        <v>18</v>
      </c>
      <c r="T23" s="42">
        <f t="shared" si="4"/>
        <v>688</v>
      </c>
      <c r="U23" s="42" t="s">
        <v>93</v>
      </c>
      <c r="V23" s="42">
        <v>976</v>
      </c>
      <c r="W23" s="33">
        <f t="shared" si="0"/>
        <v>0.29508196721311475</v>
      </c>
      <c r="X23" s="42">
        <v>688</v>
      </c>
      <c r="Y23" s="33">
        <v>495</v>
      </c>
      <c r="Z23" s="33">
        <v>1015</v>
      </c>
      <c r="AA23" s="33">
        <v>1415</v>
      </c>
      <c r="AB23" s="34">
        <v>1278</v>
      </c>
    </row>
    <row r="24" spans="1:28" x14ac:dyDescent="0.25">
      <c r="A24" s="48" t="s">
        <v>46</v>
      </c>
      <c r="B24" s="31" t="s">
        <v>49</v>
      </c>
      <c r="C24" s="32">
        <v>44133</v>
      </c>
      <c r="D24" s="33"/>
      <c r="E24" s="33">
        <v>3</v>
      </c>
      <c r="F24" s="33"/>
      <c r="G24" s="33"/>
      <c r="H24" s="33"/>
      <c r="I24" s="33"/>
      <c r="J24" s="33"/>
      <c r="K24" s="33"/>
      <c r="L24" s="104"/>
      <c r="M24" s="104"/>
      <c r="N24" s="104"/>
      <c r="O24" s="33"/>
      <c r="P24" s="104"/>
      <c r="Q24" s="33" t="s">
        <v>93</v>
      </c>
      <c r="R24" s="33"/>
      <c r="S24" s="42">
        <v>18</v>
      </c>
      <c r="T24" s="42">
        <f t="shared" si="4"/>
        <v>616</v>
      </c>
      <c r="U24" s="42" t="s">
        <v>93</v>
      </c>
      <c r="V24" s="42">
        <v>762</v>
      </c>
      <c r="W24" s="33">
        <f t="shared" si="0"/>
        <v>0.19160104986876642</v>
      </c>
      <c r="X24" s="42">
        <v>616</v>
      </c>
      <c r="Y24" s="33">
        <v>453</v>
      </c>
      <c r="Z24" s="33">
        <v>970</v>
      </c>
      <c r="AA24" s="33">
        <v>1390</v>
      </c>
      <c r="AB24" s="34">
        <v>1270</v>
      </c>
    </row>
    <row r="25" spans="1:28" x14ac:dyDescent="0.25">
      <c r="A25" s="48" t="s">
        <v>46</v>
      </c>
      <c r="B25" s="31" t="s">
        <v>49</v>
      </c>
      <c r="C25" s="32">
        <v>44133</v>
      </c>
      <c r="D25" s="33"/>
      <c r="E25" s="33">
        <v>4</v>
      </c>
      <c r="F25" s="33"/>
      <c r="G25" s="33"/>
      <c r="H25" s="33"/>
      <c r="I25" s="33"/>
      <c r="J25" s="33"/>
      <c r="K25" s="33"/>
      <c r="L25" s="104"/>
      <c r="M25" s="104"/>
      <c r="N25" s="104"/>
      <c r="O25" s="33"/>
      <c r="P25" s="104"/>
      <c r="Q25" s="33" t="s">
        <v>93</v>
      </c>
      <c r="R25" s="33"/>
      <c r="S25" s="42">
        <v>18</v>
      </c>
      <c r="T25" s="42">
        <f t="shared" si="4"/>
        <v>593</v>
      </c>
      <c r="U25" s="42" t="s">
        <v>93</v>
      </c>
      <c r="V25" s="42">
        <v>629</v>
      </c>
      <c r="W25" s="33">
        <f t="shared" si="0"/>
        <v>5.7233704292527825E-2</v>
      </c>
      <c r="X25" s="42">
        <v>593</v>
      </c>
      <c r="Y25" s="33">
        <v>435</v>
      </c>
      <c r="Z25" s="33">
        <v>975</v>
      </c>
      <c r="AA25" s="33">
        <v>1412</v>
      </c>
      <c r="AB25" s="34">
        <v>1286</v>
      </c>
    </row>
    <row r="26" spans="1:28" ht="15.75" thickBot="1" x14ac:dyDescent="0.3">
      <c r="A26" s="48" t="s">
        <v>46</v>
      </c>
      <c r="B26" s="31" t="s">
        <v>49</v>
      </c>
      <c r="C26" s="32">
        <v>44133</v>
      </c>
      <c r="D26" s="33"/>
      <c r="E26" s="33">
        <v>5</v>
      </c>
      <c r="F26" s="33"/>
      <c r="G26" s="33"/>
      <c r="H26" s="33"/>
      <c r="I26" s="33"/>
      <c r="J26" s="33"/>
      <c r="K26" s="33"/>
      <c r="L26" s="104"/>
      <c r="M26" s="104"/>
      <c r="N26" s="104"/>
      <c r="O26" s="33"/>
      <c r="P26" s="104"/>
      <c r="Q26" s="33" t="s">
        <v>93</v>
      </c>
      <c r="R26" s="33"/>
      <c r="S26" s="42">
        <v>18</v>
      </c>
      <c r="T26" s="42">
        <f t="shared" si="4"/>
        <v>550</v>
      </c>
      <c r="U26" s="45" t="s">
        <v>93</v>
      </c>
      <c r="V26" s="42">
        <v>576</v>
      </c>
      <c r="W26" s="33">
        <f t="shared" si="0"/>
        <v>4.5138888888888888E-2</v>
      </c>
      <c r="X26" s="42">
        <v>550</v>
      </c>
      <c r="Y26" s="33">
        <v>410</v>
      </c>
      <c r="Z26" s="33">
        <v>929</v>
      </c>
      <c r="AA26" s="33">
        <v>1356</v>
      </c>
      <c r="AB26" s="34">
        <v>1243</v>
      </c>
    </row>
    <row r="27" spans="1:28" x14ac:dyDescent="0.25">
      <c r="A27" s="47" t="s">
        <v>43</v>
      </c>
      <c r="B27" s="26" t="s">
        <v>49</v>
      </c>
      <c r="C27" s="27">
        <v>44133</v>
      </c>
      <c r="D27" s="29"/>
      <c r="E27" s="29" t="s">
        <v>96</v>
      </c>
      <c r="F27" s="29"/>
      <c r="G27" s="29"/>
      <c r="H27" s="29"/>
      <c r="I27" s="29"/>
      <c r="J27" s="29"/>
      <c r="K27" s="29"/>
      <c r="L27" s="103"/>
      <c r="M27" s="103"/>
      <c r="N27" s="103"/>
      <c r="O27" s="29"/>
      <c r="P27" s="103"/>
      <c r="Q27" s="29">
        <v>10</v>
      </c>
      <c r="R27" s="29"/>
      <c r="S27" s="44">
        <v>12</v>
      </c>
      <c r="T27" s="44">
        <f>X27</f>
        <v>1174</v>
      </c>
      <c r="U27" s="42" t="s">
        <v>93</v>
      </c>
      <c r="V27" s="44">
        <v>4301</v>
      </c>
      <c r="W27" s="29">
        <f t="shared" si="0"/>
        <v>0.72704022320390604</v>
      </c>
      <c r="X27" s="44">
        <v>1174</v>
      </c>
      <c r="Y27" s="44">
        <v>598</v>
      </c>
      <c r="Z27" s="44">
        <v>668</v>
      </c>
      <c r="AA27" s="44">
        <v>372</v>
      </c>
      <c r="AB27" s="56">
        <v>403</v>
      </c>
    </row>
    <row r="28" spans="1:28" x14ac:dyDescent="0.25">
      <c r="A28" s="48" t="s">
        <v>43</v>
      </c>
      <c r="B28" s="31" t="s">
        <v>49</v>
      </c>
      <c r="C28" s="32">
        <v>44133</v>
      </c>
      <c r="D28" s="33"/>
      <c r="E28" s="42">
        <v>0</v>
      </c>
      <c r="F28" s="33"/>
      <c r="G28" s="33"/>
      <c r="H28" s="33"/>
      <c r="I28" s="33"/>
      <c r="J28" s="33"/>
      <c r="K28" s="33"/>
      <c r="L28" s="104"/>
      <c r="M28" s="104"/>
      <c r="N28" s="104"/>
      <c r="O28" s="33"/>
      <c r="P28" s="104"/>
      <c r="Q28" s="33">
        <v>455.03</v>
      </c>
      <c r="R28" s="33"/>
      <c r="S28" s="42">
        <v>17</v>
      </c>
      <c r="T28" s="42">
        <f t="shared" ref="T28:T33" si="5">X28</f>
        <v>1277</v>
      </c>
      <c r="U28" s="42" t="s">
        <v>93</v>
      </c>
      <c r="V28" s="42">
        <v>3642</v>
      </c>
      <c r="W28" s="33">
        <f t="shared" si="0"/>
        <v>0.64936847885777049</v>
      </c>
      <c r="X28" s="42">
        <v>1277</v>
      </c>
      <c r="Y28" s="33">
        <v>732</v>
      </c>
      <c r="Z28" s="33">
        <v>1099</v>
      </c>
      <c r="AA28" s="33">
        <v>1142</v>
      </c>
      <c r="AB28" s="34">
        <v>1107</v>
      </c>
    </row>
    <row r="29" spans="1:28" x14ac:dyDescent="0.25">
      <c r="A29" s="48" t="s">
        <v>43</v>
      </c>
      <c r="B29" s="31" t="s">
        <v>49</v>
      </c>
      <c r="C29" s="32">
        <v>44133</v>
      </c>
      <c r="D29" s="33"/>
      <c r="E29" s="33">
        <v>1</v>
      </c>
      <c r="F29" s="33"/>
      <c r="G29" s="33"/>
      <c r="H29" s="33"/>
      <c r="I29" s="33"/>
      <c r="J29" s="33"/>
      <c r="K29" s="33"/>
      <c r="L29" s="104"/>
      <c r="M29" s="104"/>
      <c r="N29" s="104"/>
      <c r="O29" s="33"/>
      <c r="P29" s="104"/>
      <c r="Q29" s="33" t="s">
        <v>93</v>
      </c>
      <c r="R29" s="33"/>
      <c r="S29" s="42">
        <v>18</v>
      </c>
      <c r="T29" s="42">
        <f t="shared" si="5"/>
        <v>965</v>
      </c>
      <c r="U29" s="42" t="s">
        <v>93</v>
      </c>
      <c r="V29" s="42">
        <v>2058</v>
      </c>
      <c r="W29" s="33">
        <f t="shared" si="0"/>
        <v>0.53109815354713319</v>
      </c>
      <c r="X29" s="42">
        <v>965</v>
      </c>
      <c r="Y29" s="33">
        <v>613</v>
      </c>
      <c r="Z29" s="33">
        <v>1148</v>
      </c>
      <c r="AA29" s="33">
        <v>1451</v>
      </c>
      <c r="AB29" s="34">
        <v>1264</v>
      </c>
    </row>
    <row r="30" spans="1:28" x14ac:dyDescent="0.25">
      <c r="A30" s="48" t="s">
        <v>43</v>
      </c>
      <c r="B30" s="31" t="s">
        <v>49</v>
      </c>
      <c r="C30" s="32">
        <v>44133</v>
      </c>
      <c r="D30" s="33"/>
      <c r="E30" s="33">
        <v>2</v>
      </c>
      <c r="F30" s="33"/>
      <c r="G30" s="33"/>
      <c r="H30" s="33"/>
      <c r="I30" s="33"/>
      <c r="J30" s="33"/>
      <c r="K30" s="33"/>
      <c r="L30" s="104"/>
      <c r="M30" s="104"/>
      <c r="N30" s="104"/>
      <c r="O30" s="33"/>
      <c r="P30" s="104"/>
      <c r="Q30" s="33">
        <v>995.03</v>
      </c>
      <c r="R30" s="33"/>
      <c r="S30" s="42">
        <v>18</v>
      </c>
      <c r="T30" s="42">
        <f t="shared" si="5"/>
        <v>648</v>
      </c>
      <c r="U30" s="42" t="s">
        <v>93</v>
      </c>
      <c r="V30" s="42">
        <v>810</v>
      </c>
      <c r="W30" s="33">
        <f t="shared" si="0"/>
        <v>0.2</v>
      </c>
      <c r="X30" s="42">
        <v>648</v>
      </c>
      <c r="Y30" s="33">
        <v>468</v>
      </c>
      <c r="Z30" s="33">
        <v>998</v>
      </c>
      <c r="AA30" s="33">
        <v>1427</v>
      </c>
      <c r="AB30" s="34">
        <v>1356</v>
      </c>
    </row>
    <row r="31" spans="1:28" x14ac:dyDescent="0.25">
      <c r="A31" s="48" t="s">
        <v>43</v>
      </c>
      <c r="B31" s="31" t="s">
        <v>49</v>
      </c>
      <c r="C31" s="32">
        <v>44133</v>
      </c>
      <c r="D31" s="33"/>
      <c r="E31" s="33">
        <v>3</v>
      </c>
      <c r="F31" s="33"/>
      <c r="G31" s="33"/>
      <c r="H31" s="33"/>
      <c r="I31" s="33"/>
      <c r="J31" s="33"/>
      <c r="K31" s="33"/>
      <c r="L31" s="104"/>
      <c r="M31" s="104"/>
      <c r="N31" s="104"/>
      <c r="O31" s="33"/>
      <c r="P31" s="104"/>
      <c r="Q31" s="33" t="s">
        <v>93</v>
      </c>
      <c r="R31" s="33"/>
      <c r="S31" s="42">
        <v>18</v>
      </c>
      <c r="T31" s="42">
        <f t="shared" si="5"/>
        <v>579</v>
      </c>
      <c r="U31" s="42" t="s">
        <v>93</v>
      </c>
      <c r="V31" s="42">
        <v>659</v>
      </c>
      <c r="W31" s="33">
        <f t="shared" si="0"/>
        <v>0.12139605462822459</v>
      </c>
      <c r="X31" s="42">
        <v>579</v>
      </c>
      <c r="Y31" s="33">
        <v>421</v>
      </c>
      <c r="Z31" s="33">
        <v>948</v>
      </c>
      <c r="AA31" s="33">
        <v>1368</v>
      </c>
      <c r="AB31" s="34">
        <v>1261</v>
      </c>
    </row>
    <row r="32" spans="1:28" x14ac:dyDescent="0.25">
      <c r="A32" s="48" t="s">
        <v>43</v>
      </c>
      <c r="B32" s="31" t="s">
        <v>49</v>
      </c>
      <c r="C32" s="32">
        <v>44133</v>
      </c>
      <c r="D32" s="33"/>
      <c r="E32" s="33">
        <v>4</v>
      </c>
      <c r="F32" s="33"/>
      <c r="G32" s="33"/>
      <c r="H32" s="33"/>
      <c r="I32" s="33"/>
      <c r="J32" s="33"/>
      <c r="K32" s="33"/>
      <c r="L32" s="104"/>
      <c r="M32" s="104"/>
      <c r="N32" s="104"/>
      <c r="O32" s="33"/>
      <c r="P32" s="104"/>
      <c r="Q32" s="33" t="s">
        <v>93</v>
      </c>
      <c r="R32" s="33"/>
      <c r="S32" s="42">
        <v>18</v>
      </c>
      <c r="T32" s="42">
        <f t="shared" si="5"/>
        <v>583</v>
      </c>
      <c r="U32" s="42" t="s">
        <v>93</v>
      </c>
      <c r="V32" s="42">
        <v>618</v>
      </c>
      <c r="W32" s="33">
        <f t="shared" si="0"/>
        <v>5.6634304207119741E-2</v>
      </c>
      <c r="X32" s="42">
        <v>583</v>
      </c>
      <c r="Y32" s="33">
        <v>423</v>
      </c>
      <c r="Z32" s="33">
        <v>961</v>
      </c>
      <c r="AA32" s="33">
        <v>1393</v>
      </c>
      <c r="AB32" s="34">
        <v>1283</v>
      </c>
    </row>
    <row r="33" spans="1:28" ht="15.75" thickBot="1" x14ac:dyDescent="0.3">
      <c r="A33" s="49" t="s">
        <v>43</v>
      </c>
      <c r="B33" s="38" t="s">
        <v>49</v>
      </c>
      <c r="C33" s="37">
        <v>44133</v>
      </c>
      <c r="D33" s="38"/>
      <c r="E33" s="38">
        <v>5</v>
      </c>
      <c r="F33" s="38"/>
      <c r="G33" s="38"/>
      <c r="H33" s="38"/>
      <c r="I33" s="38"/>
      <c r="J33" s="38"/>
      <c r="K33" s="38"/>
      <c r="L33" s="105"/>
      <c r="M33" s="105"/>
      <c r="N33" s="105"/>
      <c r="O33" s="38"/>
      <c r="P33" s="105"/>
      <c r="Q33" s="38" t="s">
        <v>93</v>
      </c>
      <c r="R33" s="38"/>
      <c r="S33" s="45">
        <v>18</v>
      </c>
      <c r="T33" s="45">
        <f t="shared" si="5"/>
        <v>566</v>
      </c>
      <c r="U33" s="45" t="s">
        <v>93</v>
      </c>
      <c r="V33" s="45">
        <v>577</v>
      </c>
      <c r="W33" s="38">
        <f t="shared" si="0"/>
        <v>1.9064124783362217E-2</v>
      </c>
      <c r="X33" s="45">
        <v>566</v>
      </c>
      <c r="Y33" s="38">
        <v>418</v>
      </c>
      <c r="Z33" s="38">
        <v>971</v>
      </c>
      <c r="AA33" s="38">
        <v>1412</v>
      </c>
      <c r="AB33" s="39">
        <v>1267</v>
      </c>
    </row>
    <row r="34" spans="1:28" x14ac:dyDescent="0.25">
      <c r="A34" s="47" t="s">
        <v>44</v>
      </c>
      <c r="B34" s="26" t="s">
        <v>49</v>
      </c>
      <c r="C34" s="27">
        <v>44133</v>
      </c>
      <c r="D34" s="29"/>
      <c r="E34" s="29" t="s">
        <v>96</v>
      </c>
      <c r="F34" s="29"/>
      <c r="G34" s="29"/>
      <c r="H34" s="29"/>
      <c r="I34" s="29"/>
      <c r="J34" s="29"/>
      <c r="K34" s="29"/>
      <c r="L34" s="103"/>
      <c r="M34" s="103"/>
      <c r="N34" s="103"/>
      <c r="O34" s="29"/>
      <c r="P34" s="103"/>
      <c r="Q34" s="29">
        <v>11</v>
      </c>
      <c r="R34" s="29"/>
      <c r="S34" s="44">
        <v>12</v>
      </c>
      <c r="T34" s="44">
        <f>X34</f>
        <v>1363</v>
      </c>
      <c r="U34" s="42" t="s">
        <v>93</v>
      </c>
      <c r="V34" s="44">
        <v>4297</v>
      </c>
      <c r="W34" s="29">
        <f t="shared" si="0"/>
        <v>0.6828019548522225</v>
      </c>
      <c r="X34" s="44">
        <v>1363</v>
      </c>
      <c r="Y34" s="44">
        <v>731</v>
      </c>
      <c r="Z34" s="44">
        <v>776</v>
      </c>
      <c r="AA34" s="44">
        <v>424</v>
      </c>
      <c r="AB34" s="56">
        <v>414</v>
      </c>
    </row>
    <row r="35" spans="1:28" x14ac:dyDescent="0.25">
      <c r="A35" s="48" t="s">
        <v>44</v>
      </c>
      <c r="B35" s="31" t="s">
        <v>49</v>
      </c>
      <c r="C35" s="32">
        <v>44133</v>
      </c>
      <c r="D35" s="33"/>
      <c r="E35" s="33">
        <v>1</v>
      </c>
      <c r="F35" s="33"/>
      <c r="G35" s="33"/>
      <c r="H35" s="33"/>
      <c r="I35" s="33"/>
      <c r="J35" s="33"/>
      <c r="K35" s="33"/>
      <c r="L35" s="104"/>
      <c r="M35" s="104"/>
      <c r="N35" s="104"/>
      <c r="O35" s="33"/>
      <c r="P35" s="104"/>
      <c r="Q35" s="33" t="s">
        <v>93</v>
      </c>
      <c r="R35" s="33"/>
      <c r="S35" s="42">
        <v>18</v>
      </c>
      <c r="T35" s="42">
        <f t="shared" ref="T35:T39" si="6">X35</f>
        <v>1453</v>
      </c>
      <c r="U35" s="42" t="s">
        <v>93</v>
      </c>
      <c r="V35" s="42">
        <v>3484</v>
      </c>
      <c r="W35" s="33">
        <f t="shared" si="0"/>
        <v>0.58295063145809412</v>
      </c>
      <c r="X35" s="42">
        <v>1453</v>
      </c>
      <c r="Y35" s="33">
        <v>882</v>
      </c>
      <c r="Z35" s="33">
        <v>1380</v>
      </c>
      <c r="AA35" s="33">
        <v>1526</v>
      </c>
      <c r="AB35" s="34">
        <v>1446</v>
      </c>
    </row>
    <row r="36" spans="1:28" x14ac:dyDescent="0.25">
      <c r="A36" s="48" t="s">
        <v>44</v>
      </c>
      <c r="B36" s="31" t="s">
        <v>49</v>
      </c>
      <c r="C36" s="32">
        <v>44133</v>
      </c>
      <c r="D36" s="33"/>
      <c r="E36" s="33">
        <v>2</v>
      </c>
      <c r="F36" s="33"/>
      <c r="G36" s="33"/>
      <c r="H36" s="33"/>
      <c r="I36" s="33"/>
      <c r="J36" s="33"/>
      <c r="K36" s="33"/>
      <c r="L36" s="104"/>
      <c r="M36" s="104"/>
      <c r="N36" s="104"/>
      <c r="O36" s="33"/>
      <c r="P36" s="104"/>
      <c r="Q36" s="33">
        <v>995.03</v>
      </c>
      <c r="R36" s="33"/>
      <c r="S36" s="42">
        <v>18</v>
      </c>
      <c r="T36" s="42">
        <f t="shared" si="6"/>
        <v>721</v>
      </c>
      <c r="U36" s="42" t="s">
        <v>93</v>
      </c>
      <c r="V36" s="42">
        <v>1109</v>
      </c>
      <c r="W36" s="33">
        <f t="shared" si="0"/>
        <v>0.34986474301172227</v>
      </c>
      <c r="X36" s="42">
        <v>721</v>
      </c>
      <c r="Y36" s="33">
        <v>500</v>
      </c>
      <c r="Z36" s="33">
        <v>1030</v>
      </c>
      <c r="AA36" s="33">
        <v>1408</v>
      </c>
      <c r="AB36" s="34">
        <v>1268</v>
      </c>
    </row>
    <row r="37" spans="1:28" x14ac:dyDescent="0.25">
      <c r="A37" s="48" t="s">
        <v>44</v>
      </c>
      <c r="B37" s="31" t="s">
        <v>49</v>
      </c>
      <c r="C37" s="32">
        <v>44133</v>
      </c>
      <c r="D37" s="33"/>
      <c r="E37" s="33">
        <v>3</v>
      </c>
      <c r="F37" s="33"/>
      <c r="G37" s="33"/>
      <c r="H37" s="33"/>
      <c r="I37" s="33"/>
      <c r="J37" s="33"/>
      <c r="K37" s="33"/>
      <c r="L37" s="104"/>
      <c r="M37" s="104"/>
      <c r="N37" s="104"/>
      <c r="O37" s="33"/>
      <c r="P37" s="104"/>
      <c r="Q37" s="33" t="s">
        <v>93</v>
      </c>
      <c r="R37" s="33"/>
      <c r="S37" s="42">
        <v>18</v>
      </c>
      <c r="T37" s="42">
        <f t="shared" si="6"/>
        <v>623</v>
      </c>
      <c r="U37" s="42" t="s">
        <v>93</v>
      </c>
      <c r="V37" s="42">
        <v>753</v>
      </c>
      <c r="W37" s="33">
        <f t="shared" si="0"/>
        <v>0.17264276228419656</v>
      </c>
      <c r="X37" s="42">
        <v>623</v>
      </c>
      <c r="Y37" s="33">
        <v>447</v>
      </c>
      <c r="Z37" s="33">
        <v>1001</v>
      </c>
      <c r="AA37" s="33">
        <v>1433</v>
      </c>
      <c r="AB37" s="34">
        <v>1324</v>
      </c>
    </row>
    <row r="38" spans="1:28" x14ac:dyDescent="0.25">
      <c r="A38" s="48" t="s">
        <v>44</v>
      </c>
      <c r="B38" s="31" t="s">
        <v>49</v>
      </c>
      <c r="C38" s="32">
        <v>44133</v>
      </c>
      <c r="D38" s="33"/>
      <c r="E38" s="33">
        <v>4</v>
      </c>
      <c r="F38" s="33"/>
      <c r="G38" s="33"/>
      <c r="H38" s="33"/>
      <c r="I38" s="33"/>
      <c r="J38" s="33"/>
      <c r="K38" s="33"/>
      <c r="L38" s="104"/>
      <c r="M38" s="104"/>
      <c r="N38" s="104"/>
      <c r="O38" s="33"/>
      <c r="P38" s="104"/>
      <c r="Q38" s="33" t="s">
        <v>93</v>
      </c>
      <c r="R38" s="33"/>
      <c r="S38" s="42">
        <v>18</v>
      </c>
      <c r="T38" s="42">
        <f t="shared" si="6"/>
        <v>568</v>
      </c>
      <c r="U38" s="42" t="s">
        <v>93</v>
      </c>
      <c r="V38" s="42">
        <v>598</v>
      </c>
      <c r="W38" s="33">
        <f t="shared" si="0"/>
        <v>5.016722408026756E-2</v>
      </c>
      <c r="X38" s="42">
        <v>568</v>
      </c>
      <c r="Y38" s="33">
        <v>430</v>
      </c>
      <c r="Z38" s="33">
        <v>948</v>
      </c>
      <c r="AA38" s="33">
        <v>1379</v>
      </c>
      <c r="AB38" s="34">
        <v>1302</v>
      </c>
    </row>
    <row r="39" spans="1:28" ht="15.75" thickBot="1" x14ac:dyDescent="0.3">
      <c r="A39" s="49" t="s">
        <v>44</v>
      </c>
      <c r="B39" s="31" t="s">
        <v>49</v>
      </c>
      <c r="C39" s="37">
        <v>44133</v>
      </c>
      <c r="D39" s="38"/>
      <c r="E39" s="38">
        <v>5</v>
      </c>
      <c r="F39" s="38"/>
      <c r="G39" s="38"/>
      <c r="H39" s="38"/>
      <c r="I39" s="38"/>
      <c r="J39" s="38"/>
      <c r="K39" s="38"/>
      <c r="L39" s="105"/>
      <c r="M39" s="105"/>
      <c r="N39" s="105"/>
      <c r="O39" s="38"/>
      <c r="P39" s="105"/>
      <c r="Q39" s="38" t="s">
        <v>93</v>
      </c>
      <c r="R39" s="38"/>
      <c r="S39" s="45">
        <v>18</v>
      </c>
      <c r="T39" s="45">
        <f t="shared" si="6"/>
        <v>556</v>
      </c>
      <c r="U39" s="45" t="s">
        <v>93</v>
      </c>
      <c r="V39" s="45">
        <v>565</v>
      </c>
      <c r="W39" s="38">
        <f t="shared" si="0"/>
        <v>1.5929203539823009E-2</v>
      </c>
      <c r="X39" s="45">
        <v>556</v>
      </c>
      <c r="Y39" s="38">
        <v>417</v>
      </c>
      <c r="Z39" s="38">
        <v>937</v>
      </c>
      <c r="AA39" s="38">
        <v>1361</v>
      </c>
      <c r="AB39" s="39">
        <v>1273</v>
      </c>
    </row>
    <row r="40" spans="1:28" x14ac:dyDescent="0.25">
      <c r="A40" s="47" t="s">
        <v>37</v>
      </c>
      <c r="B40" s="26" t="s">
        <v>49</v>
      </c>
      <c r="C40" s="27">
        <v>44133</v>
      </c>
      <c r="D40" s="29"/>
      <c r="E40" s="29" t="s">
        <v>96</v>
      </c>
      <c r="F40" s="29"/>
      <c r="G40" s="29"/>
      <c r="H40" s="29"/>
      <c r="I40" s="29"/>
      <c r="J40" s="29"/>
      <c r="K40" s="29"/>
      <c r="L40" s="103"/>
      <c r="M40" s="103"/>
      <c r="N40" s="103"/>
      <c r="O40" s="29"/>
      <c r="P40" s="103"/>
      <c r="Q40" s="29">
        <v>20</v>
      </c>
      <c r="R40" s="29"/>
      <c r="S40" s="44">
        <v>15</v>
      </c>
      <c r="T40" s="44">
        <f>X40</f>
        <v>1168</v>
      </c>
      <c r="U40" s="42" t="s">
        <v>93</v>
      </c>
      <c r="V40" s="44">
        <v>4219</v>
      </c>
      <c r="W40" s="29">
        <f t="shared" si="0"/>
        <v>0.72315714624318561</v>
      </c>
      <c r="X40" s="44">
        <v>1168</v>
      </c>
      <c r="Y40" s="44">
        <v>364</v>
      </c>
      <c r="Z40" s="44">
        <v>354</v>
      </c>
      <c r="AA40" s="44">
        <v>520</v>
      </c>
      <c r="AB40" s="56">
        <v>527</v>
      </c>
    </row>
    <row r="41" spans="1:28" x14ac:dyDescent="0.25">
      <c r="A41" s="48" t="s">
        <v>37</v>
      </c>
      <c r="B41" s="31" t="s">
        <v>49</v>
      </c>
      <c r="C41" s="32">
        <v>44133</v>
      </c>
      <c r="D41" s="33"/>
      <c r="E41" s="33">
        <v>0</v>
      </c>
      <c r="F41" s="33"/>
      <c r="G41" s="33"/>
      <c r="H41" s="33"/>
      <c r="I41" s="33"/>
      <c r="J41" s="33"/>
      <c r="K41" s="33"/>
      <c r="L41" s="104"/>
      <c r="M41" s="104"/>
      <c r="N41" s="104"/>
      <c r="O41" s="33"/>
      <c r="P41" s="104"/>
      <c r="Q41" s="50" t="s">
        <v>93</v>
      </c>
      <c r="R41" s="33"/>
      <c r="S41" s="42">
        <v>18</v>
      </c>
      <c r="T41" s="42">
        <f t="shared" ref="T41:T45" si="7">X41</f>
        <v>1083</v>
      </c>
      <c r="U41" s="42" t="s">
        <v>93</v>
      </c>
      <c r="V41" s="42">
        <v>2737</v>
      </c>
      <c r="W41" s="33">
        <f t="shared" si="0"/>
        <v>0.60431128973328463</v>
      </c>
      <c r="X41" s="42">
        <v>1083</v>
      </c>
      <c r="Y41" s="33">
        <v>552</v>
      </c>
      <c r="Z41" s="33">
        <v>1001</v>
      </c>
      <c r="AA41" s="33">
        <v>1458</v>
      </c>
      <c r="AB41" s="34">
        <v>1368</v>
      </c>
    </row>
    <row r="42" spans="1:28" x14ac:dyDescent="0.25">
      <c r="A42" s="48" t="s">
        <v>37</v>
      </c>
      <c r="B42" s="31" t="s">
        <v>49</v>
      </c>
      <c r="C42" s="32">
        <v>44133</v>
      </c>
      <c r="D42" s="33"/>
      <c r="E42" s="33" t="s">
        <v>105</v>
      </c>
      <c r="F42" s="33"/>
      <c r="G42" s="33"/>
      <c r="H42" s="33"/>
      <c r="I42" s="33"/>
      <c r="J42" s="33"/>
      <c r="K42" s="33"/>
      <c r="L42" s="104"/>
      <c r="M42" s="104"/>
      <c r="N42" s="104"/>
      <c r="O42" s="33"/>
      <c r="P42" s="104"/>
      <c r="Q42" s="50" t="s">
        <v>93</v>
      </c>
      <c r="R42" s="33"/>
      <c r="S42" s="42">
        <v>18</v>
      </c>
      <c r="T42" s="42">
        <f t="shared" si="7"/>
        <v>872</v>
      </c>
      <c r="U42" s="42" t="s">
        <v>93</v>
      </c>
      <c r="V42" s="42">
        <v>2002</v>
      </c>
      <c r="W42" s="33">
        <f t="shared" si="0"/>
        <v>0.56443556443556442</v>
      </c>
      <c r="X42" s="42">
        <v>872</v>
      </c>
      <c r="Y42" s="33">
        <v>478</v>
      </c>
      <c r="Z42" s="33">
        <v>918</v>
      </c>
      <c r="AA42" s="33">
        <v>1336</v>
      </c>
      <c r="AB42" s="34">
        <v>1186</v>
      </c>
    </row>
    <row r="43" spans="1:28" x14ac:dyDescent="0.25">
      <c r="A43" s="48" t="s">
        <v>37</v>
      </c>
      <c r="B43" s="31" t="s">
        <v>49</v>
      </c>
      <c r="C43" s="32">
        <v>44133</v>
      </c>
      <c r="D43" s="33"/>
      <c r="E43" s="33">
        <v>1</v>
      </c>
      <c r="F43" s="33"/>
      <c r="G43" s="33"/>
      <c r="H43" s="33"/>
      <c r="I43" s="33"/>
      <c r="J43" s="33"/>
      <c r="K43" s="33"/>
      <c r="L43" s="104"/>
      <c r="M43" s="104"/>
      <c r="N43" s="104"/>
      <c r="O43" s="33"/>
      <c r="P43" s="104"/>
      <c r="Q43" s="50" t="s">
        <v>93</v>
      </c>
      <c r="R43" s="33"/>
      <c r="S43" s="42">
        <v>18</v>
      </c>
      <c r="T43" s="42">
        <f t="shared" si="7"/>
        <v>611</v>
      </c>
      <c r="U43" s="42" t="s">
        <v>93</v>
      </c>
      <c r="V43" s="42">
        <v>834</v>
      </c>
      <c r="W43" s="33">
        <f t="shared" si="0"/>
        <v>0.26738609112709832</v>
      </c>
      <c r="X43" s="42">
        <v>611</v>
      </c>
      <c r="Y43" s="33">
        <v>423</v>
      </c>
      <c r="Z43" s="33">
        <v>927</v>
      </c>
      <c r="AA43" s="33">
        <v>1350</v>
      </c>
      <c r="AB43" s="34">
        <v>1325</v>
      </c>
    </row>
    <row r="44" spans="1:28" x14ac:dyDescent="0.25">
      <c r="A44" s="48" t="s">
        <v>37</v>
      </c>
      <c r="B44" s="31" t="s">
        <v>49</v>
      </c>
      <c r="C44" s="32">
        <v>44133</v>
      </c>
      <c r="D44" s="33"/>
      <c r="E44" s="33">
        <v>2</v>
      </c>
      <c r="F44" s="33"/>
      <c r="G44" s="33"/>
      <c r="H44" s="33"/>
      <c r="I44" s="33"/>
      <c r="J44" s="33"/>
      <c r="K44" s="33"/>
      <c r="L44" s="104"/>
      <c r="M44" s="104"/>
      <c r="N44" s="104"/>
      <c r="O44" s="33"/>
      <c r="P44" s="104"/>
      <c r="Q44" s="50" t="s">
        <v>93</v>
      </c>
      <c r="R44" s="33"/>
      <c r="S44" s="42">
        <v>18</v>
      </c>
      <c r="T44" s="42">
        <f t="shared" si="7"/>
        <v>579</v>
      </c>
      <c r="U44" s="42" t="s">
        <v>93</v>
      </c>
      <c r="V44" s="42">
        <v>610</v>
      </c>
      <c r="W44" s="33">
        <f t="shared" si="0"/>
        <v>5.0819672131147541E-2</v>
      </c>
      <c r="X44" s="42">
        <v>579</v>
      </c>
      <c r="Y44" s="33">
        <v>431</v>
      </c>
      <c r="Z44" s="33">
        <v>964</v>
      </c>
      <c r="AA44" s="33">
        <v>1404</v>
      </c>
      <c r="AB44" s="34">
        <v>1277</v>
      </c>
    </row>
    <row r="45" spans="1:28" ht="15.75" thickBot="1" x14ac:dyDescent="0.3">
      <c r="A45" s="49" t="s">
        <v>37</v>
      </c>
      <c r="B45" s="31" t="s">
        <v>49</v>
      </c>
      <c r="C45" s="37">
        <v>44133</v>
      </c>
      <c r="D45" s="38"/>
      <c r="E45" s="38">
        <v>3</v>
      </c>
      <c r="F45" s="38"/>
      <c r="G45" s="38"/>
      <c r="H45" s="38"/>
      <c r="I45" s="38"/>
      <c r="J45" s="38"/>
      <c r="K45" s="38"/>
      <c r="L45" s="105"/>
      <c r="M45" s="105"/>
      <c r="N45" s="105"/>
      <c r="O45" s="38"/>
      <c r="P45" s="105"/>
      <c r="Q45" s="51" t="s">
        <v>93</v>
      </c>
      <c r="R45" s="38"/>
      <c r="S45" s="45">
        <v>18</v>
      </c>
      <c r="T45" s="45">
        <f t="shared" si="7"/>
        <v>560</v>
      </c>
      <c r="U45" s="45" t="s">
        <v>93</v>
      </c>
      <c r="V45" s="45">
        <v>563</v>
      </c>
      <c r="W45" s="38">
        <f t="shared" si="0"/>
        <v>5.3285968028419185E-3</v>
      </c>
      <c r="X45" s="45">
        <v>560</v>
      </c>
      <c r="Y45" s="38">
        <v>418</v>
      </c>
      <c r="Z45" s="38">
        <v>957</v>
      </c>
      <c r="AA45" s="38">
        <v>1386</v>
      </c>
      <c r="AB45" s="39">
        <v>1268</v>
      </c>
    </row>
    <row r="46" spans="1:28" x14ac:dyDescent="0.25">
      <c r="A46" s="47" t="s">
        <v>48</v>
      </c>
      <c r="B46" s="26" t="s">
        <v>49</v>
      </c>
      <c r="C46" s="27">
        <v>44133</v>
      </c>
      <c r="D46" s="29"/>
      <c r="E46" s="29" t="s">
        <v>96</v>
      </c>
      <c r="F46" s="29"/>
      <c r="G46" s="29"/>
      <c r="H46" s="29"/>
      <c r="I46" s="29"/>
      <c r="J46" s="29"/>
      <c r="K46" s="29"/>
      <c r="L46" s="103"/>
      <c r="M46" s="103"/>
      <c r="N46" s="103"/>
      <c r="O46" s="29"/>
      <c r="P46" s="103"/>
      <c r="Q46" s="29">
        <v>30</v>
      </c>
      <c r="R46" s="29"/>
      <c r="S46" s="44">
        <v>15</v>
      </c>
      <c r="T46" s="44">
        <f>X46</f>
        <v>722</v>
      </c>
      <c r="U46" s="42" t="s">
        <v>93</v>
      </c>
      <c r="V46" s="44">
        <v>3084</v>
      </c>
      <c r="W46" s="29">
        <f t="shared" si="0"/>
        <v>0.7658884565499352</v>
      </c>
      <c r="X46" s="44">
        <v>722</v>
      </c>
      <c r="Y46" s="44">
        <v>513</v>
      </c>
      <c r="Z46" s="44">
        <v>640</v>
      </c>
      <c r="AA46" s="44">
        <v>513</v>
      </c>
      <c r="AB46" s="56">
        <v>456</v>
      </c>
    </row>
    <row r="47" spans="1:28" x14ac:dyDescent="0.25">
      <c r="A47" s="48" t="s">
        <v>48</v>
      </c>
      <c r="B47" s="31" t="s">
        <v>49</v>
      </c>
      <c r="C47" s="32">
        <v>44133</v>
      </c>
      <c r="D47" s="33"/>
      <c r="E47" s="33">
        <v>1</v>
      </c>
      <c r="F47" s="33"/>
      <c r="G47" s="33"/>
      <c r="H47" s="33"/>
      <c r="I47" s="33"/>
      <c r="J47" s="33"/>
      <c r="K47" s="33"/>
      <c r="L47" s="104"/>
      <c r="M47" s="104"/>
      <c r="N47" s="104"/>
      <c r="O47" s="33"/>
      <c r="P47" s="104"/>
      <c r="Q47" s="33" t="s">
        <v>93</v>
      </c>
      <c r="R47" s="33"/>
      <c r="S47" s="42">
        <v>18</v>
      </c>
      <c r="T47" s="42">
        <f t="shared" ref="T47:T51" si="8">X47</f>
        <v>837</v>
      </c>
      <c r="U47" s="42" t="s">
        <v>93</v>
      </c>
      <c r="V47" s="42">
        <v>1356</v>
      </c>
      <c r="W47" s="33">
        <f t="shared" si="0"/>
        <v>0.38274336283185839</v>
      </c>
      <c r="X47" s="42">
        <v>837</v>
      </c>
      <c r="Y47" s="33">
        <v>616</v>
      </c>
      <c r="Z47" s="33">
        <v>1150</v>
      </c>
      <c r="AA47" s="33">
        <v>1482</v>
      </c>
      <c r="AB47" s="34">
        <v>1362</v>
      </c>
    </row>
    <row r="48" spans="1:28" x14ac:dyDescent="0.25">
      <c r="A48" s="48" t="s">
        <v>48</v>
      </c>
      <c r="B48" s="31" t="s">
        <v>49</v>
      </c>
      <c r="C48" s="32">
        <v>44133</v>
      </c>
      <c r="D48" s="33"/>
      <c r="E48" s="33">
        <v>2</v>
      </c>
      <c r="F48" s="33"/>
      <c r="G48" s="33"/>
      <c r="H48" s="33"/>
      <c r="I48" s="33"/>
      <c r="J48" s="33"/>
      <c r="K48" s="33"/>
      <c r="L48" s="104"/>
      <c r="M48" s="104"/>
      <c r="N48" s="104"/>
      <c r="O48" s="33"/>
      <c r="P48" s="104"/>
      <c r="Q48" s="33">
        <v>995.03</v>
      </c>
      <c r="R48" s="33"/>
      <c r="S48" s="42">
        <v>18</v>
      </c>
      <c r="T48" s="42">
        <f t="shared" si="8"/>
        <v>614</v>
      </c>
      <c r="U48" s="42" t="s">
        <v>93</v>
      </c>
      <c r="V48" s="42">
        <v>840</v>
      </c>
      <c r="W48" s="33">
        <f t="shared" si="0"/>
        <v>0.26904761904761904</v>
      </c>
      <c r="X48" s="42">
        <v>614</v>
      </c>
      <c r="Y48" s="33">
        <v>459</v>
      </c>
      <c r="Z48" s="33">
        <v>969</v>
      </c>
      <c r="AA48" s="33">
        <v>1362</v>
      </c>
      <c r="AB48" s="34">
        <v>1226</v>
      </c>
    </row>
    <row r="49" spans="1:28" x14ac:dyDescent="0.25">
      <c r="A49" s="48" t="s">
        <v>48</v>
      </c>
      <c r="B49" s="31" t="s">
        <v>49</v>
      </c>
      <c r="C49" s="32">
        <v>44133</v>
      </c>
      <c r="D49" s="33"/>
      <c r="E49" s="33">
        <v>3</v>
      </c>
      <c r="F49" s="33"/>
      <c r="G49" s="33"/>
      <c r="H49" s="33"/>
      <c r="I49" s="33"/>
      <c r="J49" s="33"/>
      <c r="K49" s="33"/>
      <c r="L49" s="104"/>
      <c r="M49" s="104"/>
      <c r="N49" s="104"/>
      <c r="O49" s="33"/>
      <c r="P49" s="104"/>
      <c r="Q49" s="33" t="s">
        <v>93</v>
      </c>
      <c r="R49" s="33"/>
      <c r="S49" s="42">
        <v>18</v>
      </c>
      <c r="T49" s="42">
        <f t="shared" si="8"/>
        <v>559</v>
      </c>
      <c r="U49" s="42" t="s">
        <v>93</v>
      </c>
      <c r="V49" s="42">
        <v>640</v>
      </c>
      <c r="W49" s="33">
        <f t="shared" si="0"/>
        <v>0.12656249999999999</v>
      </c>
      <c r="X49" s="42">
        <v>559</v>
      </c>
      <c r="Y49" s="33">
        <v>420</v>
      </c>
      <c r="Z49" s="33">
        <v>944</v>
      </c>
      <c r="AA49" s="33">
        <v>1357</v>
      </c>
      <c r="AB49" s="34">
        <v>1232</v>
      </c>
    </row>
    <row r="50" spans="1:28" x14ac:dyDescent="0.25">
      <c r="A50" s="48" t="s">
        <v>48</v>
      </c>
      <c r="B50" s="31" t="s">
        <v>49</v>
      </c>
      <c r="C50" s="32">
        <v>44133</v>
      </c>
      <c r="D50" s="33"/>
      <c r="E50" s="33">
        <v>4</v>
      </c>
      <c r="F50" s="33"/>
      <c r="G50" s="33"/>
      <c r="H50" s="33"/>
      <c r="I50" s="33"/>
      <c r="J50" s="33"/>
      <c r="K50" s="33"/>
      <c r="L50" s="104"/>
      <c r="M50" s="104"/>
      <c r="N50" s="104"/>
      <c r="O50" s="33"/>
      <c r="P50" s="104"/>
      <c r="Q50" s="33" t="s">
        <v>93</v>
      </c>
      <c r="R50" s="33"/>
      <c r="S50" s="42">
        <v>18</v>
      </c>
      <c r="T50" s="42">
        <f t="shared" si="8"/>
        <v>556</v>
      </c>
      <c r="U50" s="42" t="s">
        <v>93</v>
      </c>
      <c r="V50" s="42">
        <v>579</v>
      </c>
      <c r="W50" s="33">
        <f t="shared" si="0"/>
        <v>3.9723661485319514E-2</v>
      </c>
      <c r="X50" s="42">
        <v>556</v>
      </c>
      <c r="Y50" s="33">
        <v>418</v>
      </c>
      <c r="Z50" s="33">
        <v>934</v>
      </c>
      <c r="AA50" s="33">
        <v>1357</v>
      </c>
      <c r="AB50" s="34">
        <v>1230</v>
      </c>
    </row>
    <row r="51" spans="1:28" ht="15.75" thickBot="1" x14ac:dyDescent="0.3">
      <c r="A51" s="49" t="s">
        <v>48</v>
      </c>
      <c r="B51" s="36" t="s">
        <v>49</v>
      </c>
      <c r="C51" s="37">
        <v>44133</v>
      </c>
      <c r="D51" s="38"/>
      <c r="E51" s="38">
        <v>5</v>
      </c>
      <c r="F51" s="38"/>
      <c r="G51" s="38"/>
      <c r="H51" s="38"/>
      <c r="I51" s="38"/>
      <c r="J51" s="38"/>
      <c r="K51" s="38"/>
      <c r="L51" s="105"/>
      <c r="M51" s="105"/>
      <c r="N51" s="105"/>
      <c r="O51" s="38"/>
      <c r="P51" s="105"/>
      <c r="Q51" s="38" t="s">
        <v>93</v>
      </c>
      <c r="R51" s="38"/>
      <c r="S51" s="45">
        <v>18</v>
      </c>
      <c r="T51" s="45">
        <f t="shared" si="8"/>
        <v>559</v>
      </c>
      <c r="U51" s="45" t="s">
        <v>93</v>
      </c>
      <c r="V51" s="45">
        <v>557</v>
      </c>
      <c r="W51" s="38">
        <f t="shared" si="0"/>
        <v>-3.5906642728904849E-3</v>
      </c>
      <c r="X51" s="45">
        <v>559</v>
      </c>
      <c r="Y51" s="38">
        <v>419</v>
      </c>
      <c r="Z51" s="38">
        <v>941</v>
      </c>
      <c r="AA51" s="38">
        <v>1369</v>
      </c>
      <c r="AB51" s="39">
        <v>1293</v>
      </c>
    </row>
    <row r="52" spans="1:28" x14ac:dyDescent="0.25">
      <c r="A52" s="47" t="s">
        <v>41</v>
      </c>
      <c r="B52" s="26" t="s">
        <v>49</v>
      </c>
      <c r="C52" s="27">
        <v>44134</v>
      </c>
      <c r="D52" s="29"/>
      <c r="E52" s="29" t="s">
        <v>96</v>
      </c>
      <c r="F52" s="29"/>
      <c r="G52" s="29"/>
      <c r="H52" s="29"/>
      <c r="I52" s="29"/>
      <c r="J52" s="29"/>
      <c r="K52" s="29"/>
      <c r="L52" s="103"/>
      <c r="M52" s="103"/>
      <c r="N52" s="103"/>
      <c r="O52" s="29"/>
      <c r="P52" s="103"/>
      <c r="Q52" s="29">
        <v>11</v>
      </c>
      <c r="R52" s="29"/>
      <c r="S52" s="44">
        <v>13</v>
      </c>
      <c r="T52" s="44">
        <f>Z52</f>
        <v>1413</v>
      </c>
      <c r="U52" s="42" t="s">
        <v>93</v>
      </c>
      <c r="V52" s="44">
        <v>4094</v>
      </c>
      <c r="W52" s="29">
        <f t="shared" si="0"/>
        <v>0.65486077186126035</v>
      </c>
      <c r="X52" s="44">
        <v>383</v>
      </c>
      <c r="Y52" s="44">
        <v>533</v>
      </c>
      <c r="Z52" s="44">
        <v>1413</v>
      </c>
      <c r="AA52" s="44">
        <v>390</v>
      </c>
      <c r="AB52" s="56">
        <v>342</v>
      </c>
    </row>
    <row r="53" spans="1:28" x14ac:dyDescent="0.25">
      <c r="A53" s="48" t="s">
        <v>41</v>
      </c>
      <c r="B53" s="31" t="s">
        <v>49</v>
      </c>
      <c r="C53" s="32">
        <v>44134</v>
      </c>
      <c r="D53" s="33"/>
      <c r="E53" s="33">
        <v>1</v>
      </c>
      <c r="F53" s="33"/>
      <c r="G53" s="33"/>
      <c r="H53" s="33"/>
      <c r="I53" s="33"/>
      <c r="J53" s="33"/>
      <c r="K53" s="33"/>
      <c r="L53" s="104"/>
      <c r="M53" s="104"/>
      <c r="N53" s="104"/>
      <c r="O53" s="33"/>
      <c r="P53" s="104"/>
      <c r="Q53" s="33" t="s">
        <v>93</v>
      </c>
      <c r="R53" s="33"/>
      <c r="S53" s="42">
        <v>17</v>
      </c>
      <c r="T53" s="42">
        <f t="shared" ref="T53:T57" si="9">Z53</f>
        <v>1106</v>
      </c>
      <c r="U53" s="42" t="s">
        <v>93</v>
      </c>
      <c r="V53" s="42">
        <v>2088</v>
      </c>
      <c r="W53" s="33">
        <f t="shared" si="0"/>
        <v>0.47030651340996171</v>
      </c>
      <c r="X53" s="42">
        <v>480</v>
      </c>
      <c r="Y53" s="33">
        <v>454</v>
      </c>
      <c r="Z53" s="33">
        <v>1106</v>
      </c>
      <c r="AA53" s="33">
        <v>984</v>
      </c>
      <c r="AB53" s="34">
        <v>905</v>
      </c>
    </row>
    <row r="54" spans="1:28" x14ac:dyDescent="0.25">
      <c r="A54" s="48" t="s">
        <v>41</v>
      </c>
      <c r="B54" s="31" t="s">
        <v>49</v>
      </c>
      <c r="C54" s="32">
        <v>44134</v>
      </c>
      <c r="D54" s="33"/>
      <c r="E54" s="33">
        <v>2</v>
      </c>
      <c r="F54" s="33"/>
      <c r="G54" s="33"/>
      <c r="H54" s="33"/>
      <c r="I54" s="33"/>
      <c r="J54" s="33"/>
      <c r="K54" s="33"/>
      <c r="L54" s="104"/>
      <c r="M54" s="104"/>
      <c r="N54" s="104"/>
      <c r="O54" s="33"/>
      <c r="P54" s="104"/>
      <c r="Q54" s="33">
        <v>995.03</v>
      </c>
      <c r="R54" s="33"/>
      <c r="S54" s="42">
        <v>18</v>
      </c>
      <c r="T54" s="42">
        <f t="shared" si="9"/>
        <v>1079</v>
      </c>
      <c r="U54" s="42" t="s">
        <v>93</v>
      </c>
      <c r="V54" s="42">
        <v>1412</v>
      </c>
      <c r="W54" s="33">
        <f t="shared" si="0"/>
        <v>0.2358356940509915</v>
      </c>
      <c r="X54" s="42">
        <v>569</v>
      </c>
      <c r="Y54" s="33">
        <v>462</v>
      </c>
      <c r="Z54" s="33">
        <v>1079</v>
      </c>
      <c r="AA54" s="33">
        <v>1376</v>
      </c>
      <c r="AB54" s="34">
        <v>1261</v>
      </c>
    </row>
    <row r="55" spans="1:28" x14ac:dyDescent="0.25">
      <c r="A55" s="48" t="s">
        <v>41</v>
      </c>
      <c r="B55" s="31" t="s">
        <v>49</v>
      </c>
      <c r="C55" s="32">
        <v>44134</v>
      </c>
      <c r="D55" s="33"/>
      <c r="E55" s="33">
        <v>3</v>
      </c>
      <c r="F55" s="33"/>
      <c r="G55" s="33"/>
      <c r="H55" s="33"/>
      <c r="I55" s="33"/>
      <c r="J55" s="33"/>
      <c r="K55" s="33"/>
      <c r="L55" s="104"/>
      <c r="M55" s="104"/>
      <c r="N55" s="104"/>
      <c r="O55" s="33"/>
      <c r="P55" s="104"/>
      <c r="Q55" s="33" t="s">
        <v>93</v>
      </c>
      <c r="R55" s="33"/>
      <c r="S55" s="42">
        <v>18</v>
      </c>
      <c r="T55" s="42">
        <f t="shared" si="9"/>
        <v>1000</v>
      </c>
      <c r="U55" s="42" t="s">
        <v>93</v>
      </c>
      <c r="V55" s="42">
        <v>1096</v>
      </c>
      <c r="W55" s="33">
        <f t="shared" si="0"/>
        <v>8.7591240875912413E-2</v>
      </c>
      <c r="X55" s="42">
        <v>565</v>
      </c>
      <c r="Y55" s="33">
        <v>431</v>
      </c>
      <c r="Z55" s="33">
        <v>1000</v>
      </c>
      <c r="AA55" s="33">
        <v>1387</v>
      </c>
      <c r="AB55" s="34">
        <v>1255</v>
      </c>
    </row>
    <row r="56" spans="1:28" x14ac:dyDescent="0.25">
      <c r="A56" s="48" t="s">
        <v>41</v>
      </c>
      <c r="B56" s="31" t="s">
        <v>49</v>
      </c>
      <c r="C56" s="32">
        <v>44134</v>
      </c>
      <c r="D56" s="33"/>
      <c r="E56" s="33">
        <v>4</v>
      </c>
      <c r="F56" s="33"/>
      <c r="G56" s="33"/>
      <c r="H56" s="33"/>
      <c r="I56" s="33"/>
      <c r="J56" s="33"/>
      <c r="K56" s="33"/>
      <c r="L56" s="104"/>
      <c r="M56" s="104"/>
      <c r="N56" s="104"/>
      <c r="O56" s="33"/>
      <c r="P56" s="104"/>
      <c r="Q56" s="33" t="s">
        <v>93</v>
      </c>
      <c r="R56" s="33"/>
      <c r="S56" s="42">
        <v>18</v>
      </c>
      <c r="T56" s="42">
        <f t="shared" si="9"/>
        <v>957</v>
      </c>
      <c r="U56" s="42" t="s">
        <v>93</v>
      </c>
      <c r="V56" s="42">
        <v>981</v>
      </c>
      <c r="W56" s="33">
        <f t="shared" si="0"/>
        <v>2.4464831804281346E-2</v>
      </c>
      <c r="X56" s="42">
        <v>550</v>
      </c>
      <c r="Y56" s="33">
        <v>423</v>
      </c>
      <c r="Z56" s="33">
        <v>957</v>
      </c>
      <c r="AA56" s="33">
        <v>1387</v>
      </c>
      <c r="AB56" s="34">
        <v>1235</v>
      </c>
    </row>
    <row r="57" spans="1:28" ht="15.75" thickBot="1" x14ac:dyDescent="0.3">
      <c r="A57" s="49" t="s">
        <v>41</v>
      </c>
      <c r="B57" s="36" t="s">
        <v>49</v>
      </c>
      <c r="C57" s="37">
        <v>44134</v>
      </c>
      <c r="D57" s="38"/>
      <c r="E57" s="38">
        <v>5</v>
      </c>
      <c r="F57" s="38"/>
      <c r="G57" s="38"/>
      <c r="H57" s="38"/>
      <c r="I57" s="38"/>
      <c r="J57" s="38"/>
      <c r="K57" s="38"/>
      <c r="L57" s="105"/>
      <c r="M57" s="105"/>
      <c r="N57" s="105"/>
      <c r="O57" s="38"/>
      <c r="P57" s="105"/>
      <c r="Q57" s="38" t="s">
        <v>93</v>
      </c>
      <c r="R57" s="38"/>
      <c r="S57" s="45">
        <v>18</v>
      </c>
      <c r="T57" s="45">
        <f t="shared" si="9"/>
        <v>956</v>
      </c>
      <c r="U57" s="45" t="s">
        <v>93</v>
      </c>
      <c r="V57" s="45">
        <v>946</v>
      </c>
      <c r="W57" s="38">
        <f t="shared" si="0"/>
        <v>-1.0570824524312896E-2</v>
      </c>
      <c r="X57" s="45">
        <v>562</v>
      </c>
      <c r="Y57" s="38">
        <v>421</v>
      </c>
      <c r="Z57" s="38">
        <v>956</v>
      </c>
      <c r="AA57" s="38">
        <v>1380</v>
      </c>
      <c r="AB57" s="39">
        <v>1253</v>
      </c>
    </row>
    <row r="58" spans="1:28" x14ac:dyDescent="0.25">
      <c r="A58" s="47" t="s">
        <v>40</v>
      </c>
      <c r="B58" s="54" t="s">
        <v>50</v>
      </c>
      <c r="C58" s="27">
        <v>44134</v>
      </c>
      <c r="D58" s="29"/>
      <c r="E58" s="29" t="s">
        <v>96</v>
      </c>
      <c r="F58" s="29"/>
      <c r="G58" s="29"/>
      <c r="H58" s="29"/>
      <c r="I58" s="29"/>
      <c r="J58" s="29"/>
      <c r="K58" s="29"/>
      <c r="L58" s="103"/>
      <c r="M58" s="103"/>
      <c r="N58" s="103"/>
      <c r="O58" s="29"/>
      <c r="P58" s="103"/>
      <c r="Q58" s="52"/>
      <c r="R58" s="29"/>
      <c r="S58" s="44">
        <v>15</v>
      </c>
      <c r="T58" s="44">
        <f>Z58</f>
        <v>1534</v>
      </c>
      <c r="U58" s="42" t="s">
        <v>93</v>
      </c>
      <c r="V58" s="44">
        <v>3656</v>
      </c>
      <c r="W58" s="29">
        <f t="shared" si="0"/>
        <v>0.58041575492341357</v>
      </c>
      <c r="X58" s="44">
        <v>601</v>
      </c>
      <c r="Y58" s="44">
        <v>897</v>
      </c>
      <c r="Z58" s="44">
        <v>1534</v>
      </c>
      <c r="AA58" s="44">
        <v>813</v>
      </c>
      <c r="AB58" s="56">
        <v>747</v>
      </c>
    </row>
    <row r="59" spans="1:28" x14ac:dyDescent="0.25">
      <c r="A59" s="48" t="s">
        <v>40</v>
      </c>
      <c r="B59" s="53" t="s">
        <v>50</v>
      </c>
      <c r="C59" s="32">
        <v>44134</v>
      </c>
      <c r="D59" s="33"/>
      <c r="E59" s="33">
        <v>1</v>
      </c>
      <c r="F59" s="33"/>
      <c r="G59" s="33"/>
      <c r="H59" s="33"/>
      <c r="I59" s="33"/>
      <c r="J59" s="33"/>
      <c r="K59" s="33"/>
      <c r="L59" s="104"/>
      <c r="M59" s="104"/>
      <c r="N59" s="104"/>
      <c r="O59" s="33"/>
      <c r="P59" s="104"/>
      <c r="Q59" s="33" t="s">
        <v>93</v>
      </c>
      <c r="R59" s="33"/>
      <c r="S59" s="42">
        <v>18</v>
      </c>
      <c r="T59" s="42">
        <f t="shared" ref="T59:T63" si="10">Z59</f>
        <v>1556</v>
      </c>
      <c r="U59" s="42" t="s">
        <v>93</v>
      </c>
      <c r="V59" s="42">
        <v>2665</v>
      </c>
      <c r="W59" s="33">
        <f t="shared" si="0"/>
        <v>0.41613508442776737</v>
      </c>
      <c r="X59" s="33">
        <v>755</v>
      </c>
      <c r="Y59" s="33">
        <v>798</v>
      </c>
      <c r="Z59" s="33">
        <v>1556</v>
      </c>
      <c r="AA59" s="33">
        <v>1540</v>
      </c>
      <c r="AB59" s="34">
        <v>1374</v>
      </c>
    </row>
    <row r="60" spans="1:28" x14ac:dyDescent="0.25">
      <c r="A60" s="48" t="s">
        <v>40</v>
      </c>
      <c r="B60" s="53" t="s">
        <v>50</v>
      </c>
      <c r="C60" s="32">
        <v>44134</v>
      </c>
      <c r="D60" s="33"/>
      <c r="E60" s="33">
        <v>2</v>
      </c>
      <c r="F60" s="33"/>
      <c r="G60" s="33"/>
      <c r="H60" s="33"/>
      <c r="I60" s="33"/>
      <c r="J60" s="33"/>
      <c r="K60" s="33"/>
      <c r="L60" s="104"/>
      <c r="M60" s="104"/>
      <c r="N60" s="104"/>
      <c r="O60" s="33"/>
      <c r="P60" s="104"/>
      <c r="Q60" s="33">
        <v>995.03</v>
      </c>
      <c r="R60" s="33"/>
      <c r="S60" s="42">
        <v>18</v>
      </c>
      <c r="T60" s="42">
        <f t="shared" si="10"/>
        <v>1094</v>
      </c>
      <c r="U60" s="42" t="s">
        <v>93</v>
      </c>
      <c r="V60" s="42">
        <v>1319</v>
      </c>
      <c r="W60" s="33">
        <f t="shared" si="0"/>
        <v>0.17058377558756635</v>
      </c>
      <c r="X60" s="33">
        <v>604</v>
      </c>
      <c r="Y60" s="33">
        <v>506</v>
      </c>
      <c r="Z60" s="33">
        <v>1094</v>
      </c>
      <c r="AA60" s="33">
        <v>1436</v>
      </c>
      <c r="AB60" s="34">
        <v>1299</v>
      </c>
    </row>
    <row r="61" spans="1:28" x14ac:dyDescent="0.25">
      <c r="A61" s="48" t="s">
        <v>40</v>
      </c>
      <c r="B61" s="53" t="s">
        <v>50</v>
      </c>
      <c r="C61" s="32">
        <v>44134</v>
      </c>
      <c r="D61" s="33"/>
      <c r="E61" s="33">
        <v>3</v>
      </c>
      <c r="F61" s="33"/>
      <c r="G61" s="33"/>
      <c r="H61" s="33"/>
      <c r="I61" s="33"/>
      <c r="J61" s="33"/>
      <c r="K61" s="33"/>
      <c r="L61" s="104"/>
      <c r="M61" s="104"/>
      <c r="N61" s="104"/>
      <c r="O61" s="33"/>
      <c r="P61" s="104"/>
      <c r="Q61" s="33" t="s">
        <v>93</v>
      </c>
      <c r="R61" s="33"/>
      <c r="S61" s="42">
        <v>18</v>
      </c>
      <c r="T61" s="42">
        <f t="shared" si="10"/>
        <v>983</v>
      </c>
      <c r="U61" s="42" t="s">
        <v>93</v>
      </c>
      <c r="V61" s="42">
        <v>1053</v>
      </c>
      <c r="W61" s="33">
        <f t="shared" si="0"/>
        <v>6.6476733143399816E-2</v>
      </c>
      <c r="X61" s="33">
        <v>561</v>
      </c>
      <c r="Y61" s="33">
        <v>433</v>
      </c>
      <c r="Z61" s="33">
        <v>983</v>
      </c>
      <c r="AA61" s="33">
        <v>1371</v>
      </c>
      <c r="AB61" s="34">
        <v>1221</v>
      </c>
    </row>
    <row r="62" spans="1:28" x14ac:dyDescent="0.25">
      <c r="A62" s="48" t="s">
        <v>40</v>
      </c>
      <c r="B62" s="53" t="s">
        <v>50</v>
      </c>
      <c r="C62" s="32">
        <v>44134</v>
      </c>
      <c r="D62" s="33"/>
      <c r="E62" s="33">
        <v>4</v>
      </c>
      <c r="F62" s="33"/>
      <c r="G62" s="33"/>
      <c r="H62" s="33"/>
      <c r="I62" s="33"/>
      <c r="J62" s="33"/>
      <c r="K62" s="33"/>
      <c r="L62" s="104"/>
      <c r="M62" s="104"/>
      <c r="N62" s="104"/>
      <c r="O62" s="33"/>
      <c r="P62" s="104"/>
      <c r="Q62" s="33" t="s">
        <v>93</v>
      </c>
      <c r="R62" s="33"/>
      <c r="S62" s="42">
        <v>18</v>
      </c>
      <c r="T62" s="42">
        <f t="shared" si="10"/>
        <v>975</v>
      </c>
      <c r="U62" s="42" t="s">
        <v>93</v>
      </c>
      <c r="V62" s="42">
        <v>564</v>
      </c>
      <c r="W62" s="33">
        <f t="shared" si="0"/>
        <v>-0.72872340425531912</v>
      </c>
      <c r="X62" s="33">
        <v>567</v>
      </c>
      <c r="Y62" s="33">
        <v>427</v>
      </c>
      <c r="Z62" s="33">
        <v>975</v>
      </c>
      <c r="AA62" s="33">
        <v>1387</v>
      </c>
      <c r="AB62" s="34">
        <v>1201</v>
      </c>
    </row>
    <row r="63" spans="1:28" ht="15.75" thickBot="1" x14ac:dyDescent="0.3">
      <c r="A63" s="49" t="s">
        <v>40</v>
      </c>
      <c r="B63" s="55" t="s">
        <v>50</v>
      </c>
      <c r="C63" s="37">
        <v>44134</v>
      </c>
      <c r="D63" s="38"/>
      <c r="E63" s="38">
        <v>5</v>
      </c>
      <c r="F63" s="38"/>
      <c r="G63" s="38"/>
      <c r="H63" s="38"/>
      <c r="I63" s="38"/>
      <c r="J63" s="38"/>
      <c r="K63" s="38"/>
      <c r="L63" s="105"/>
      <c r="M63" s="105"/>
      <c r="N63" s="105"/>
      <c r="O63" s="38"/>
      <c r="P63" s="105"/>
      <c r="Q63" s="38" t="s">
        <v>93</v>
      </c>
      <c r="R63" s="38"/>
      <c r="S63" s="45">
        <v>18</v>
      </c>
      <c r="T63" s="45">
        <f t="shared" si="10"/>
        <v>940</v>
      </c>
      <c r="U63" s="45" t="s">
        <v>93</v>
      </c>
      <c r="V63" s="45">
        <v>915</v>
      </c>
      <c r="W63" s="38">
        <f t="shared" si="0"/>
        <v>-2.7322404371584699E-2</v>
      </c>
      <c r="X63" s="38">
        <v>551</v>
      </c>
      <c r="Y63" s="38">
        <v>413</v>
      </c>
      <c r="Z63" s="38">
        <v>940</v>
      </c>
      <c r="AA63" s="38">
        <v>1359</v>
      </c>
      <c r="AB63" s="39">
        <v>1255</v>
      </c>
    </row>
    <row r="64" spans="1:28" x14ac:dyDescent="0.25">
      <c r="A64" s="47" t="s">
        <v>46</v>
      </c>
      <c r="B64" s="54" t="s">
        <v>50</v>
      </c>
      <c r="C64" s="27">
        <v>44134</v>
      </c>
      <c r="D64" s="29"/>
      <c r="E64" s="29" t="s">
        <v>96</v>
      </c>
      <c r="F64" s="29"/>
      <c r="G64" s="29"/>
      <c r="H64" s="29"/>
      <c r="I64" s="29"/>
      <c r="J64" s="29"/>
      <c r="K64" s="29"/>
      <c r="L64" s="103"/>
      <c r="M64" s="103"/>
      <c r="N64" s="103"/>
      <c r="O64" s="29"/>
      <c r="P64" s="103"/>
      <c r="Q64" s="29">
        <v>10</v>
      </c>
      <c r="R64" s="29"/>
      <c r="S64" s="44">
        <v>12</v>
      </c>
      <c r="T64" s="44">
        <f>X64</f>
        <v>1123</v>
      </c>
      <c r="U64" s="42" t="s">
        <v>93</v>
      </c>
      <c r="V64" s="44">
        <v>3494</v>
      </c>
      <c r="W64" s="29">
        <f t="shared" si="0"/>
        <v>0.67859187178019464</v>
      </c>
      <c r="X64" s="29">
        <v>1123</v>
      </c>
      <c r="Y64" s="44">
        <v>632</v>
      </c>
      <c r="Z64" s="44">
        <v>661</v>
      </c>
      <c r="AA64" s="44">
        <v>353</v>
      </c>
      <c r="AB64" s="56">
        <v>347</v>
      </c>
    </row>
    <row r="65" spans="1:28" x14ac:dyDescent="0.25">
      <c r="A65" s="48" t="s">
        <v>46</v>
      </c>
      <c r="B65" s="53" t="s">
        <v>50</v>
      </c>
      <c r="C65" s="32">
        <v>44134</v>
      </c>
      <c r="D65" s="33"/>
      <c r="E65" s="33">
        <v>1</v>
      </c>
      <c r="F65" s="33"/>
      <c r="G65" s="33"/>
      <c r="H65" s="33"/>
      <c r="I65" s="33"/>
      <c r="J65" s="33"/>
      <c r="K65" s="33"/>
      <c r="L65" s="104"/>
      <c r="M65" s="104"/>
      <c r="N65" s="104"/>
      <c r="O65" s="33"/>
      <c r="P65" s="104"/>
      <c r="Q65" s="33" t="s">
        <v>93</v>
      </c>
      <c r="R65" s="33"/>
      <c r="S65" s="42">
        <v>18</v>
      </c>
      <c r="T65" s="42">
        <f t="shared" ref="T65:T69" si="11">X65</f>
        <v>1328</v>
      </c>
      <c r="U65" s="42" t="s">
        <v>93</v>
      </c>
      <c r="V65" s="42">
        <v>3037</v>
      </c>
      <c r="W65" s="33">
        <f t="shared" si="0"/>
        <v>0.56272637471188669</v>
      </c>
      <c r="X65" s="33">
        <v>1328</v>
      </c>
      <c r="Y65" s="33">
        <v>838</v>
      </c>
      <c r="Z65" s="33">
        <v>1346</v>
      </c>
      <c r="AA65" s="33">
        <v>1517</v>
      </c>
      <c r="AB65" s="34">
        <v>1412</v>
      </c>
    </row>
    <row r="66" spans="1:28" x14ac:dyDescent="0.25">
      <c r="A66" s="48" t="s">
        <v>46</v>
      </c>
      <c r="B66" s="53" t="s">
        <v>50</v>
      </c>
      <c r="C66" s="32">
        <v>44134</v>
      </c>
      <c r="D66" s="33"/>
      <c r="E66" s="33">
        <v>2</v>
      </c>
      <c r="F66" s="33"/>
      <c r="G66" s="33"/>
      <c r="H66" s="33"/>
      <c r="I66" s="33"/>
      <c r="J66" s="33"/>
      <c r="K66" s="33"/>
      <c r="L66" s="104"/>
      <c r="M66" s="104"/>
      <c r="N66" s="104"/>
      <c r="O66" s="33"/>
      <c r="P66" s="104"/>
      <c r="Q66" s="33">
        <v>995.03</v>
      </c>
      <c r="R66" s="33"/>
      <c r="S66" s="42">
        <v>18</v>
      </c>
      <c r="T66" s="42">
        <f t="shared" si="11"/>
        <v>737</v>
      </c>
      <c r="U66" s="42" t="s">
        <v>93</v>
      </c>
      <c r="V66" s="42">
        <v>1215</v>
      </c>
      <c r="W66" s="33">
        <f t="shared" si="0"/>
        <v>0.39341563786008232</v>
      </c>
      <c r="X66" s="33">
        <v>737</v>
      </c>
      <c r="Y66" s="33">
        <v>514</v>
      </c>
      <c r="Z66" s="33">
        <v>1027</v>
      </c>
      <c r="AA66" s="33">
        <v>1376</v>
      </c>
      <c r="AB66" s="34">
        <v>1233</v>
      </c>
    </row>
    <row r="67" spans="1:28" x14ac:dyDescent="0.25">
      <c r="A67" s="48" t="s">
        <v>46</v>
      </c>
      <c r="B67" s="53" t="s">
        <v>50</v>
      </c>
      <c r="C67" s="32">
        <v>44134</v>
      </c>
      <c r="D67" s="33"/>
      <c r="E67" s="33">
        <v>3</v>
      </c>
      <c r="F67" s="33"/>
      <c r="G67" s="33"/>
      <c r="H67" s="33"/>
      <c r="I67" s="33"/>
      <c r="J67" s="33"/>
      <c r="K67" s="33"/>
      <c r="L67" s="104"/>
      <c r="M67" s="104"/>
      <c r="N67" s="104"/>
      <c r="O67" s="33"/>
      <c r="P67" s="104"/>
      <c r="Q67" s="33" t="s">
        <v>93</v>
      </c>
      <c r="R67" s="33"/>
      <c r="S67" s="42">
        <v>18</v>
      </c>
      <c r="T67" s="42">
        <f t="shared" si="11"/>
        <v>606</v>
      </c>
      <c r="U67" s="42" t="s">
        <v>93</v>
      </c>
      <c r="V67" s="42">
        <v>704</v>
      </c>
      <c r="W67" s="33">
        <f t="shared" si="0"/>
        <v>0.13920454545454544</v>
      </c>
      <c r="X67" s="33">
        <v>606</v>
      </c>
      <c r="Y67" s="33">
        <v>440</v>
      </c>
      <c r="Z67" s="33">
        <v>967</v>
      </c>
      <c r="AA67" s="33">
        <v>1366</v>
      </c>
      <c r="AB67" s="34">
        <v>1249</v>
      </c>
    </row>
    <row r="68" spans="1:28" x14ac:dyDescent="0.25">
      <c r="A68" s="48" t="s">
        <v>46</v>
      </c>
      <c r="B68" s="53" t="s">
        <v>50</v>
      </c>
      <c r="C68" s="32">
        <v>44134</v>
      </c>
      <c r="D68" s="33"/>
      <c r="E68" s="33">
        <v>4</v>
      </c>
      <c r="F68" s="33"/>
      <c r="G68" s="33"/>
      <c r="H68" s="33"/>
      <c r="I68" s="33"/>
      <c r="J68" s="33"/>
      <c r="K68" s="33"/>
      <c r="L68" s="104"/>
      <c r="M68" s="104"/>
      <c r="N68" s="104"/>
      <c r="O68" s="33"/>
      <c r="P68" s="104"/>
      <c r="Q68" s="33" t="s">
        <v>93</v>
      </c>
      <c r="R68" s="33"/>
      <c r="S68" s="42">
        <v>18</v>
      </c>
      <c r="T68" s="42">
        <f t="shared" si="11"/>
        <v>606</v>
      </c>
      <c r="U68" s="42" t="s">
        <v>93</v>
      </c>
      <c r="V68" s="42">
        <v>619</v>
      </c>
      <c r="W68" s="33">
        <f t="shared" ref="W68:W131" si="12">(V68-T68)/V68</f>
        <v>2.10016155088853E-2</v>
      </c>
      <c r="X68" s="33">
        <v>606</v>
      </c>
      <c r="Y68" s="33">
        <v>445</v>
      </c>
      <c r="Z68" s="33">
        <v>951</v>
      </c>
      <c r="AA68" s="33">
        <v>1351</v>
      </c>
      <c r="AB68" s="34">
        <v>1218</v>
      </c>
    </row>
    <row r="69" spans="1:28" ht="15.75" thickBot="1" x14ac:dyDescent="0.3">
      <c r="A69" s="49" t="s">
        <v>46</v>
      </c>
      <c r="B69" s="55" t="s">
        <v>50</v>
      </c>
      <c r="C69" s="37">
        <v>44134</v>
      </c>
      <c r="D69" s="38"/>
      <c r="E69" s="38">
        <v>5</v>
      </c>
      <c r="F69" s="38"/>
      <c r="G69" s="38"/>
      <c r="H69" s="38"/>
      <c r="I69" s="38"/>
      <c r="J69" s="38"/>
      <c r="K69" s="38"/>
      <c r="L69" s="105"/>
      <c r="M69" s="105"/>
      <c r="N69" s="105"/>
      <c r="O69" s="38"/>
      <c r="P69" s="105"/>
      <c r="Q69" s="38" t="s">
        <v>93</v>
      </c>
      <c r="R69" s="38"/>
      <c r="S69" s="45">
        <v>18</v>
      </c>
      <c r="T69" s="45">
        <f t="shared" si="11"/>
        <v>573</v>
      </c>
      <c r="U69" s="45" t="s">
        <v>93</v>
      </c>
      <c r="V69" s="45">
        <v>603</v>
      </c>
      <c r="W69" s="38">
        <f t="shared" si="12"/>
        <v>4.975124378109453E-2</v>
      </c>
      <c r="X69" s="38">
        <v>573</v>
      </c>
      <c r="Y69" s="38">
        <v>423</v>
      </c>
      <c r="Z69" s="38">
        <v>928</v>
      </c>
      <c r="AA69" s="38">
        <v>1336</v>
      </c>
      <c r="AB69" s="39">
        <v>1245</v>
      </c>
    </row>
    <row r="70" spans="1:28" x14ac:dyDescent="0.25">
      <c r="A70" s="47" t="s">
        <v>44</v>
      </c>
      <c r="B70" s="54" t="s">
        <v>50</v>
      </c>
      <c r="C70" s="27">
        <v>44134</v>
      </c>
      <c r="D70" s="29"/>
      <c r="E70" s="29" t="s">
        <v>96</v>
      </c>
      <c r="F70" s="29"/>
      <c r="G70" s="29"/>
      <c r="H70" s="29"/>
      <c r="I70" s="29"/>
      <c r="J70" s="29"/>
      <c r="K70" s="29"/>
      <c r="L70" s="103"/>
      <c r="M70" s="103"/>
      <c r="N70" s="103"/>
      <c r="O70" s="29"/>
      <c r="P70" s="103"/>
      <c r="Q70" s="29">
        <v>25</v>
      </c>
      <c r="R70" s="29"/>
      <c r="S70" s="44">
        <v>14</v>
      </c>
      <c r="T70" s="44">
        <f>X70</f>
        <v>1297</v>
      </c>
      <c r="U70" s="42" t="s">
        <v>93</v>
      </c>
      <c r="V70" s="44">
        <v>3777</v>
      </c>
      <c r="W70" s="29">
        <f t="shared" si="12"/>
        <v>0.65660577177654222</v>
      </c>
      <c r="X70" s="29">
        <v>1297</v>
      </c>
      <c r="Y70" s="44">
        <v>704</v>
      </c>
      <c r="Z70" s="44">
        <v>792</v>
      </c>
      <c r="AA70" s="44">
        <v>499</v>
      </c>
      <c r="AB70" s="56">
        <v>475</v>
      </c>
    </row>
    <row r="71" spans="1:28" x14ac:dyDescent="0.25">
      <c r="A71" s="48" t="s">
        <v>44</v>
      </c>
      <c r="B71" s="53" t="s">
        <v>50</v>
      </c>
      <c r="C71" s="32">
        <v>44134</v>
      </c>
      <c r="D71" s="33"/>
      <c r="E71" s="33">
        <v>1</v>
      </c>
      <c r="F71" s="33"/>
      <c r="G71" s="33"/>
      <c r="H71" s="33"/>
      <c r="I71" s="33"/>
      <c r="J71" s="33"/>
      <c r="K71" s="33"/>
      <c r="L71" s="104"/>
      <c r="M71" s="104"/>
      <c r="N71" s="104"/>
      <c r="O71" s="33"/>
      <c r="P71" s="104"/>
      <c r="Q71" s="33" t="s">
        <v>93</v>
      </c>
      <c r="R71" s="33"/>
      <c r="S71" s="42">
        <v>18</v>
      </c>
      <c r="T71" s="42">
        <f t="shared" ref="T71:T75" si="13">X71</f>
        <v>1290</v>
      </c>
      <c r="U71" s="42" t="s">
        <v>93</v>
      </c>
      <c r="V71" s="42">
        <v>2727</v>
      </c>
      <c r="W71" s="33">
        <f t="shared" si="12"/>
        <v>0.52695269526952693</v>
      </c>
      <c r="X71" s="33">
        <v>1290</v>
      </c>
      <c r="Y71" s="33">
        <v>795</v>
      </c>
      <c r="Z71" s="33">
        <v>1315</v>
      </c>
      <c r="AA71" s="33">
        <v>1508</v>
      </c>
      <c r="AB71" s="34">
        <v>1401</v>
      </c>
    </row>
    <row r="72" spans="1:28" x14ac:dyDescent="0.25">
      <c r="A72" s="48" t="s">
        <v>44</v>
      </c>
      <c r="B72" s="53" t="s">
        <v>50</v>
      </c>
      <c r="C72" s="32">
        <v>44134</v>
      </c>
      <c r="D72" s="33"/>
      <c r="E72" s="33">
        <v>2</v>
      </c>
      <c r="F72" s="33"/>
      <c r="G72" s="33"/>
      <c r="H72" s="33"/>
      <c r="I72" s="33"/>
      <c r="J72" s="33"/>
      <c r="K72" s="33"/>
      <c r="L72" s="104"/>
      <c r="M72" s="104"/>
      <c r="N72" s="104"/>
      <c r="O72" s="33"/>
      <c r="P72" s="104"/>
      <c r="Q72" s="33">
        <v>995.03</v>
      </c>
      <c r="R72" s="33"/>
      <c r="S72" s="42">
        <v>18</v>
      </c>
      <c r="T72" s="42">
        <f t="shared" si="13"/>
        <v>712</v>
      </c>
      <c r="U72" s="42" t="s">
        <v>93</v>
      </c>
      <c r="V72" s="42">
        <v>993</v>
      </c>
      <c r="W72" s="33">
        <f t="shared" si="12"/>
        <v>0.28298086606243705</v>
      </c>
      <c r="X72" s="33">
        <v>712</v>
      </c>
      <c r="Y72" s="33">
        <v>493</v>
      </c>
      <c r="Z72" s="33">
        <v>987</v>
      </c>
      <c r="AA72" s="33">
        <v>1343</v>
      </c>
      <c r="AB72" s="34">
        <v>1199</v>
      </c>
    </row>
    <row r="73" spans="1:28" x14ac:dyDescent="0.25">
      <c r="A73" s="48" t="s">
        <v>44</v>
      </c>
      <c r="B73" s="53" t="s">
        <v>50</v>
      </c>
      <c r="C73" s="32">
        <v>44134</v>
      </c>
      <c r="D73" s="33"/>
      <c r="E73" s="33">
        <v>3</v>
      </c>
      <c r="F73" s="33"/>
      <c r="G73" s="33"/>
      <c r="H73" s="33"/>
      <c r="I73" s="33"/>
      <c r="J73" s="33"/>
      <c r="K73" s="33"/>
      <c r="L73" s="104"/>
      <c r="M73" s="104"/>
      <c r="N73" s="104"/>
      <c r="O73" s="33"/>
      <c r="P73" s="104"/>
      <c r="Q73" s="33" t="s">
        <v>93</v>
      </c>
      <c r="R73" s="33"/>
      <c r="S73" s="42">
        <v>18</v>
      </c>
      <c r="T73" s="42">
        <f t="shared" si="13"/>
        <v>673</v>
      </c>
      <c r="U73" s="42" t="s">
        <v>93</v>
      </c>
      <c r="V73" s="42">
        <v>798</v>
      </c>
      <c r="W73" s="33">
        <f t="shared" si="12"/>
        <v>0.15664160401002505</v>
      </c>
      <c r="X73" s="33">
        <v>673</v>
      </c>
      <c r="Y73" s="33">
        <v>495</v>
      </c>
      <c r="Z73" s="33">
        <v>1010</v>
      </c>
      <c r="AA73" s="33">
        <v>1395</v>
      </c>
      <c r="AB73" s="34">
        <v>1257</v>
      </c>
    </row>
    <row r="74" spans="1:28" x14ac:dyDescent="0.25">
      <c r="A74" s="48" t="s">
        <v>44</v>
      </c>
      <c r="B74" s="53" t="s">
        <v>50</v>
      </c>
      <c r="C74" s="32">
        <v>44134</v>
      </c>
      <c r="D74" s="33"/>
      <c r="E74" s="33">
        <v>4</v>
      </c>
      <c r="F74" s="33"/>
      <c r="G74" s="33"/>
      <c r="H74" s="33"/>
      <c r="I74" s="33"/>
      <c r="J74" s="33"/>
      <c r="K74" s="33"/>
      <c r="L74" s="104"/>
      <c r="M74" s="104"/>
      <c r="N74" s="104"/>
      <c r="O74" s="33"/>
      <c r="P74" s="104"/>
      <c r="Q74" s="33" t="s">
        <v>93</v>
      </c>
      <c r="R74" s="33"/>
      <c r="S74" s="42">
        <v>18</v>
      </c>
      <c r="T74" s="42">
        <f t="shared" si="13"/>
        <v>604</v>
      </c>
      <c r="U74" s="42" t="s">
        <v>93</v>
      </c>
      <c r="V74" s="42">
        <v>667</v>
      </c>
      <c r="W74" s="33">
        <f t="shared" si="12"/>
        <v>9.4452773613193403E-2</v>
      </c>
      <c r="X74" s="33">
        <v>604</v>
      </c>
      <c r="Y74" s="33">
        <v>442</v>
      </c>
      <c r="Z74" s="33">
        <v>950</v>
      </c>
      <c r="AA74" s="33">
        <v>1342</v>
      </c>
      <c r="AB74" s="34">
        <v>1193</v>
      </c>
    </row>
    <row r="75" spans="1:28" ht="15.75" thickBot="1" x14ac:dyDescent="0.3">
      <c r="A75" s="49" t="s">
        <v>44</v>
      </c>
      <c r="B75" s="55" t="s">
        <v>50</v>
      </c>
      <c r="C75" s="37">
        <v>44134</v>
      </c>
      <c r="D75" s="38"/>
      <c r="E75" s="38">
        <v>5</v>
      </c>
      <c r="F75" s="38"/>
      <c r="G75" s="38"/>
      <c r="H75" s="38"/>
      <c r="I75" s="38"/>
      <c r="J75" s="38"/>
      <c r="K75" s="38"/>
      <c r="L75" s="105"/>
      <c r="M75" s="105"/>
      <c r="N75" s="105"/>
      <c r="O75" s="38"/>
      <c r="P75" s="105"/>
      <c r="Q75" s="38" t="s">
        <v>93</v>
      </c>
      <c r="R75" s="38"/>
      <c r="S75" s="45">
        <v>18</v>
      </c>
      <c r="T75" s="45">
        <f t="shared" si="13"/>
        <v>630</v>
      </c>
      <c r="U75" s="45" t="s">
        <v>93</v>
      </c>
      <c r="V75" s="45">
        <v>632</v>
      </c>
      <c r="W75" s="38">
        <f t="shared" si="12"/>
        <v>3.1645569620253164E-3</v>
      </c>
      <c r="X75" s="38">
        <v>630</v>
      </c>
      <c r="Y75" s="38">
        <v>465</v>
      </c>
      <c r="Z75" s="38">
        <v>994</v>
      </c>
      <c r="AA75" s="38">
        <v>1408</v>
      </c>
      <c r="AB75" s="39">
        <v>1261</v>
      </c>
    </row>
    <row r="76" spans="1:28" x14ac:dyDescent="0.25">
      <c r="A76" s="47" t="s">
        <v>43</v>
      </c>
      <c r="B76" s="54" t="s">
        <v>50</v>
      </c>
      <c r="C76" s="27">
        <v>44135</v>
      </c>
      <c r="D76" s="29"/>
      <c r="E76" s="29" t="s">
        <v>96</v>
      </c>
      <c r="F76" s="29"/>
      <c r="G76" s="29"/>
      <c r="H76" s="29"/>
      <c r="I76" s="29"/>
      <c r="J76" s="29"/>
      <c r="K76" s="29"/>
      <c r="L76" s="103"/>
      <c r="M76" s="103"/>
      <c r="N76" s="103"/>
      <c r="O76" s="29"/>
      <c r="P76" s="103"/>
      <c r="Q76" s="29">
        <v>10</v>
      </c>
      <c r="R76" s="29"/>
      <c r="S76" s="44">
        <v>12</v>
      </c>
      <c r="T76" s="44">
        <f>X76</f>
        <v>1308</v>
      </c>
      <c r="U76" s="42" t="s">
        <v>93</v>
      </c>
      <c r="V76" s="44">
        <v>4650</v>
      </c>
      <c r="W76" s="29">
        <f t="shared" si="12"/>
        <v>0.71870967741935488</v>
      </c>
      <c r="X76" s="29">
        <v>1308</v>
      </c>
      <c r="Y76" s="44">
        <v>673</v>
      </c>
      <c r="Z76" s="44">
        <v>753</v>
      </c>
      <c r="AA76" s="44">
        <v>443</v>
      </c>
      <c r="AB76" s="56">
        <v>475</v>
      </c>
    </row>
    <row r="77" spans="1:28" x14ac:dyDescent="0.25">
      <c r="A77" s="48" t="s">
        <v>43</v>
      </c>
      <c r="B77" s="53" t="s">
        <v>50</v>
      </c>
      <c r="C77" s="32">
        <v>44135</v>
      </c>
      <c r="D77" s="33"/>
      <c r="E77" s="42">
        <v>0</v>
      </c>
      <c r="F77" s="33"/>
      <c r="G77" s="33"/>
      <c r="H77" s="33"/>
      <c r="I77" s="33"/>
      <c r="J77" s="33"/>
      <c r="K77" s="33"/>
      <c r="L77" s="104"/>
      <c r="M77" s="104"/>
      <c r="N77" s="104"/>
      <c r="O77" s="33"/>
      <c r="P77" s="104"/>
      <c r="Q77" s="33">
        <v>500</v>
      </c>
      <c r="R77" s="33"/>
      <c r="S77" s="42">
        <v>17</v>
      </c>
      <c r="T77" s="42">
        <f t="shared" ref="T77:T82" si="14">X77</f>
        <v>1302</v>
      </c>
      <c r="U77" s="42" t="s">
        <v>93</v>
      </c>
      <c r="V77" s="42">
        <v>3055</v>
      </c>
      <c r="W77" s="33">
        <f t="shared" si="12"/>
        <v>0.5738134206219313</v>
      </c>
      <c r="X77" s="33">
        <v>1302</v>
      </c>
      <c r="Y77" s="33">
        <v>746</v>
      </c>
      <c r="Z77" s="33">
        <v>1082</v>
      </c>
      <c r="AA77" s="33">
        <v>1093</v>
      </c>
      <c r="AB77" s="34">
        <v>1049</v>
      </c>
    </row>
    <row r="78" spans="1:28" x14ac:dyDescent="0.25">
      <c r="A78" s="48" t="s">
        <v>43</v>
      </c>
      <c r="B78" s="53" t="s">
        <v>50</v>
      </c>
      <c r="C78" s="32">
        <v>44135</v>
      </c>
      <c r="D78" s="33"/>
      <c r="E78" s="33">
        <v>1</v>
      </c>
      <c r="F78" s="33"/>
      <c r="G78" s="33"/>
      <c r="H78" s="33"/>
      <c r="I78" s="33"/>
      <c r="J78" s="33"/>
      <c r="K78" s="33"/>
      <c r="L78" s="104"/>
      <c r="M78" s="104"/>
      <c r="N78" s="104"/>
      <c r="O78" s="33"/>
      <c r="P78" s="104"/>
      <c r="Q78" s="33" t="s">
        <v>93</v>
      </c>
      <c r="R78" s="33"/>
      <c r="S78" s="42">
        <v>18</v>
      </c>
      <c r="T78" s="42">
        <f t="shared" si="14"/>
        <v>1030</v>
      </c>
      <c r="U78" s="42" t="s">
        <v>93</v>
      </c>
      <c r="V78" s="42">
        <v>2193</v>
      </c>
      <c r="W78" s="33">
        <f t="shared" si="12"/>
        <v>0.53032375740994075</v>
      </c>
      <c r="X78" s="33">
        <v>1030</v>
      </c>
      <c r="Y78" s="33">
        <v>657</v>
      </c>
      <c r="Z78" s="33">
        <v>1187</v>
      </c>
      <c r="AA78" s="33">
        <v>1485</v>
      </c>
      <c r="AB78" s="34">
        <v>1367</v>
      </c>
    </row>
    <row r="79" spans="1:28" x14ac:dyDescent="0.25">
      <c r="A79" s="48" t="s">
        <v>43</v>
      </c>
      <c r="B79" s="53" t="s">
        <v>50</v>
      </c>
      <c r="C79" s="32">
        <v>44135</v>
      </c>
      <c r="D79" s="33"/>
      <c r="E79" s="33">
        <v>2</v>
      </c>
      <c r="F79" s="33"/>
      <c r="G79" s="33"/>
      <c r="H79" s="33"/>
      <c r="I79" s="33"/>
      <c r="J79" s="33"/>
      <c r="K79" s="33"/>
      <c r="L79" s="104"/>
      <c r="M79" s="104"/>
      <c r="N79" s="104"/>
      <c r="O79" s="33"/>
      <c r="P79" s="104"/>
      <c r="Q79" s="33">
        <v>995.03</v>
      </c>
      <c r="R79" s="33"/>
      <c r="S79" s="42">
        <v>18</v>
      </c>
      <c r="T79" s="42">
        <f t="shared" si="14"/>
        <v>753</v>
      </c>
      <c r="U79" s="42" t="s">
        <v>93</v>
      </c>
      <c r="V79" s="42">
        <v>1149</v>
      </c>
      <c r="W79" s="33">
        <f t="shared" si="12"/>
        <v>0.34464751958224543</v>
      </c>
      <c r="X79" s="33">
        <v>753</v>
      </c>
      <c r="Y79" s="33">
        <v>525</v>
      </c>
      <c r="Z79" s="33">
        <v>1058</v>
      </c>
      <c r="AA79" s="33">
        <v>1447</v>
      </c>
      <c r="AB79" s="34">
        <v>1293</v>
      </c>
    </row>
    <row r="80" spans="1:28" x14ac:dyDescent="0.25">
      <c r="A80" s="48" t="s">
        <v>43</v>
      </c>
      <c r="B80" s="53" t="s">
        <v>50</v>
      </c>
      <c r="C80" s="32">
        <v>44135</v>
      </c>
      <c r="D80" s="33"/>
      <c r="E80" s="33">
        <v>3</v>
      </c>
      <c r="F80" s="33"/>
      <c r="G80" s="33"/>
      <c r="H80" s="33"/>
      <c r="I80" s="33"/>
      <c r="J80" s="33"/>
      <c r="K80" s="33"/>
      <c r="L80" s="104"/>
      <c r="M80" s="104"/>
      <c r="N80" s="104"/>
      <c r="O80" s="33"/>
      <c r="P80" s="104"/>
      <c r="Q80" s="33" t="s">
        <v>93</v>
      </c>
      <c r="R80" s="33"/>
      <c r="S80" s="42">
        <v>18</v>
      </c>
      <c r="T80" s="42">
        <f t="shared" si="14"/>
        <v>620</v>
      </c>
      <c r="U80" s="42" t="s">
        <v>93</v>
      </c>
      <c r="V80" s="42">
        <v>768</v>
      </c>
      <c r="W80" s="33">
        <f t="shared" si="12"/>
        <v>0.19270833333333334</v>
      </c>
      <c r="X80" s="33">
        <v>620</v>
      </c>
      <c r="Y80" s="33">
        <v>451</v>
      </c>
      <c r="Z80" s="33">
        <v>976</v>
      </c>
      <c r="AA80" s="33">
        <v>1389</v>
      </c>
      <c r="AB80" s="34">
        <v>1274</v>
      </c>
    </row>
    <row r="81" spans="1:28" x14ac:dyDescent="0.25">
      <c r="A81" s="48" t="s">
        <v>43</v>
      </c>
      <c r="B81" s="53" t="s">
        <v>50</v>
      </c>
      <c r="C81" s="32">
        <v>44135</v>
      </c>
      <c r="D81" s="33"/>
      <c r="E81" s="33">
        <v>4</v>
      </c>
      <c r="F81" s="33"/>
      <c r="G81" s="33"/>
      <c r="H81" s="33"/>
      <c r="I81" s="33"/>
      <c r="J81" s="33"/>
      <c r="K81" s="33"/>
      <c r="L81" s="104"/>
      <c r="M81" s="104"/>
      <c r="N81" s="104"/>
      <c r="O81" s="33"/>
      <c r="P81" s="104"/>
      <c r="Q81" s="33" t="s">
        <v>93</v>
      </c>
      <c r="R81" s="33"/>
      <c r="S81" s="42">
        <v>18</v>
      </c>
      <c r="T81" s="42">
        <f t="shared" si="14"/>
        <v>548</v>
      </c>
      <c r="U81" s="42" t="s">
        <v>93</v>
      </c>
      <c r="V81" s="42">
        <v>576</v>
      </c>
      <c r="W81" s="33">
        <f t="shared" si="12"/>
        <v>4.8611111111111112E-2</v>
      </c>
      <c r="X81" s="33">
        <v>548</v>
      </c>
      <c r="Y81" s="33">
        <v>408</v>
      </c>
      <c r="Z81" s="33">
        <v>939</v>
      </c>
      <c r="AA81" s="33">
        <v>1362</v>
      </c>
      <c r="AB81" s="34">
        <v>1147</v>
      </c>
    </row>
    <row r="82" spans="1:28" ht="15.75" thickBot="1" x14ac:dyDescent="0.3">
      <c r="A82" s="49" t="s">
        <v>43</v>
      </c>
      <c r="B82" s="55" t="s">
        <v>50</v>
      </c>
      <c r="C82" s="37">
        <v>44135</v>
      </c>
      <c r="D82" s="38"/>
      <c r="E82" s="38">
        <v>5</v>
      </c>
      <c r="F82" s="38"/>
      <c r="G82" s="38"/>
      <c r="H82" s="38"/>
      <c r="I82" s="38"/>
      <c r="J82" s="38"/>
      <c r="K82" s="38"/>
      <c r="L82" s="105"/>
      <c r="M82" s="105"/>
      <c r="N82" s="105"/>
      <c r="O82" s="38"/>
      <c r="P82" s="105"/>
      <c r="Q82" s="38" t="s">
        <v>93</v>
      </c>
      <c r="R82" s="38"/>
      <c r="S82" s="45">
        <v>18</v>
      </c>
      <c r="T82" s="45">
        <f t="shared" si="14"/>
        <v>629</v>
      </c>
      <c r="U82" s="45" t="s">
        <v>93</v>
      </c>
      <c r="V82" s="45">
        <v>654</v>
      </c>
      <c r="W82" s="38">
        <f t="shared" si="12"/>
        <v>3.82262996941896E-2</v>
      </c>
      <c r="X82" s="38">
        <v>629</v>
      </c>
      <c r="Y82" s="38">
        <v>475</v>
      </c>
      <c r="Z82" s="38">
        <v>1047</v>
      </c>
      <c r="AA82" s="38">
        <v>1515</v>
      </c>
      <c r="AB82" s="39">
        <v>1278</v>
      </c>
    </row>
    <row r="83" spans="1:28" x14ac:dyDescent="0.25">
      <c r="A83" s="47" t="s">
        <v>37</v>
      </c>
      <c r="B83" s="54" t="s">
        <v>50</v>
      </c>
      <c r="C83" s="27">
        <v>44135</v>
      </c>
      <c r="D83" s="29"/>
      <c r="E83" s="29" t="s">
        <v>96</v>
      </c>
      <c r="F83" s="29"/>
      <c r="G83" s="29"/>
      <c r="H83" s="29"/>
      <c r="I83" s="29"/>
      <c r="J83" s="29"/>
      <c r="K83" s="29"/>
      <c r="L83" s="103"/>
      <c r="M83" s="103"/>
      <c r="N83" s="103"/>
      <c r="O83" s="29"/>
      <c r="P83" s="103"/>
      <c r="Q83" s="29">
        <v>20</v>
      </c>
      <c r="R83" s="29"/>
      <c r="S83" s="44">
        <v>14</v>
      </c>
      <c r="T83" s="44">
        <f>X83</f>
        <v>1535</v>
      </c>
      <c r="U83" s="42" t="s">
        <v>93</v>
      </c>
      <c r="V83" s="44">
        <v>5015</v>
      </c>
      <c r="W83" s="29">
        <f t="shared" si="12"/>
        <v>0.69391824526420742</v>
      </c>
      <c r="X83" s="29">
        <v>1535</v>
      </c>
      <c r="Y83" s="44">
        <v>510</v>
      </c>
      <c r="Z83" s="44">
        <v>574</v>
      </c>
      <c r="AA83" s="44">
        <v>838</v>
      </c>
      <c r="AB83" s="56">
        <v>820</v>
      </c>
    </row>
    <row r="84" spans="1:28" x14ac:dyDescent="0.25">
      <c r="A84" s="48" t="s">
        <v>37</v>
      </c>
      <c r="B84" s="53" t="s">
        <v>50</v>
      </c>
      <c r="C84" s="32">
        <v>44135</v>
      </c>
      <c r="D84" s="33"/>
      <c r="E84" s="33">
        <v>1</v>
      </c>
      <c r="F84" s="33"/>
      <c r="G84" s="33"/>
      <c r="H84" s="33"/>
      <c r="I84" s="33"/>
      <c r="J84" s="33"/>
      <c r="K84" s="33"/>
      <c r="L84" s="104"/>
      <c r="M84" s="104"/>
      <c r="N84" s="104"/>
      <c r="O84" s="33"/>
      <c r="P84" s="104"/>
      <c r="Q84" s="33" t="s">
        <v>93</v>
      </c>
      <c r="R84" s="33"/>
      <c r="S84" s="42">
        <v>18</v>
      </c>
      <c r="T84" s="42">
        <f t="shared" ref="T84:T88" si="15">X84</f>
        <v>849</v>
      </c>
      <c r="U84" s="42" t="s">
        <v>93</v>
      </c>
      <c r="V84" s="42">
        <v>2195</v>
      </c>
      <c r="W84" s="33">
        <f t="shared" si="12"/>
        <v>0.6132118451025057</v>
      </c>
      <c r="X84" s="33">
        <v>849</v>
      </c>
      <c r="Y84" s="33">
        <v>426</v>
      </c>
      <c r="Z84" s="33">
        <v>785</v>
      </c>
      <c r="AA84" s="33">
        <v>1143</v>
      </c>
      <c r="AB84" s="34">
        <v>1052</v>
      </c>
    </row>
    <row r="85" spans="1:28" x14ac:dyDescent="0.25">
      <c r="A85" s="48" t="s">
        <v>37</v>
      </c>
      <c r="B85" s="53" t="s">
        <v>50</v>
      </c>
      <c r="C85" s="32">
        <v>44135</v>
      </c>
      <c r="D85" s="33"/>
      <c r="E85" s="33">
        <v>2</v>
      </c>
      <c r="F85" s="33"/>
      <c r="G85" s="33"/>
      <c r="H85" s="33"/>
      <c r="I85" s="33"/>
      <c r="J85" s="33"/>
      <c r="K85" s="33"/>
      <c r="L85" s="104"/>
      <c r="M85" s="104"/>
      <c r="N85" s="104"/>
      <c r="O85" s="33"/>
      <c r="P85" s="104"/>
      <c r="Q85" s="33">
        <v>995.03</v>
      </c>
      <c r="R85" s="33"/>
      <c r="S85" s="42">
        <v>18</v>
      </c>
      <c r="T85" s="42">
        <f t="shared" si="15"/>
        <v>657</v>
      </c>
      <c r="U85" s="42" t="s">
        <v>93</v>
      </c>
      <c r="V85" s="42">
        <v>1008</v>
      </c>
      <c r="W85" s="33">
        <f t="shared" si="12"/>
        <v>0.3482142857142857</v>
      </c>
      <c r="X85" s="33">
        <v>657</v>
      </c>
      <c r="Y85" s="33">
        <v>430</v>
      </c>
      <c r="Z85" s="33">
        <v>957</v>
      </c>
      <c r="AA85" s="33">
        <v>1388</v>
      </c>
      <c r="AB85" s="34">
        <v>1234</v>
      </c>
    </row>
    <row r="86" spans="1:28" x14ac:dyDescent="0.25">
      <c r="A86" s="48" t="s">
        <v>37</v>
      </c>
      <c r="B86" s="53" t="s">
        <v>50</v>
      </c>
      <c r="C86" s="32">
        <v>44135</v>
      </c>
      <c r="D86" s="33"/>
      <c r="E86" s="33">
        <v>3</v>
      </c>
      <c r="F86" s="33"/>
      <c r="G86" s="33"/>
      <c r="H86" s="33"/>
      <c r="I86" s="33"/>
      <c r="J86" s="33"/>
      <c r="K86" s="33"/>
      <c r="L86" s="104"/>
      <c r="M86" s="104"/>
      <c r="N86" s="104"/>
      <c r="O86" s="33"/>
      <c r="P86" s="104"/>
      <c r="Q86" s="33" t="s">
        <v>93</v>
      </c>
      <c r="R86" s="33"/>
      <c r="S86" s="42">
        <v>18</v>
      </c>
      <c r="T86" s="42">
        <f t="shared" si="15"/>
        <v>550</v>
      </c>
      <c r="U86" s="42" t="s">
        <v>93</v>
      </c>
      <c r="V86" s="42">
        <v>664</v>
      </c>
      <c r="W86" s="33">
        <f t="shared" si="12"/>
        <v>0.1716867469879518</v>
      </c>
      <c r="X86" s="33">
        <v>550</v>
      </c>
      <c r="Y86" s="33">
        <v>407</v>
      </c>
      <c r="Z86" s="33">
        <v>904</v>
      </c>
      <c r="AA86" s="33">
        <v>1321</v>
      </c>
      <c r="AB86" s="34">
        <v>1207</v>
      </c>
    </row>
    <row r="87" spans="1:28" x14ac:dyDescent="0.25">
      <c r="A87" s="48" t="s">
        <v>37</v>
      </c>
      <c r="B87" s="53" t="s">
        <v>50</v>
      </c>
      <c r="C87" s="32">
        <v>44135</v>
      </c>
      <c r="D87" s="33"/>
      <c r="E87" s="33">
        <v>4</v>
      </c>
      <c r="F87" s="33"/>
      <c r="G87" s="33"/>
      <c r="H87" s="33"/>
      <c r="I87" s="33"/>
      <c r="J87" s="33"/>
      <c r="K87" s="33"/>
      <c r="L87" s="104"/>
      <c r="M87" s="104"/>
      <c r="N87" s="104"/>
      <c r="O87" s="33"/>
      <c r="P87" s="104"/>
      <c r="Q87" s="33" t="s">
        <v>93</v>
      </c>
      <c r="R87" s="33"/>
      <c r="S87" s="42">
        <v>18</v>
      </c>
      <c r="T87" s="42">
        <f t="shared" si="15"/>
        <v>547</v>
      </c>
      <c r="U87" s="42" t="s">
        <v>93</v>
      </c>
      <c r="V87" s="42">
        <v>586</v>
      </c>
      <c r="W87" s="33">
        <f t="shared" si="12"/>
        <v>6.655290102389079E-2</v>
      </c>
      <c r="X87" s="33">
        <v>547</v>
      </c>
      <c r="Y87" s="33">
        <v>408</v>
      </c>
      <c r="Z87" s="33">
        <v>933</v>
      </c>
      <c r="AA87" s="33">
        <v>1359</v>
      </c>
      <c r="AB87" s="34">
        <v>1244</v>
      </c>
    </row>
    <row r="88" spans="1:28" ht="15.75" thickBot="1" x14ac:dyDescent="0.3">
      <c r="A88" s="49" t="s">
        <v>37</v>
      </c>
      <c r="B88" s="55" t="s">
        <v>50</v>
      </c>
      <c r="C88" s="37">
        <v>44135</v>
      </c>
      <c r="D88" s="38"/>
      <c r="E88" s="38">
        <v>5</v>
      </c>
      <c r="F88" s="38"/>
      <c r="G88" s="38"/>
      <c r="H88" s="38"/>
      <c r="I88" s="38"/>
      <c r="J88" s="38"/>
      <c r="K88" s="38"/>
      <c r="L88" s="105"/>
      <c r="M88" s="105"/>
      <c r="N88" s="105"/>
      <c r="O88" s="38"/>
      <c r="P88" s="105"/>
      <c r="Q88" s="38" t="s">
        <v>93</v>
      </c>
      <c r="R88" s="38"/>
      <c r="S88" s="45">
        <v>18</v>
      </c>
      <c r="T88" s="45">
        <f t="shared" si="15"/>
        <v>565</v>
      </c>
      <c r="U88" s="45" t="s">
        <v>93</v>
      </c>
      <c r="V88" s="45">
        <v>583</v>
      </c>
      <c r="W88" s="38">
        <f t="shared" si="12"/>
        <v>3.0874785591766724E-2</v>
      </c>
      <c r="X88" s="38">
        <v>565</v>
      </c>
      <c r="Y88" s="38">
        <v>420</v>
      </c>
      <c r="Z88" s="38">
        <v>977</v>
      </c>
      <c r="AA88" s="38">
        <v>1414</v>
      </c>
      <c r="AB88" s="39">
        <v>1224</v>
      </c>
    </row>
    <row r="89" spans="1:28" x14ac:dyDescent="0.25">
      <c r="A89" s="47" t="s">
        <v>45</v>
      </c>
      <c r="B89" s="54" t="s">
        <v>50</v>
      </c>
      <c r="C89" s="27">
        <v>44135</v>
      </c>
      <c r="D89" s="29"/>
      <c r="E89" s="29" t="s">
        <v>96</v>
      </c>
      <c r="F89" s="29"/>
      <c r="G89" s="29"/>
      <c r="H89" s="29"/>
      <c r="I89" s="29"/>
      <c r="J89" s="29"/>
      <c r="K89" s="29"/>
      <c r="L89" s="103"/>
      <c r="M89" s="103"/>
      <c r="N89" s="103"/>
      <c r="O89" s="29"/>
      <c r="P89" s="103"/>
      <c r="Q89" s="29">
        <v>10</v>
      </c>
      <c r="R89" s="29"/>
      <c r="S89" s="44">
        <v>10</v>
      </c>
      <c r="T89" s="44">
        <f>X89</f>
        <v>1322</v>
      </c>
      <c r="U89" s="42" t="s">
        <v>93</v>
      </c>
      <c r="V89" s="44">
        <v>2976</v>
      </c>
      <c r="W89" s="29">
        <f t="shared" si="12"/>
        <v>0.55577956989247312</v>
      </c>
      <c r="X89" s="29">
        <v>1322</v>
      </c>
      <c r="Y89" s="44">
        <v>859</v>
      </c>
      <c r="Z89" s="44">
        <v>427</v>
      </c>
      <c r="AA89" s="44">
        <v>293</v>
      </c>
      <c r="AB89" s="56">
        <v>229</v>
      </c>
    </row>
    <row r="90" spans="1:28" x14ac:dyDescent="0.25">
      <c r="A90" s="48" t="s">
        <v>45</v>
      </c>
      <c r="B90" s="53" t="s">
        <v>50</v>
      </c>
      <c r="C90" s="32">
        <v>44135</v>
      </c>
      <c r="D90" s="33"/>
      <c r="E90" s="33">
        <v>1</v>
      </c>
      <c r="F90" s="33"/>
      <c r="G90" s="33"/>
      <c r="H90" s="33"/>
      <c r="I90" s="33"/>
      <c r="J90" s="33"/>
      <c r="K90" s="33"/>
      <c r="L90" s="104"/>
      <c r="M90" s="104"/>
      <c r="N90" s="104"/>
      <c r="O90" s="33"/>
      <c r="P90" s="104"/>
      <c r="Q90" s="33" t="s">
        <v>93</v>
      </c>
      <c r="R90" s="33"/>
      <c r="S90" s="42">
        <v>16</v>
      </c>
      <c r="T90" s="42">
        <f t="shared" ref="T90:T94" si="16">X90</f>
        <v>1106</v>
      </c>
      <c r="U90" s="42" t="s">
        <v>93</v>
      </c>
      <c r="V90" s="42">
        <v>2184</v>
      </c>
      <c r="W90" s="33">
        <f t="shared" si="12"/>
        <v>0.49358974358974361</v>
      </c>
      <c r="X90" s="33">
        <v>1106</v>
      </c>
      <c r="Y90" s="33">
        <v>745</v>
      </c>
      <c r="Z90" s="33">
        <v>665</v>
      </c>
      <c r="AA90" s="33">
        <v>749</v>
      </c>
      <c r="AB90" s="34">
        <v>653</v>
      </c>
    </row>
    <row r="91" spans="1:28" x14ac:dyDescent="0.25">
      <c r="A91" s="48" t="s">
        <v>45</v>
      </c>
      <c r="B91" s="53" t="s">
        <v>50</v>
      </c>
      <c r="C91" s="32">
        <v>44135</v>
      </c>
      <c r="D91" s="33"/>
      <c r="E91" s="33">
        <v>2</v>
      </c>
      <c r="F91" s="33"/>
      <c r="G91" s="33"/>
      <c r="H91" s="33"/>
      <c r="I91" s="33"/>
      <c r="J91" s="33"/>
      <c r="K91" s="33"/>
      <c r="L91" s="104"/>
      <c r="M91" s="104"/>
      <c r="N91" s="104"/>
      <c r="O91" s="33"/>
      <c r="P91" s="104"/>
      <c r="Q91" s="33">
        <v>995.03</v>
      </c>
      <c r="R91" s="33"/>
      <c r="S91" s="42">
        <v>17</v>
      </c>
      <c r="T91" s="42">
        <f t="shared" si="16"/>
        <v>733</v>
      </c>
      <c r="U91" s="42" t="s">
        <v>93</v>
      </c>
      <c r="V91" s="42">
        <v>1142</v>
      </c>
      <c r="W91" s="33">
        <f t="shared" si="12"/>
        <v>0.35814360770577935</v>
      </c>
      <c r="X91" s="33">
        <v>733</v>
      </c>
      <c r="Y91" s="33">
        <v>525</v>
      </c>
      <c r="Z91" s="33">
        <v>833</v>
      </c>
      <c r="AA91" s="33">
        <v>1125</v>
      </c>
      <c r="AB91" s="34">
        <v>962</v>
      </c>
    </row>
    <row r="92" spans="1:28" x14ac:dyDescent="0.25">
      <c r="A92" s="48" t="s">
        <v>45</v>
      </c>
      <c r="B92" s="53" t="s">
        <v>50</v>
      </c>
      <c r="C92" s="32">
        <v>44135</v>
      </c>
      <c r="D92" s="33"/>
      <c r="E92" s="33">
        <v>3</v>
      </c>
      <c r="F92" s="33"/>
      <c r="G92" s="33"/>
      <c r="H92" s="33"/>
      <c r="I92" s="33"/>
      <c r="J92" s="33"/>
      <c r="K92" s="33"/>
      <c r="L92" s="104"/>
      <c r="M92" s="104"/>
      <c r="N92" s="104"/>
      <c r="O92" s="33"/>
      <c r="P92" s="104"/>
      <c r="Q92" s="33" t="s">
        <v>93</v>
      </c>
      <c r="R92" s="33"/>
      <c r="S92" s="42">
        <v>18</v>
      </c>
      <c r="T92" s="42">
        <f t="shared" si="16"/>
        <v>764</v>
      </c>
      <c r="U92" s="42" t="s">
        <v>93</v>
      </c>
      <c r="V92" s="42">
        <v>1018</v>
      </c>
      <c r="W92" s="33">
        <f t="shared" si="12"/>
        <v>0.24950884086444008</v>
      </c>
      <c r="X92" s="33">
        <v>764</v>
      </c>
      <c r="Y92" s="33">
        <v>558</v>
      </c>
      <c r="Z92" s="33">
        <v>1014</v>
      </c>
      <c r="AA92" s="33">
        <v>1419</v>
      </c>
      <c r="AB92" s="34">
        <v>1315</v>
      </c>
    </row>
    <row r="93" spans="1:28" x14ac:dyDescent="0.25">
      <c r="A93" s="48" t="s">
        <v>45</v>
      </c>
      <c r="B93" s="53" t="s">
        <v>50</v>
      </c>
      <c r="C93" s="32">
        <v>44135</v>
      </c>
      <c r="D93" s="33"/>
      <c r="E93" s="33">
        <v>4</v>
      </c>
      <c r="F93" s="33"/>
      <c r="G93" s="33"/>
      <c r="H93" s="33"/>
      <c r="I93" s="33"/>
      <c r="J93" s="33"/>
      <c r="K93" s="33"/>
      <c r="L93" s="104"/>
      <c r="M93" s="104"/>
      <c r="N93" s="104"/>
      <c r="O93" s="33"/>
      <c r="P93" s="104"/>
      <c r="Q93" s="33" t="s">
        <v>93</v>
      </c>
      <c r="R93" s="33"/>
      <c r="S93" s="42">
        <v>18</v>
      </c>
      <c r="T93" s="42">
        <f t="shared" si="16"/>
        <v>555</v>
      </c>
      <c r="U93" s="42" t="s">
        <v>93</v>
      </c>
      <c r="V93" s="42">
        <v>620</v>
      </c>
      <c r="W93" s="33">
        <f t="shared" si="12"/>
        <v>0.10483870967741936</v>
      </c>
      <c r="X93" s="33">
        <v>555</v>
      </c>
      <c r="Y93" s="33">
        <v>421</v>
      </c>
      <c r="Z93" s="33">
        <v>898</v>
      </c>
      <c r="AA93" s="33">
        <v>1298</v>
      </c>
      <c r="AB93" s="34">
        <v>1154</v>
      </c>
    </row>
    <row r="94" spans="1:28" ht="15.75" thickBot="1" x14ac:dyDescent="0.3">
      <c r="A94" s="49" t="s">
        <v>45</v>
      </c>
      <c r="B94" s="55" t="s">
        <v>50</v>
      </c>
      <c r="C94" s="37">
        <v>44135</v>
      </c>
      <c r="D94" s="38"/>
      <c r="E94" s="38">
        <v>5</v>
      </c>
      <c r="F94" s="38"/>
      <c r="G94" s="38"/>
      <c r="H94" s="38"/>
      <c r="I94" s="38"/>
      <c r="J94" s="38"/>
      <c r="K94" s="38"/>
      <c r="L94" s="105"/>
      <c r="M94" s="105"/>
      <c r="N94" s="105"/>
      <c r="O94" s="38"/>
      <c r="P94" s="105"/>
      <c r="Q94" s="38" t="s">
        <v>93</v>
      </c>
      <c r="R94" s="38"/>
      <c r="S94" s="45">
        <v>18</v>
      </c>
      <c r="T94" s="45">
        <f t="shared" si="16"/>
        <v>694</v>
      </c>
      <c r="U94" s="45" t="s">
        <v>93</v>
      </c>
      <c r="V94" s="45">
        <v>745</v>
      </c>
      <c r="W94" s="38">
        <f t="shared" si="12"/>
        <v>6.8456375838926178E-2</v>
      </c>
      <c r="X94" s="38">
        <v>694</v>
      </c>
      <c r="Y94" s="38">
        <v>526</v>
      </c>
      <c r="Z94" s="38">
        <v>1121</v>
      </c>
      <c r="AA94" s="38">
        <v>1612</v>
      </c>
      <c r="AB94" s="39">
        <v>1429</v>
      </c>
    </row>
    <row r="95" spans="1:28" x14ac:dyDescent="0.25">
      <c r="A95" s="47" t="s">
        <v>42</v>
      </c>
      <c r="B95" s="54" t="s">
        <v>50</v>
      </c>
      <c r="C95" s="27">
        <v>44135</v>
      </c>
      <c r="D95" s="29"/>
      <c r="E95" s="29" t="s">
        <v>96</v>
      </c>
      <c r="F95" s="29"/>
      <c r="G95" s="29"/>
      <c r="H95" s="29"/>
      <c r="I95" s="29"/>
      <c r="J95" s="29"/>
      <c r="K95" s="29"/>
      <c r="L95" s="103"/>
      <c r="M95" s="103"/>
      <c r="N95" s="103"/>
      <c r="O95" s="29"/>
      <c r="P95" s="103"/>
      <c r="Q95" s="29">
        <v>30</v>
      </c>
      <c r="R95" s="29"/>
      <c r="S95" s="44">
        <v>14</v>
      </c>
      <c r="T95" s="44">
        <f>Z95</f>
        <v>1146</v>
      </c>
      <c r="U95" s="42" t="s">
        <v>93</v>
      </c>
      <c r="V95" s="44">
        <v>3517</v>
      </c>
      <c r="W95" s="29">
        <f t="shared" si="12"/>
        <v>0.67415410861529712</v>
      </c>
      <c r="X95" s="44">
        <v>358</v>
      </c>
      <c r="Y95" s="44">
        <v>516</v>
      </c>
      <c r="Z95" s="44">
        <v>1146</v>
      </c>
      <c r="AA95" s="44">
        <v>417</v>
      </c>
      <c r="AB95" s="56">
        <v>374</v>
      </c>
    </row>
    <row r="96" spans="1:28" x14ac:dyDescent="0.25">
      <c r="A96" s="48" t="s">
        <v>42</v>
      </c>
      <c r="B96" s="53" t="s">
        <v>50</v>
      </c>
      <c r="C96" s="32">
        <v>44135</v>
      </c>
      <c r="D96" s="33"/>
      <c r="E96" s="33">
        <v>1</v>
      </c>
      <c r="F96" s="33"/>
      <c r="G96" s="33"/>
      <c r="H96" s="33"/>
      <c r="I96" s="33"/>
      <c r="J96" s="33"/>
      <c r="K96" s="33"/>
      <c r="L96" s="104"/>
      <c r="M96" s="104"/>
      <c r="N96" s="104"/>
      <c r="O96" s="33"/>
      <c r="P96" s="104"/>
      <c r="Q96" s="33" t="s">
        <v>93</v>
      </c>
      <c r="R96" s="33"/>
      <c r="S96" s="42">
        <v>17</v>
      </c>
      <c r="T96" s="42">
        <f t="shared" ref="T96:T100" si="17">Z96</f>
        <v>1633</v>
      </c>
      <c r="U96" s="42" t="s">
        <v>93</v>
      </c>
      <c r="V96" s="42">
        <v>3737</v>
      </c>
      <c r="W96" s="33">
        <f t="shared" si="12"/>
        <v>0.56301846400856304</v>
      </c>
      <c r="X96" s="33">
        <v>682</v>
      </c>
      <c r="Y96" s="33">
        <v>731</v>
      </c>
      <c r="Z96" s="33">
        <v>1633</v>
      </c>
      <c r="AA96" s="33">
        <v>1197</v>
      </c>
      <c r="AB96" s="34">
        <v>1072</v>
      </c>
    </row>
    <row r="97" spans="1:28" x14ac:dyDescent="0.25">
      <c r="A97" s="48" t="s">
        <v>42</v>
      </c>
      <c r="B97" s="53" t="s">
        <v>50</v>
      </c>
      <c r="C97" s="32">
        <v>44135</v>
      </c>
      <c r="D97" s="33"/>
      <c r="E97" s="33">
        <v>2</v>
      </c>
      <c r="F97" s="33"/>
      <c r="G97" s="33"/>
      <c r="H97" s="33"/>
      <c r="I97" s="33"/>
      <c r="J97" s="33"/>
      <c r="K97" s="33"/>
      <c r="L97" s="104"/>
      <c r="M97" s="104"/>
      <c r="N97" s="104"/>
      <c r="O97" s="33"/>
      <c r="P97" s="104"/>
      <c r="Q97" s="33">
        <v>995.03</v>
      </c>
      <c r="R97" s="33"/>
      <c r="S97" s="42">
        <v>18</v>
      </c>
      <c r="T97" s="42">
        <f t="shared" si="17"/>
        <v>1181</v>
      </c>
      <c r="U97" s="42" t="s">
        <v>93</v>
      </c>
      <c r="V97" s="42">
        <v>1782</v>
      </c>
      <c r="W97" s="33">
        <f t="shared" si="12"/>
        <v>0.33726150392817061</v>
      </c>
      <c r="X97" s="33">
        <v>616</v>
      </c>
      <c r="Y97" s="33">
        <v>524</v>
      </c>
      <c r="Z97" s="33">
        <v>1181</v>
      </c>
      <c r="AA97" s="33">
        <v>1393</v>
      </c>
      <c r="AB97" s="34">
        <v>1256</v>
      </c>
    </row>
    <row r="98" spans="1:28" x14ac:dyDescent="0.25">
      <c r="A98" s="48" t="s">
        <v>42</v>
      </c>
      <c r="B98" s="53" t="s">
        <v>50</v>
      </c>
      <c r="C98" s="32">
        <v>44135</v>
      </c>
      <c r="D98" s="33"/>
      <c r="E98" s="33">
        <v>3</v>
      </c>
      <c r="F98" s="33"/>
      <c r="G98" s="33"/>
      <c r="H98" s="33"/>
      <c r="I98" s="33"/>
      <c r="J98" s="33"/>
      <c r="K98" s="33"/>
      <c r="L98" s="104"/>
      <c r="M98" s="104"/>
      <c r="N98" s="104"/>
      <c r="O98" s="33"/>
      <c r="P98" s="104"/>
      <c r="Q98" s="33" t="s">
        <v>93</v>
      </c>
      <c r="R98" s="33"/>
      <c r="S98" s="42">
        <v>18</v>
      </c>
      <c r="T98" s="42">
        <f t="shared" si="17"/>
        <v>1051</v>
      </c>
      <c r="U98" s="42" t="s">
        <v>93</v>
      </c>
      <c r="V98" s="42">
        <v>1262</v>
      </c>
      <c r="W98" s="33">
        <f t="shared" si="12"/>
        <v>0.16719492868462757</v>
      </c>
      <c r="X98" s="33">
        <v>589</v>
      </c>
      <c r="Y98" s="33">
        <v>463</v>
      </c>
      <c r="Z98" s="33">
        <v>1051</v>
      </c>
      <c r="AA98" s="33">
        <v>1418</v>
      </c>
      <c r="AB98" s="34">
        <v>1215</v>
      </c>
    </row>
    <row r="99" spans="1:28" x14ac:dyDescent="0.25">
      <c r="A99" s="48" t="s">
        <v>42</v>
      </c>
      <c r="B99" s="53" t="s">
        <v>50</v>
      </c>
      <c r="C99" s="32">
        <v>44135</v>
      </c>
      <c r="D99" s="33"/>
      <c r="E99" s="33">
        <v>4</v>
      </c>
      <c r="F99" s="33"/>
      <c r="G99" s="33"/>
      <c r="H99" s="33"/>
      <c r="I99" s="33"/>
      <c r="J99" s="33"/>
      <c r="K99" s="33"/>
      <c r="L99" s="104"/>
      <c r="M99" s="104"/>
      <c r="N99" s="104"/>
      <c r="O99" s="33"/>
      <c r="P99" s="104"/>
      <c r="Q99" s="33" t="s">
        <v>93</v>
      </c>
      <c r="R99" s="33"/>
      <c r="S99" s="42">
        <v>18</v>
      </c>
      <c r="T99" s="42">
        <f t="shared" si="17"/>
        <v>1041</v>
      </c>
      <c r="U99" s="42" t="s">
        <v>93</v>
      </c>
      <c r="V99" s="42">
        <v>1070</v>
      </c>
      <c r="W99" s="33">
        <f t="shared" si="12"/>
        <v>2.7102803738317756E-2</v>
      </c>
      <c r="X99" s="33">
        <v>586</v>
      </c>
      <c r="Y99" s="33">
        <v>444</v>
      </c>
      <c r="Z99" s="33">
        <v>1041</v>
      </c>
      <c r="AA99" s="33">
        <v>1494</v>
      </c>
      <c r="AB99" s="34">
        <v>1331</v>
      </c>
    </row>
    <row r="100" spans="1:28" ht="15.75" thickBot="1" x14ac:dyDescent="0.3">
      <c r="A100" s="49" t="s">
        <v>42</v>
      </c>
      <c r="B100" s="55" t="s">
        <v>50</v>
      </c>
      <c r="C100" s="37">
        <v>44135</v>
      </c>
      <c r="D100" s="38"/>
      <c r="E100" s="38">
        <v>5</v>
      </c>
      <c r="F100" s="38"/>
      <c r="G100" s="38"/>
      <c r="H100" s="38"/>
      <c r="I100" s="38"/>
      <c r="J100" s="38"/>
      <c r="K100" s="38"/>
      <c r="L100" s="105"/>
      <c r="M100" s="105"/>
      <c r="N100" s="105"/>
      <c r="O100" s="38"/>
      <c r="P100" s="105"/>
      <c r="Q100" s="38" t="s">
        <v>93</v>
      </c>
      <c r="R100" s="38"/>
      <c r="S100" s="45">
        <v>18</v>
      </c>
      <c r="T100" s="45">
        <f t="shared" si="17"/>
        <v>970</v>
      </c>
      <c r="U100" s="45" t="s">
        <v>93</v>
      </c>
      <c r="V100" s="45">
        <v>948</v>
      </c>
      <c r="W100" s="38">
        <f t="shared" si="12"/>
        <v>-2.3206751054852322E-2</v>
      </c>
      <c r="X100" s="38">
        <v>572</v>
      </c>
      <c r="Y100" s="38">
        <v>433</v>
      </c>
      <c r="Z100" s="38">
        <v>970</v>
      </c>
      <c r="AA100" s="38">
        <v>1381</v>
      </c>
      <c r="AB100" s="39">
        <v>1221</v>
      </c>
    </row>
    <row r="101" spans="1:28" x14ac:dyDescent="0.25">
      <c r="A101" s="47" t="s">
        <v>41</v>
      </c>
      <c r="B101" s="54" t="s">
        <v>50</v>
      </c>
      <c r="C101" s="27">
        <v>44135</v>
      </c>
      <c r="D101" s="29"/>
      <c r="E101" s="29" t="s">
        <v>96</v>
      </c>
      <c r="F101" s="29"/>
      <c r="G101" s="29"/>
      <c r="H101" s="29"/>
      <c r="I101" s="29"/>
      <c r="J101" s="29"/>
      <c r="K101" s="29"/>
      <c r="L101" s="103"/>
      <c r="M101" s="103"/>
      <c r="N101" s="103"/>
      <c r="O101" s="29"/>
      <c r="P101" s="103"/>
      <c r="Q101" s="29">
        <v>30</v>
      </c>
      <c r="R101" s="29"/>
      <c r="S101" s="44">
        <v>14</v>
      </c>
      <c r="T101" s="44">
        <f>Z101</f>
        <v>1046</v>
      </c>
      <c r="U101" s="42" t="s">
        <v>93</v>
      </c>
      <c r="V101" s="44">
        <v>2793</v>
      </c>
      <c r="W101" s="29">
        <f t="shared" si="12"/>
        <v>0.62549230218403151</v>
      </c>
      <c r="X101" s="44">
        <v>319</v>
      </c>
      <c r="Y101" s="44">
        <v>407</v>
      </c>
      <c r="Z101" s="44">
        <v>1046</v>
      </c>
      <c r="AA101" s="44">
        <v>401</v>
      </c>
      <c r="AB101" s="56">
        <v>360</v>
      </c>
    </row>
    <row r="102" spans="1:28" x14ac:dyDescent="0.25">
      <c r="A102" s="48" t="s">
        <v>41</v>
      </c>
      <c r="B102" s="53" t="s">
        <v>50</v>
      </c>
      <c r="C102" s="32">
        <v>44135</v>
      </c>
      <c r="D102" s="33"/>
      <c r="E102" s="33">
        <v>1</v>
      </c>
      <c r="F102" s="33"/>
      <c r="G102" s="33"/>
      <c r="H102" s="33"/>
      <c r="I102" s="33"/>
      <c r="J102" s="33"/>
      <c r="K102" s="33"/>
      <c r="L102" s="104"/>
      <c r="M102" s="104"/>
      <c r="N102" s="104"/>
      <c r="O102" s="33"/>
      <c r="P102" s="104"/>
      <c r="Q102" s="33" t="s">
        <v>93</v>
      </c>
      <c r="R102" s="33"/>
      <c r="S102" s="42">
        <v>17</v>
      </c>
      <c r="T102" s="42">
        <f t="shared" ref="T102:T106" si="18">Z102</f>
        <v>1188</v>
      </c>
      <c r="U102" s="42" t="s">
        <v>93</v>
      </c>
      <c r="V102" s="42">
        <v>2107</v>
      </c>
      <c r="W102" s="33">
        <f t="shared" si="12"/>
        <v>0.4361651637399146</v>
      </c>
      <c r="X102" s="33">
        <v>543</v>
      </c>
      <c r="Y102" s="33">
        <v>497</v>
      </c>
      <c r="Z102" s="33">
        <v>1188</v>
      </c>
      <c r="AA102" s="33">
        <v>1099</v>
      </c>
      <c r="AB102" s="34">
        <v>942</v>
      </c>
    </row>
    <row r="103" spans="1:28" x14ac:dyDescent="0.25">
      <c r="A103" s="48" t="s">
        <v>41</v>
      </c>
      <c r="B103" s="53" t="s">
        <v>50</v>
      </c>
      <c r="C103" s="32">
        <v>44135</v>
      </c>
      <c r="D103" s="33"/>
      <c r="E103" s="33">
        <v>2</v>
      </c>
      <c r="F103" s="33"/>
      <c r="G103" s="33"/>
      <c r="H103" s="33"/>
      <c r="I103" s="33"/>
      <c r="J103" s="33"/>
      <c r="K103" s="33"/>
      <c r="L103" s="104"/>
      <c r="M103" s="104"/>
      <c r="N103" s="104"/>
      <c r="O103" s="33"/>
      <c r="P103" s="104"/>
      <c r="Q103" s="33">
        <v>995.03</v>
      </c>
      <c r="R103" s="33"/>
      <c r="S103" s="42">
        <v>18</v>
      </c>
      <c r="T103" s="42">
        <f t="shared" si="18"/>
        <v>1086</v>
      </c>
      <c r="U103" s="42" t="s">
        <v>93</v>
      </c>
      <c r="V103" s="42">
        <v>1326</v>
      </c>
      <c r="W103" s="33">
        <f t="shared" si="12"/>
        <v>0.18099547511312217</v>
      </c>
      <c r="X103" s="33">
        <v>578</v>
      </c>
      <c r="Y103" s="33">
        <v>456</v>
      </c>
      <c r="Z103" s="33">
        <v>1086</v>
      </c>
      <c r="AA103" s="33">
        <v>1418</v>
      </c>
      <c r="AB103" s="34">
        <v>1258</v>
      </c>
    </row>
    <row r="104" spans="1:28" x14ac:dyDescent="0.25">
      <c r="A104" s="48" t="s">
        <v>41</v>
      </c>
      <c r="B104" s="53" t="s">
        <v>50</v>
      </c>
      <c r="C104" s="32">
        <v>44135</v>
      </c>
      <c r="D104" s="33"/>
      <c r="E104" s="33">
        <v>3</v>
      </c>
      <c r="F104" s="33"/>
      <c r="G104" s="33"/>
      <c r="H104" s="33"/>
      <c r="I104" s="33"/>
      <c r="J104" s="33"/>
      <c r="K104" s="33"/>
      <c r="L104" s="104"/>
      <c r="M104" s="104"/>
      <c r="N104" s="104"/>
      <c r="O104" s="33"/>
      <c r="P104" s="104"/>
      <c r="Q104" s="33" t="s">
        <v>93</v>
      </c>
      <c r="R104" s="33"/>
      <c r="S104" s="42">
        <v>18</v>
      </c>
      <c r="T104" s="42">
        <f t="shared" si="18"/>
        <v>974</v>
      </c>
      <c r="U104" s="42" t="s">
        <v>93</v>
      </c>
      <c r="V104" s="42">
        <v>1062</v>
      </c>
      <c r="W104" s="33">
        <f t="shared" si="12"/>
        <v>8.2862523540489647E-2</v>
      </c>
      <c r="X104" s="33">
        <v>556</v>
      </c>
      <c r="Y104" s="33">
        <v>430</v>
      </c>
      <c r="Z104" s="33">
        <v>974</v>
      </c>
      <c r="AA104" s="33">
        <v>1355</v>
      </c>
      <c r="AB104" s="34">
        <v>1217</v>
      </c>
    </row>
    <row r="105" spans="1:28" x14ac:dyDescent="0.25">
      <c r="A105" s="48" t="s">
        <v>41</v>
      </c>
      <c r="B105" s="53" t="s">
        <v>50</v>
      </c>
      <c r="C105" s="32">
        <v>44135</v>
      </c>
      <c r="D105" s="33"/>
      <c r="E105" s="33">
        <v>4</v>
      </c>
      <c r="F105" s="33"/>
      <c r="G105" s="33"/>
      <c r="H105" s="33"/>
      <c r="I105" s="33"/>
      <c r="J105" s="33"/>
      <c r="K105" s="33"/>
      <c r="L105" s="104"/>
      <c r="M105" s="104"/>
      <c r="N105" s="104"/>
      <c r="O105" s="33"/>
      <c r="P105" s="104"/>
      <c r="Q105" s="33" t="s">
        <v>93</v>
      </c>
      <c r="R105" s="33"/>
      <c r="S105" s="42">
        <v>18</v>
      </c>
      <c r="T105" s="42">
        <f t="shared" si="18"/>
        <v>933</v>
      </c>
      <c r="U105" s="42" t="s">
        <v>93</v>
      </c>
      <c r="V105" s="42">
        <v>947</v>
      </c>
      <c r="W105" s="33">
        <f t="shared" si="12"/>
        <v>1.4783526927138331E-2</v>
      </c>
      <c r="X105" s="33">
        <v>531</v>
      </c>
      <c r="Y105" s="33">
        <v>409</v>
      </c>
      <c r="Z105" s="33">
        <v>933</v>
      </c>
      <c r="AA105" s="33">
        <v>1337</v>
      </c>
      <c r="AB105" s="34">
        <v>1187</v>
      </c>
    </row>
    <row r="106" spans="1:28" ht="15.75" thickBot="1" x14ac:dyDescent="0.3">
      <c r="A106" s="49" t="s">
        <v>41</v>
      </c>
      <c r="B106" s="55" t="s">
        <v>50</v>
      </c>
      <c r="C106" s="37">
        <v>44135</v>
      </c>
      <c r="D106" s="38"/>
      <c r="E106" s="38">
        <v>5</v>
      </c>
      <c r="F106" s="38"/>
      <c r="G106" s="38"/>
      <c r="H106" s="38"/>
      <c r="I106" s="38"/>
      <c r="J106" s="38"/>
      <c r="K106" s="38"/>
      <c r="L106" s="105"/>
      <c r="M106" s="105"/>
      <c r="N106" s="105"/>
      <c r="O106" s="38"/>
      <c r="P106" s="105"/>
      <c r="Q106" s="38" t="s">
        <v>93</v>
      </c>
      <c r="R106" s="38"/>
      <c r="S106" s="45">
        <v>18</v>
      </c>
      <c r="T106" s="45">
        <f t="shared" si="18"/>
        <v>994</v>
      </c>
      <c r="U106" s="45" t="s">
        <v>93</v>
      </c>
      <c r="V106" s="45">
        <v>1021</v>
      </c>
      <c r="W106" s="38">
        <f t="shared" si="12"/>
        <v>2.6444662095984329E-2</v>
      </c>
      <c r="X106" s="38">
        <v>589</v>
      </c>
      <c r="Y106" s="38">
        <v>445</v>
      </c>
      <c r="Z106" s="38">
        <v>994</v>
      </c>
      <c r="AA106" s="38">
        <v>1435</v>
      </c>
      <c r="AB106" s="39">
        <v>1255</v>
      </c>
    </row>
    <row r="107" spans="1:28" x14ac:dyDescent="0.25">
      <c r="A107" s="47" t="s">
        <v>39</v>
      </c>
      <c r="B107" s="54" t="s">
        <v>49</v>
      </c>
      <c r="C107" s="27">
        <v>44136</v>
      </c>
      <c r="D107" s="29"/>
      <c r="E107" s="29" t="s">
        <v>96</v>
      </c>
      <c r="F107" s="29"/>
      <c r="G107" s="29"/>
      <c r="H107" s="29"/>
      <c r="I107" s="29"/>
      <c r="J107" s="29"/>
      <c r="K107" s="29"/>
      <c r="L107" s="103"/>
      <c r="M107" s="103"/>
      <c r="N107" s="103"/>
      <c r="O107" s="29"/>
      <c r="P107" s="103"/>
      <c r="Q107" s="29">
        <v>30</v>
      </c>
      <c r="R107" s="29"/>
      <c r="S107" s="44">
        <v>16</v>
      </c>
      <c r="T107" s="44">
        <f>X107</f>
        <v>1045</v>
      </c>
      <c r="U107" s="42" t="s">
        <v>93</v>
      </c>
      <c r="V107" s="44">
        <v>2440</v>
      </c>
      <c r="W107" s="29">
        <f t="shared" si="12"/>
        <v>0.57172131147540983</v>
      </c>
      <c r="X107" s="29">
        <v>1045</v>
      </c>
      <c r="Y107" s="44">
        <v>516</v>
      </c>
      <c r="Z107" s="44">
        <v>503</v>
      </c>
      <c r="AA107" s="44">
        <v>721</v>
      </c>
      <c r="AB107" s="56">
        <v>699</v>
      </c>
    </row>
    <row r="108" spans="1:28" x14ac:dyDescent="0.25">
      <c r="A108" s="48" t="s">
        <v>39</v>
      </c>
      <c r="B108" s="53" t="s">
        <v>49</v>
      </c>
      <c r="C108" s="32">
        <v>44136</v>
      </c>
      <c r="D108" s="33"/>
      <c r="E108" s="33">
        <v>1</v>
      </c>
      <c r="F108" s="33"/>
      <c r="G108" s="33"/>
      <c r="H108" s="33"/>
      <c r="I108" s="33"/>
      <c r="J108" s="33"/>
      <c r="K108" s="33"/>
      <c r="L108" s="104"/>
      <c r="M108" s="104"/>
      <c r="N108" s="104"/>
      <c r="O108" s="33"/>
      <c r="P108" s="104"/>
      <c r="Q108" s="33" t="s">
        <v>93</v>
      </c>
      <c r="R108" s="33"/>
      <c r="S108" s="42">
        <v>18</v>
      </c>
      <c r="T108" s="42">
        <f t="shared" ref="T108:T112" si="19">X108</f>
        <v>870</v>
      </c>
      <c r="U108" s="33">
        <v>1428</v>
      </c>
      <c r="V108" s="42">
        <v>1489</v>
      </c>
      <c r="W108" s="33">
        <f t="shared" si="12"/>
        <v>0.41571524513096036</v>
      </c>
      <c r="X108" s="42">
        <v>870</v>
      </c>
      <c r="Y108" s="42">
        <v>538</v>
      </c>
      <c r="Z108" s="42">
        <v>930</v>
      </c>
      <c r="AA108" s="42">
        <v>1357</v>
      </c>
      <c r="AB108" s="43">
        <v>1254</v>
      </c>
    </row>
    <row r="109" spans="1:28" x14ac:dyDescent="0.25">
      <c r="A109" s="48" t="s">
        <v>39</v>
      </c>
      <c r="B109" s="53" t="s">
        <v>49</v>
      </c>
      <c r="C109" s="32">
        <v>44136</v>
      </c>
      <c r="D109" s="33"/>
      <c r="E109" s="33">
        <v>2</v>
      </c>
      <c r="F109" s="33"/>
      <c r="G109" s="33"/>
      <c r="H109" s="33"/>
      <c r="I109" s="33"/>
      <c r="J109" s="33"/>
      <c r="K109" s="33"/>
      <c r="L109" s="104"/>
      <c r="M109" s="104"/>
      <c r="N109" s="104"/>
      <c r="O109" s="33"/>
      <c r="P109" s="104"/>
      <c r="Q109" s="33">
        <v>995.03</v>
      </c>
      <c r="R109" s="33"/>
      <c r="S109" s="42">
        <v>18</v>
      </c>
      <c r="T109" s="42">
        <f t="shared" si="19"/>
        <v>670</v>
      </c>
      <c r="U109" s="33">
        <v>791</v>
      </c>
      <c r="V109" s="42">
        <v>801</v>
      </c>
      <c r="W109" s="33">
        <f t="shared" si="12"/>
        <v>0.16354556803995007</v>
      </c>
      <c r="X109" s="42">
        <v>670</v>
      </c>
      <c r="Y109" s="42">
        <v>474</v>
      </c>
      <c r="Z109" s="42">
        <v>1005</v>
      </c>
      <c r="AA109" s="42">
        <v>1445</v>
      </c>
      <c r="AB109" s="43">
        <v>1258</v>
      </c>
    </row>
    <row r="110" spans="1:28" x14ac:dyDescent="0.25">
      <c r="A110" s="48" t="s">
        <v>39</v>
      </c>
      <c r="B110" s="53" t="s">
        <v>49</v>
      </c>
      <c r="C110" s="32">
        <v>44136</v>
      </c>
      <c r="D110" s="33"/>
      <c r="E110" s="33">
        <v>3</v>
      </c>
      <c r="F110" s="33"/>
      <c r="G110" s="33"/>
      <c r="H110" s="33"/>
      <c r="I110" s="33"/>
      <c r="J110" s="33"/>
      <c r="K110" s="33"/>
      <c r="L110" s="104"/>
      <c r="M110" s="104"/>
      <c r="N110" s="104"/>
      <c r="O110" s="33"/>
      <c r="P110" s="104"/>
      <c r="Q110" s="33" t="s">
        <v>93</v>
      </c>
      <c r="R110" s="33"/>
      <c r="S110" s="42">
        <v>18</v>
      </c>
      <c r="T110" s="42">
        <f t="shared" si="19"/>
        <v>580</v>
      </c>
      <c r="U110" s="33">
        <v>618</v>
      </c>
      <c r="V110" s="42">
        <v>631</v>
      </c>
      <c r="W110" s="33">
        <f t="shared" si="12"/>
        <v>8.0824088748019024E-2</v>
      </c>
      <c r="X110" s="42">
        <v>580</v>
      </c>
      <c r="Y110" s="42">
        <v>430</v>
      </c>
      <c r="Z110" s="42">
        <v>957</v>
      </c>
      <c r="AA110" s="42">
        <v>1383</v>
      </c>
      <c r="AB110" s="43">
        <v>1253</v>
      </c>
    </row>
    <row r="111" spans="1:28" x14ac:dyDescent="0.25">
      <c r="A111" s="48" t="s">
        <v>39</v>
      </c>
      <c r="B111" s="53" t="s">
        <v>49</v>
      </c>
      <c r="C111" s="32">
        <v>44136</v>
      </c>
      <c r="D111" s="33"/>
      <c r="E111" s="33">
        <v>4</v>
      </c>
      <c r="F111" s="33"/>
      <c r="G111" s="33"/>
      <c r="H111" s="33"/>
      <c r="I111" s="33"/>
      <c r="J111" s="33"/>
      <c r="K111" s="33"/>
      <c r="L111" s="104"/>
      <c r="M111" s="104"/>
      <c r="N111" s="104"/>
      <c r="O111" s="33"/>
      <c r="P111" s="104"/>
      <c r="Q111" s="33" t="s">
        <v>93</v>
      </c>
      <c r="R111" s="33"/>
      <c r="S111" s="42">
        <v>18</v>
      </c>
      <c r="T111" s="42">
        <f t="shared" si="19"/>
        <v>570</v>
      </c>
      <c r="U111" s="33">
        <v>590</v>
      </c>
      <c r="V111" s="42">
        <v>567</v>
      </c>
      <c r="W111" s="33">
        <f t="shared" si="12"/>
        <v>-5.2910052910052907E-3</v>
      </c>
      <c r="X111" s="42">
        <v>570</v>
      </c>
      <c r="Y111" s="42">
        <v>420</v>
      </c>
      <c r="Z111" s="42">
        <v>957</v>
      </c>
      <c r="AA111" s="42">
        <v>1394</v>
      </c>
      <c r="AB111" s="43">
        <v>1278</v>
      </c>
    </row>
    <row r="112" spans="1:28" ht="15.75" thickBot="1" x14ac:dyDescent="0.3">
      <c r="A112" s="49" t="s">
        <v>39</v>
      </c>
      <c r="B112" s="55" t="s">
        <v>49</v>
      </c>
      <c r="C112" s="37">
        <v>44136</v>
      </c>
      <c r="D112" s="38"/>
      <c r="E112" s="38">
        <v>5</v>
      </c>
      <c r="F112" s="38"/>
      <c r="G112" s="38"/>
      <c r="H112" s="38"/>
      <c r="I112" s="38"/>
      <c r="J112" s="38"/>
      <c r="K112" s="38"/>
      <c r="L112" s="105"/>
      <c r="M112" s="105"/>
      <c r="N112" s="105"/>
      <c r="O112" s="38"/>
      <c r="P112" s="105"/>
      <c r="Q112" s="38" t="s">
        <v>93</v>
      </c>
      <c r="R112" s="38"/>
      <c r="S112" s="45">
        <v>18</v>
      </c>
      <c r="T112" s="45">
        <f t="shared" si="19"/>
        <v>570</v>
      </c>
      <c r="U112" s="38">
        <v>584</v>
      </c>
      <c r="V112" s="45">
        <v>559</v>
      </c>
      <c r="W112" s="38">
        <f t="shared" si="12"/>
        <v>-1.9677996422182469E-2</v>
      </c>
      <c r="X112" s="45">
        <v>570</v>
      </c>
      <c r="Y112" s="45">
        <v>425</v>
      </c>
      <c r="Z112" s="45">
        <v>974</v>
      </c>
      <c r="AA112" s="45">
        <v>1408</v>
      </c>
      <c r="AB112" s="46">
        <v>1277</v>
      </c>
    </row>
    <row r="113" spans="1:28" x14ac:dyDescent="0.25">
      <c r="A113" s="47" t="s">
        <v>48</v>
      </c>
      <c r="B113" s="54" t="s">
        <v>50</v>
      </c>
      <c r="C113" s="27">
        <v>44136</v>
      </c>
      <c r="D113" s="29"/>
      <c r="E113" s="29" t="s">
        <v>96</v>
      </c>
      <c r="F113" s="29"/>
      <c r="G113" s="29"/>
      <c r="H113" s="29"/>
      <c r="I113" s="29"/>
      <c r="J113" s="29"/>
      <c r="K113" s="29"/>
      <c r="L113" s="103"/>
      <c r="M113" s="103"/>
      <c r="N113" s="103"/>
      <c r="O113" s="29"/>
      <c r="P113" s="103"/>
      <c r="Q113" s="29">
        <v>30</v>
      </c>
      <c r="R113" s="29"/>
      <c r="S113" s="44">
        <v>15</v>
      </c>
      <c r="T113" s="44">
        <f>X113</f>
        <v>818</v>
      </c>
      <c r="U113" s="44" t="s">
        <v>93</v>
      </c>
      <c r="V113" s="44">
        <v>4135</v>
      </c>
      <c r="W113" s="29">
        <f t="shared" si="12"/>
        <v>0.80217654171704955</v>
      </c>
      <c r="X113" s="44">
        <v>818</v>
      </c>
      <c r="Y113" s="44">
        <v>582</v>
      </c>
      <c r="Z113" s="44">
        <v>716</v>
      </c>
      <c r="AA113" s="44">
        <v>551</v>
      </c>
      <c r="AB113" s="56">
        <v>481</v>
      </c>
    </row>
    <row r="114" spans="1:28" x14ac:dyDescent="0.25">
      <c r="A114" s="48" t="s">
        <v>48</v>
      </c>
      <c r="B114" s="53" t="s">
        <v>50</v>
      </c>
      <c r="C114" s="32">
        <v>44136</v>
      </c>
      <c r="D114" s="33"/>
      <c r="E114" s="42">
        <v>0</v>
      </c>
      <c r="F114" s="33"/>
      <c r="G114" s="33"/>
      <c r="H114" s="33"/>
      <c r="I114" s="33"/>
      <c r="J114" s="33"/>
      <c r="K114" s="33"/>
      <c r="L114" s="104"/>
      <c r="M114" s="104"/>
      <c r="N114" s="104"/>
      <c r="O114" s="33"/>
      <c r="P114" s="104"/>
      <c r="Q114" s="33">
        <v>402.03</v>
      </c>
      <c r="R114" s="33"/>
      <c r="S114" s="42">
        <v>18</v>
      </c>
      <c r="T114" s="42">
        <f t="shared" ref="T114:T118" si="20">X114</f>
        <v>962</v>
      </c>
      <c r="U114" s="33">
        <v>1650</v>
      </c>
      <c r="V114" s="42">
        <v>2495</v>
      </c>
      <c r="W114" s="33">
        <f t="shared" si="12"/>
        <v>0.61442885771543088</v>
      </c>
      <c r="X114" s="42">
        <v>962</v>
      </c>
      <c r="Y114" s="42">
        <v>699</v>
      </c>
      <c r="Z114" s="42">
        <v>1207</v>
      </c>
      <c r="AA114" s="42">
        <v>1435</v>
      </c>
      <c r="AB114" s="43">
        <v>1277</v>
      </c>
    </row>
    <row r="115" spans="1:28" x14ac:dyDescent="0.25">
      <c r="A115" s="48" t="s">
        <v>48</v>
      </c>
      <c r="B115" s="53" t="s">
        <v>50</v>
      </c>
      <c r="C115" s="32">
        <v>44136</v>
      </c>
      <c r="D115" s="33"/>
      <c r="E115" s="42">
        <v>1</v>
      </c>
      <c r="F115" s="33"/>
      <c r="G115" s="33"/>
      <c r="H115" s="33"/>
      <c r="I115" s="33"/>
      <c r="J115" s="33"/>
      <c r="K115" s="33"/>
      <c r="L115" s="104"/>
      <c r="M115" s="104"/>
      <c r="N115" s="104"/>
      <c r="O115" s="33"/>
      <c r="P115" s="104"/>
      <c r="Q115" s="33" t="s">
        <v>93</v>
      </c>
      <c r="R115" s="33"/>
      <c r="S115" s="42">
        <v>18</v>
      </c>
      <c r="T115" s="42">
        <f t="shared" si="20"/>
        <v>767</v>
      </c>
      <c r="U115" s="33">
        <v>984</v>
      </c>
      <c r="V115" s="42">
        <v>1187</v>
      </c>
      <c r="W115" s="33">
        <f>(V115-T115)/V115</f>
        <v>0.35383319292333615</v>
      </c>
      <c r="X115" s="42">
        <v>767</v>
      </c>
      <c r="Y115" s="42">
        <v>571</v>
      </c>
      <c r="Z115" s="42">
        <v>1158</v>
      </c>
      <c r="AA115" s="42">
        <v>1573</v>
      </c>
      <c r="AB115" s="43">
        <v>1383</v>
      </c>
    </row>
    <row r="116" spans="1:28" x14ac:dyDescent="0.25">
      <c r="A116" s="48" t="s">
        <v>48</v>
      </c>
      <c r="B116" s="53" t="s">
        <v>50</v>
      </c>
      <c r="C116" s="32">
        <v>44136</v>
      </c>
      <c r="D116" s="33"/>
      <c r="E116" s="42">
        <v>2</v>
      </c>
      <c r="F116" s="33"/>
      <c r="G116" s="33"/>
      <c r="H116" s="33"/>
      <c r="I116" s="33"/>
      <c r="J116" s="33"/>
      <c r="K116" s="33"/>
      <c r="L116" s="104"/>
      <c r="M116" s="104"/>
      <c r="N116" s="104"/>
      <c r="O116" s="33"/>
      <c r="P116" s="104"/>
      <c r="Q116" s="33" t="s">
        <v>93</v>
      </c>
      <c r="R116" s="33"/>
      <c r="S116" s="42">
        <v>18</v>
      </c>
      <c r="T116" s="42">
        <f t="shared" si="20"/>
        <v>583</v>
      </c>
      <c r="U116" s="33">
        <v>640</v>
      </c>
      <c r="V116" s="42">
        <v>639</v>
      </c>
      <c r="W116" s="33">
        <f t="shared" si="12"/>
        <v>8.7636932707355245E-2</v>
      </c>
      <c r="X116" s="42">
        <v>583</v>
      </c>
      <c r="Y116" s="42">
        <v>427</v>
      </c>
      <c r="Z116" s="42">
        <v>962</v>
      </c>
      <c r="AA116" s="42">
        <v>1368</v>
      </c>
      <c r="AB116" s="43">
        <v>1248</v>
      </c>
    </row>
    <row r="117" spans="1:28" x14ac:dyDescent="0.25">
      <c r="A117" s="48" t="s">
        <v>48</v>
      </c>
      <c r="B117" s="53" t="s">
        <v>50</v>
      </c>
      <c r="C117" s="32">
        <v>44136</v>
      </c>
      <c r="D117" s="33"/>
      <c r="E117" s="42">
        <v>3</v>
      </c>
      <c r="F117" s="33"/>
      <c r="G117" s="33"/>
      <c r="H117" s="33"/>
      <c r="I117" s="33"/>
      <c r="J117" s="33"/>
      <c r="K117" s="33"/>
      <c r="L117" s="104"/>
      <c r="M117" s="104"/>
      <c r="N117" s="104"/>
      <c r="O117" s="33"/>
      <c r="P117" s="104"/>
      <c r="Q117" s="33" t="s">
        <v>93</v>
      </c>
      <c r="R117" s="33"/>
      <c r="S117" s="42">
        <v>18</v>
      </c>
      <c r="T117" s="42">
        <f t="shared" si="20"/>
        <v>558</v>
      </c>
      <c r="U117" s="33">
        <v>594</v>
      </c>
      <c r="V117" s="42">
        <v>596</v>
      </c>
      <c r="W117" s="33">
        <f t="shared" si="12"/>
        <v>6.3758389261744972E-2</v>
      </c>
      <c r="X117" s="42">
        <v>558</v>
      </c>
      <c r="Y117" s="42">
        <v>415</v>
      </c>
      <c r="Z117" s="42">
        <v>939</v>
      </c>
      <c r="AA117" s="42">
        <v>1347</v>
      </c>
      <c r="AB117" s="43">
        <v>1209</v>
      </c>
    </row>
    <row r="118" spans="1:28" ht="15.75" thickBot="1" x14ac:dyDescent="0.3">
      <c r="A118" s="49" t="s">
        <v>48</v>
      </c>
      <c r="B118" s="55" t="s">
        <v>50</v>
      </c>
      <c r="C118" s="37">
        <v>44136</v>
      </c>
      <c r="D118" s="38"/>
      <c r="E118" s="45">
        <v>4</v>
      </c>
      <c r="F118" s="38"/>
      <c r="G118" s="38"/>
      <c r="H118" s="38"/>
      <c r="I118" s="38"/>
      <c r="J118" s="38"/>
      <c r="K118" s="38"/>
      <c r="L118" s="105"/>
      <c r="M118" s="105"/>
      <c r="N118" s="105"/>
      <c r="O118" s="38"/>
      <c r="P118" s="105"/>
      <c r="Q118" s="38" t="s">
        <v>93</v>
      </c>
      <c r="R118" s="38"/>
      <c r="S118" s="45">
        <v>18</v>
      </c>
      <c r="T118" s="45">
        <f t="shared" si="20"/>
        <v>661</v>
      </c>
      <c r="U118" s="38">
        <v>673</v>
      </c>
      <c r="V118" s="45">
        <v>720</v>
      </c>
      <c r="W118" s="38">
        <f t="shared" si="12"/>
        <v>8.1944444444444445E-2</v>
      </c>
      <c r="X118" s="45">
        <v>661</v>
      </c>
      <c r="Y118" s="45">
        <v>508</v>
      </c>
      <c r="Z118" s="45">
        <v>1097</v>
      </c>
      <c r="AA118" s="45">
        <v>1586</v>
      </c>
      <c r="AB118" s="46">
        <v>1561</v>
      </c>
    </row>
    <row r="119" spans="1:28" x14ac:dyDescent="0.25">
      <c r="A119" s="47" t="s">
        <v>44</v>
      </c>
      <c r="B119" s="54" t="s">
        <v>51</v>
      </c>
      <c r="C119" s="27">
        <v>44136</v>
      </c>
      <c r="D119" s="29"/>
      <c r="E119" s="29" t="s">
        <v>96</v>
      </c>
      <c r="F119" s="29"/>
      <c r="G119" s="29"/>
      <c r="H119" s="29"/>
      <c r="I119" s="29"/>
      <c r="J119" s="29"/>
      <c r="K119" s="29"/>
      <c r="L119" s="103"/>
      <c r="M119" s="103"/>
      <c r="N119" s="103"/>
      <c r="O119" s="29"/>
      <c r="P119" s="103"/>
      <c r="Q119" s="29">
        <v>30</v>
      </c>
      <c r="R119" s="29"/>
      <c r="S119" s="44">
        <v>14</v>
      </c>
      <c r="T119" s="44">
        <f>X119</f>
        <v>1477</v>
      </c>
      <c r="U119" s="29">
        <v>3796</v>
      </c>
      <c r="V119" s="44">
        <v>4316</v>
      </c>
      <c r="W119" s="29">
        <f t="shared" si="12"/>
        <v>0.6577849860982391</v>
      </c>
      <c r="X119" s="44">
        <v>1477</v>
      </c>
      <c r="Y119" s="44">
        <v>789</v>
      </c>
      <c r="Z119" s="44">
        <v>871</v>
      </c>
      <c r="AA119" s="44">
        <v>518</v>
      </c>
      <c r="AB119" s="56">
        <v>496</v>
      </c>
    </row>
    <row r="120" spans="1:28" x14ac:dyDescent="0.25">
      <c r="A120" s="48" t="s">
        <v>44</v>
      </c>
      <c r="B120" s="53" t="s">
        <v>51</v>
      </c>
      <c r="C120" s="32">
        <v>44136</v>
      </c>
      <c r="D120" s="33"/>
      <c r="E120" s="33">
        <v>1</v>
      </c>
      <c r="F120" s="33"/>
      <c r="G120" s="33"/>
      <c r="H120" s="33"/>
      <c r="I120" s="33"/>
      <c r="J120" s="33"/>
      <c r="K120" s="33"/>
      <c r="L120" s="104"/>
      <c r="M120" s="104"/>
      <c r="N120" s="104"/>
      <c r="O120" s="33"/>
      <c r="P120" s="104"/>
      <c r="Q120" s="33" t="s">
        <v>93</v>
      </c>
      <c r="R120" s="33"/>
      <c r="S120" s="42">
        <v>18</v>
      </c>
      <c r="T120" s="42">
        <f t="shared" ref="T120:T124" si="21">X120</f>
        <v>1344</v>
      </c>
      <c r="U120" s="33">
        <v>2696</v>
      </c>
      <c r="V120" s="42">
        <v>2824</v>
      </c>
      <c r="W120" s="33">
        <f t="shared" si="12"/>
        <v>0.52407932011331448</v>
      </c>
      <c r="X120" s="42">
        <v>1344</v>
      </c>
      <c r="Y120" s="42">
        <v>826</v>
      </c>
      <c r="Z120" s="42">
        <v>1348</v>
      </c>
      <c r="AA120" s="42">
        <v>1516</v>
      </c>
      <c r="AB120" s="43">
        <v>1401</v>
      </c>
    </row>
    <row r="121" spans="1:28" x14ac:dyDescent="0.25">
      <c r="A121" s="48" t="s">
        <v>44</v>
      </c>
      <c r="B121" s="53" t="s">
        <v>51</v>
      </c>
      <c r="C121" s="32">
        <v>44136</v>
      </c>
      <c r="D121" s="33"/>
      <c r="E121" s="33">
        <v>2</v>
      </c>
      <c r="F121" s="33"/>
      <c r="G121" s="33"/>
      <c r="H121" s="33"/>
      <c r="I121" s="33"/>
      <c r="J121" s="33"/>
      <c r="K121" s="33"/>
      <c r="L121" s="104"/>
      <c r="M121" s="104"/>
      <c r="N121" s="104"/>
      <c r="O121" s="33"/>
      <c r="P121" s="104"/>
      <c r="Q121" s="33">
        <v>995.03</v>
      </c>
      <c r="R121" s="33"/>
      <c r="S121" s="42">
        <v>18</v>
      </c>
      <c r="T121" s="42">
        <f t="shared" si="21"/>
        <v>689</v>
      </c>
      <c r="U121" s="33">
        <v>944</v>
      </c>
      <c r="V121" s="42">
        <v>980</v>
      </c>
      <c r="W121" s="33">
        <f t="shared" si="12"/>
        <v>0.29693877551020409</v>
      </c>
      <c r="X121" s="42">
        <v>689</v>
      </c>
      <c r="Y121" s="42">
        <v>488</v>
      </c>
      <c r="Z121" s="42">
        <v>990</v>
      </c>
      <c r="AA121" s="42">
        <v>1355</v>
      </c>
      <c r="AB121" s="43">
        <v>1220</v>
      </c>
    </row>
    <row r="122" spans="1:28" x14ac:dyDescent="0.25">
      <c r="A122" s="48" t="s">
        <v>44</v>
      </c>
      <c r="B122" s="53" t="s">
        <v>51</v>
      </c>
      <c r="C122" s="32">
        <v>44136</v>
      </c>
      <c r="D122" s="33"/>
      <c r="E122" s="33">
        <v>3</v>
      </c>
      <c r="F122" s="33"/>
      <c r="G122" s="33"/>
      <c r="H122" s="33"/>
      <c r="I122" s="33"/>
      <c r="J122" s="33"/>
      <c r="K122" s="33"/>
      <c r="L122" s="104"/>
      <c r="M122" s="104"/>
      <c r="N122" s="104"/>
      <c r="O122" s="33"/>
      <c r="P122" s="104"/>
      <c r="Q122" s="33" t="s">
        <v>93</v>
      </c>
      <c r="R122" s="33"/>
      <c r="S122" s="42">
        <v>18</v>
      </c>
      <c r="T122" s="42">
        <f t="shared" si="21"/>
        <v>620</v>
      </c>
      <c r="U122" s="33">
        <v>739</v>
      </c>
      <c r="V122" s="42">
        <v>750</v>
      </c>
      <c r="W122" s="33">
        <f t="shared" si="12"/>
        <v>0.17333333333333334</v>
      </c>
      <c r="X122" s="42">
        <v>620</v>
      </c>
      <c r="Y122" s="42">
        <v>446</v>
      </c>
      <c r="Z122" s="42">
        <v>956</v>
      </c>
      <c r="AA122" s="42">
        <v>1339</v>
      </c>
      <c r="AB122" s="43">
        <v>1260</v>
      </c>
    </row>
    <row r="123" spans="1:28" x14ac:dyDescent="0.25">
      <c r="A123" s="48" t="s">
        <v>44</v>
      </c>
      <c r="B123" s="53" t="s">
        <v>51</v>
      </c>
      <c r="C123" s="32">
        <v>44136</v>
      </c>
      <c r="D123" s="33"/>
      <c r="E123" s="33">
        <v>4</v>
      </c>
      <c r="F123" s="33"/>
      <c r="G123" s="33"/>
      <c r="H123" s="33"/>
      <c r="I123" s="33"/>
      <c r="J123" s="33"/>
      <c r="K123" s="33"/>
      <c r="L123" s="104"/>
      <c r="M123" s="104"/>
      <c r="N123" s="104"/>
      <c r="O123" s="33"/>
      <c r="P123" s="104"/>
      <c r="Q123" s="33" t="s">
        <v>93</v>
      </c>
      <c r="R123" s="33"/>
      <c r="S123" s="42">
        <v>18</v>
      </c>
      <c r="T123" s="42">
        <f t="shared" si="21"/>
        <v>587</v>
      </c>
      <c r="U123" s="33">
        <v>654</v>
      </c>
      <c r="V123" s="42">
        <v>672</v>
      </c>
      <c r="W123" s="33">
        <f t="shared" si="12"/>
        <v>0.12648809523809523</v>
      </c>
      <c r="X123" s="42">
        <v>587</v>
      </c>
      <c r="Y123" s="42">
        <v>427</v>
      </c>
      <c r="Z123" s="42">
        <v>966</v>
      </c>
      <c r="AA123" s="42">
        <v>1373</v>
      </c>
      <c r="AB123" s="43">
        <v>1211</v>
      </c>
    </row>
    <row r="124" spans="1:28" ht="15.75" thickBot="1" x14ac:dyDescent="0.3">
      <c r="A124" s="49" t="s">
        <v>44</v>
      </c>
      <c r="B124" s="55" t="s">
        <v>51</v>
      </c>
      <c r="C124" s="37">
        <v>44136</v>
      </c>
      <c r="D124" s="38"/>
      <c r="E124" s="38">
        <v>5</v>
      </c>
      <c r="F124" s="38"/>
      <c r="G124" s="38"/>
      <c r="H124" s="38"/>
      <c r="I124" s="38"/>
      <c r="J124" s="38"/>
      <c r="K124" s="38"/>
      <c r="L124" s="105"/>
      <c r="M124" s="105"/>
      <c r="N124" s="105"/>
      <c r="O124" s="38"/>
      <c r="P124" s="105"/>
      <c r="Q124" s="38" t="s">
        <v>93</v>
      </c>
      <c r="R124" s="38"/>
      <c r="S124" s="45">
        <v>18</v>
      </c>
      <c r="T124" s="45">
        <f t="shared" si="21"/>
        <v>569</v>
      </c>
      <c r="U124" s="38">
        <v>584</v>
      </c>
      <c r="V124" s="45">
        <v>582</v>
      </c>
      <c r="W124" s="38">
        <f t="shared" si="12"/>
        <v>2.2336769759450172E-2</v>
      </c>
      <c r="X124" s="45">
        <v>569</v>
      </c>
      <c r="Y124" s="45">
        <v>425</v>
      </c>
      <c r="Z124" s="45">
        <v>947</v>
      </c>
      <c r="AA124" s="45">
        <v>1359</v>
      </c>
      <c r="AB124" s="46">
        <v>1210</v>
      </c>
    </row>
    <row r="125" spans="1:28" x14ac:dyDescent="0.25">
      <c r="A125" s="47" t="s">
        <v>43</v>
      </c>
      <c r="B125" s="54" t="s">
        <v>51</v>
      </c>
      <c r="C125" s="27">
        <v>44137</v>
      </c>
      <c r="D125" s="29"/>
      <c r="E125" s="29" t="s">
        <v>96</v>
      </c>
      <c r="F125" s="29"/>
      <c r="G125" s="29"/>
      <c r="H125" s="29"/>
      <c r="I125" s="29"/>
      <c r="J125" s="29"/>
      <c r="K125" s="29"/>
      <c r="L125" s="103"/>
      <c r="M125" s="103"/>
      <c r="N125" s="103"/>
      <c r="O125" s="29"/>
      <c r="P125" s="103"/>
      <c r="Q125" s="29">
        <v>30</v>
      </c>
      <c r="R125" s="29"/>
      <c r="S125" s="44">
        <v>12</v>
      </c>
      <c r="T125" s="44">
        <f>X125</f>
        <v>1153</v>
      </c>
      <c r="U125" s="29">
        <v>3591</v>
      </c>
      <c r="V125" s="44">
        <v>4084</v>
      </c>
      <c r="W125" s="29">
        <f t="shared" si="12"/>
        <v>0.71767874632713025</v>
      </c>
      <c r="X125" s="44">
        <v>1153</v>
      </c>
      <c r="Y125" s="44">
        <v>583</v>
      </c>
      <c r="Z125" s="44">
        <v>644</v>
      </c>
      <c r="AA125" s="44">
        <v>382</v>
      </c>
      <c r="AB125" s="56">
        <v>411</v>
      </c>
    </row>
    <row r="126" spans="1:28" x14ac:dyDescent="0.25">
      <c r="A126" s="48" t="s">
        <v>43</v>
      </c>
      <c r="B126" s="53" t="s">
        <v>51</v>
      </c>
      <c r="C126" s="32">
        <v>44137</v>
      </c>
      <c r="D126" s="33"/>
      <c r="E126" s="42">
        <v>0</v>
      </c>
      <c r="F126" s="33"/>
      <c r="G126" s="33"/>
      <c r="H126" s="33"/>
      <c r="I126" s="33"/>
      <c r="J126" s="33"/>
      <c r="K126" s="33"/>
      <c r="L126" s="104"/>
      <c r="M126" s="104"/>
      <c r="N126" s="104"/>
      <c r="O126" s="33"/>
      <c r="P126" s="104"/>
      <c r="Q126" s="33">
        <v>230.03</v>
      </c>
      <c r="R126" s="33"/>
      <c r="S126" s="42">
        <v>16</v>
      </c>
      <c r="T126" s="42">
        <f t="shared" ref="T126:T131" si="22">X126</f>
        <v>1421</v>
      </c>
      <c r="U126" s="33">
        <v>3978</v>
      </c>
      <c r="V126" s="42">
        <v>4217</v>
      </c>
      <c r="W126" s="33">
        <f t="shared" si="12"/>
        <v>0.66303059046715673</v>
      </c>
      <c r="X126" s="42">
        <v>1421</v>
      </c>
      <c r="Y126" s="42">
        <v>768</v>
      </c>
      <c r="Z126" s="42">
        <v>1022</v>
      </c>
      <c r="AA126" s="42">
        <v>903</v>
      </c>
      <c r="AB126" s="43">
        <v>874</v>
      </c>
    </row>
    <row r="127" spans="1:28" x14ac:dyDescent="0.25">
      <c r="A127" s="48" t="s">
        <v>43</v>
      </c>
      <c r="B127" s="53" t="s">
        <v>51</v>
      </c>
      <c r="C127" s="32">
        <v>44137</v>
      </c>
      <c r="D127" s="33"/>
      <c r="E127" s="42">
        <v>1</v>
      </c>
      <c r="F127" s="33"/>
      <c r="G127" s="33"/>
      <c r="H127" s="33"/>
      <c r="I127" s="33"/>
      <c r="J127" s="33"/>
      <c r="K127" s="33"/>
      <c r="L127" s="104"/>
      <c r="M127" s="104"/>
      <c r="N127" s="104"/>
      <c r="O127" s="33"/>
      <c r="P127" s="104"/>
      <c r="Q127" s="33" t="s">
        <v>93</v>
      </c>
      <c r="R127" s="33"/>
      <c r="S127" s="42">
        <v>18</v>
      </c>
      <c r="T127" s="42">
        <f t="shared" si="22"/>
        <v>1151</v>
      </c>
      <c r="U127" s="33">
        <v>2410</v>
      </c>
      <c r="V127" s="42">
        <v>2616</v>
      </c>
      <c r="W127" s="33">
        <f t="shared" si="12"/>
        <v>0.56001529051987764</v>
      </c>
      <c r="X127" s="42">
        <v>1151</v>
      </c>
      <c r="Y127" s="42">
        <v>706</v>
      </c>
      <c r="Z127" s="42">
        <v>1248</v>
      </c>
      <c r="AA127" s="42">
        <v>1518</v>
      </c>
      <c r="AB127" s="43">
        <v>1375</v>
      </c>
    </row>
    <row r="128" spans="1:28" x14ac:dyDescent="0.25">
      <c r="A128" s="48" t="s">
        <v>43</v>
      </c>
      <c r="B128" s="53" t="s">
        <v>51</v>
      </c>
      <c r="C128" s="32">
        <v>44137</v>
      </c>
      <c r="D128" s="33"/>
      <c r="E128" s="42">
        <v>2</v>
      </c>
      <c r="F128" s="33"/>
      <c r="G128" s="33"/>
      <c r="H128" s="33"/>
      <c r="I128" s="33"/>
      <c r="J128" s="33"/>
      <c r="K128" s="33"/>
      <c r="L128" s="104"/>
      <c r="M128" s="104"/>
      <c r="N128" s="104"/>
      <c r="O128" s="33"/>
      <c r="P128" s="104"/>
      <c r="Q128" s="33">
        <v>995.03</v>
      </c>
      <c r="R128" s="33"/>
      <c r="S128" s="42">
        <v>18</v>
      </c>
      <c r="T128" s="42">
        <f t="shared" si="22"/>
        <v>682</v>
      </c>
      <c r="U128" s="33">
        <v>974</v>
      </c>
      <c r="V128" s="42">
        <v>951</v>
      </c>
      <c r="W128" s="33">
        <f t="shared" si="12"/>
        <v>0.28286014721345953</v>
      </c>
      <c r="X128" s="42">
        <v>682</v>
      </c>
      <c r="Y128" s="42">
        <v>476</v>
      </c>
      <c r="Z128" s="42">
        <v>995</v>
      </c>
      <c r="AA128" s="42">
        <v>1376</v>
      </c>
      <c r="AB128" s="43">
        <v>1218</v>
      </c>
    </row>
    <row r="129" spans="1:28" x14ac:dyDescent="0.25">
      <c r="A129" s="48" t="s">
        <v>43</v>
      </c>
      <c r="B129" s="53" t="s">
        <v>51</v>
      </c>
      <c r="C129" s="32">
        <v>44137</v>
      </c>
      <c r="D129" s="33"/>
      <c r="E129" s="42">
        <v>3</v>
      </c>
      <c r="F129" s="33"/>
      <c r="G129" s="33"/>
      <c r="H129" s="33"/>
      <c r="I129" s="33"/>
      <c r="J129" s="33"/>
      <c r="K129" s="33"/>
      <c r="L129" s="104"/>
      <c r="M129" s="104"/>
      <c r="N129" s="104"/>
      <c r="O129" s="33"/>
      <c r="P129" s="104"/>
      <c r="Q129" s="33" t="s">
        <v>93</v>
      </c>
      <c r="R129" s="33"/>
      <c r="S129" s="42">
        <v>18</v>
      </c>
      <c r="T129" s="42">
        <f t="shared" si="22"/>
        <v>730</v>
      </c>
      <c r="U129" s="33">
        <v>896</v>
      </c>
      <c r="V129" s="42">
        <v>883</v>
      </c>
      <c r="W129" s="33">
        <f t="shared" si="12"/>
        <v>0.17327293318233294</v>
      </c>
      <c r="X129" s="42">
        <v>730</v>
      </c>
      <c r="Y129" s="42">
        <v>531</v>
      </c>
      <c r="Z129" s="42">
        <v>1129</v>
      </c>
      <c r="AA129" s="42">
        <v>1598</v>
      </c>
      <c r="AB129" s="43">
        <v>1455</v>
      </c>
    </row>
    <row r="130" spans="1:28" x14ac:dyDescent="0.25">
      <c r="A130" s="48" t="s">
        <v>43</v>
      </c>
      <c r="B130" s="53" t="s">
        <v>51</v>
      </c>
      <c r="C130" s="32">
        <v>44137</v>
      </c>
      <c r="D130" s="33"/>
      <c r="E130" s="42">
        <v>4</v>
      </c>
      <c r="F130" s="33"/>
      <c r="G130" s="33"/>
      <c r="H130" s="33"/>
      <c r="I130" s="33"/>
      <c r="J130" s="33"/>
      <c r="K130" s="33"/>
      <c r="L130" s="104"/>
      <c r="M130" s="104"/>
      <c r="N130" s="104"/>
      <c r="O130" s="33"/>
      <c r="P130" s="104"/>
      <c r="Q130" s="33" t="s">
        <v>93</v>
      </c>
      <c r="R130" s="33"/>
      <c r="S130" s="42">
        <v>18</v>
      </c>
      <c r="T130" s="42">
        <f t="shared" si="22"/>
        <v>688</v>
      </c>
      <c r="U130" s="33">
        <v>721</v>
      </c>
      <c r="V130" s="42">
        <v>789</v>
      </c>
      <c r="W130" s="33">
        <f t="shared" si="12"/>
        <v>0.12801013941698353</v>
      </c>
      <c r="X130" s="42">
        <v>688</v>
      </c>
      <c r="Y130" s="42">
        <v>509</v>
      </c>
      <c r="Z130" s="33">
        <v>1110</v>
      </c>
      <c r="AA130" s="42">
        <v>1592</v>
      </c>
      <c r="AB130" s="43">
        <v>1355</v>
      </c>
    </row>
    <row r="131" spans="1:28" ht="15.75" thickBot="1" x14ac:dyDescent="0.3">
      <c r="A131" s="49" t="s">
        <v>43</v>
      </c>
      <c r="B131" s="55" t="s">
        <v>51</v>
      </c>
      <c r="C131" s="37">
        <v>44137</v>
      </c>
      <c r="D131" s="38"/>
      <c r="E131" s="45">
        <v>5</v>
      </c>
      <c r="F131" s="38"/>
      <c r="G131" s="38"/>
      <c r="H131" s="38"/>
      <c r="I131" s="38"/>
      <c r="J131" s="38"/>
      <c r="K131" s="38"/>
      <c r="L131" s="105"/>
      <c r="M131" s="105"/>
      <c r="N131" s="105"/>
      <c r="O131" s="38"/>
      <c r="P131" s="105"/>
      <c r="Q131" s="38" t="s">
        <v>93</v>
      </c>
      <c r="R131" s="38"/>
      <c r="S131" s="45">
        <v>18</v>
      </c>
      <c r="T131" s="45">
        <f t="shared" si="22"/>
        <v>670</v>
      </c>
      <c r="U131" s="38">
        <v>801</v>
      </c>
      <c r="V131" s="45">
        <v>807</v>
      </c>
      <c r="W131" s="38">
        <f t="shared" si="12"/>
        <v>0.1697645600991326</v>
      </c>
      <c r="X131" s="45">
        <v>670</v>
      </c>
      <c r="Y131" s="45">
        <v>477</v>
      </c>
      <c r="Z131" s="45">
        <v>1048</v>
      </c>
      <c r="AA131" s="45">
        <v>1477</v>
      </c>
      <c r="AB131" s="46">
        <v>1335</v>
      </c>
    </row>
    <row r="132" spans="1:28" x14ac:dyDescent="0.25">
      <c r="A132" s="61" t="s">
        <v>45</v>
      </c>
      <c r="B132" s="62" t="s">
        <v>51</v>
      </c>
      <c r="C132" s="63">
        <v>44137</v>
      </c>
      <c r="D132" s="64"/>
      <c r="E132" s="64" t="s">
        <v>96</v>
      </c>
      <c r="F132" s="64"/>
      <c r="G132" s="64"/>
      <c r="H132" s="64"/>
      <c r="I132" s="64"/>
      <c r="J132" s="64"/>
      <c r="K132" s="64"/>
      <c r="L132" s="103"/>
      <c r="M132" s="103"/>
      <c r="N132" s="103"/>
      <c r="O132" s="64"/>
      <c r="P132" s="103"/>
      <c r="Q132" s="64">
        <v>30</v>
      </c>
      <c r="R132" s="64"/>
      <c r="S132" s="65">
        <v>10</v>
      </c>
      <c r="T132" s="64">
        <f>X132</f>
        <v>1096</v>
      </c>
      <c r="U132" s="64">
        <v>2280</v>
      </c>
      <c r="V132" s="65">
        <v>2559</v>
      </c>
      <c r="W132" s="64">
        <f t="shared" ref="W132:W192" si="23">(V132-T132)/V132</f>
        <v>0.57170769831965607</v>
      </c>
      <c r="X132" s="65">
        <v>1096</v>
      </c>
      <c r="Y132" s="65">
        <v>718</v>
      </c>
      <c r="Z132" s="65">
        <v>361</v>
      </c>
      <c r="AA132" s="65">
        <v>249</v>
      </c>
      <c r="AB132" s="66">
        <v>193</v>
      </c>
    </row>
    <row r="133" spans="1:28" x14ac:dyDescent="0.25">
      <c r="A133" s="67" t="s">
        <v>45</v>
      </c>
      <c r="B133" s="58" t="s">
        <v>51</v>
      </c>
      <c r="C133" s="68">
        <v>44137</v>
      </c>
      <c r="D133" s="59"/>
      <c r="E133" s="57">
        <v>0</v>
      </c>
      <c r="F133" s="59"/>
      <c r="G133" s="59"/>
      <c r="H133" s="59"/>
      <c r="I133" s="59"/>
      <c r="J133" s="59"/>
      <c r="K133" s="59"/>
      <c r="L133" s="104"/>
      <c r="M133" s="104"/>
      <c r="N133" s="104"/>
      <c r="O133" s="59"/>
      <c r="P133" s="104"/>
      <c r="Q133" s="59" t="s">
        <v>93</v>
      </c>
      <c r="R133" s="59"/>
      <c r="S133" s="57">
        <v>14</v>
      </c>
      <c r="T133" s="59">
        <f t="shared" ref="T133:T138" si="24">X133</f>
        <v>1321</v>
      </c>
      <c r="U133" s="59">
        <v>2582</v>
      </c>
      <c r="V133" s="57">
        <v>2970</v>
      </c>
      <c r="W133" s="59">
        <f t="shared" si="23"/>
        <v>0.55521885521885517</v>
      </c>
      <c r="X133" s="57">
        <v>1321</v>
      </c>
      <c r="Y133" s="57">
        <v>871</v>
      </c>
      <c r="Z133" s="57">
        <v>540</v>
      </c>
      <c r="AA133" s="57">
        <v>474</v>
      </c>
      <c r="AB133" s="69">
        <v>392</v>
      </c>
    </row>
    <row r="134" spans="1:28" x14ac:dyDescent="0.25">
      <c r="A134" s="67" t="s">
        <v>45</v>
      </c>
      <c r="B134" s="58" t="s">
        <v>51</v>
      </c>
      <c r="C134" s="68">
        <v>44137</v>
      </c>
      <c r="D134" s="59"/>
      <c r="E134" s="57">
        <v>1</v>
      </c>
      <c r="F134" s="59"/>
      <c r="G134" s="59"/>
      <c r="H134" s="59"/>
      <c r="I134" s="59"/>
      <c r="J134" s="59"/>
      <c r="K134" s="59"/>
      <c r="L134" s="104"/>
      <c r="M134" s="104"/>
      <c r="N134" s="104"/>
      <c r="O134" s="59"/>
      <c r="P134" s="104"/>
      <c r="Q134" s="59" t="s">
        <v>93</v>
      </c>
      <c r="R134" s="59"/>
      <c r="S134" s="57">
        <v>17</v>
      </c>
      <c r="T134" s="59">
        <f t="shared" si="24"/>
        <v>1223</v>
      </c>
      <c r="U134" s="59">
        <v>2127</v>
      </c>
      <c r="V134" s="57">
        <v>2415</v>
      </c>
      <c r="W134" s="59">
        <f t="shared" si="23"/>
        <v>0.49358178053830226</v>
      </c>
      <c r="X134" s="57">
        <v>1223</v>
      </c>
      <c r="Y134" s="57">
        <v>834</v>
      </c>
      <c r="Z134" s="57">
        <v>881</v>
      </c>
      <c r="AA134" s="57">
        <v>1059</v>
      </c>
      <c r="AB134" s="69">
        <v>955</v>
      </c>
    </row>
    <row r="135" spans="1:28" x14ac:dyDescent="0.25">
      <c r="A135" s="67" t="s">
        <v>45</v>
      </c>
      <c r="B135" s="58" t="s">
        <v>51</v>
      </c>
      <c r="C135" s="68">
        <v>44137</v>
      </c>
      <c r="D135" s="59"/>
      <c r="E135" s="57">
        <v>2</v>
      </c>
      <c r="F135" s="59"/>
      <c r="G135" s="59"/>
      <c r="H135" s="59"/>
      <c r="I135" s="59"/>
      <c r="J135" s="59"/>
      <c r="K135" s="59"/>
      <c r="L135" s="104"/>
      <c r="M135" s="104"/>
      <c r="N135" s="104"/>
      <c r="O135" s="59"/>
      <c r="P135" s="104"/>
      <c r="Q135" s="59">
        <v>995.03</v>
      </c>
      <c r="R135" s="59"/>
      <c r="S135" s="57">
        <v>18</v>
      </c>
      <c r="T135" s="59">
        <f t="shared" si="24"/>
        <v>993</v>
      </c>
      <c r="U135" s="59">
        <v>1543</v>
      </c>
      <c r="V135" s="57">
        <v>1610</v>
      </c>
      <c r="W135" s="59">
        <f t="shared" si="23"/>
        <v>0.3832298136645963</v>
      </c>
      <c r="X135" s="57">
        <v>993</v>
      </c>
      <c r="Y135" s="57">
        <v>706</v>
      </c>
      <c r="Z135" s="57">
        <v>1051</v>
      </c>
      <c r="AA135" s="57">
        <v>1399</v>
      </c>
      <c r="AB135" s="69">
        <v>1172</v>
      </c>
    </row>
    <row r="136" spans="1:28" x14ac:dyDescent="0.25">
      <c r="A136" s="67" t="s">
        <v>45</v>
      </c>
      <c r="B136" s="58" t="s">
        <v>51</v>
      </c>
      <c r="C136" s="68">
        <v>44137</v>
      </c>
      <c r="D136" s="59"/>
      <c r="E136" s="57">
        <v>3</v>
      </c>
      <c r="F136" s="59"/>
      <c r="G136" s="59"/>
      <c r="H136" s="59"/>
      <c r="I136" s="59"/>
      <c r="J136" s="59"/>
      <c r="K136" s="59"/>
      <c r="L136" s="104"/>
      <c r="M136" s="104"/>
      <c r="N136" s="104"/>
      <c r="O136" s="59"/>
      <c r="P136" s="104"/>
      <c r="Q136" s="59" t="s">
        <v>93</v>
      </c>
      <c r="R136" s="59"/>
      <c r="S136" s="57">
        <v>18</v>
      </c>
      <c r="T136" s="59">
        <f t="shared" si="24"/>
        <v>654</v>
      </c>
      <c r="U136" s="59">
        <v>798</v>
      </c>
      <c r="V136" s="57">
        <v>816</v>
      </c>
      <c r="W136" s="59">
        <f t="shared" si="23"/>
        <v>0.19852941176470587</v>
      </c>
      <c r="X136" s="57">
        <v>654</v>
      </c>
      <c r="Y136" s="57">
        <v>479</v>
      </c>
      <c r="Z136" s="57">
        <v>954</v>
      </c>
      <c r="AA136" s="57">
        <v>1348</v>
      </c>
      <c r="AB136" s="69">
        <v>1237</v>
      </c>
    </row>
    <row r="137" spans="1:28" x14ac:dyDescent="0.25">
      <c r="A137" s="67" t="s">
        <v>45</v>
      </c>
      <c r="B137" s="58" t="s">
        <v>51</v>
      </c>
      <c r="C137" s="68">
        <v>44137</v>
      </c>
      <c r="D137" s="59"/>
      <c r="E137" s="57">
        <v>4</v>
      </c>
      <c r="F137" s="59"/>
      <c r="G137" s="59"/>
      <c r="H137" s="59"/>
      <c r="I137" s="59"/>
      <c r="J137" s="59"/>
      <c r="K137" s="59"/>
      <c r="L137" s="104"/>
      <c r="M137" s="104"/>
      <c r="N137" s="104"/>
      <c r="O137" s="59"/>
      <c r="P137" s="104"/>
      <c r="Q137" s="59" t="s">
        <v>93</v>
      </c>
      <c r="R137" s="59"/>
      <c r="S137" s="57">
        <v>18</v>
      </c>
      <c r="T137" s="59">
        <f t="shared" si="24"/>
        <v>575</v>
      </c>
      <c r="U137" s="59">
        <v>618</v>
      </c>
      <c r="V137" s="57">
        <v>613</v>
      </c>
      <c r="W137" s="59">
        <f t="shared" si="23"/>
        <v>6.1990212071778142E-2</v>
      </c>
      <c r="X137" s="57">
        <v>575</v>
      </c>
      <c r="Y137" s="57">
        <v>437</v>
      </c>
      <c r="Z137" s="57">
        <v>952</v>
      </c>
      <c r="AA137" s="57">
        <v>1370</v>
      </c>
      <c r="AB137" s="69">
        <v>1250</v>
      </c>
    </row>
    <row r="138" spans="1:28" ht="15.75" thickBot="1" x14ac:dyDescent="0.3">
      <c r="A138" s="70" t="s">
        <v>45</v>
      </c>
      <c r="B138" s="71" t="s">
        <v>51</v>
      </c>
      <c r="C138" s="72">
        <v>44137</v>
      </c>
      <c r="D138" s="60"/>
      <c r="E138" s="73">
        <v>5</v>
      </c>
      <c r="F138" s="60"/>
      <c r="G138" s="60"/>
      <c r="H138" s="60"/>
      <c r="I138" s="60"/>
      <c r="J138" s="60"/>
      <c r="K138" s="60"/>
      <c r="L138" s="105"/>
      <c r="M138" s="105"/>
      <c r="N138" s="105"/>
      <c r="O138" s="60"/>
      <c r="P138" s="105"/>
      <c r="Q138" s="60" t="s">
        <v>93</v>
      </c>
      <c r="R138" s="60"/>
      <c r="S138" s="73">
        <v>18</v>
      </c>
      <c r="T138" s="60">
        <f t="shared" si="24"/>
        <v>562</v>
      </c>
      <c r="U138" s="60">
        <v>586</v>
      </c>
      <c r="V138" s="73">
        <v>592</v>
      </c>
      <c r="W138" s="60">
        <f t="shared" si="23"/>
        <v>5.0675675675675678E-2</v>
      </c>
      <c r="X138" s="73">
        <v>562</v>
      </c>
      <c r="Y138" s="73">
        <v>419</v>
      </c>
      <c r="Z138" s="73">
        <v>936</v>
      </c>
      <c r="AA138" s="73">
        <v>1342</v>
      </c>
      <c r="AB138" s="74">
        <v>1144</v>
      </c>
    </row>
    <row r="139" spans="1:28" x14ac:dyDescent="0.25">
      <c r="A139" s="61" t="s">
        <v>40</v>
      </c>
      <c r="B139" s="62" t="s">
        <v>51</v>
      </c>
      <c r="C139" s="63">
        <v>44137</v>
      </c>
      <c r="D139" s="29"/>
      <c r="E139" s="64" t="s">
        <v>96</v>
      </c>
      <c r="F139" s="29"/>
      <c r="G139" s="29"/>
      <c r="H139" s="29"/>
      <c r="I139" s="29"/>
      <c r="J139" s="29"/>
      <c r="K139" s="29"/>
      <c r="L139" s="103"/>
      <c r="M139" s="103"/>
      <c r="N139" s="103"/>
      <c r="O139" s="29"/>
      <c r="P139" s="103"/>
      <c r="Q139" s="29">
        <v>30</v>
      </c>
      <c r="R139" s="29"/>
      <c r="S139" s="65">
        <v>14</v>
      </c>
      <c r="T139" s="65">
        <f>Z139</f>
        <v>1354</v>
      </c>
      <c r="U139" s="65">
        <v>1543</v>
      </c>
      <c r="V139" s="65">
        <v>3185</v>
      </c>
      <c r="W139" s="29">
        <f t="shared" si="23"/>
        <v>0.57488226059654635</v>
      </c>
      <c r="X139" s="65">
        <v>495</v>
      </c>
      <c r="Y139" s="65">
        <v>811</v>
      </c>
      <c r="Z139" s="65">
        <v>1354</v>
      </c>
      <c r="AA139" s="65">
        <v>629</v>
      </c>
      <c r="AB139" s="66">
        <v>573</v>
      </c>
    </row>
    <row r="140" spans="1:28" x14ac:dyDescent="0.25">
      <c r="A140" s="67" t="s">
        <v>40</v>
      </c>
      <c r="B140" s="58" t="s">
        <v>51</v>
      </c>
      <c r="C140" s="68">
        <v>44137</v>
      </c>
      <c r="D140" s="33"/>
      <c r="E140" s="57">
        <v>1</v>
      </c>
      <c r="F140" s="33"/>
      <c r="G140" s="33"/>
      <c r="H140" s="33"/>
      <c r="I140" s="33"/>
      <c r="J140" s="33"/>
      <c r="K140" s="33"/>
      <c r="L140" s="104"/>
      <c r="M140" s="104"/>
      <c r="N140" s="104"/>
      <c r="O140" s="33"/>
      <c r="P140" s="104"/>
      <c r="Q140" s="33" t="s">
        <v>93</v>
      </c>
      <c r="R140" s="33"/>
      <c r="S140" s="57">
        <v>17</v>
      </c>
      <c r="T140" s="57">
        <f>Z140</f>
        <v>981</v>
      </c>
      <c r="U140" s="57">
        <v>1048</v>
      </c>
      <c r="V140" s="57">
        <v>1514</v>
      </c>
      <c r="W140" s="33">
        <f t="shared" si="23"/>
        <v>0.35204755614266842</v>
      </c>
      <c r="X140" s="57">
        <v>491</v>
      </c>
      <c r="Y140" s="57">
        <v>496</v>
      </c>
      <c r="Z140" s="57">
        <v>981</v>
      </c>
      <c r="AA140" s="57">
        <v>1018</v>
      </c>
      <c r="AB140" s="69">
        <v>905</v>
      </c>
    </row>
    <row r="141" spans="1:28" x14ac:dyDescent="0.25">
      <c r="A141" s="67" t="s">
        <v>40</v>
      </c>
      <c r="B141" s="58" t="s">
        <v>51</v>
      </c>
      <c r="C141" s="68">
        <v>44137</v>
      </c>
      <c r="D141" s="33"/>
      <c r="E141" s="57">
        <v>2</v>
      </c>
      <c r="F141" s="33"/>
      <c r="G141" s="33"/>
      <c r="H141" s="33"/>
      <c r="I141" s="33"/>
      <c r="J141" s="33"/>
      <c r="K141" s="33"/>
      <c r="L141" s="104"/>
      <c r="M141" s="104"/>
      <c r="N141" s="104"/>
      <c r="O141" s="33"/>
      <c r="P141" s="104"/>
      <c r="Q141" s="33">
        <v>995.03</v>
      </c>
      <c r="R141" s="33"/>
      <c r="S141" s="57">
        <v>18</v>
      </c>
      <c r="T141" s="57">
        <f t="shared" ref="T141:T144" si="25">Z141</f>
        <v>1010</v>
      </c>
      <c r="U141" s="57">
        <v>1027</v>
      </c>
      <c r="V141" s="57">
        <v>1153</v>
      </c>
      <c r="W141" s="33">
        <f t="shared" si="23"/>
        <v>0.12402428447528187</v>
      </c>
      <c r="X141" s="57">
        <v>552</v>
      </c>
      <c r="Y141" s="57">
        <v>448</v>
      </c>
      <c r="Z141" s="57">
        <v>1010</v>
      </c>
      <c r="AA141" s="57">
        <v>1364</v>
      </c>
      <c r="AB141" s="69">
        <v>1200</v>
      </c>
    </row>
    <row r="142" spans="1:28" x14ac:dyDescent="0.25">
      <c r="A142" s="67" t="s">
        <v>40</v>
      </c>
      <c r="B142" s="58" t="s">
        <v>51</v>
      </c>
      <c r="C142" s="68">
        <v>44137</v>
      </c>
      <c r="D142" s="33"/>
      <c r="E142" s="57">
        <v>3</v>
      </c>
      <c r="F142" s="33"/>
      <c r="G142" s="33"/>
      <c r="H142" s="33"/>
      <c r="I142" s="33"/>
      <c r="J142" s="33"/>
      <c r="K142" s="33"/>
      <c r="L142" s="104"/>
      <c r="M142" s="104"/>
      <c r="N142" s="104"/>
      <c r="O142" s="33"/>
      <c r="P142" s="104"/>
      <c r="Q142" s="33" t="s">
        <v>93</v>
      </c>
      <c r="R142" s="33"/>
      <c r="S142" s="57">
        <v>18</v>
      </c>
      <c r="T142" s="57">
        <f t="shared" si="25"/>
        <v>858</v>
      </c>
      <c r="U142" s="57">
        <v>504</v>
      </c>
      <c r="V142" s="57">
        <v>502</v>
      </c>
      <c r="W142" s="33">
        <f t="shared" si="23"/>
        <v>-0.70916334661354585</v>
      </c>
      <c r="X142" s="57">
        <v>492</v>
      </c>
      <c r="Y142" s="57">
        <v>379</v>
      </c>
      <c r="Z142" s="57">
        <v>858</v>
      </c>
      <c r="AA142" s="57">
        <v>1230</v>
      </c>
      <c r="AB142" s="34">
        <v>1132</v>
      </c>
    </row>
    <row r="143" spans="1:28" x14ac:dyDescent="0.25">
      <c r="A143" s="67" t="s">
        <v>40</v>
      </c>
      <c r="B143" s="58" t="s">
        <v>51</v>
      </c>
      <c r="C143" s="68">
        <v>44137</v>
      </c>
      <c r="D143" s="33"/>
      <c r="E143" s="57">
        <v>4</v>
      </c>
      <c r="F143" s="33"/>
      <c r="G143" s="33"/>
      <c r="H143" s="33"/>
      <c r="I143" s="33"/>
      <c r="J143" s="33"/>
      <c r="K143" s="33"/>
      <c r="L143" s="104"/>
      <c r="M143" s="104"/>
      <c r="N143" s="104"/>
      <c r="O143" s="33"/>
      <c r="P143" s="104"/>
      <c r="Q143" s="33" t="s">
        <v>93</v>
      </c>
      <c r="R143" s="33"/>
      <c r="S143" s="57">
        <v>18</v>
      </c>
      <c r="T143" s="57">
        <f t="shared" si="25"/>
        <v>926</v>
      </c>
      <c r="U143" s="57">
        <v>544</v>
      </c>
      <c r="V143" s="57">
        <v>537</v>
      </c>
      <c r="W143" s="33">
        <f t="shared" si="23"/>
        <v>-0.72439478584729977</v>
      </c>
      <c r="X143" s="57">
        <v>536</v>
      </c>
      <c r="Y143" s="57">
        <v>412</v>
      </c>
      <c r="Z143" s="57">
        <v>926</v>
      </c>
      <c r="AA143" s="57">
        <v>1310</v>
      </c>
      <c r="AB143" s="34">
        <v>1195</v>
      </c>
    </row>
    <row r="144" spans="1:28" ht="15.75" thickBot="1" x14ac:dyDescent="0.3">
      <c r="A144" s="70" t="s">
        <v>40</v>
      </c>
      <c r="B144" s="71" t="s">
        <v>51</v>
      </c>
      <c r="C144" s="72">
        <v>44137</v>
      </c>
      <c r="D144" s="38"/>
      <c r="E144" s="73">
        <v>5</v>
      </c>
      <c r="F144" s="38"/>
      <c r="G144" s="38"/>
      <c r="H144" s="38" t="s">
        <v>128</v>
      </c>
      <c r="I144" s="38"/>
      <c r="J144" s="38"/>
      <c r="K144" s="38"/>
      <c r="L144" s="105"/>
      <c r="M144" s="105"/>
      <c r="N144" s="105"/>
      <c r="O144" s="38"/>
      <c r="P144" s="105"/>
      <c r="Q144" s="38" t="s">
        <v>93</v>
      </c>
      <c r="R144" s="38"/>
      <c r="S144" s="38">
        <v>18</v>
      </c>
      <c r="T144" s="73">
        <f t="shared" si="25"/>
        <v>933</v>
      </c>
      <c r="U144" s="38">
        <v>556</v>
      </c>
      <c r="V144" s="38">
        <v>543</v>
      </c>
      <c r="W144" s="38">
        <f t="shared" si="23"/>
        <v>-0.71823204419889508</v>
      </c>
      <c r="X144" s="38">
        <v>541</v>
      </c>
      <c r="Y144" s="38">
        <v>408</v>
      </c>
      <c r="Z144" s="38">
        <v>933</v>
      </c>
      <c r="AA144" s="38">
        <v>1343</v>
      </c>
      <c r="AB144" s="39">
        <v>1183</v>
      </c>
    </row>
    <row r="145" spans="1:28" x14ac:dyDescent="0.25">
      <c r="A145" s="61" t="s">
        <v>41</v>
      </c>
      <c r="B145" s="62" t="s">
        <v>51</v>
      </c>
      <c r="C145" s="27">
        <v>44138</v>
      </c>
      <c r="D145" s="29"/>
      <c r="E145" s="64" t="s">
        <v>96</v>
      </c>
      <c r="F145" s="29"/>
      <c r="G145" s="29"/>
      <c r="H145" s="29"/>
      <c r="I145" s="29"/>
      <c r="J145" s="29"/>
      <c r="K145" s="29"/>
      <c r="L145" s="103"/>
      <c r="M145" s="103"/>
      <c r="N145" s="103"/>
      <c r="O145" s="29"/>
      <c r="P145" s="103"/>
      <c r="Q145" s="29">
        <v>30</v>
      </c>
      <c r="R145" s="29"/>
      <c r="S145" s="44">
        <v>14</v>
      </c>
      <c r="T145" s="65">
        <f>Z145</f>
        <v>1312</v>
      </c>
      <c r="U145" s="44">
        <v>1753</v>
      </c>
      <c r="V145" s="44">
        <v>3525</v>
      </c>
      <c r="W145" s="29">
        <f t="shared" si="23"/>
        <v>0.62780141843971626</v>
      </c>
      <c r="X145" s="44">
        <v>399</v>
      </c>
      <c r="Y145" s="44">
        <v>505</v>
      </c>
      <c r="Z145" s="44">
        <v>1312</v>
      </c>
      <c r="AA145" s="44">
        <v>458</v>
      </c>
      <c r="AB145" s="56">
        <v>410</v>
      </c>
    </row>
    <row r="146" spans="1:28" x14ac:dyDescent="0.25">
      <c r="A146" s="67" t="s">
        <v>41</v>
      </c>
      <c r="B146" s="58" t="s">
        <v>51</v>
      </c>
      <c r="C146" s="32">
        <v>44138</v>
      </c>
      <c r="D146" s="33"/>
      <c r="E146" s="57">
        <v>1</v>
      </c>
      <c r="F146" s="33"/>
      <c r="G146" s="33"/>
      <c r="H146" s="33"/>
      <c r="I146" s="33"/>
      <c r="J146" s="33"/>
      <c r="K146" s="33"/>
      <c r="L146" s="104"/>
      <c r="M146" s="104"/>
      <c r="N146" s="104"/>
      <c r="O146" s="33"/>
      <c r="P146" s="104"/>
      <c r="Q146" s="33" t="s">
        <v>93</v>
      </c>
      <c r="R146" s="33"/>
      <c r="S146" s="42">
        <v>17</v>
      </c>
      <c r="T146" s="57">
        <f t="shared" ref="T146:T150" si="26">Z146</f>
        <v>1330</v>
      </c>
      <c r="U146" s="42">
        <v>1584</v>
      </c>
      <c r="V146" s="42">
        <v>2533</v>
      </c>
      <c r="W146" s="33">
        <f t="shared" si="23"/>
        <v>0.4749309119621003</v>
      </c>
      <c r="X146" s="42">
        <v>589</v>
      </c>
      <c r="Y146" s="42">
        <v>548</v>
      </c>
      <c r="Z146" s="42">
        <v>1330</v>
      </c>
      <c r="AA146" s="42">
        <v>1225</v>
      </c>
      <c r="AB146" s="43">
        <v>1062</v>
      </c>
    </row>
    <row r="147" spans="1:28" x14ac:dyDescent="0.25">
      <c r="A147" s="67" t="s">
        <v>41</v>
      </c>
      <c r="B147" s="58" t="s">
        <v>51</v>
      </c>
      <c r="C147" s="32">
        <v>44138</v>
      </c>
      <c r="D147" s="33"/>
      <c r="E147" s="57">
        <v>2</v>
      </c>
      <c r="F147" s="33"/>
      <c r="G147" s="33"/>
      <c r="H147" s="33"/>
      <c r="I147" s="33"/>
      <c r="J147" s="33"/>
      <c r="K147" s="33"/>
      <c r="L147" s="104"/>
      <c r="M147" s="104"/>
      <c r="N147" s="104"/>
      <c r="O147" s="33"/>
      <c r="P147" s="104"/>
      <c r="Q147" s="33">
        <v>995.03</v>
      </c>
      <c r="R147" s="33"/>
      <c r="S147" s="42">
        <v>17</v>
      </c>
      <c r="T147" s="57">
        <f t="shared" si="26"/>
        <v>847</v>
      </c>
      <c r="U147" s="42">
        <v>907</v>
      </c>
      <c r="V147" s="42">
        <v>1102</v>
      </c>
      <c r="W147" s="33">
        <f t="shared" si="23"/>
        <v>0.23139745916515425</v>
      </c>
      <c r="X147" s="42">
        <v>453</v>
      </c>
      <c r="Y147" s="42">
        <v>365</v>
      </c>
      <c r="Z147" s="42">
        <v>847</v>
      </c>
      <c r="AA147" s="42">
        <v>1071</v>
      </c>
      <c r="AB147" s="43">
        <v>916</v>
      </c>
    </row>
    <row r="148" spans="1:28" x14ac:dyDescent="0.25">
      <c r="A148" s="67" t="s">
        <v>41</v>
      </c>
      <c r="B148" s="58" t="s">
        <v>51</v>
      </c>
      <c r="C148" s="32">
        <v>44138</v>
      </c>
      <c r="D148" s="33"/>
      <c r="E148" s="57">
        <v>3</v>
      </c>
      <c r="F148" s="33"/>
      <c r="G148" s="33"/>
      <c r="H148" s="33"/>
      <c r="I148" s="33"/>
      <c r="J148" s="33"/>
      <c r="K148" s="33"/>
      <c r="L148" s="104"/>
      <c r="M148" s="104"/>
      <c r="N148" s="104"/>
      <c r="O148" s="33"/>
      <c r="P148" s="104"/>
      <c r="Q148" s="33" t="s">
        <v>93</v>
      </c>
      <c r="R148" s="33"/>
      <c r="S148" s="42">
        <v>18</v>
      </c>
      <c r="T148" s="57">
        <f t="shared" si="26"/>
        <v>957</v>
      </c>
      <c r="U148" s="42">
        <v>984</v>
      </c>
      <c r="V148" s="42">
        <v>1059</v>
      </c>
      <c r="W148" s="33">
        <f t="shared" si="23"/>
        <v>9.6317280453257784E-2</v>
      </c>
      <c r="X148" s="42">
        <v>547</v>
      </c>
      <c r="Y148" s="42">
        <v>423</v>
      </c>
      <c r="Z148" s="42">
        <v>957</v>
      </c>
      <c r="AA148" s="42">
        <v>1339</v>
      </c>
      <c r="AB148" s="43">
        <v>1176</v>
      </c>
    </row>
    <row r="149" spans="1:28" x14ac:dyDescent="0.25">
      <c r="A149" s="67" t="s">
        <v>41</v>
      </c>
      <c r="B149" s="58" t="s">
        <v>51</v>
      </c>
      <c r="C149" s="32">
        <v>44138</v>
      </c>
      <c r="D149" s="33"/>
      <c r="E149" s="57">
        <v>4</v>
      </c>
      <c r="F149" s="33"/>
      <c r="G149" s="33"/>
      <c r="H149" s="33"/>
      <c r="I149" s="33"/>
      <c r="J149" s="33"/>
      <c r="K149" s="33"/>
      <c r="L149" s="104"/>
      <c r="M149" s="104"/>
      <c r="N149" s="104"/>
      <c r="O149" s="33"/>
      <c r="P149" s="104"/>
      <c r="Q149" s="33" t="s">
        <v>93</v>
      </c>
      <c r="R149" s="33"/>
      <c r="S149" s="42">
        <v>18</v>
      </c>
      <c r="T149" s="57">
        <f t="shared" si="26"/>
        <v>923</v>
      </c>
      <c r="U149" s="42">
        <v>944</v>
      </c>
      <c r="V149" s="42">
        <v>979</v>
      </c>
      <c r="W149" s="33">
        <f t="shared" si="23"/>
        <v>5.7201225740551587E-2</v>
      </c>
      <c r="X149" s="42">
        <v>518</v>
      </c>
      <c r="Y149" s="42">
        <v>397</v>
      </c>
      <c r="Z149" s="42">
        <v>923</v>
      </c>
      <c r="AA149" s="42">
        <v>1333</v>
      </c>
      <c r="AB149" s="43">
        <v>1197</v>
      </c>
    </row>
    <row r="150" spans="1:28" ht="15.75" thickBot="1" x14ac:dyDescent="0.3">
      <c r="A150" s="70" t="s">
        <v>41</v>
      </c>
      <c r="B150" s="71" t="s">
        <v>51</v>
      </c>
      <c r="C150" s="37">
        <v>44138</v>
      </c>
      <c r="D150" s="38"/>
      <c r="E150" s="73">
        <v>5</v>
      </c>
      <c r="F150" s="38"/>
      <c r="G150" s="38"/>
      <c r="H150" s="38"/>
      <c r="I150" s="38"/>
      <c r="J150" s="38"/>
      <c r="K150" s="38"/>
      <c r="L150" s="105"/>
      <c r="M150" s="105"/>
      <c r="N150" s="105"/>
      <c r="O150" s="38"/>
      <c r="P150" s="105"/>
      <c r="Q150" s="38" t="s">
        <v>93</v>
      </c>
      <c r="R150" s="38"/>
      <c r="S150" s="45">
        <v>17</v>
      </c>
      <c r="T150" s="73">
        <f t="shared" si="26"/>
        <v>828</v>
      </c>
      <c r="U150" s="38">
        <v>845</v>
      </c>
      <c r="V150" s="38">
        <v>878</v>
      </c>
      <c r="W150" s="38">
        <f t="shared" si="23"/>
        <v>5.6947608200455579E-2</v>
      </c>
      <c r="X150" s="38">
        <v>501</v>
      </c>
      <c r="Y150" s="38">
        <v>414</v>
      </c>
      <c r="Z150" s="38">
        <v>828</v>
      </c>
      <c r="AA150" s="38">
        <v>1196</v>
      </c>
      <c r="AB150" s="39">
        <v>1234</v>
      </c>
    </row>
    <row r="151" spans="1:28" x14ac:dyDescent="0.25">
      <c r="A151" s="61" t="s">
        <v>46</v>
      </c>
      <c r="B151" s="62" t="s">
        <v>51</v>
      </c>
      <c r="C151" s="27">
        <v>44139</v>
      </c>
      <c r="D151" s="29"/>
      <c r="E151" s="64" t="s">
        <v>96</v>
      </c>
      <c r="F151" s="29"/>
      <c r="G151" s="29"/>
      <c r="H151" s="29"/>
      <c r="I151" s="29"/>
      <c r="J151" s="29"/>
      <c r="K151" s="29"/>
      <c r="L151" s="103"/>
      <c r="M151" s="103"/>
      <c r="N151" s="103"/>
      <c r="O151" s="29"/>
      <c r="P151" s="103"/>
      <c r="Q151" s="29">
        <v>30</v>
      </c>
      <c r="R151" s="29"/>
      <c r="S151" s="44">
        <v>12</v>
      </c>
      <c r="T151" s="65">
        <f>X151</f>
        <v>1184</v>
      </c>
      <c r="U151" s="44">
        <v>2907</v>
      </c>
      <c r="V151" s="44">
        <v>3597</v>
      </c>
      <c r="W151" s="29">
        <f t="shared" si="23"/>
        <v>0.6708368084514873</v>
      </c>
      <c r="X151" s="44">
        <v>1184</v>
      </c>
      <c r="Y151" s="44">
        <v>681</v>
      </c>
      <c r="Z151" s="44">
        <v>732</v>
      </c>
      <c r="AA151" s="44">
        <v>387</v>
      </c>
      <c r="AB151" s="56">
        <v>373</v>
      </c>
    </row>
    <row r="152" spans="1:28" x14ac:dyDescent="0.25">
      <c r="A152" s="67" t="s">
        <v>46</v>
      </c>
      <c r="B152" s="58" t="s">
        <v>51</v>
      </c>
      <c r="C152" s="32">
        <v>44139</v>
      </c>
      <c r="D152" s="33"/>
      <c r="E152" s="57">
        <v>1</v>
      </c>
      <c r="F152" s="33"/>
      <c r="G152" s="33"/>
      <c r="H152" s="33"/>
      <c r="I152" s="33"/>
      <c r="J152" s="33"/>
      <c r="K152" s="33"/>
      <c r="L152" s="104"/>
      <c r="M152" s="104"/>
      <c r="N152" s="104"/>
      <c r="O152" s="33"/>
      <c r="P152" s="104"/>
      <c r="Q152" s="33" t="s">
        <v>93</v>
      </c>
      <c r="R152" s="33"/>
      <c r="S152" s="42">
        <v>17</v>
      </c>
      <c r="T152" s="57">
        <f t="shared" ref="T152:T162" si="27">X152</f>
        <v>1541</v>
      </c>
      <c r="U152" s="42">
        <v>2961</v>
      </c>
      <c r="V152" s="42">
        <v>4245</v>
      </c>
      <c r="W152" s="33">
        <f t="shared" si="23"/>
        <v>0.63698468786808005</v>
      </c>
      <c r="X152" s="42">
        <v>1541</v>
      </c>
      <c r="Y152" s="42">
        <v>958</v>
      </c>
      <c r="Z152" s="42">
        <v>1399</v>
      </c>
      <c r="AA152" s="42">
        <v>1405</v>
      </c>
      <c r="AB152" s="34">
        <v>1333</v>
      </c>
    </row>
    <row r="153" spans="1:28" x14ac:dyDescent="0.25">
      <c r="A153" s="67" t="s">
        <v>46</v>
      </c>
      <c r="B153" s="58" t="s">
        <v>51</v>
      </c>
      <c r="C153" s="32">
        <v>44139</v>
      </c>
      <c r="D153" s="33"/>
      <c r="E153" s="57">
        <v>2</v>
      </c>
      <c r="F153" s="33"/>
      <c r="G153" s="33"/>
      <c r="H153" s="33"/>
      <c r="I153" s="33"/>
      <c r="J153" s="33"/>
      <c r="K153" s="33"/>
      <c r="L153" s="104"/>
      <c r="M153" s="104"/>
      <c r="N153" s="104"/>
      <c r="O153" s="33"/>
      <c r="P153" s="104"/>
      <c r="Q153" s="33">
        <v>995.03</v>
      </c>
      <c r="R153" s="33"/>
      <c r="S153" s="42">
        <v>17</v>
      </c>
      <c r="T153" s="57">
        <f t="shared" si="27"/>
        <v>561</v>
      </c>
      <c r="U153" s="42">
        <v>780</v>
      </c>
      <c r="V153" s="42">
        <v>934</v>
      </c>
      <c r="W153" s="33">
        <f t="shared" si="23"/>
        <v>0.39935760171306212</v>
      </c>
      <c r="X153" s="42">
        <v>561</v>
      </c>
      <c r="Y153" s="42">
        <v>384</v>
      </c>
      <c r="Z153" s="42">
        <v>761</v>
      </c>
      <c r="AA153" s="42">
        <v>1009</v>
      </c>
      <c r="AB153" s="34">
        <v>894</v>
      </c>
    </row>
    <row r="154" spans="1:28" x14ac:dyDescent="0.25">
      <c r="A154" s="67" t="s">
        <v>46</v>
      </c>
      <c r="B154" s="58" t="s">
        <v>51</v>
      </c>
      <c r="C154" s="32">
        <v>44139</v>
      </c>
      <c r="D154" s="33"/>
      <c r="E154" s="57">
        <v>3</v>
      </c>
      <c r="F154" s="33"/>
      <c r="G154" s="33"/>
      <c r="H154" s="33"/>
      <c r="I154" s="33"/>
      <c r="J154" s="33"/>
      <c r="K154" s="33"/>
      <c r="L154" s="104"/>
      <c r="M154" s="104"/>
      <c r="N154" s="104"/>
      <c r="O154" s="33"/>
      <c r="P154" s="104"/>
      <c r="Q154" s="33" t="s">
        <v>93</v>
      </c>
      <c r="R154" s="33"/>
      <c r="S154" s="42">
        <v>18</v>
      </c>
      <c r="T154" s="57">
        <f t="shared" si="27"/>
        <v>681</v>
      </c>
      <c r="U154" s="42">
        <v>849</v>
      </c>
      <c r="V154" s="42">
        <v>1006</v>
      </c>
      <c r="W154" s="33">
        <f t="shared" si="23"/>
        <v>0.32306163021868789</v>
      </c>
      <c r="X154" s="42">
        <v>681</v>
      </c>
      <c r="Y154" s="42">
        <v>485</v>
      </c>
      <c r="Z154" s="42">
        <v>1017</v>
      </c>
      <c r="AA154" s="42">
        <v>1419</v>
      </c>
      <c r="AB154" s="34">
        <v>1314</v>
      </c>
    </row>
    <row r="155" spans="1:28" x14ac:dyDescent="0.25">
      <c r="A155" s="67" t="s">
        <v>46</v>
      </c>
      <c r="B155" s="58" t="s">
        <v>51</v>
      </c>
      <c r="C155" s="32">
        <v>44139</v>
      </c>
      <c r="D155" s="33"/>
      <c r="E155" s="57">
        <v>4</v>
      </c>
      <c r="F155" s="33"/>
      <c r="G155" s="33"/>
      <c r="H155" s="33"/>
      <c r="I155" s="33"/>
      <c r="J155" s="33"/>
      <c r="K155" s="33"/>
      <c r="L155" s="104"/>
      <c r="M155" s="104"/>
      <c r="N155" s="104"/>
      <c r="O155" s="33"/>
      <c r="P155" s="104"/>
      <c r="Q155" s="33" t="s">
        <v>93</v>
      </c>
      <c r="R155" s="33"/>
      <c r="S155" s="42">
        <v>18</v>
      </c>
      <c r="T155" s="57">
        <f t="shared" si="27"/>
        <v>592</v>
      </c>
      <c r="U155" s="42">
        <v>637</v>
      </c>
      <c r="V155" s="42">
        <v>637</v>
      </c>
      <c r="W155" s="33">
        <f t="shared" si="23"/>
        <v>7.0643642072213506E-2</v>
      </c>
      <c r="X155" s="42">
        <v>592</v>
      </c>
      <c r="Y155" s="42">
        <v>438</v>
      </c>
      <c r="Z155" s="42">
        <v>971</v>
      </c>
      <c r="AA155" s="42">
        <v>1409</v>
      </c>
      <c r="AB155" s="34">
        <v>1318</v>
      </c>
    </row>
    <row r="156" spans="1:28" ht="15.75" thickBot="1" x14ac:dyDescent="0.3">
      <c r="A156" s="70" t="s">
        <v>46</v>
      </c>
      <c r="B156" s="71" t="s">
        <v>51</v>
      </c>
      <c r="C156" s="37">
        <v>44139</v>
      </c>
      <c r="D156" s="38"/>
      <c r="E156" s="73">
        <v>5</v>
      </c>
      <c r="F156" s="38"/>
      <c r="G156" s="38"/>
      <c r="H156" s="38"/>
      <c r="I156" s="38"/>
      <c r="J156" s="38"/>
      <c r="K156" s="38"/>
      <c r="L156" s="105"/>
      <c r="M156" s="105"/>
      <c r="N156" s="105"/>
      <c r="O156" s="38"/>
      <c r="P156" s="105"/>
      <c r="Q156" s="38" t="s">
        <v>93</v>
      </c>
      <c r="R156" s="38"/>
      <c r="S156" s="38">
        <v>18</v>
      </c>
      <c r="T156" s="73">
        <f t="shared" si="27"/>
        <v>582</v>
      </c>
      <c r="U156" s="38">
        <v>615</v>
      </c>
      <c r="V156" s="38">
        <v>635</v>
      </c>
      <c r="W156" s="38">
        <f t="shared" si="23"/>
        <v>8.3464566929133857E-2</v>
      </c>
      <c r="X156" s="38">
        <v>582</v>
      </c>
      <c r="Y156" s="38">
        <v>434</v>
      </c>
      <c r="Z156" s="38">
        <v>959</v>
      </c>
      <c r="AA156" s="38">
        <v>1385</v>
      </c>
      <c r="AB156" s="39">
        <v>1273</v>
      </c>
    </row>
    <row r="157" spans="1:28" x14ac:dyDescent="0.25">
      <c r="A157" s="61" t="s">
        <v>37</v>
      </c>
      <c r="B157" s="62" t="s">
        <v>51</v>
      </c>
      <c r="C157" s="27">
        <v>44139</v>
      </c>
      <c r="D157" s="29"/>
      <c r="E157" s="64" t="s">
        <v>96</v>
      </c>
      <c r="F157" s="29"/>
      <c r="G157" s="29"/>
      <c r="H157" s="29"/>
      <c r="I157" s="29"/>
      <c r="J157" s="29"/>
      <c r="K157" s="29"/>
      <c r="L157" s="103"/>
      <c r="M157" s="103"/>
      <c r="N157" s="103"/>
      <c r="O157" s="29"/>
      <c r="P157" s="103"/>
      <c r="Q157" s="29">
        <v>30</v>
      </c>
      <c r="R157" s="29"/>
      <c r="S157" s="44">
        <v>14</v>
      </c>
      <c r="T157" s="65">
        <f t="shared" si="27"/>
        <v>1178</v>
      </c>
      <c r="U157" s="44">
        <v>3705</v>
      </c>
      <c r="V157" s="44">
        <v>4445</v>
      </c>
      <c r="W157" s="29">
        <f t="shared" si="23"/>
        <v>0.7349831271091114</v>
      </c>
      <c r="X157" s="44">
        <v>1178</v>
      </c>
      <c r="Y157" s="44">
        <v>340</v>
      </c>
      <c r="Z157" s="44">
        <v>268</v>
      </c>
      <c r="AA157" s="44">
        <v>394</v>
      </c>
      <c r="AB157" s="56">
        <v>421</v>
      </c>
    </row>
    <row r="158" spans="1:28" x14ac:dyDescent="0.25">
      <c r="A158" s="67" t="s">
        <v>37</v>
      </c>
      <c r="B158" s="58" t="s">
        <v>51</v>
      </c>
      <c r="C158" s="32">
        <v>44139</v>
      </c>
      <c r="D158" s="33"/>
      <c r="E158" s="57">
        <v>1</v>
      </c>
      <c r="F158" s="33"/>
      <c r="G158" s="33"/>
      <c r="H158" s="33"/>
      <c r="I158" s="33"/>
      <c r="J158" s="33"/>
      <c r="K158" s="33"/>
      <c r="L158" s="104"/>
      <c r="M158" s="104"/>
      <c r="N158" s="104"/>
      <c r="O158" s="33"/>
      <c r="P158" s="104"/>
      <c r="Q158" s="33" t="s">
        <v>93</v>
      </c>
      <c r="R158" s="33"/>
      <c r="S158" s="42">
        <v>18</v>
      </c>
      <c r="T158" s="57">
        <f t="shared" si="27"/>
        <v>1053</v>
      </c>
      <c r="U158" s="42">
        <v>2218</v>
      </c>
      <c r="V158" s="42">
        <v>2694</v>
      </c>
      <c r="W158" s="33">
        <f t="shared" si="23"/>
        <v>0.60913140311804004</v>
      </c>
      <c r="X158" s="42">
        <v>1053</v>
      </c>
      <c r="Y158" s="42">
        <v>527</v>
      </c>
      <c r="Z158" s="42">
        <v>955</v>
      </c>
      <c r="AA158" s="42">
        <v>1403</v>
      </c>
      <c r="AB158" s="34">
        <v>1320</v>
      </c>
    </row>
    <row r="159" spans="1:28" x14ac:dyDescent="0.25">
      <c r="A159" s="67" t="s">
        <v>37</v>
      </c>
      <c r="B159" s="58" t="s">
        <v>51</v>
      </c>
      <c r="C159" s="32">
        <v>44139</v>
      </c>
      <c r="D159" s="33"/>
      <c r="E159" s="57">
        <v>2</v>
      </c>
      <c r="F159" s="33"/>
      <c r="G159" s="33"/>
      <c r="H159" s="33"/>
      <c r="I159" s="33"/>
      <c r="J159" s="33"/>
      <c r="K159" s="33"/>
      <c r="L159" s="104"/>
      <c r="M159" s="104"/>
      <c r="N159" s="104"/>
      <c r="O159" s="33"/>
      <c r="P159" s="104"/>
      <c r="Q159" s="33">
        <v>995.03</v>
      </c>
      <c r="R159" s="33"/>
      <c r="S159" s="42">
        <v>18</v>
      </c>
      <c r="T159" s="57">
        <f t="shared" si="27"/>
        <v>679</v>
      </c>
      <c r="U159" s="42">
        <v>940</v>
      </c>
      <c r="V159" s="42">
        <v>1022</v>
      </c>
      <c r="W159" s="33">
        <f t="shared" si="23"/>
        <v>0.33561643835616439</v>
      </c>
      <c r="X159" s="42">
        <v>679</v>
      </c>
      <c r="Y159" s="42">
        <v>452</v>
      </c>
      <c r="Z159" s="42">
        <v>970</v>
      </c>
      <c r="AA159" s="42">
        <v>1422</v>
      </c>
      <c r="AB159" s="34">
        <v>1303</v>
      </c>
    </row>
    <row r="160" spans="1:28" x14ac:dyDescent="0.25">
      <c r="A160" s="67" t="s">
        <v>37</v>
      </c>
      <c r="B160" s="58" t="s">
        <v>51</v>
      </c>
      <c r="C160" s="32">
        <v>44139</v>
      </c>
      <c r="D160" s="33"/>
      <c r="E160" s="57">
        <v>3</v>
      </c>
      <c r="F160" s="33"/>
      <c r="G160" s="33"/>
      <c r="H160" s="33"/>
      <c r="I160" s="33"/>
      <c r="J160" s="33"/>
      <c r="K160" s="33"/>
      <c r="L160" s="104"/>
      <c r="M160" s="104"/>
      <c r="N160" s="104"/>
      <c r="O160" s="33"/>
      <c r="P160" s="104"/>
      <c r="Q160" s="33" t="s">
        <v>93</v>
      </c>
      <c r="R160" s="33"/>
      <c r="S160" s="42">
        <v>18</v>
      </c>
      <c r="T160" s="57">
        <f t="shared" si="27"/>
        <v>572</v>
      </c>
      <c r="U160" s="42">
        <v>645</v>
      </c>
      <c r="V160" s="42">
        <v>679</v>
      </c>
      <c r="W160" s="33">
        <f t="shared" si="23"/>
        <v>0.15758468335787923</v>
      </c>
      <c r="X160" s="42">
        <v>572</v>
      </c>
      <c r="Y160" s="42">
        <v>424</v>
      </c>
      <c r="Z160" s="42">
        <v>929</v>
      </c>
      <c r="AA160" s="42">
        <v>1360</v>
      </c>
      <c r="AB160" s="34">
        <v>1200</v>
      </c>
    </row>
    <row r="161" spans="1:28" x14ac:dyDescent="0.25">
      <c r="A161" s="67" t="s">
        <v>37</v>
      </c>
      <c r="B161" s="58" t="s">
        <v>51</v>
      </c>
      <c r="C161" s="32">
        <v>44139</v>
      </c>
      <c r="D161" s="33"/>
      <c r="E161" s="57">
        <v>4</v>
      </c>
      <c r="F161" s="33"/>
      <c r="G161" s="33"/>
      <c r="H161" s="33"/>
      <c r="I161" s="33"/>
      <c r="J161" s="33"/>
      <c r="K161" s="33"/>
      <c r="L161" s="104"/>
      <c r="M161" s="104"/>
      <c r="N161" s="104"/>
      <c r="O161" s="33"/>
      <c r="P161" s="104"/>
      <c r="Q161" s="33" t="s">
        <v>93</v>
      </c>
      <c r="R161" s="33"/>
      <c r="S161" s="42">
        <v>18</v>
      </c>
      <c r="T161" s="57">
        <f t="shared" si="27"/>
        <v>582</v>
      </c>
      <c r="U161" s="42">
        <v>617</v>
      </c>
      <c r="V161" s="42">
        <v>599</v>
      </c>
      <c r="W161" s="33">
        <f t="shared" si="23"/>
        <v>2.8380634390651086E-2</v>
      </c>
      <c r="X161" s="42">
        <v>582</v>
      </c>
      <c r="Y161" s="42">
        <v>426</v>
      </c>
      <c r="Z161" s="42">
        <v>968</v>
      </c>
      <c r="AA161" s="42">
        <v>1413</v>
      </c>
      <c r="AB161" s="34">
        <v>1303</v>
      </c>
    </row>
    <row r="162" spans="1:28" ht="15.75" thickBot="1" x14ac:dyDescent="0.3">
      <c r="A162" s="70" t="s">
        <v>37</v>
      </c>
      <c r="B162" s="71" t="s">
        <v>51</v>
      </c>
      <c r="C162" s="37">
        <v>44139</v>
      </c>
      <c r="D162" s="38"/>
      <c r="E162" s="73">
        <v>5</v>
      </c>
      <c r="F162" s="38"/>
      <c r="G162" s="38"/>
      <c r="H162" s="38"/>
      <c r="I162" s="38"/>
      <c r="J162" s="38"/>
      <c r="K162" s="38"/>
      <c r="L162" s="105"/>
      <c r="M162" s="105"/>
      <c r="N162" s="105"/>
      <c r="O162" s="38"/>
      <c r="P162" s="105"/>
      <c r="Q162" s="38" t="s">
        <v>93</v>
      </c>
      <c r="R162" s="38"/>
      <c r="S162" s="38">
        <v>18</v>
      </c>
      <c r="T162" s="73">
        <f t="shared" si="27"/>
        <v>535</v>
      </c>
      <c r="U162" s="38">
        <v>556</v>
      </c>
      <c r="V162" s="38">
        <v>562</v>
      </c>
      <c r="W162" s="38">
        <f t="shared" si="23"/>
        <v>4.8042704626334518E-2</v>
      </c>
      <c r="X162" s="38">
        <v>535</v>
      </c>
      <c r="Y162" s="38">
        <v>405</v>
      </c>
      <c r="Z162" s="38">
        <v>929</v>
      </c>
      <c r="AA162" s="38">
        <v>1360</v>
      </c>
      <c r="AB162" s="39">
        <v>1229</v>
      </c>
    </row>
    <row r="163" spans="1:28" x14ac:dyDescent="0.25">
      <c r="A163" s="61" t="s">
        <v>40</v>
      </c>
      <c r="B163" s="62" t="s">
        <v>131</v>
      </c>
      <c r="C163" s="27">
        <v>44139</v>
      </c>
      <c r="D163" s="29"/>
      <c r="E163" s="64" t="s">
        <v>96</v>
      </c>
      <c r="F163" s="29"/>
      <c r="G163" s="29"/>
      <c r="H163" s="29"/>
      <c r="I163" s="29"/>
      <c r="J163" s="29"/>
      <c r="K163" s="29"/>
      <c r="L163" s="103"/>
      <c r="M163" s="103"/>
      <c r="N163" s="103"/>
      <c r="O163" s="29"/>
      <c r="P163" s="103"/>
      <c r="Q163" s="29">
        <v>30</v>
      </c>
      <c r="R163" s="29"/>
      <c r="S163" s="44">
        <v>14</v>
      </c>
      <c r="T163" s="65">
        <f>Z163</f>
        <v>1104</v>
      </c>
      <c r="U163" s="44">
        <v>1279</v>
      </c>
      <c r="V163" s="44">
        <v>2636</v>
      </c>
      <c r="W163" s="29">
        <f t="shared" si="23"/>
        <v>0.58118361153262521</v>
      </c>
      <c r="X163" s="44">
        <v>425</v>
      </c>
      <c r="Y163" s="44">
        <v>661</v>
      </c>
      <c r="Z163" s="44">
        <v>1104</v>
      </c>
      <c r="AA163" s="44">
        <v>568</v>
      </c>
      <c r="AB163" s="56">
        <v>519</v>
      </c>
    </row>
    <row r="164" spans="1:28" x14ac:dyDescent="0.25">
      <c r="A164" s="67" t="s">
        <v>40</v>
      </c>
      <c r="B164" s="58" t="s">
        <v>131</v>
      </c>
      <c r="C164" s="32">
        <v>44139</v>
      </c>
      <c r="D164" s="33"/>
      <c r="E164" s="57">
        <v>1</v>
      </c>
      <c r="F164" s="33"/>
      <c r="G164" s="33"/>
      <c r="H164" s="33"/>
      <c r="I164" s="33"/>
      <c r="J164" s="33"/>
      <c r="K164" s="33"/>
      <c r="L164" s="104"/>
      <c r="M164" s="104"/>
      <c r="N164" s="104"/>
      <c r="O164" s="33"/>
      <c r="P164" s="104"/>
      <c r="Q164" s="33" t="s">
        <v>93</v>
      </c>
      <c r="R164" s="33"/>
      <c r="S164" s="42">
        <v>18</v>
      </c>
      <c r="T164" s="57">
        <f t="shared" ref="T164:T168" si="28">Z164</f>
        <v>1365</v>
      </c>
      <c r="U164" s="42">
        <v>1444</v>
      </c>
      <c r="V164" s="42">
        <v>2025</v>
      </c>
      <c r="W164" s="33">
        <f t="shared" si="23"/>
        <v>0.32592592592592595</v>
      </c>
      <c r="X164" s="42">
        <v>689</v>
      </c>
      <c r="Y164" s="42">
        <v>685</v>
      </c>
      <c r="Z164" s="42">
        <v>1365</v>
      </c>
      <c r="AA164" s="42">
        <v>1507</v>
      </c>
      <c r="AB164" s="34">
        <v>1371</v>
      </c>
    </row>
    <row r="165" spans="1:28" x14ac:dyDescent="0.25">
      <c r="A165" s="67" t="s">
        <v>40</v>
      </c>
      <c r="B165" s="58" t="s">
        <v>131</v>
      </c>
      <c r="C165" s="32">
        <v>44139</v>
      </c>
      <c r="D165" s="33"/>
      <c r="E165" s="57">
        <v>2</v>
      </c>
      <c r="F165" s="33"/>
      <c r="G165" s="33"/>
      <c r="H165" s="33"/>
      <c r="I165" s="33"/>
      <c r="J165" s="33"/>
      <c r="K165" s="33"/>
      <c r="L165" s="104"/>
      <c r="M165" s="104"/>
      <c r="N165" s="104"/>
      <c r="O165" s="33"/>
      <c r="P165" s="104"/>
      <c r="Q165" s="33">
        <v>995.03</v>
      </c>
      <c r="R165" s="33"/>
      <c r="S165" s="42">
        <v>18</v>
      </c>
      <c r="T165" s="57">
        <f t="shared" si="28"/>
        <v>1046</v>
      </c>
      <c r="U165" s="42">
        <v>1078</v>
      </c>
      <c r="V165" s="42">
        <v>1180</v>
      </c>
      <c r="W165" s="33">
        <f t="shared" si="23"/>
        <v>0.11355932203389831</v>
      </c>
      <c r="X165" s="42">
        <v>593</v>
      </c>
      <c r="Y165" s="42">
        <v>478</v>
      </c>
      <c r="Z165" s="42">
        <v>1046</v>
      </c>
      <c r="AA165" s="42">
        <v>1424</v>
      </c>
      <c r="AB165" s="34">
        <v>1314</v>
      </c>
    </row>
    <row r="166" spans="1:28" x14ac:dyDescent="0.25">
      <c r="A166" s="67" t="s">
        <v>40</v>
      </c>
      <c r="B166" s="58" t="s">
        <v>131</v>
      </c>
      <c r="C166" s="32">
        <v>44139</v>
      </c>
      <c r="D166" s="33"/>
      <c r="E166" s="57">
        <v>3</v>
      </c>
      <c r="F166" s="33"/>
      <c r="G166" s="33"/>
      <c r="H166" s="33"/>
      <c r="I166" s="33"/>
      <c r="J166" s="33"/>
      <c r="K166" s="33"/>
      <c r="L166" s="104"/>
      <c r="M166" s="104"/>
      <c r="N166" s="104"/>
      <c r="O166" s="33"/>
      <c r="P166" s="104"/>
      <c r="Q166" s="33" t="s">
        <v>93</v>
      </c>
      <c r="R166" s="33"/>
      <c r="S166" s="42">
        <v>18</v>
      </c>
      <c r="T166" s="57">
        <f t="shared" si="28"/>
        <v>929</v>
      </c>
      <c r="U166" s="42">
        <v>945</v>
      </c>
      <c r="V166" s="42">
        <v>953</v>
      </c>
      <c r="W166" s="33">
        <f t="shared" si="23"/>
        <v>2.5183630640083946E-2</v>
      </c>
      <c r="X166" s="42">
        <v>523</v>
      </c>
      <c r="Y166" s="42">
        <v>407</v>
      </c>
      <c r="Z166" s="42">
        <v>929</v>
      </c>
      <c r="AA166" s="42">
        <v>1341</v>
      </c>
      <c r="AB166" s="34">
        <v>1207</v>
      </c>
    </row>
    <row r="167" spans="1:28" x14ac:dyDescent="0.25">
      <c r="A167" s="67" t="s">
        <v>40</v>
      </c>
      <c r="B167" s="58" t="s">
        <v>131</v>
      </c>
      <c r="C167" s="32">
        <v>44139</v>
      </c>
      <c r="D167" s="33"/>
      <c r="E167" s="57">
        <v>4</v>
      </c>
      <c r="F167" s="33"/>
      <c r="G167" s="33"/>
      <c r="H167" s="33"/>
      <c r="I167" s="33"/>
      <c r="J167" s="33"/>
      <c r="K167" s="33"/>
      <c r="L167" s="104"/>
      <c r="M167" s="104"/>
      <c r="N167" s="104"/>
      <c r="O167" s="33"/>
      <c r="P167" s="104"/>
      <c r="Q167" s="33" t="s">
        <v>93</v>
      </c>
      <c r="R167" s="33"/>
      <c r="S167" s="42">
        <v>18</v>
      </c>
      <c r="T167" s="57">
        <f t="shared" si="28"/>
        <v>954</v>
      </c>
      <c r="U167" s="42">
        <v>975</v>
      </c>
      <c r="V167" s="42">
        <v>935</v>
      </c>
      <c r="W167" s="33">
        <f t="shared" si="23"/>
        <v>-2.0320855614973262E-2</v>
      </c>
      <c r="X167" s="42">
        <v>550</v>
      </c>
      <c r="Y167" s="42">
        <v>415</v>
      </c>
      <c r="Z167" s="42">
        <v>954</v>
      </c>
      <c r="AA167" s="42">
        <v>1401</v>
      </c>
      <c r="AB167" s="34">
        <v>1293</v>
      </c>
    </row>
    <row r="168" spans="1:28" ht="15.75" thickBot="1" x14ac:dyDescent="0.3">
      <c r="A168" s="70" t="s">
        <v>40</v>
      </c>
      <c r="B168" s="71" t="s">
        <v>131</v>
      </c>
      <c r="C168" s="37">
        <v>44139</v>
      </c>
      <c r="D168" s="38"/>
      <c r="E168" s="73">
        <v>5</v>
      </c>
      <c r="F168" s="38"/>
      <c r="G168" s="38"/>
      <c r="H168" s="38"/>
      <c r="I168" s="38"/>
      <c r="J168" s="38"/>
      <c r="K168" s="38"/>
      <c r="L168" s="105"/>
      <c r="M168" s="105"/>
      <c r="N168" s="105"/>
      <c r="O168" s="38"/>
      <c r="P168" s="105"/>
      <c r="Q168" s="38" t="s">
        <v>93</v>
      </c>
      <c r="R168" s="38"/>
      <c r="S168" s="38">
        <v>18</v>
      </c>
      <c r="T168" s="73">
        <f t="shared" si="28"/>
        <v>953</v>
      </c>
      <c r="U168" s="38">
        <v>969</v>
      </c>
      <c r="V168" s="38">
        <v>951</v>
      </c>
      <c r="W168" s="38">
        <f t="shared" si="23"/>
        <v>-2.103049421661409E-3</v>
      </c>
      <c r="X168" s="38">
        <v>547</v>
      </c>
      <c r="Y168" s="38">
        <v>417</v>
      </c>
      <c r="Z168" s="38">
        <v>953</v>
      </c>
      <c r="AA168" s="38">
        <v>1396</v>
      </c>
      <c r="AB168" s="39">
        <v>1225</v>
      </c>
    </row>
    <row r="169" spans="1:28" x14ac:dyDescent="0.25">
      <c r="A169" s="61" t="s">
        <v>42</v>
      </c>
      <c r="B169" s="62" t="s">
        <v>51</v>
      </c>
      <c r="C169" s="27">
        <v>44139</v>
      </c>
      <c r="D169" s="29"/>
      <c r="E169" s="64" t="s">
        <v>96</v>
      </c>
      <c r="F169" s="29"/>
      <c r="G169" s="29"/>
      <c r="H169" s="29"/>
      <c r="I169" s="29"/>
      <c r="J169" s="29"/>
      <c r="K169" s="29"/>
      <c r="L169" s="103"/>
      <c r="M169" s="103"/>
      <c r="N169" s="103"/>
      <c r="O169" s="29"/>
      <c r="P169" s="103"/>
      <c r="Q169" s="29">
        <v>30</v>
      </c>
      <c r="R169" s="29"/>
      <c r="S169" s="44">
        <v>14</v>
      </c>
      <c r="T169" s="65">
        <f>Z169</f>
        <v>1411</v>
      </c>
      <c r="U169" s="44">
        <v>1666</v>
      </c>
      <c r="V169" s="44">
        <v>4345</v>
      </c>
      <c r="W169" s="29">
        <f t="shared" si="23"/>
        <v>0.675258918296893</v>
      </c>
      <c r="X169" s="44">
        <v>429</v>
      </c>
      <c r="Y169" s="44">
        <v>639</v>
      </c>
      <c r="Z169" s="44">
        <v>1411</v>
      </c>
      <c r="AA169" s="44">
        <v>467</v>
      </c>
      <c r="AB169" s="56">
        <v>409</v>
      </c>
    </row>
    <row r="170" spans="1:28" x14ac:dyDescent="0.25">
      <c r="A170" s="67" t="s">
        <v>42</v>
      </c>
      <c r="B170" s="58" t="s">
        <v>51</v>
      </c>
      <c r="C170" s="32">
        <v>44139</v>
      </c>
      <c r="D170" s="33"/>
      <c r="E170" s="57">
        <v>1</v>
      </c>
      <c r="F170" s="33"/>
      <c r="G170" s="33"/>
      <c r="H170" s="33"/>
      <c r="I170" s="33"/>
      <c r="J170" s="33"/>
      <c r="K170" s="33"/>
      <c r="L170" s="104"/>
      <c r="M170" s="104"/>
      <c r="N170" s="104"/>
      <c r="O170" s="33"/>
      <c r="P170" s="104"/>
      <c r="Q170" s="33" t="s">
        <v>93</v>
      </c>
      <c r="R170" s="33"/>
      <c r="S170" s="42">
        <v>17</v>
      </c>
      <c r="T170" s="57">
        <f t="shared" ref="T170:T174" si="29">Z170</f>
        <v>1452</v>
      </c>
      <c r="U170" s="42">
        <v>1591</v>
      </c>
      <c r="V170" s="42">
        <v>3303</v>
      </c>
      <c r="W170" s="33">
        <f t="shared" si="23"/>
        <v>0.56039963669391457</v>
      </c>
      <c r="X170" s="42">
        <v>611</v>
      </c>
      <c r="Y170" s="42">
        <v>648</v>
      </c>
      <c r="Z170" s="42">
        <v>1452</v>
      </c>
      <c r="AA170" s="42">
        <v>1061</v>
      </c>
      <c r="AB170" s="34">
        <v>921</v>
      </c>
    </row>
    <row r="171" spans="1:28" x14ac:dyDescent="0.25">
      <c r="A171" s="67" t="s">
        <v>42</v>
      </c>
      <c r="B171" s="58" t="s">
        <v>51</v>
      </c>
      <c r="C171" s="32">
        <v>44139</v>
      </c>
      <c r="D171" s="33"/>
      <c r="E171" s="57">
        <v>2</v>
      </c>
      <c r="F171" s="33"/>
      <c r="G171" s="33"/>
      <c r="H171" s="33"/>
      <c r="I171" s="33"/>
      <c r="J171" s="33"/>
      <c r="K171" s="33"/>
      <c r="L171" s="104"/>
      <c r="M171" s="104"/>
      <c r="N171" s="104"/>
      <c r="O171" s="33"/>
      <c r="P171" s="104"/>
      <c r="Q171" s="33">
        <v>995.03</v>
      </c>
      <c r="R171" s="33"/>
      <c r="S171" s="42">
        <v>18</v>
      </c>
      <c r="T171" s="57">
        <f t="shared" si="29"/>
        <v>1189</v>
      </c>
      <c r="U171" s="42">
        <v>1246</v>
      </c>
      <c r="V171" s="42">
        <v>1776</v>
      </c>
      <c r="W171" s="33">
        <f t="shared" si="23"/>
        <v>0.330518018018018</v>
      </c>
      <c r="X171" s="42">
        <v>603</v>
      </c>
      <c r="Y171" s="42">
        <v>515</v>
      </c>
      <c r="Z171" s="42">
        <v>1189</v>
      </c>
      <c r="AA171" s="42">
        <v>1415</v>
      </c>
      <c r="AB171" s="34">
        <v>1292</v>
      </c>
    </row>
    <row r="172" spans="1:28" x14ac:dyDescent="0.25">
      <c r="A172" s="67" t="s">
        <v>42</v>
      </c>
      <c r="B172" s="58" t="s">
        <v>51</v>
      </c>
      <c r="C172" s="32">
        <v>44139</v>
      </c>
      <c r="D172" s="33"/>
      <c r="E172" s="57">
        <v>3</v>
      </c>
      <c r="F172" s="33"/>
      <c r="G172" s="33"/>
      <c r="H172" s="33"/>
      <c r="I172" s="33"/>
      <c r="J172" s="33"/>
      <c r="K172" s="33"/>
      <c r="L172" s="104"/>
      <c r="M172" s="104"/>
      <c r="N172" s="104"/>
      <c r="O172" s="33"/>
      <c r="P172" s="104"/>
      <c r="Q172" s="33" t="s">
        <v>93</v>
      </c>
      <c r="R172" s="33"/>
      <c r="S172" s="42">
        <v>18</v>
      </c>
      <c r="T172" s="57">
        <f t="shared" si="29"/>
        <v>989</v>
      </c>
      <c r="U172" s="42">
        <v>1013</v>
      </c>
      <c r="V172" s="42">
        <v>1113</v>
      </c>
      <c r="W172" s="33">
        <f t="shared" si="23"/>
        <v>0.11141060197663971</v>
      </c>
      <c r="X172" s="42">
        <v>551</v>
      </c>
      <c r="Y172" s="42">
        <v>429</v>
      </c>
      <c r="Z172" s="42">
        <v>989</v>
      </c>
      <c r="AA172" s="42">
        <v>1371</v>
      </c>
      <c r="AB172" s="34">
        <v>1222</v>
      </c>
    </row>
    <row r="173" spans="1:28" x14ac:dyDescent="0.25">
      <c r="A173" s="67" t="s">
        <v>42</v>
      </c>
      <c r="B173" s="58" t="s">
        <v>51</v>
      </c>
      <c r="C173" s="32">
        <v>44139</v>
      </c>
      <c r="D173" s="33"/>
      <c r="E173" s="57">
        <v>4</v>
      </c>
      <c r="F173" s="33"/>
      <c r="G173" s="33"/>
      <c r="H173" s="33"/>
      <c r="I173" s="33"/>
      <c r="J173" s="33"/>
      <c r="K173" s="33"/>
      <c r="L173" s="104"/>
      <c r="M173" s="104"/>
      <c r="N173" s="104"/>
      <c r="O173" s="33"/>
      <c r="P173" s="104"/>
      <c r="Q173" s="33" t="s">
        <v>93</v>
      </c>
      <c r="R173" s="33"/>
      <c r="S173" s="42">
        <v>18</v>
      </c>
      <c r="T173" s="57">
        <f t="shared" si="29"/>
        <v>974</v>
      </c>
      <c r="U173" s="42">
        <v>994</v>
      </c>
      <c r="V173" s="42">
        <v>1028</v>
      </c>
      <c r="W173" s="33">
        <f t="shared" si="23"/>
        <v>5.2529182879377433E-2</v>
      </c>
      <c r="X173" s="42">
        <v>541</v>
      </c>
      <c r="Y173" s="42">
        <v>412</v>
      </c>
      <c r="Z173" s="42">
        <v>974</v>
      </c>
      <c r="AA173" s="42">
        <v>1387</v>
      </c>
      <c r="AB173" s="34">
        <v>1239</v>
      </c>
    </row>
    <row r="174" spans="1:28" ht="15.75" thickBot="1" x14ac:dyDescent="0.3">
      <c r="A174" s="67" t="s">
        <v>42</v>
      </c>
      <c r="B174" s="58" t="s">
        <v>51</v>
      </c>
      <c r="C174" s="32">
        <v>44139</v>
      </c>
      <c r="D174" s="33"/>
      <c r="E174" s="57">
        <v>5</v>
      </c>
      <c r="F174" s="33"/>
      <c r="G174" s="33"/>
      <c r="H174" s="33"/>
      <c r="I174" s="33"/>
      <c r="J174" s="33"/>
      <c r="K174" s="33"/>
      <c r="L174" s="104"/>
      <c r="M174" s="104"/>
      <c r="N174" s="104"/>
      <c r="O174" s="33"/>
      <c r="P174" s="104"/>
      <c r="Q174" s="33" t="s">
        <v>93</v>
      </c>
      <c r="R174" s="33"/>
      <c r="S174" s="33">
        <v>18</v>
      </c>
      <c r="T174" s="57">
        <f t="shared" si="29"/>
        <v>931</v>
      </c>
      <c r="U174" s="33">
        <v>947</v>
      </c>
      <c r="V174" s="33">
        <v>921</v>
      </c>
      <c r="W174" s="33">
        <f t="shared" si="23"/>
        <v>-1.0857763300760043E-2</v>
      </c>
      <c r="X174" s="33">
        <v>526</v>
      </c>
      <c r="Y174" s="33">
        <v>396</v>
      </c>
      <c r="Z174" s="33">
        <v>931</v>
      </c>
      <c r="AA174" s="33">
        <v>1361</v>
      </c>
      <c r="AB174" s="34">
        <v>1212</v>
      </c>
    </row>
    <row r="175" spans="1:28" x14ac:dyDescent="0.25">
      <c r="A175" s="61" t="s">
        <v>39</v>
      </c>
      <c r="B175" s="62" t="s">
        <v>50</v>
      </c>
      <c r="C175" s="27">
        <v>44140</v>
      </c>
      <c r="D175" s="29"/>
      <c r="E175" s="64" t="s">
        <v>96</v>
      </c>
      <c r="F175" s="29"/>
      <c r="G175" s="29"/>
      <c r="H175" s="29"/>
      <c r="I175" s="29"/>
      <c r="J175" s="29"/>
      <c r="K175" s="29"/>
      <c r="L175" s="103"/>
      <c r="M175" s="103"/>
      <c r="N175" s="103"/>
      <c r="O175" s="29"/>
      <c r="P175" s="103"/>
      <c r="Q175" s="29">
        <v>30</v>
      </c>
      <c r="R175" s="29"/>
      <c r="S175" s="29">
        <v>16</v>
      </c>
      <c r="T175" s="65">
        <f>X175</f>
        <v>1222</v>
      </c>
      <c r="U175" s="44">
        <v>2624</v>
      </c>
      <c r="V175" s="44">
        <v>2687</v>
      </c>
      <c r="W175" s="29">
        <f t="shared" si="23"/>
        <v>0.54521771492370674</v>
      </c>
      <c r="X175" s="44">
        <v>1222</v>
      </c>
      <c r="Y175" s="44">
        <v>585</v>
      </c>
      <c r="Z175" s="44">
        <v>525</v>
      </c>
      <c r="AA175" s="44">
        <v>763</v>
      </c>
      <c r="AB175" s="56">
        <v>733</v>
      </c>
    </row>
    <row r="176" spans="1:28" x14ac:dyDescent="0.25">
      <c r="A176" s="67" t="s">
        <v>39</v>
      </c>
      <c r="B176" s="58" t="s">
        <v>50</v>
      </c>
      <c r="C176" s="32">
        <v>44140</v>
      </c>
      <c r="D176" s="33"/>
      <c r="E176" s="57">
        <v>1</v>
      </c>
      <c r="F176" s="33"/>
      <c r="G176" s="33"/>
      <c r="H176" s="33"/>
      <c r="I176" s="33"/>
      <c r="J176" s="33"/>
      <c r="K176" s="33"/>
      <c r="L176" s="104"/>
      <c r="M176" s="104"/>
      <c r="N176" s="104"/>
      <c r="O176" s="33"/>
      <c r="P176" s="104"/>
      <c r="Q176" s="33" t="s">
        <v>93</v>
      </c>
      <c r="R176" s="33"/>
      <c r="S176" s="42">
        <v>18</v>
      </c>
      <c r="T176" s="57">
        <f>X176</f>
        <v>893</v>
      </c>
      <c r="U176" s="42">
        <v>1378</v>
      </c>
      <c r="V176" s="42">
        <v>1429</v>
      </c>
      <c r="W176" s="33">
        <f t="shared" si="23"/>
        <v>0.37508747375787266</v>
      </c>
      <c r="X176" s="42">
        <v>893</v>
      </c>
      <c r="Y176" s="42">
        <v>565</v>
      </c>
      <c r="Z176" s="42">
        <v>1006</v>
      </c>
      <c r="AA176" s="42">
        <v>1490</v>
      </c>
      <c r="AB176" s="34">
        <v>1379</v>
      </c>
    </row>
    <row r="177" spans="1:28" x14ac:dyDescent="0.25">
      <c r="A177" s="67" t="s">
        <v>39</v>
      </c>
      <c r="B177" s="58" t="s">
        <v>50</v>
      </c>
      <c r="C177" s="32">
        <v>44140</v>
      </c>
      <c r="D177" s="33"/>
      <c r="E177" s="57">
        <v>2</v>
      </c>
      <c r="F177" s="33"/>
      <c r="G177" s="33"/>
      <c r="H177" s="33"/>
      <c r="I177" s="33"/>
      <c r="J177" s="33"/>
      <c r="K177" s="33"/>
      <c r="L177" s="104"/>
      <c r="M177" s="104"/>
      <c r="N177" s="104"/>
      <c r="O177" s="33"/>
      <c r="P177" s="104"/>
      <c r="Q177" s="33">
        <v>995.03</v>
      </c>
      <c r="R177" s="33"/>
      <c r="S177" s="42">
        <v>18</v>
      </c>
      <c r="T177" s="57">
        <f t="shared" ref="T177:T187" si="30">X177</f>
        <v>619</v>
      </c>
      <c r="U177" s="42">
        <v>720</v>
      </c>
      <c r="V177" s="42">
        <v>719</v>
      </c>
      <c r="W177" s="33">
        <f t="shared" si="23"/>
        <v>0.13908205841446453</v>
      </c>
      <c r="X177" s="42">
        <v>619</v>
      </c>
      <c r="Y177" s="42">
        <v>445</v>
      </c>
      <c r="Z177" s="42">
        <v>980</v>
      </c>
      <c r="AA177" s="42">
        <v>1459</v>
      </c>
      <c r="AB177" s="34">
        <v>1281</v>
      </c>
    </row>
    <row r="178" spans="1:28" x14ac:dyDescent="0.25">
      <c r="A178" s="67" t="s">
        <v>39</v>
      </c>
      <c r="B178" s="58" t="s">
        <v>50</v>
      </c>
      <c r="C178" s="32">
        <v>44140</v>
      </c>
      <c r="D178" s="33"/>
      <c r="E178" s="57">
        <v>3</v>
      </c>
      <c r="F178" s="33"/>
      <c r="G178" s="33"/>
      <c r="H178" s="33"/>
      <c r="I178" s="33"/>
      <c r="J178" s="33"/>
      <c r="K178" s="33"/>
      <c r="L178" s="104"/>
      <c r="M178" s="104"/>
      <c r="N178" s="104"/>
      <c r="O178" s="33"/>
      <c r="P178" s="104"/>
      <c r="Q178" s="33" t="s">
        <v>93</v>
      </c>
      <c r="R178" s="33"/>
      <c r="S178" s="42">
        <v>18</v>
      </c>
      <c r="T178" s="57">
        <f t="shared" si="30"/>
        <v>572</v>
      </c>
      <c r="U178" s="42">
        <v>613</v>
      </c>
      <c r="V178" s="42">
        <v>608</v>
      </c>
      <c r="W178" s="33">
        <f t="shared" si="23"/>
        <v>5.921052631578947E-2</v>
      </c>
      <c r="X178" s="42">
        <v>572</v>
      </c>
      <c r="Y178" s="42">
        <v>424</v>
      </c>
      <c r="Z178" s="42">
        <v>966</v>
      </c>
      <c r="AA178" s="42">
        <v>1440</v>
      </c>
      <c r="AB178" s="34">
        <v>1296</v>
      </c>
    </row>
    <row r="179" spans="1:28" x14ac:dyDescent="0.25">
      <c r="A179" s="67" t="s">
        <v>39</v>
      </c>
      <c r="B179" s="58" t="s">
        <v>50</v>
      </c>
      <c r="C179" s="32">
        <v>44140</v>
      </c>
      <c r="D179" s="33"/>
      <c r="E179" s="57">
        <v>4</v>
      </c>
      <c r="F179" s="33"/>
      <c r="G179" s="33"/>
      <c r="H179" s="33"/>
      <c r="I179" s="33"/>
      <c r="J179" s="33"/>
      <c r="K179" s="33"/>
      <c r="L179" s="104"/>
      <c r="M179" s="104"/>
      <c r="N179" s="104"/>
      <c r="O179" s="33"/>
      <c r="P179" s="104"/>
      <c r="Q179" s="33" t="s">
        <v>93</v>
      </c>
      <c r="R179" s="33"/>
      <c r="S179" s="42">
        <v>18</v>
      </c>
      <c r="T179" s="57">
        <f t="shared" si="30"/>
        <v>563</v>
      </c>
      <c r="U179" s="42">
        <v>582</v>
      </c>
      <c r="V179" s="42">
        <v>582</v>
      </c>
      <c r="W179" s="33">
        <f t="shared" si="23"/>
        <v>3.2646048109965638E-2</v>
      </c>
      <c r="X179" s="42">
        <v>563</v>
      </c>
      <c r="Y179" s="42">
        <v>419</v>
      </c>
      <c r="Z179" s="42">
        <v>964</v>
      </c>
      <c r="AA179" s="42">
        <v>1435</v>
      </c>
      <c r="AB179" s="34">
        <v>1312</v>
      </c>
    </row>
    <row r="180" spans="1:28" ht="15.75" thickBot="1" x14ac:dyDescent="0.3">
      <c r="A180" s="67" t="s">
        <v>39</v>
      </c>
      <c r="B180" s="58" t="s">
        <v>50</v>
      </c>
      <c r="C180" s="32">
        <v>44140</v>
      </c>
      <c r="D180" s="33"/>
      <c r="E180" s="57">
        <v>5</v>
      </c>
      <c r="F180" s="33"/>
      <c r="G180" s="33"/>
      <c r="H180" s="33"/>
      <c r="I180" s="33"/>
      <c r="J180" s="33"/>
      <c r="K180" s="33"/>
      <c r="L180" s="104"/>
      <c r="M180" s="104"/>
      <c r="N180" s="104"/>
      <c r="O180" s="33"/>
      <c r="P180" s="104"/>
      <c r="Q180" s="33" t="s">
        <v>93</v>
      </c>
      <c r="R180" s="33"/>
      <c r="S180" s="33">
        <v>18</v>
      </c>
      <c r="T180" s="57">
        <f t="shared" si="30"/>
        <v>556</v>
      </c>
      <c r="U180" s="33">
        <v>572</v>
      </c>
      <c r="V180" s="33">
        <v>566</v>
      </c>
      <c r="W180" s="33">
        <f t="shared" si="23"/>
        <v>1.7667844522968199E-2</v>
      </c>
      <c r="X180" s="33">
        <v>556</v>
      </c>
      <c r="Y180" s="33">
        <v>419</v>
      </c>
      <c r="Z180" s="33">
        <v>946</v>
      </c>
      <c r="AA180" s="33">
        <v>1400</v>
      </c>
      <c r="AB180" s="34">
        <v>1255</v>
      </c>
    </row>
    <row r="181" spans="1:28" x14ac:dyDescent="0.25">
      <c r="A181" s="61" t="s">
        <v>39</v>
      </c>
      <c r="B181" s="62" t="s">
        <v>51</v>
      </c>
      <c r="C181" s="27">
        <v>44141</v>
      </c>
      <c r="D181" s="29"/>
      <c r="E181" s="64" t="s">
        <v>96</v>
      </c>
      <c r="F181" s="29"/>
      <c r="G181" s="29"/>
      <c r="H181" s="29"/>
      <c r="I181" s="29"/>
      <c r="J181" s="29"/>
      <c r="K181" s="29"/>
      <c r="L181" s="103"/>
      <c r="M181" s="103"/>
      <c r="N181" s="103"/>
      <c r="O181" s="29"/>
      <c r="P181" s="103"/>
      <c r="Q181" s="29">
        <v>30</v>
      </c>
      <c r="R181" s="29"/>
      <c r="S181" s="44">
        <v>17</v>
      </c>
      <c r="T181" s="65">
        <f t="shared" si="30"/>
        <v>1454</v>
      </c>
      <c r="U181" s="44">
        <v>3628</v>
      </c>
      <c r="V181" s="44">
        <v>3883</v>
      </c>
      <c r="W181" s="29">
        <f t="shared" si="23"/>
        <v>0.62554725727530258</v>
      </c>
      <c r="X181" s="44">
        <v>1454</v>
      </c>
      <c r="Y181" s="44">
        <v>739</v>
      </c>
      <c r="Z181" s="44">
        <v>764</v>
      </c>
      <c r="AA181" s="44">
        <v>1120</v>
      </c>
      <c r="AB181" s="56">
        <v>1011</v>
      </c>
    </row>
    <row r="182" spans="1:28" x14ac:dyDescent="0.25">
      <c r="A182" s="67" t="s">
        <v>39</v>
      </c>
      <c r="B182" s="58" t="s">
        <v>51</v>
      </c>
      <c r="C182" s="32">
        <v>44141</v>
      </c>
      <c r="D182" s="33"/>
      <c r="E182" s="57">
        <v>1</v>
      </c>
      <c r="F182" s="33"/>
      <c r="G182" s="33"/>
      <c r="H182" s="33"/>
      <c r="I182" s="33"/>
      <c r="J182" s="33"/>
      <c r="K182" s="33"/>
      <c r="L182" s="104"/>
      <c r="M182" s="104"/>
      <c r="N182" s="104"/>
      <c r="O182" s="33"/>
      <c r="P182" s="104"/>
      <c r="Q182" s="33" t="s">
        <v>93</v>
      </c>
      <c r="R182" s="33"/>
      <c r="S182" s="42">
        <v>18</v>
      </c>
      <c r="T182" s="57">
        <f t="shared" si="30"/>
        <v>888</v>
      </c>
      <c r="U182" s="42">
        <v>1532</v>
      </c>
      <c r="V182" s="42">
        <v>1634</v>
      </c>
      <c r="W182" s="33">
        <f t="shared" si="23"/>
        <v>0.45654834761321911</v>
      </c>
      <c r="X182" s="42">
        <v>888</v>
      </c>
      <c r="Y182" s="42">
        <v>558</v>
      </c>
      <c r="Z182" s="42">
        <v>1021</v>
      </c>
      <c r="AA182" s="42">
        <v>1517</v>
      </c>
      <c r="AB182" s="34">
        <v>1399</v>
      </c>
    </row>
    <row r="183" spans="1:28" x14ac:dyDescent="0.25">
      <c r="A183" s="67" t="s">
        <v>39</v>
      </c>
      <c r="B183" s="58" t="s">
        <v>51</v>
      </c>
      <c r="C183" s="32">
        <v>44141</v>
      </c>
      <c r="D183" s="33"/>
      <c r="E183" s="57">
        <v>2</v>
      </c>
      <c r="F183" s="33"/>
      <c r="G183" s="33"/>
      <c r="H183" s="33"/>
      <c r="I183" s="33"/>
      <c r="J183" s="33"/>
      <c r="K183" s="33"/>
      <c r="L183" s="104"/>
      <c r="M183" s="104"/>
      <c r="N183" s="104"/>
      <c r="O183" s="33"/>
      <c r="P183" s="104"/>
      <c r="Q183" s="33">
        <v>995.03</v>
      </c>
      <c r="R183" s="33"/>
      <c r="S183" s="42">
        <v>18</v>
      </c>
      <c r="T183" s="57">
        <f t="shared" si="30"/>
        <v>614</v>
      </c>
      <c r="U183" s="42">
        <v>751</v>
      </c>
      <c r="V183" s="42">
        <v>772</v>
      </c>
      <c r="W183" s="33">
        <f t="shared" si="23"/>
        <v>0.20466321243523317</v>
      </c>
      <c r="X183" s="42">
        <v>614</v>
      </c>
      <c r="Y183" s="42">
        <v>439</v>
      </c>
      <c r="Z183" s="42">
        <v>972</v>
      </c>
      <c r="AA183" s="42">
        <v>1455</v>
      </c>
      <c r="AB183" s="34">
        <v>1321</v>
      </c>
    </row>
    <row r="184" spans="1:28" x14ac:dyDescent="0.25">
      <c r="A184" s="67" t="s">
        <v>39</v>
      </c>
      <c r="B184" s="58" t="s">
        <v>51</v>
      </c>
      <c r="C184" s="32">
        <v>44141</v>
      </c>
      <c r="D184" s="33"/>
      <c r="E184" s="57">
        <v>3</v>
      </c>
      <c r="F184" s="33"/>
      <c r="G184" s="33"/>
      <c r="H184" s="33"/>
      <c r="I184" s="33"/>
      <c r="J184" s="33"/>
      <c r="K184" s="33"/>
      <c r="L184" s="104"/>
      <c r="M184" s="104"/>
      <c r="N184" s="104"/>
      <c r="O184" s="33"/>
      <c r="P184" s="104"/>
      <c r="Q184" s="33" t="s">
        <v>93</v>
      </c>
      <c r="R184" s="33"/>
      <c r="S184" s="42">
        <v>18</v>
      </c>
      <c r="T184" s="57">
        <f t="shared" si="30"/>
        <v>553</v>
      </c>
      <c r="U184" s="42">
        <v>589</v>
      </c>
      <c r="V184" s="42">
        <v>597</v>
      </c>
      <c r="W184" s="33">
        <f t="shared" si="23"/>
        <v>7.3701842546063656E-2</v>
      </c>
      <c r="X184" s="42">
        <v>553</v>
      </c>
      <c r="Y184" s="42">
        <v>416</v>
      </c>
      <c r="Z184" s="42">
        <v>943</v>
      </c>
      <c r="AA184" s="42">
        <v>1413</v>
      </c>
      <c r="AB184" s="34">
        <v>1277</v>
      </c>
    </row>
    <row r="185" spans="1:28" x14ac:dyDescent="0.25">
      <c r="A185" s="67" t="s">
        <v>39</v>
      </c>
      <c r="B185" s="58" t="s">
        <v>51</v>
      </c>
      <c r="C185" s="32">
        <v>44141</v>
      </c>
      <c r="D185" s="33"/>
      <c r="E185" s="57">
        <v>4</v>
      </c>
      <c r="F185" s="33"/>
      <c r="G185" s="33"/>
      <c r="H185" s="33"/>
      <c r="I185" s="33"/>
      <c r="J185" s="33"/>
      <c r="K185" s="33"/>
      <c r="L185" s="104"/>
      <c r="M185" s="104"/>
      <c r="N185" s="104"/>
      <c r="O185" s="33"/>
      <c r="P185" s="104"/>
      <c r="Q185" s="33" t="s">
        <v>93</v>
      </c>
      <c r="R185" s="33"/>
      <c r="S185" s="42">
        <v>18</v>
      </c>
      <c r="T185" s="57">
        <f t="shared" si="30"/>
        <v>564</v>
      </c>
      <c r="U185" s="42">
        <v>591</v>
      </c>
      <c r="V185" s="42">
        <v>563</v>
      </c>
      <c r="W185" s="33">
        <f t="shared" si="23"/>
        <v>-1.7761989342806395E-3</v>
      </c>
      <c r="X185" s="42">
        <v>564</v>
      </c>
      <c r="Y185" s="42">
        <v>416</v>
      </c>
      <c r="Z185" s="42">
        <v>989</v>
      </c>
      <c r="AA185" s="42">
        <v>1478</v>
      </c>
      <c r="AB185" s="34">
        <v>1322</v>
      </c>
    </row>
    <row r="186" spans="1:28" ht="15.75" thickBot="1" x14ac:dyDescent="0.3">
      <c r="A186" s="70" t="s">
        <v>39</v>
      </c>
      <c r="B186" s="71" t="s">
        <v>51</v>
      </c>
      <c r="C186" s="37">
        <v>44141</v>
      </c>
      <c r="D186" s="38"/>
      <c r="E186" s="57">
        <v>5</v>
      </c>
      <c r="F186" s="38"/>
      <c r="G186" s="38"/>
      <c r="H186" s="38"/>
      <c r="I186" s="38"/>
      <c r="J186" s="38"/>
      <c r="K186" s="38"/>
      <c r="L186" s="105"/>
      <c r="M186" s="105"/>
      <c r="N186" s="105"/>
      <c r="O186" s="38"/>
      <c r="P186" s="105"/>
      <c r="Q186" s="38" t="s">
        <v>93</v>
      </c>
      <c r="R186" s="38"/>
      <c r="S186" s="38">
        <v>18</v>
      </c>
      <c r="T186" s="73">
        <f t="shared" si="30"/>
        <v>562</v>
      </c>
      <c r="U186" s="38">
        <v>575</v>
      </c>
      <c r="V186" s="38">
        <v>563</v>
      </c>
      <c r="W186" s="38">
        <f t="shared" si="23"/>
        <v>1.7761989342806395E-3</v>
      </c>
      <c r="X186" s="38">
        <v>562</v>
      </c>
      <c r="Y186" s="38">
        <v>417</v>
      </c>
      <c r="Z186" s="38">
        <v>996</v>
      </c>
      <c r="AA186" s="38">
        <v>1480</v>
      </c>
      <c r="AB186" s="39">
        <v>1286</v>
      </c>
    </row>
    <row r="187" spans="1:28" x14ac:dyDescent="0.25">
      <c r="A187" s="61" t="s">
        <v>48</v>
      </c>
      <c r="B187" s="62" t="s">
        <v>51</v>
      </c>
      <c r="C187" s="27">
        <v>44141</v>
      </c>
      <c r="D187" s="29"/>
      <c r="E187" s="64" t="s">
        <v>96</v>
      </c>
      <c r="F187" s="29"/>
      <c r="G187" s="29"/>
      <c r="H187" s="29"/>
      <c r="I187" s="29"/>
      <c r="J187" s="29"/>
      <c r="K187" s="29"/>
      <c r="L187" s="103"/>
      <c r="M187" s="103"/>
      <c r="N187" s="103"/>
      <c r="O187" s="29"/>
      <c r="P187" s="103"/>
      <c r="Q187" s="29">
        <v>30</v>
      </c>
      <c r="R187" s="29"/>
      <c r="S187" s="44">
        <v>15</v>
      </c>
      <c r="T187" s="65">
        <f t="shared" si="30"/>
        <v>1344</v>
      </c>
      <c r="U187" s="44">
        <v>3820</v>
      </c>
      <c r="V187" s="44">
        <v>4959</v>
      </c>
      <c r="W187" s="29">
        <f t="shared" si="23"/>
        <v>0.72897761645493042</v>
      </c>
      <c r="X187" s="44">
        <v>1344</v>
      </c>
      <c r="Y187" s="44">
        <v>958</v>
      </c>
      <c r="Z187" s="44">
        <v>1104</v>
      </c>
      <c r="AA187" s="44">
        <v>736</v>
      </c>
      <c r="AB187" s="56">
        <v>650</v>
      </c>
    </row>
    <row r="188" spans="1:28" x14ac:dyDescent="0.25">
      <c r="A188" s="67" t="s">
        <v>48</v>
      </c>
      <c r="B188" s="58" t="s">
        <v>51</v>
      </c>
      <c r="C188" s="32">
        <v>44141</v>
      </c>
      <c r="D188" s="33"/>
      <c r="E188" s="57">
        <v>1</v>
      </c>
      <c r="F188" s="33"/>
      <c r="G188" s="33"/>
      <c r="H188" s="33"/>
      <c r="I188" s="33"/>
      <c r="J188" s="33"/>
      <c r="K188" s="33"/>
      <c r="L188" s="104"/>
      <c r="M188" s="104"/>
      <c r="N188" s="104"/>
      <c r="O188" s="33"/>
      <c r="P188" s="104"/>
      <c r="Q188" s="33" t="s">
        <v>93</v>
      </c>
      <c r="R188" s="33"/>
      <c r="S188" s="42">
        <v>18</v>
      </c>
      <c r="T188" s="57">
        <f>X188</f>
        <v>794</v>
      </c>
      <c r="U188" s="42">
        <v>1207</v>
      </c>
      <c r="V188" s="42">
        <v>1487</v>
      </c>
      <c r="W188" s="33">
        <f t="shared" si="23"/>
        <v>0.46603900470746468</v>
      </c>
      <c r="X188" s="42">
        <v>794</v>
      </c>
      <c r="Y188" s="42">
        <v>582</v>
      </c>
      <c r="Z188" s="42">
        <v>1126</v>
      </c>
      <c r="AA188" s="42">
        <v>1497</v>
      </c>
      <c r="AB188" s="34">
        <v>1373</v>
      </c>
    </row>
    <row r="189" spans="1:28" x14ac:dyDescent="0.25">
      <c r="A189" s="67" t="s">
        <v>48</v>
      </c>
      <c r="B189" s="58" t="s">
        <v>51</v>
      </c>
      <c r="C189" s="32">
        <v>44141</v>
      </c>
      <c r="D189" s="33"/>
      <c r="E189" s="57">
        <v>2</v>
      </c>
      <c r="F189" s="33"/>
      <c r="G189" s="33"/>
      <c r="H189" s="33"/>
      <c r="I189" s="33"/>
      <c r="J189" s="33"/>
      <c r="K189" s="33"/>
      <c r="L189" s="104"/>
      <c r="M189" s="104"/>
      <c r="N189" s="104"/>
      <c r="O189" s="33"/>
      <c r="P189" s="104"/>
      <c r="Q189" s="33">
        <v>995.03</v>
      </c>
      <c r="R189" s="33"/>
      <c r="S189" s="42">
        <v>18</v>
      </c>
      <c r="T189" s="57">
        <f t="shared" ref="T189:T191" si="31">X189</f>
        <v>588</v>
      </c>
      <c r="U189" s="42">
        <v>673</v>
      </c>
      <c r="V189" s="42">
        <v>726</v>
      </c>
      <c r="W189" s="33">
        <f t="shared" si="23"/>
        <v>0.19008264462809918</v>
      </c>
      <c r="X189" s="42">
        <v>588</v>
      </c>
      <c r="Y189" s="42">
        <v>438</v>
      </c>
      <c r="Z189" s="42">
        <v>958</v>
      </c>
      <c r="AA189" s="42">
        <v>1386</v>
      </c>
      <c r="AB189" s="34">
        <v>1236</v>
      </c>
    </row>
    <row r="190" spans="1:28" x14ac:dyDescent="0.25">
      <c r="A190" s="67" t="s">
        <v>48</v>
      </c>
      <c r="B190" s="58" t="s">
        <v>51</v>
      </c>
      <c r="C190" s="32">
        <v>44141</v>
      </c>
      <c r="D190" s="33"/>
      <c r="E190" s="57">
        <v>3</v>
      </c>
      <c r="F190" s="33"/>
      <c r="G190" s="33"/>
      <c r="H190" s="33"/>
      <c r="I190" s="33"/>
      <c r="J190" s="33"/>
      <c r="K190" s="33"/>
      <c r="L190" s="104"/>
      <c r="M190" s="104"/>
      <c r="N190" s="104"/>
      <c r="O190" s="33"/>
      <c r="P190" s="104"/>
      <c r="Q190" s="33" t="s">
        <v>93</v>
      </c>
      <c r="R190" s="33"/>
      <c r="S190" s="42">
        <v>18</v>
      </c>
      <c r="T190" s="57">
        <f t="shared" si="31"/>
        <v>588</v>
      </c>
      <c r="U190" s="42">
        <v>628</v>
      </c>
      <c r="V190" s="42">
        <v>633</v>
      </c>
      <c r="W190" s="33">
        <f t="shared" si="23"/>
        <v>7.1090047393364927E-2</v>
      </c>
      <c r="X190" s="42">
        <v>588</v>
      </c>
      <c r="Y190" s="42">
        <v>435</v>
      </c>
      <c r="Z190" s="42">
        <v>973</v>
      </c>
      <c r="AA190" s="42">
        <v>1429</v>
      </c>
      <c r="AB190" s="34">
        <v>1317</v>
      </c>
    </row>
    <row r="191" spans="1:28" x14ac:dyDescent="0.25">
      <c r="A191" s="67" t="s">
        <v>48</v>
      </c>
      <c r="B191" s="58" t="s">
        <v>51</v>
      </c>
      <c r="C191" s="32">
        <v>44141</v>
      </c>
      <c r="D191" s="33"/>
      <c r="E191" s="57">
        <v>4</v>
      </c>
      <c r="F191" s="33"/>
      <c r="G191" s="33"/>
      <c r="H191" s="33"/>
      <c r="I191" s="33"/>
      <c r="J191" s="33"/>
      <c r="K191" s="33"/>
      <c r="L191" s="104"/>
      <c r="M191" s="104"/>
      <c r="N191" s="104"/>
      <c r="O191" s="33"/>
      <c r="P191" s="104"/>
      <c r="Q191" s="33" t="s">
        <v>93</v>
      </c>
      <c r="R191" s="33"/>
      <c r="S191" s="42">
        <v>18</v>
      </c>
      <c r="T191" s="57">
        <f t="shared" si="31"/>
        <v>561</v>
      </c>
      <c r="U191" s="42">
        <v>584</v>
      </c>
      <c r="V191" s="42">
        <v>570</v>
      </c>
      <c r="W191" s="33">
        <f t="shared" si="23"/>
        <v>1.5789473684210527E-2</v>
      </c>
      <c r="X191" s="42">
        <v>561</v>
      </c>
      <c r="Y191" s="42">
        <v>422</v>
      </c>
      <c r="Z191" s="42">
        <v>964</v>
      </c>
      <c r="AA191" s="42">
        <v>1424</v>
      </c>
      <c r="AB191" s="34">
        <v>1279</v>
      </c>
    </row>
    <row r="192" spans="1:28" ht="15.75" thickBot="1" x14ac:dyDescent="0.3">
      <c r="A192" s="70" t="s">
        <v>48</v>
      </c>
      <c r="B192" s="71" t="s">
        <v>51</v>
      </c>
      <c r="C192" s="37">
        <v>44141</v>
      </c>
      <c r="D192" s="38"/>
      <c r="E192" s="73">
        <v>5</v>
      </c>
      <c r="F192" s="38"/>
      <c r="G192" s="38"/>
      <c r="H192" s="38"/>
      <c r="I192" s="38"/>
      <c r="J192" s="38"/>
      <c r="K192" s="38"/>
      <c r="L192" s="105"/>
      <c r="M192" s="105"/>
      <c r="N192" s="105"/>
      <c r="O192" s="38"/>
      <c r="P192" s="105"/>
      <c r="Q192" s="38" t="s">
        <v>93</v>
      </c>
      <c r="R192" s="38"/>
      <c r="S192" s="38">
        <v>18</v>
      </c>
      <c r="T192" s="38">
        <f>X192</f>
        <v>538</v>
      </c>
      <c r="U192" s="38">
        <v>552</v>
      </c>
      <c r="V192" s="38">
        <v>573</v>
      </c>
      <c r="W192" s="38">
        <f t="shared" si="23"/>
        <v>6.1082024432809773E-2</v>
      </c>
      <c r="X192" s="38">
        <v>538</v>
      </c>
      <c r="Y192" s="38">
        <v>402</v>
      </c>
      <c r="Z192" s="38">
        <v>938</v>
      </c>
      <c r="AA192" s="38">
        <v>1387</v>
      </c>
      <c r="AB192" s="39">
        <v>1215</v>
      </c>
    </row>
    <row r="193" spans="23:23" x14ac:dyDescent="0.25">
      <c r="W193" s="33"/>
    </row>
    <row r="194" spans="23:23" x14ac:dyDescent="0.25">
      <c r="W194" s="33"/>
    </row>
    <row r="195" spans="23:23" x14ac:dyDescent="0.25">
      <c r="W195" s="33"/>
    </row>
    <row r="196" spans="23:23" x14ac:dyDescent="0.25">
      <c r="W196" s="33"/>
    </row>
    <row r="197" spans="23:23" x14ac:dyDescent="0.25">
      <c r="W197" s="33"/>
    </row>
    <row r="198" spans="23:23" x14ac:dyDescent="0.25">
      <c r="W198" s="33"/>
    </row>
    <row r="199" spans="23:23" x14ac:dyDescent="0.25">
      <c r="W199" s="33"/>
    </row>
    <row r="200" spans="23:23" x14ac:dyDescent="0.25">
      <c r="W200" s="33"/>
    </row>
    <row r="201" spans="23:23" x14ac:dyDescent="0.25">
      <c r="W201" s="33"/>
    </row>
    <row r="202" spans="23:23" x14ac:dyDescent="0.25">
      <c r="W202" s="33"/>
    </row>
    <row r="203" spans="23:23" x14ac:dyDescent="0.25">
      <c r="W203" s="33"/>
    </row>
    <row r="204" spans="23:23" x14ac:dyDescent="0.25">
      <c r="W204" s="33"/>
    </row>
    <row r="205" spans="23:23" x14ac:dyDescent="0.25">
      <c r="W205" s="33"/>
    </row>
    <row r="206" spans="23:23" x14ac:dyDescent="0.25">
      <c r="W206" s="33"/>
    </row>
    <row r="207" spans="23:23" x14ac:dyDescent="0.25">
      <c r="W207" s="33"/>
    </row>
    <row r="208" spans="23:23" x14ac:dyDescent="0.25">
      <c r="W208" s="33"/>
    </row>
    <row r="209" spans="23:23" x14ac:dyDescent="0.25">
      <c r="W209" s="33"/>
    </row>
    <row r="210" spans="23:23" x14ac:dyDescent="0.25">
      <c r="W210" s="33"/>
    </row>
    <row r="211" spans="23:23" x14ac:dyDescent="0.25">
      <c r="W211" s="33"/>
    </row>
    <row r="212" spans="23:23" x14ac:dyDescent="0.25">
      <c r="W212" s="33"/>
    </row>
    <row r="213" spans="23:23" x14ac:dyDescent="0.25">
      <c r="W213" s="33"/>
    </row>
    <row r="214" spans="23:23" x14ac:dyDescent="0.25">
      <c r="W214" s="33"/>
    </row>
    <row r="215" spans="23:23" x14ac:dyDescent="0.25">
      <c r="W215" s="33"/>
    </row>
    <row r="216" spans="23:23" x14ac:dyDescent="0.25">
      <c r="W216" s="33"/>
    </row>
    <row r="217" spans="23:23" x14ac:dyDescent="0.25">
      <c r="W217" s="33"/>
    </row>
    <row r="218" spans="23:23" x14ac:dyDescent="0.25">
      <c r="W218" s="33"/>
    </row>
    <row r="219" spans="23:23" x14ac:dyDescent="0.25">
      <c r="W219" s="33"/>
    </row>
    <row r="220" spans="23:23" x14ac:dyDescent="0.25">
      <c r="W220" s="33"/>
    </row>
    <row r="221" spans="23:23" x14ac:dyDescent="0.25">
      <c r="W221" s="33"/>
    </row>
    <row r="222" spans="23:23" x14ac:dyDescent="0.25">
      <c r="W222" s="33"/>
    </row>
    <row r="223" spans="23:23" x14ac:dyDescent="0.25">
      <c r="W223" s="33"/>
    </row>
    <row r="224" spans="23:23" x14ac:dyDescent="0.25">
      <c r="W224" s="33"/>
    </row>
    <row r="225" spans="23:23" x14ac:dyDescent="0.25">
      <c r="W225" s="33"/>
    </row>
    <row r="226" spans="23:23" x14ac:dyDescent="0.25">
      <c r="W226" s="33"/>
    </row>
    <row r="227" spans="23:23" x14ac:dyDescent="0.25">
      <c r="W227" s="33"/>
    </row>
    <row r="228" spans="23:23" x14ac:dyDescent="0.25">
      <c r="W228" s="33"/>
    </row>
    <row r="229" spans="23:23" x14ac:dyDescent="0.25">
      <c r="W229" s="33"/>
    </row>
    <row r="230" spans="23:23" x14ac:dyDescent="0.25">
      <c r="W230" s="33"/>
    </row>
    <row r="231" spans="23:23" x14ac:dyDescent="0.25">
      <c r="W231" s="33"/>
    </row>
    <row r="232" spans="23:23" x14ac:dyDescent="0.25">
      <c r="W232" s="33"/>
    </row>
    <row r="233" spans="23:23" x14ac:dyDescent="0.25">
      <c r="W233" s="33"/>
    </row>
    <row r="234" spans="23:23" x14ac:dyDescent="0.25">
      <c r="W234" s="33"/>
    </row>
    <row r="235" spans="23:23" x14ac:dyDescent="0.25">
      <c r="W235" s="33"/>
    </row>
    <row r="236" spans="23:23" x14ac:dyDescent="0.25">
      <c r="W236" s="33"/>
    </row>
    <row r="237" spans="23:23" x14ac:dyDescent="0.25">
      <c r="W237" s="33"/>
    </row>
    <row r="238" spans="23:23" x14ac:dyDescent="0.25">
      <c r="W238" s="33"/>
    </row>
    <row r="239" spans="23:23" x14ac:dyDescent="0.25">
      <c r="W239" s="33"/>
    </row>
    <row r="240" spans="23:23" x14ac:dyDescent="0.25">
      <c r="W240" s="33"/>
    </row>
    <row r="241" spans="23:23" x14ac:dyDescent="0.25">
      <c r="W241" s="33"/>
    </row>
    <row r="242" spans="23:23" x14ac:dyDescent="0.25">
      <c r="W242" s="33"/>
    </row>
    <row r="243" spans="23:23" x14ac:dyDescent="0.25">
      <c r="W243" s="33"/>
    </row>
    <row r="244" spans="23:23" x14ac:dyDescent="0.25">
      <c r="W244" s="33"/>
    </row>
    <row r="245" spans="23:23" x14ac:dyDescent="0.25">
      <c r="W245" s="33"/>
    </row>
    <row r="246" spans="23:23" x14ac:dyDescent="0.25">
      <c r="W246" s="33"/>
    </row>
    <row r="247" spans="23:23" x14ac:dyDescent="0.25">
      <c r="W247" s="33"/>
    </row>
    <row r="248" spans="23:23" x14ac:dyDescent="0.25">
      <c r="W248" s="33"/>
    </row>
    <row r="249" spans="23:23" x14ac:dyDescent="0.25">
      <c r="W249" s="33"/>
    </row>
    <row r="250" spans="23:23" x14ac:dyDescent="0.25">
      <c r="W250" s="33"/>
    </row>
    <row r="251" spans="23:23" x14ac:dyDescent="0.25">
      <c r="W251" s="33"/>
    </row>
    <row r="252" spans="23:23" x14ac:dyDescent="0.25">
      <c r="W252" s="33"/>
    </row>
    <row r="253" spans="23:23" x14ac:dyDescent="0.25">
      <c r="W253" s="33"/>
    </row>
    <row r="254" spans="23:23" x14ac:dyDescent="0.25">
      <c r="W254" s="33"/>
    </row>
    <row r="255" spans="23:23" x14ac:dyDescent="0.25">
      <c r="W255" s="33"/>
    </row>
    <row r="256" spans="23:23" x14ac:dyDescent="0.25">
      <c r="W256" s="33"/>
    </row>
    <row r="257" spans="23:23" x14ac:dyDescent="0.25">
      <c r="W257" s="33"/>
    </row>
    <row r="258" spans="23:23" x14ac:dyDescent="0.25">
      <c r="W258" s="33"/>
    </row>
    <row r="259" spans="23:23" x14ac:dyDescent="0.25">
      <c r="W259" s="33"/>
    </row>
    <row r="260" spans="23:23" x14ac:dyDescent="0.25">
      <c r="W260" s="33"/>
    </row>
    <row r="261" spans="23:23" x14ac:dyDescent="0.25">
      <c r="W261" s="33"/>
    </row>
    <row r="262" spans="23:23" x14ac:dyDescent="0.25">
      <c r="W262" s="33"/>
    </row>
    <row r="263" spans="23:23" x14ac:dyDescent="0.25">
      <c r="W263" s="33"/>
    </row>
    <row r="264" spans="23:23" x14ac:dyDescent="0.25">
      <c r="W264" s="33"/>
    </row>
    <row r="265" spans="23:23" x14ac:dyDescent="0.25">
      <c r="W265" s="33"/>
    </row>
    <row r="266" spans="23:23" x14ac:dyDescent="0.25">
      <c r="W266" s="33"/>
    </row>
    <row r="267" spans="23:23" x14ac:dyDescent="0.25">
      <c r="W267" s="33"/>
    </row>
    <row r="268" spans="23:23" x14ac:dyDescent="0.25">
      <c r="W268" s="33"/>
    </row>
    <row r="269" spans="23:23" x14ac:dyDescent="0.25">
      <c r="W269" s="33"/>
    </row>
    <row r="270" spans="23:23" x14ac:dyDescent="0.25">
      <c r="W270" s="33"/>
    </row>
    <row r="271" spans="23:23" x14ac:dyDescent="0.25">
      <c r="W271" s="33"/>
    </row>
    <row r="272" spans="23:23" x14ac:dyDescent="0.25">
      <c r="W272" s="33"/>
    </row>
    <row r="273" spans="23:23" x14ac:dyDescent="0.25">
      <c r="W273" s="33"/>
    </row>
    <row r="274" spans="23:23" x14ac:dyDescent="0.25">
      <c r="W274" s="33"/>
    </row>
    <row r="275" spans="23:23" x14ac:dyDescent="0.25">
      <c r="W275" s="33"/>
    </row>
    <row r="276" spans="23:23" x14ac:dyDescent="0.25">
      <c r="W276" s="33"/>
    </row>
    <row r="277" spans="23:23" x14ac:dyDescent="0.25">
      <c r="W277" s="33"/>
    </row>
    <row r="278" spans="23:23" x14ac:dyDescent="0.25">
      <c r="W278" s="33"/>
    </row>
    <row r="279" spans="23:23" x14ac:dyDescent="0.25">
      <c r="W279" s="33"/>
    </row>
    <row r="280" spans="23:23" x14ac:dyDescent="0.25">
      <c r="W280" s="33"/>
    </row>
    <row r="281" spans="23:23" x14ac:dyDescent="0.25">
      <c r="W281" s="33"/>
    </row>
    <row r="282" spans="23:23" x14ac:dyDescent="0.25">
      <c r="W282" s="33"/>
    </row>
    <row r="283" spans="23:23" x14ac:dyDescent="0.25">
      <c r="W283" s="33"/>
    </row>
    <row r="284" spans="23:23" x14ac:dyDescent="0.25">
      <c r="W284" s="33"/>
    </row>
    <row r="285" spans="23:23" x14ac:dyDescent="0.25">
      <c r="W285" s="33"/>
    </row>
    <row r="286" spans="23:23" x14ac:dyDescent="0.25">
      <c r="W286" s="33"/>
    </row>
    <row r="287" spans="23:23" x14ac:dyDescent="0.25">
      <c r="W287" s="33"/>
    </row>
    <row r="288" spans="23:23" x14ac:dyDescent="0.25">
      <c r="W288" s="33"/>
    </row>
    <row r="289" spans="23:23" x14ac:dyDescent="0.25">
      <c r="W289" s="33"/>
    </row>
    <row r="290" spans="23:23" x14ac:dyDescent="0.25">
      <c r="W290" s="33"/>
    </row>
    <row r="291" spans="23:23" x14ac:dyDescent="0.25">
      <c r="W291" s="33"/>
    </row>
    <row r="292" spans="23:23" x14ac:dyDescent="0.25">
      <c r="W292" s="33"/>
    </row>
    <row r="293" spans="23:23" x14ac:dyDescent="0.25">
      <c r="W293" s="33"/>
    </row>
    <row r="294" spans="23:23" x14ac:dyDescent="0.25">
      <c r="W294" s="33"/>
    </row>
    <row r="295" spans="23:23" x14ac:dyDescent="0.25">
      <c r="W295" s="33"/>
    </row>
    <row r="296" spans="23:23" x14ac:dyDescent="0.25">
      <c r="W296" s="33"/>
    </row>
    <row r="297" spans="23:23" x14ac:dyDescent="0.25">
      <c r="W297" s="33"/>
    </row>
    <row r="298" spans="23:23" x14ac:dyDescent="0.25">
      <c r="W298" s="33"/>
    </row>
    <row r="299" spans="23:23" x14ac:dyDescent="0.25">
      <c r="W299" s="33"/>
    </row>
    <row r="300" spans="23:23" x14ac:dyDescent="0.25">
      <c r="W300" s="33"/>
    </row>
    <row r="301" spans="23:23" x14ac:dyDescent="0.25">
      <c r="W301" s="33"/>
    </row>
    <row r="302" spans="23:23" x14ac:dyDescent="0.25">
      <c r="W302" s="33"/>
    </row>
    <row r="303" spans="23:23" x14ac:dyDescent="0.25">
      <c r="W303" s="33"/>
    </row>
    <row r="304" spans="23:23" x14ac:dyDescent="0.25">
      <c r="W304" s="33"/>
    </row>
    <row r="305" spans="23:23" x14ac:dyDescent="0.25">
      <c r="W305" s="33"/>
    </row>
    <row r="306" spans="23:23" x14ac:dyDescent="0.25">
      <c r="W306" s="33"/>
    </row>
    <row r="307" spans="23:23" x14ac:dyDescent="0.25">
      <c r="W307" s="33"/>
    </row>
    <row r="308" spans="23:23" x14ac:dyDescent="0.25">
      <c r="W308" s="33"/>
    </row>
    <row r="309" spans="23:23" x14ac:dyDescent="0.25">
      <c r="W309" s="33"/>
    </row>
    <row r="310" spans="23:23" x14ac:dyDescent="0.25">
      <c r="W310" s="33"/>
    </row>
    <row r="311" spans="23:23" x14ac:dyDescent="0.25">
      <c r="W311" s="33"/>
    </row>
  </sheetData>
  <mergeCells count="4">
    <mergeCell ref="S1:AB1"/>
    <mergeCell ref="F1:K1"/>
    <mergeCell ref="L1:O1"/>
    <mergeCell ref="Q1:R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I43" sqref="I43"/>
    </sheetView>
  </sheetViews>
  <sheetFormatPr baseColWidth="10" defaultColWidth="9.140625" defaultRowHeight="15" x14ac:dyDescent="0.25"/>
  <sheetData>
    <row r="1" spans="1:7" x14ac:dyDescent="0.25">
      <c r="A1" t="s">
        <v>53</v>
      </c>
      <c r="D1" t="s">
        <v>79</v>
      </c>
      <c r="E1" t="s">
        <v>80</v>
      </c>
    </row>
    <row r="2" spans="1:7" x14ac:dyDescent="0.25">
      <c r="A2" t="s">
        <v>54</v>
      </c>
      <c r="B2" t="s">
        <v>55</v>
      </c>
      <c r="D2">
        <v>440</v>
      </c>
      <c r="E2">
        <v>140</v>
      </c>
      <c r="G2" t="s">
        <v>81</v>
      </c>
    </row>
    <row r="3" spans="1:7" x14ac:dyDescent="0.25">
      <c r="A3" t="s">
        <v>56</v>
      </c>
      <c r="B3" t="s">
        <v>57</v>
      </c>
      <c r="D3">
        <v>470</v>
      </c>
      <c r="E3">
        <v>88</v>
      </c>
    </row>
    <row r="4" spans="1:7" x14ac:dyDescent="0.25">
      <c r="D4">
        <v>532</v>
      </c>
      <c r="E4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O15" sqref="O15:O16"/>
    </sheetView>
  </sheetViews>
  <sheetFormatPr baseColWidth="10" defaultRowHeight="15" x14ac:dyDescent="0.25"/>
  <cols>
    <col min="1" max="1" width="17.140625" bestFit="1" customWidth="1"/>
    <col min="12" max="12" width="13.140625" bestFit="1" customWidth="1"/>
  </cols>
  <sheetData>
    <row r="1" spans="1:13" x14ac:dyDescent="0.25">
      <c r="B1" s="1" t="s">
        <v>23</v>
      </c>
      <c r="C1" s="1" t="s">
        <v>24</v>
      </c>
      <c r="D1" s="1" t="s">
        <v>27</v>
      </c>
      <c r="E1" s="1" t="s">
        <v>25</v>
      </c>
      <c r="F1" s="1" t="s">
        <v>26</v>
      </c>
      <c r="G1" t="s">
        <v>98</v>
      </c>
      <c r="I1" t="s">
        <v>120</v>
      </c>
    </row>
    <row r="2" spans="1:13" x14ac:dyDescent="0.25">
      <c r="A2" t="s">
        <v>100</v>
      </c>
      <c r="B2">
        <v>0.38800000000000001</v>
      </c>
      <c r="C2">
        <v>0.59</v>
      </c>
      <c r="D2">
        <v>1</v>
      </c>
      <c r="E2">
        <v>0.52600000000000002</v>
      </c>
      <c r="F2">
        <v>0.48499999999999999</v>
      </c>
      <c r="G2">
        <v>14</v>
      </c>
      <c r="I2">
        <v>0.6</v>
      </c>
      <c r="L2" t="s">
        <v>123</v>
      </c>
      <c r="M2" t="s">
        <v>125</v>
      </c>
    </row>
    <row r="3" spans="1:13" x14ac:dyDescent="0.25">
      <c r="A3" t="s">
        <v>99</v>
      </c>
      <c r="B3">
        <v>0.33300000000000002</v>
      </c>
      <c r="C3">
        <v>0.44900000000000001</v>
      </c>
      <c r="D3">
        <v>1</v>
      </c>
      <c r="E3">
        <v>0.40600000000000003</v>
      </c>
      <c r="F3">
        <v>0.35799999999999998</v>
      </c>
      <c r="G3">
        <v>15</v>
      </c>
      <c r="I3">
        <v>0.66</v>
      </c>
      <c r="K3" t="s">
        <v>40</v>
      </c>
      <c r="L3" s="75">
        <f>AVERAGE(I2,I11,I24,I28)</f>
        <v>0.58250000000000002</v>
      </c>
      <c r="M3">
        <v>0.6</v>
      </c>
    </row>
    <row r="4" spans="1:13" x14ac:dyDescent="0.25">
      <c r="A4" t="s">
        <v>101</v>
      </c>
      <c r="B4">
        <v>1</v>
      </c>
      <c r="C4">
        <v>0.66100000000000003</v>
      </c>
      <c r="D4">
        <v>0.33</v>
      </c>
      <c r="E4">
        <v>0.22900000000000001</v>
      </c>
      <c r="F4">
        <v>0.17899999999999999</v>
      </c>
      <c r="G4">
        <v>10</v>
      </c>
      <c r="I4">
        <v>0.57999999999999996</v>
      </c>
      <c r="K4" t="s">
        <v>45</v>
      </c>
      <c r="L4">
        <f>AVERAGE(I4,I16,I23)</f>
        <v>0.56999999999999995</v>
      </c>
      <c r="M4">
        <v>0.59</v>
      </c>
    </row>
    <row r="5" spans="1:13" x14ac:dyDescent="0.25">
      <c r="A5" t="s">
        <v>102</v>
      </c>
      <c r="B5">
        <v>1</v>
      </c>
      <c r="C5">
        <v>0.56499999999999995</v>
      </c>
      <c r="D5">
        <v>0.59499999999999997</v>
      </c>
      <c r="E5">
        <v>0.318</v>
      </c>
      <c r="F5">
        <v>0.31</v>
      </c>
      <c r="G5">
        <v>12</v>
      </c>
      <c r="I5">
        <v>0.69</v>
      </c>
      <c r="K5" t="s">
        <v>43</v>
      </c>
      <c r="L5" s="75">
        <f>AVERAGE(I6,I14,I22)</f>
        <v>0.72333333333333327</v>
      </c>
      <c r="M5">
        <v>0.75</v>
      </c>
    </row>
    <row r="6" spans="1:13" x14ac:dyDescent="0.25">
      <c r="A6" t="s">
        <v>103</v>
      </c>
      <c r="B6">
        <v>1</v>
      </c>
      <c r="C6">
        <v>0.50900000000000001</v>
      </c>
      <c r="D6">
        <v>0.56899999999999995</v>
      </c>
      <c r="E6">
        <v>0.317</v>
      </c>
      <c r="F6">
        <v>0.34300000000000003</v>
      </c>
      <c r="G6">
        <v>12</v>
      </c>
      <c r="I6">
        <v>0.73</v>
      </c>
      <c r="K6" t="s">
        <v>44</v>
      </c>
      <c r="L6">
        <f>AVERAGE(I7,I13,I21)</f>
        <v>0.67</v>
      </c>
      <c r="M6">
        <v>0.69</v>
      </c>
    </row>
    <row r="7" spans="1:13" x14ac:dyDescent="0.25">
      <c r="A7" t="s">
        <v>104</v>
      </c>
      <c r="B7">
        <v>1</v>
      </c>
      <c r="C7">
        <v>0.53600000000000003</v>
      </c>
      <c r="D7">
        <v>0.56899999999999995</v>
      </c>
      <c r="E7">
        <v>0.311</v>
      </c>
      <c r="F7">
        <v>0.30399999999999999</v>
      </c>
      <c r="G7">
        <v>12</v>
      </c>
      <c r="I7">
        <v>0.69</v>
      </c>
      <c r="K7" t="s">
        <v>41</v>
      </c>
      <c r="L7" s="75">
        <f>AVERAGE(I25,I10,I18)</f>
        <v>0.63666666666666671</v>
      </c>
      <c r="M7">
        <v>0.67</v>
      </c>
    </row>
    <row r="8" spans="1:13" x14ac:dyDescent="0.25">
      <c r="A8" t="s">
        <v>106</v>
      </c>
      <c r="B8">
        <v>1</v>
      </c>
      <c r="C8">
        <v>0.312</v>
      </c>
      <c r="D8">
        <v>0.30299999999999999</v>
      </c>
      <c r="E8">
        <v>0.44500000000000001</v>
      </c>
      <c r="F8">
        <v>0.45100000000000001</v>
      </c>
      <c r="G8">
        <v>15</v>
      </c>
      <c r="I8">
        <v>0.72</v>
      </c>
      <c r="K8" t="s">
        <v>46</v>
      </c>
      <c r="L8">
        <f>AVERAGE(I5,I12,I26)</f>
        <v>0.68</v>
      </c>
      <c r="M8">
        <v>0.72</v>
      </c>
    </row>
    <row r="9" spans="1:13" x14ac:dyDescent="0.25">
      <c r="A9" t="s">
        <v>107</v>
      </c>
      <c r="B9">
        <v>1</v>
      </c>
      <c r="C9">
        <v>0.71</v>
      </c>
      <c r="D9">
        <v>0.88600000000000001</v>
      </c>
      <c r="E9">
        <v>0.71099999999999997</v>
      </c>
      <c r="F9">
        <v>0.63200000000000001</v>
      </c>
      <c r="G9">
        <v>15</v>
      </c>
      <c r="I9">
        <v>0.77</v>
      </c>
      <c r="K9" t="s">
        <v>37</v>
      </c>
      <c r="L9" s="75">
        <f>AVERAGE(I8,I15,I27)</f>
        <v>0.71666666666666667</v>
      </c>
      <c r="M9">
        <v>0.74</v>
      </c>
    </row>
    <row r="10" spans="1:13" x14ac:dyDescent="0.25">
      <c r="A10" t="s">
        <v>121</v>
      </c>
      <c r="B10">
        <v>0.27100000000000002</v>
      </c>
      <c r="C10">
        <v>0.377</v>
      </c>
      <c r="D10">
        <v>1</v>
      </c>
      <c r="E10">
        <v>0.27600000000000002</v>
      </c>
      <c r="F10">
        <v>0.24199999999999999</v>
      </c>
      <c r="G10">
        <v>13</v>
      </c>
      <c r="I10">
        <v>0.65</v>
      </c>
      <c r="K10" t="s">
        <v>42</v>
      </c>
      <c r="L10">
        <f>AVERAGE(I3,I17,I29)</f>
        <v>0.67</v>
      </c>
      <c r="M10">
        <v>0.69</v>
      </c>
    </row>
    <row r="11" spans="1:13" x14ac:dyDescent="0.25">
      <c r="A11" t="s">
        <v>108</v>
      </c>
      <c r="B11">
        <v>0.39200000000000002</v>
      </c>
      <c r="C11">
        <v>0.58499999999999996</v>
      </c>
      <c r="D11">
        <v>1</v>
      </c>
      <c r="E11">
        <v>0.53</v>
      </c>
      <c r="F11">
        <v>0.48699999999999999</v>
      </c>
      <c r="G11">
        <v>15</v>
      </c>
      <c r="I11">
        <v>0.57999999999999996</v>
      </c>
      <c r="K11" t="s">
        <v>39</v>
      </c>
      <c r="L11" s="75">
        <f>AVERAGE(I19,I30,I31)</f>
        <v>0.5817392383079022</v>
      </c>
      <c r="M11">
        <v>0.63</v>
      </c>
    </row>
    <row r="12" spans="1:13" x14ac:dyDescent="0.25">
      <c r="A12" t="s">
        <v>109</v>
      </c>
      <c r="B12">
        <v>1</v>
      </c>
      <c r="C12">
        <v>0.56299999999999994</v>
      </c>
      <c r="D12">
        <v>0.58899999999999997</v>
      </c>
      <c r="E12">
        <v>0.314</v>
      </c>
      <c r="F12">
        <v>0.309</v>
      </c>
      <c r="G12">
        <v>12</v>
      </c>
      <c r="I12">
        <v>0.68</v>
      </c>
      <c r="K12" t="s">
        <v>48</v>
      </c>
      <c r="L12" s="75">
        <f>AVERAGE(I9,I20,I32)</f>
        <v>0.76666666666666661</v>
      </c>
      <c r="M12">
        <v>0.81</v>
      </c>
    </row>
    <row r="13" spans="1:13" x14ac:dyDescent="0.25">
      <c r="A13" t="s">
        <v>110</v>
      </c>
      <c r="B13">
        <v>1</v>
      </c>
      <c r="C13">
        <v>0.54300000000000004</v>
      </c>
      <c r="D13">
        <v>0.61099999999999999</v>
      </c>
      <c r="E13">
        <v>0.38500000000000001</v>
      </c>
      <c r="F13">
        <v>0.36599999999999999</v>
      </c>
      <c r="G13">
        <v>14</v>
      </c>
      <c r="I13">
        <v>0.66</v>
      </c>
    </row>
    <row r="14" spans="1:13" x14ac:dyDescent="0.25">
      <c r="A14" t="s">
        <v>111</v>
      </c>
      <c r="B14">
        <v>1</v>
      </c>
      <c r="C14">
        <v>0.51500000000000001</v>
      </c>
      <c r="D14">
        <v>0.57599999999999996</v>
      </c>
      <c r="E14">
        <v>0.33900000000000002</v>
      </c>
      <c r="F14">
        <v>0.36299999999999999</v>
      </c>
      <c r="G14">
        <v>12</v>
      </c>
      <c r="I14">
        <v>0.72</v>
      </c>
    </row>
    <row r="15" spans="1:13" x14ac:dyDescent="0.25">
      <c r="A15" t="s">
        <v>112</v>
      </c>
      <c r="B15">
        <v>1</v>
      </c>
      <c r="C15">
        <v>0.33200000000000002</v>
      </c>
      <c r="D15">
        <v>0.374</v>
      </c>
      <c r="E15">
        <v>0.54600000000000004</v>
      </c>
      <c r="F15">
        <v>0.53400000000000003</v>
      </c>
      <c r="G15" s="21">
        <v>14</v>
      </c>
      <c r="I15">
        <v>0.7</v>
      </c>
    </row>
    <row r="16" spans="1:13" x14ac:dyDescent="0.25">
      <c r="A16" t="s">
        <v>113</v>
      </c>
      <c r="B16">
        <v>1</v>
      </c>
      <c r="C16">
        <v>0.65</v>
      </c>
      <c r="D16">
        <v>0.32300000000000001</v>
      </c>
      <c r="E16">
        <v>0.222</v>
      </c>
      <c r="F16">
        <v>0.17299999999999999</v>
      </c>
      <c r="G16" s="21">
        <v>10</v>
      </c>
      <c r="I16">
        <v>0.56000000000000005</v>
      </c>
    </row>
    <row r="17" spans="1:9" x14ac:dyDescent="0.25">
      <c r="A17" t="s">
        <v>114</v>
      </c>
      <c r="B17">
        <v>0.312</v>
      </c>
      <c r="C17">
        <v>0.45</v>
      </c>
      <c r="D17">
        <v>1</v>
      </c>
      <c r="E17">
        <v>0.36399999999999999</v>
      </c>
      <c r="F17">
        <v>0.32600000000000001</v>
      </c>
      <c r="G17" s="21">
        <v>14</v>
      </c>
      <c r="I17">
        <v>0.67</v>
      </c>
    </row>
    <row r="18" spans="1:9" x14ac:dyDescent="0.25">
      <c r="A18" t="s">
        <v>115</v>
      </c>
      <c r="B18">
        <v>0.30499999999999999</v>
      </c>
      <c r="C18">
        <v>0.38900000000000001</v>
      </c>
      <c r="D18">
        <v>1</v>
      </c>
      <c r="E18">
        <v>0.38300000000000001</v>
      </c>
      <c r="F18">
        <v>0.34399999999999997</v>
      </c>
      <c r="G18" s="21">
        <v>14</v>
      </c>
      <c r="I18">
        <v>0.63</v>
      </c>
    </row>
    <row r="19" spans="1:9" x14ac:dyDescent="0.25">
      <c r="A19" t="s">
        <v>122</v>
      </c>
      <c r="B19">
        <v>1</v>
      </c>
      <c r="C19">
        <v>0.49399999999999999</v>
      </c>
      <c r="D19">
        <v>0.48099999999999998</v>
      </c>
      <c r="E19">
        <v>0.69</v>
      </c>
      <c r="F19">
        <v>0.66900000000000004</v>
      </c>
      <c r="G19" s="21">
        <v>16</v>
      </c>
      <c r="I19">
        <v>0.56999999999999995</v>
      </c>
    </row>
    <row r="20" spans="1:9" x14ac:dyDescent="0.25">
      <c r="A20" t="s">
        <v>116</v>
      </c>
      <c r="B20">
        <v>1</v>
      </c>
      <c r="C20">
        <v>0.71099999999999997</v>
      </c>
      <c r="D20">
        <v>0.875</v>
      </c>
      <c r="E20">
        <v>0.67400000000000004</v>
      </c>
      <c r="F20">
        <v>0.58799999999999997</v>
      </c>
      <c r="G20" s="21">
        <v>15</v>
      </c>
      <c r="I20">
        <v>0.8</v>
      </c>
    </row>
    <row r="21" spans="1:9" x14ac:dyDescent="0.25">
      <c r="A21" t="s">
        <v>117</v>
      </c>
      <c r="B21">
        <v>1</v>
      </c>
      <c r="C21">
        <v>0.53400000000000003</v>
      </c>
      <c r="D21">
        <v>0.59</v>
      </c>
      <c r="E21">
        <v>0.35099999999999998</v>
      </c>
      <c r="F21">
        <v>0.33600000000000002</v>
      </c>
      <c r="G21" s="21">
        <v>14</v>
      </c>
      <c r="I21">
        <v>0.66</v>
      </c>
    </row>
    <row r="22" spans="1:9" x14ac:dyDescent="0.25">
      <c r="A22" t="s">
        <v>118</v>
      </c>
      <c r="B22">
        <v>1</v>
      </c>
      <c r="C22">
        <v>0.50600000000000001</v>
      </c>
      <c r="D22">
        <v>0.55900000000000005</v>
      </c>
      <c r="E22">
        <v>0.33100000000000002</v>
      </c>
      <c r="F22">
        <v>0.35599999999999998</v>
      </c>
      <c r="G22" s="21">
        <v>12</v>
      </c>
      <c r="I22">
        <v>0.72</v>
      </c>
    </row>
    <row r="23" spans="1:9" x14ac:dyDescent="0.25">
      <c r="A23" t="s">
        <v>119</v>
      </c>
      <c r="B23">
        <v>1</v>
      </c>
      <c r="C23">
        <v>0.65500000000000003</v>
      </c>
      <c r="D23">
        <v>0.32900000000000001</v>
      </c>
      <c r="E23">
        <v>0.22700000000000001</v>
      </c>
      <c r="F23">
        <v>0.17599999999999999</v>
      </c>
      <c r="G23" s="21">
        <v>10</v>
      </c>
      <c r="I23">
        <v>0.56999999999999995</v>
      </c>
    </row>
    <row r="24" spans="1:9" x14ac:dyDescent="0.25">
      <c r="A24" t="s">
        <v>124</v>
      </c>
      <c r="B24">
        <v>0.36699999999999999</v>
      </c>
      <c r="C24">
        <v>0.6</v>
      </c>
      <c r="D24">
        <v>1</v>
      </c>
      <c r="E24">
        <v>0.46300000000000002</v>
      </c>
      <c r="F24">
        <v>0.42399999999999999</v>
      </c>
      <c r="G24" s="21">
        <v>14</v>
      </c>
      <c r="I24">
        <v>0.56999999999999995</v>
      </c>
    </row>
    <row r="25" spans="1:9" x14ac:dyDescent="0.25">
      <c r="A25" t="s">
        <v>126</v>
      </c>
      <c r="B25">
        <v>0.30399999999999999</v>
      </c>
      <c r="C25">
        <v>0.38500000000000001</v>
      </c>
      <c r="D25">
        <v>1</v>
      </c>
      <c r="E25">
        <v>0.34899999999999998</v>
      </c>
      <c r="F25">
        <v>0.313</v>
      </c>
      <c r="G25" s="21">
        <v>14</v>
      </c>
      <c r="I25">
        <v>0.63</v>
      </c>
    </row>
    <row r="26" spans="1:9" x14ac:dyDescent="0.25">
      <c r="A26" t="s">
        <v>127</v>
      </c>
      <c r="B26">
        <v>1</v>
      </c>
      <c r="C26">
        <v>0.57499999999999996</v>
      </c>
      <c r="D26">
        <v>0.61799999999999999</v>
      </c>
      <c r="E26">
        <v>0.32700000000000001</v>
      </c>
      <c r="F26">
        <v>0.315</v>
      </c>
      <c r="G26" s="21">
        <v>12</v>
      </c>
      <c r="I26">
        <v>0.67</v>
      </c>
    </row>
    <row r="27" spans="1:9" x14ac:dyDescent="0.25">
      <c r="A27" t="s">
        <v>129</v>
      </c>
      <c r="B27">
        <v>1</v>
      </c>
      <c r="C27">
        <v>0.28899999999999998</v>
      </c>
      <c r="D27">
        <v>0.22800000000000001</v>
      </c>
      <c r="E27">
        <v>0.33400000000000002</v>
      </c>
      <c r="F27">
        <v>0.35699999999999998</v>
      </c>
      <c r="G27" s="21">
        <v>14</v>
      </c>
      <c r="I27">
        <v>0.73</v>
      </c>
    </row>
    <row r="28" spans="1:9" x14ac:dyDescent="0.25">
      <c r="A28" s="1" t="s">
        <v>130</v>
      </c>
      <c r="B28">
        <v>0.38500000000000001</v>
      </c>
      <c r="C28">
        <v>0.59899999999999998</v>
      </c>
      <c r="D28">
        <v>1</v>
      </c>
      <c r="E28">
        <v>0.51400000000000001</v>
      </c>
      <c r="F28">
        <v>0.47</v>
      </c>
      <c r="G28" s="21">
        <v>14</v>
      </c>
      <c r="I28">
        <v>0.57999999999999996</v>
      </c>
    </row>
    <row r="29" spans="1:9" x14ac:dyDescent="0.25">
      <c r="A29" t="s">
        <v>132</v>
      </c>
      <c r="B29">
        <v>0.38500000000000001</v>
      </c>
      <c r="C29">
        <v>0.45300000000000001</v>
      </c>
      <c r="D29">
        <v>1</v>
      </c>
      <c r="E29">
        <v>0.33100000000000002</v>
      </c>
      <c r="F29">
        <v>0.28999999999999998</v>
      </c>
      <c r="G29" s="21">
        <v>14</v>
      </c>
      <c r="I29">
        <v>0.68</v>
      </c>
    </row>
    <row r="30" spans="1:9" x14ac:dyDescent="0.25">
      <c r="A30" t="s">
        <v>133</v>
      </c>
      <c r="B30">
        <v>1</v>
      </c>
      <c r="C30">
        <v>0.47899999999999998</v>
      </c>
      <c r="D30">
        <v>0.43</v>
      </c>
      <c r="E30">
        <v>0.624</v>
      </c>
      <c r="F30">
        <v>0.6</v>
      </c>
      <c r="G30" s="21">
        <v>16</v>
      </c>
      <c r="I30" s="75">
        <f>(2687-1222)/2687</f>
        <v>0.54521771492370674</v>
      </c>
    </row>
    <row r="31" spans="1:9" x14ac:dyDescent="0.25">
      <c r="A31" t="s">
        <v>134</v>
      </c>
      <c r="B31">
        <v>1</v>
      </c>
      <c r="C31">
        <v>0.50800000000000001</v>
      </c>
      <c r="D31">
        <v>0.52500000000000002</v>
      </c>
      <c r="E31">
        <v>0.77</v>
      </c>
      <c r="F31">
        <v>0.69499999999999995</v>
      </c>
      <c r="G31" s="21">
        <v>17</v>
      </c>
      <c r="I31">
        <v>0.63</v>
      </c>
    </row>
    <row r="32" spans="1:9" x14ac:dyDescent="0.25">
      <c r="A32" t="s">
        <v>135</v>
      </c>
      <c r="B32">
        <v>1</v>
      </c>
      <c r="C32">
        <v>0.71299999999999997</v>
      </c>
      <c r="D32">
        <v>0.82099999999999995</v>
      </c>
      <c r="E32">
        <v>0.54800000000000004</v>
      </c>
      <c r="F32">
        <v>0.48399999999999999</v>
      </c>
      <c r="G32" s="21">
        <v>15</v>
      </c>
      <c r="I32">
        <v>0.73</v>
      </c>
    </row>
    <row r="35" spans="1:7" x14ac:dyDescent="0.25">
      <c r="A35" s="79" t="s">
        <v>141</v>
      </c>
    </row>
    <row r="36" spans="1:7" x14ac:dyDescent="0.25">
      <c r="A36" t="s">
        <v>48</v>
      </c>
      <c r="B36">
        <v>1</v>
      </c>
      <c r="C36">
        <v>0.72199999999999998</v>
      </c>
      <c r="D36">
        <v>0.89400000000000002</v>
      </c>
      <c r="E36">
        <v>0.68300000000000005</v>
      </c>
      <c r="F36">
        <v>0.59899999999999998</v>
      </c>
      <c r="G36">
        <v>14</v>
      </c>
    </row>
    <row r="37" spans="1:7" x14ac:dyDescent="0.25">
      <c r="A37" t="s">
        <v>37</v>
      </c>
      <c r="B37">
        <v>1</v>
      </c>
      <c r="C37">
        <v>0.29699999999999999</v>
      </c>
      <c r="D37">
        <v>0.26600000000000001</v>
      </c>
      <c r="E37">
        <v>0.39500000000000002</v>
      </c>
      <c r="F37">
        <v>0.40699999999999997</v>
      </c>
      <c r="G37">
        <v>15</v>
      </c>
    </row>
    <row r="38" spans="1:7" x14ac:dyDescent="0.25">
      <c r="A38" t="s">
        <v>46</v>
      </c>
      <c r="B38">
        <v>1</v>
      </c>
      <c r="C38">
        <v>0.57199999999999995</v>
      </c>
      <c r="D38">
        <v>0.60099999999999998</v>
      </c>
      <c r="E38">
        <v>0.29099999999999998</v>
      </c>
      <c r="F38">
        <v>0.28599999999999998</v>
      </c>
      <c r="G38">
        <v>11</v>
      </c>
    </row>
    <row r="39" spans="1:7" x14ac:dyDescent="0.25">
      <c r="A39" t="s">
        <v>42</v>
      </c>
      <c r="B39">
        <v>0.34699999999999998</v>
      </c>
      <c r="C39">
        <v>0.45400000000000001</v>
      </c>
      <c r="D39">
        <v>1</v>
      </c>
      <c r="E39">
        <v>0.38300000000000001</v>
      </c>
      <c r="F39">
        <v>0.34300000000000003</v>
      </c>
      <c r="G39">
        <v>14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opLeftCell="A2" zoomScale="90" zoomScaleNormal="90" workbookViewId="0">
      <selection activeCell="W10" sqref="W10"/>
    </sheetView>
  </sheetViews>
  <sheetFormatPr baseColWidth="10" defaultRowHeight="15" x14ac:dyDescent="0.25"/>
  <cols>
    <col min="1" max="16" width="11.42578125" style="33"/>
    <col min="17" max="18" width="12.28515625" style="33" bestFit="1" customWidth="1"/>
    <col min="19" max="19" width="28.140625" style="33" customWidth="1"/>
    <col min="20" max="20" width="11.42578125" style="33"/>
    <col min="21" max="21" width="30" style="33" customWidth="1"/>
    <col min="22" max="22" width="22.5703125" style="33" customWidth="1"/>
    <col min="23" max="23" width="20.85546875" style="33" customWidth="1"/>
    <col min="24" max="24" width="19.85546875" style="33" customWidth="1"/>
    <col min="25" max="25" width="16.28515625" style="33" customWidth="1"/>
    <col min="26" max="26" width="20.5703125" style="33" customWidth="1"/>
    <col min="27" max="27" width="25.28515625" style="33" customWidth="1"/>
    <col min="28" max="16384" width="11.42578125" style="33"/>
  </cols>
  <sheetData>
    <row r="1" spans="1:27" ht="15.75" thickBot="1" x14ac:dyDescent="0.3">
      <c r="D1" s="147" t="s">
        <v>145</v>
      </c>
      <c r="E1" s="148"/>
      <c r="F1" s="148"/>
      <c r="G1" s="148"/>
      <c r="H1" s="148"/>
      <c r="I1" s="148"/>
      <c r="J1" s="148"/>
      <c r="K1" s="148"/>
      <c r="L1" s="148"/>
      <c r="M1" s="149"/>
      <c r="N1" s="147" t="s">
        <v>146</v>
      </c>
      <c r="O1" s="148"/>
      <c r="P1" s="148"/>
      <c r="Q1" s="148"/>
      <c r="R1" s="149"/>
      <c r="S1" s="80" t="s">
        <v>17</v>
      </c>
      <c r="U1" s="145" t="s">
        <v>12</v>
      </c>
      <c r="V1" s="145"/>
      <c r="W1" s="145"/>
      <c r="X1" s="145"/>
      <c r="Y1" s="145"/>
      <c r="Z1" s="145"/>
      <c r="AA1" s="145"/>
    </row>
    <row r="2" spans="1:27" ht="33.75" customHeight="1" thickBot="1" x14ac:dyDescent="0.3">
      <c r="A2" s="33" t="s">
        <v>138</v>
      </c>
      <c r="B2" s="33" t="s">
        <v>139</v>
      </c>
      <c r="C2" s="33" t="s">
        <v>140</v>
      </c>
      <c r="D2" s="25" t="s">
        <v>98</v>
      </c>
      <c r="E2" s="29" t="s">
        <v>72</v>
      </c>
      <c r="F2" s="29" t="s">
        <v>97</v>
      </c>
      <c r="G2" s="29" t="s">
        <v>73</v>
      </c>
      <c r="H2" s="29" t="s">
        <v>75</v>
      </c>
      <c r="I2" s="44" t="s">
        <v>23</v>
      </c>
      <c r="J2" s="44" t="s">
        <v>24</v>
      </c>
      <c r="K2" s="44" t="s">
        <v>27</v>
      </c>
      <c r="L2" s="44" t="s">
        <v>25</v>
      </c>
      <c r="M2" s="56" t="s">
        <v>26</v>
      </c>
      <c r="N2" s="47" t="s">
        <v>136</v>
      </c>
      <c r="O2" s="44" t="s">
        <v>137</v>
      </c>
      <c r="P2" s="44" t="s">
        <v>142</v>
      </c>
      <c r="Q2" s="81" t="s">
        <v>143</v>
      </c>
      <c r="R2" s="82" t="s">
        <v>144</v>
      </c>
      <c r="S2" s="33" t="s">
        <v>147</v>
      </c>
      <c r="V2" s="1" t="s">
        <v>154</v>
      </c>
      <c r="W2" s="1" t="s">
        <v>155</v>
      </c>
      <c r="X2" s="1" t="s">
        <v>153</v>
      </c>
      <c r="Y2" s="1" t="s">
        <v>16</v>
      </c>
      <c r="Z2" s="9" t="s">
        <v>156</v>
      </c>
      <c r="AA2" s="9" t="s">
        <v>157</v>
      </c>
    </row>
    <row r="3" spans="1:27" x14ac:dyDescent="0.25">
      <c r="A3" s="33" t="s">
        <v>48</v>
      </c>
      <c r="B3" s="123" t="s">
        <v>46</v>
      </c>
      <c r="C3" s="25" t="s">
        <v>49</v>
      </c>
      <c r="D3" s="25">
        <v>18</v>
      </c>
      <c r="E3" s="29">
        <f t="shared" ref="E3:E9" si="0">I3</f>
        <v>584</v>
      </c>
      <c r="F3" s="29">
        <v>642</v>
      </c>
      <c r="G3" s="29">
        <v>692</v>
      </c>
      <c r="H3" s="29">
        <f>(G3-E3)/G3</f>
        <v>0.15606936416184972</v>
      </c>
      <c r="I3" s="29">
        <v>584</v>
      </c>
      <c r="J3" s="29">
        <v>432</v>
      </c>
      <c r="K3" s="29">
        <v>964</v>
      </c>
      <c r="L3" s="29">
        <v>1388</v>
      </c>
      <c r="M3" s="76">
        <v>1255</v>
      </c>
      <c r="N3" s="25">
        <v>4284</v>
      </c>
      <c r="O3" s="29">
        <v>0</v>
      </c>
      <c r="P3" s="29">
        <f>SUM(N3:O3)</f>
        <v>4284</v>
      </c>
      <c r="Q3" s="29">
        <f>(N3*100)/P3</f>
        <v>100</v>
      </c>
      <c r="R3" s="76">
        <f>(O3*100)/P3</f>
        <v>0</v>
      </c>
      <c r="S3" s="77"/>
      <c r="U3" s="33" t="s">
        <v>158</v>
      </c>
      <c r="V3" s="33">
        <v>7063</v>
      </c>
      <c r="W3" s="33">
        <v>0</v>
      </c>
      <c r="X3" s="33">
        <v>100</v>
      </c>
      <c r="Y3" s="33">
        <f>(2000-1380)/15</f>
        <v>41.333333333333336</v>
      </c>
      <c r="Z3" s="111">
        <f>((V3/Y3)*X3)*1000</f>
        <v>17087903.225806452</v>
      </c>
      <c r="AA3" s="111">
        <f>((W3/Y3)*X3)*1000</f>
        <v>0</v>
      </c>
    </row>
    <row r="4" spans="1:27" x14ac:dyDescent="0.25">
      <c r="A4" s="33" t="s">
        <v>48</v>
      </c>
      <c r="B4" s="123" t="s">
        <v>46</v>
      </c>
      <c r="C4" s="30" t="s">
        <v>50</v>
      </c>
      <c r="D4" s="30">
        <v>18</v>
      </c>
      <c r="E4" s="33">
        <f t="shared" si="0"/>
        <v>1329</v>
      </c>
      <c r="F4" s="33">
        <v>2080</v>
      </c>
      <c r="G4" s="33">
        <v>2565</v>
      </c>
      <c r="H4" s="33">
        <f t="shared" ref="H4:H26" si="1">(G4-E4)/G4</f>
        <v>0.48187134502923978</v>
      </c>
      <c r="I4" s="33">
        <v>1329</v>
      </c>
      <c r="J4" s="33">
        <v>858</v>
      </c>
      <c r="K4" s="33">
        <v>1396</v>
      </c>
      <c r="L4" s="42">
        <v>1582</v>
      </c>
      <c r="M4" s="43">
        <v>1449</v>
      </c>
      <c r="N4" s="48">
        <v>6375</v>
      </c>
      <c r="O4" s="42">
        <v>0</v>
      </c>
      <c r="P4" s="33">
        <f t="shared" ref="P4:P5" si="2">SUM(N4:O4)</f>
        <v>6375</v>
      </c>
      <c r="Q4" s="33">
        <f t="shared" ref="Q4:Q26" si="3">(N4*100)/P4</f>
        <v>100</v>
      </c>
      <c r="R4" s="34">
        <f t="shared" ref="R4:R26" si="4">(O4*100)/P4</f>
        <v>0</v>
      </c>
      <c r="S4" s="78"/>
      <c r="U4" s="33" t="s">
        <v>159</v>
      </c>
      <c r="V4" s="33">
        <v>6902</v>
      </c>
      <c r="W4" s="33">
        <v>8889</v>
      </c>
      <c r="X4" s="33">
        <v>100</v>
      </c>
      <c r="Y4" s="33">
        <f t="shared" ref="Y4:Y5" si="5">(2000-1380)/15</f>
        <v>41.333333333333336</v>
      </c>
      <c r="Z4" s="111">
        <f t="shared" ref="Z4:Z9" si="6">((V4/Y4)*X4)*1000</f>
        <v>16698387.096774193</v>
      </c>
      <c r="AA4" s="111">
        <f>((W4/Y4)*X4)*1000</f>
        <v>21505645.161290321</v>
      </c>
    </row>
    <row r="5" spans="1:27" ht="15.75" thickBot="1" x14ac:dyDescent="0.3">
      <c r="A5" s="33" t="s">
        <v>48</v>
      </c>
      <c r="B5" s="123" t="s">
        <v>46</v>
      </c>
      <c r="C5" s="35" t="s">
        <v>51</v>
      </c>
      <c r="D5" s="35">
        <v>16</v>
      </c>
      <c r="E5" s="38">
        <f t="shared" si="0"/>
        <v>1222</v>
      </c>
      <c r="F5" s="38">
        <v>2238</v>
      </c>
      <c r="G5" s="38">
        <v>3204</v>
      </c>
      <c r="H5" s="38">
        <f t="shared" si="1"/>
        <v>0.61860174781523092</v>
      </c>
      <c r="I5" s="38">
        <v>1222</v>
      </c>
      <c r="J5" s="38">
        <v>739</v>
      </c>
      <c r="K5" s="38">
        <v>960</v>
      </c>
      <c r="L5" s="45">
        <v>814</v>
      </c>
      <c r="M5" s="46">
        <v>728</v>
      </c>
      <c r="N5" s="49">
        <v>4468</v>
      </c>
      <c r="O5" s="45">
        <v>0</v>
      </c>
      <c r="P5" s="38">
        <f t="shared" si="2"/>
        <v>4468</v>
      </c>
      <c r="Q5" s="38">
        <f t="shared" si="3"/>
        <v>100</v>
      </c>
      <c r="R5" s="39">
        <f t="shared" si="4"/>
        <v>0</v>
      </c>
      <c r="S5" s="34">
        <f>1000-(530+2+2*1.485)</f>
        <v>465.03</v>
      </c>
      <c r="U5" s="33" t="s">
        <v>160</v>
      </c>
      <c r="V5" s="33">
        <v>7029</v>
      </c>
      <c r="W5" s="33">
        <v>21246</v>
      </c>
      <c r="X5" s="33">
        <v>100</v>
      </c>
      <c r="Y5" s="33">
        <f t="shared" si="5"/>
        <v>41.333333333333336</v>
      </c>
      <c r="Z5" s="111">
        <f t="shared" si="6"/>
        <v>17005645.161290321</v>
      </c>
      <c r="AA5" s="111">
        <f t="shared" ref="AA5:AA9" si="7">((W5/Y5)*X5)*1000</f>
        <v>51401612.903225802</v>
      </c>
    </row>
    <row r="6" spans="1:27" x14ac:dyDescent="0.25">
      <c r="A6" s="123" t="s">
        <v>46</v>
      </c>
      <c r="B6" s="33" t="s">
        <v>48</v>
      </c>
      <c r="C6" s="25" t="s">
        <v>49</v>
      </c>
      <c r="D6" s="47">
        <v>18</v>
      </c>
      <c r="E6" s="29">
        <f t="shared" si="0"/>
        <v>1230</v>
      </c>
      <c r="F6" s="44">
        <v>1920</v>
      </c>
      <c r="G6" s="44">
        <v>2612</v>
      </c>
      <c r="H6" s="29">
        <f t="shared" si="1"/>
        <v>0.5290964777947933</v>
      </c>
      <c r="I6" s="44">
        <v>1230</v>
      </c>
      <c r="J6" s="44">
        <v>792</v>
      </c>
      <c r="K6" s="44">
        <v>1300</v>
      </c>
      <c r="L6" s="44">
        <v>1496</v>
      </c>
      <c r="M6" s="56">
        <v>1387</v>
      </c>
      <c r="N6" s="47">
        <v>0</v>
      </c>
      <c r="O6" s="44">
        <v>5968</v>
      </c>
      <c r="P6" s="29">
        <f>SUM(N6:O6)</f>
        <v>5968</v>
      </c>
      <c r="Q6" s="29">
        <f t="shared" si="3"/>
        <v>0</v>
      </c>
      <c r="R6" s="76">
        <f t="shared" si="4"/>
        <v>100</v>
      </c>
      <c r="S6" s="78"/>
      <c r="Z6" s="111"/>
      <c r="AA6" s="111"/>
    </row>
    <row r="7" spans="1:27" x14ac:dyDescent="0.25">
      <c r="A7" s="123" t="s">
        <v>46</v>
      </c>
      <c r="B7" s="33" t="s">
        <v>48</v>
      </c>
      <c r="C7" s="30" t="s">
        <v>50</v>
      </c>
      <c r="D7" s="48">
        <v>18</v>
      </c>
      <c r="E7" s="42">
        <f t="shared" si="0"/>
        <v>1292</v>
      </c>
      <c r="F7" s="42">
        <v>2123</v>
      </c>
      <c r="G7" s="42">
        <v>3073</v>
      </c>
      <c r="H7" s="33">
        <f t="shared" si="1"/>
        <v>0.57956394402863654</v>
      </c>
      <c r="I7" s="42">
        <v>1292</v>
      </c>
      <c r="J7" s="42">
        <v>829</v>
      </c>
      <c r="K7" s="42">
        <v>1349</v>
      </c>
      <c r="L7" s="42">
        <v>1523</v>
      </c>
      <c r="M7" s="43">
        <v>1475</v>
      </c>
      <c r="N7" s="48">
        <v>0</v>
      </c>
      <c r="O7" s="42">
        <v>6221</v>
      </c>
      <c r="P7" s="33">
        <f t="shared" ref="P7:P26" si="8">SUM(N7:O7)</f>
        <v>6221</v>
      </c>
      <c r="Q7" s="33">
        <f t="shared" si="3"/>
        <v>0</v>
      </c>
      <c r="R7" s="34">
        <f t="shared" si="4"/>
        <v>100</v>
      </c>
      <c r="S7" s="78"/>
      <c r="U7" s="42" t="s">
        <v>161</v>
      </c>
      <c r="V7" s="42">
        <v>0</v>
      </c>
      <c r="W7" s="42">
        <v>10437</v>
      </c>
      <c r="X7" s="42">
        <v>100</v>
      </c>
      <c r="Y7" s="33">
        <f>(2000-1380)/15</f>
        <v>41.333333333333336</v>
      </c>
      <c r="Z7" s="111">
        <f t="shared" si="6"/>
        <v>0</v>
      </c>
      <c r="AA7" s="111">
        <f t="shared" si="7"/>
        <v>25250806.451612901</v>
      </c>
    </row>
    <row r="8" spans="1:27" ht="15.75" thickBot="1" x14ac:dyDescent="0.3">
      <c r="A8" s="123" t="s">
        <v>46</v>
      </c>
      <c r="B8" s="33" t="s">
        <v>48</v>
      </c>
      <c r="C8" s="35" t="s">
        <v>51</v>
      </c>
      <c r="D8" s="49">
        <v>18</v>
      </c>
      <c r="E8" s="38">
        <f t="shared" si="0"/>
        <v>1464</v>
      </c>
      <c r="F8" s="38">
        <v>2554</v>
      </c>
      <c r="G8" s="38">
        <v>3460</v>
      </c>
      <c r="H8" s="38">
        <f t="shared" si="1"/>
        <v>0.576878612716763</v>
      </c>
      <c r="I8" s="38">
        <v>1464</v>
      </c>
      <c r="J8" s="38">
        <v>961</v>
      </c>
      <c r="K8" s="38">
        <v>1476</v>
      </c>
      <c r="L8" s="38">
        <v>1584</v>
      </c>
      <c r="M8" s="39">
        <v>1518</v>
      </c>
      <c r="N8" s="35">
        <v>0</v>
      </c>
      <c r="O8" s="38">
        <v>6776</v>
      </c>
      <c r="P8" s="38">
        <f t="shared" si="8"/>
        <v>6776</v>
      </c>
      <c r="Q8" s="38">
        <f t="shared" si="3"/>
        <v>0</v>
      </c>
      <c r="R8" s="39">
        <f t="shared" si="4"/>
        <v>100</v>
      </c>
      <c r="S8" s="34">
        <f>1000-(460+2+2*1.485)</f>
        <v>535.03</v>
      </c>
      <c r="U8" s="42" t="s">
        <v>162</v>
      </c>
      <c r="V8" s="42">
        <v>7503</v>
      </c>
      <c r="W8" s="42">
        <v>9211</v>
      </c>
      <c r="X8" s="42">
        <v>100</v>
      </c>
      <c r="Y8" s="33">
        <f t="shared" ref="Y8:Y9" si="9">(2000-1380)/15</f>
        <v>41.333333333333336</v>
      </c>
      <c r="Z8" s="111">
        <f t="shared" si="6"/>
        <v>18152419.354838707</v>
      </c>
      <c r="AA8" s="111">
        <f t="shared" si="7"/>
        <v>22284677.419354837</v>
      </c>
    </row>
    <row r="9" spans="1:27" x14ac:dyDescent="0.25">
      <c r="A9" s="42" t="s">
        <v>37</v>
      </c>
      <c r="B9" s="42" t="s">
        <v>42</v>
      </c>
      <c r="C9" s="25" t="s">
        <v>49</v>
      </c>
      <c r="D9" s="47">
        <v>18</v>
      </c>
      <c r="E9" s="44">
        <f t="shared" si="0"/>
        <v>627</v>
      </c>
      <c r="F9" s="44">
        <v>845</v>
      </c>
      <c r="G9" s="44">
        <v>925</v>
      </c>
      <c r="H9" s="29">
        <f t="shared" si="1"/>
        <v>0.32216216216216215</v>
      </c>
      <c r="I9" s="44">
        <v>627</v>
      </c>
      <c r="J9" s="44">
        <v>424</v>
      </c>
      <c r="K9" s="44">
        <v>936</v>
      </c>
      <c r="L9" s="44">
        <v>1383</v>
      </c>
      <c r="M9" s="56">
        <v>1258</v>
      </c>
      <c r="N9" s="47">
        <v>0</v>
      </c>
      <c r="O9" s="44">
        <v>3665</v>
      </c>
      <c r="P9" s="29">
        <f t="shared" si="8"/>
        <v>3665</v>
      </c>
      <c r="Q9" s="29">
        <f t="shared" si="3"/>
        <v>0</v>
      </c>
      <c r="R9" s="76">
        <f t="shared" si="4"/>
        <v>100</v>
      </c>
      <c r="S9" s="78"/>
      <c r="U9" s="42" t="s">
        <v>163</v>
      </c>
      <c r="V9" s="42">
        <v>21911</v>
      </c>
      <c r="W9" s="42">
        <v>8872</v>
      </c>
      <c r="X9" s="42">
        <v>100</v>
      </c>
      <c r="Y9" s="33">
        <f t="shared" si="9"/>
        <v>41.333333333333336</v>
      </c>
      <c r="Z9" s="111">
        <f t="shared" si="6"/>
        <v>53010483.870967746</v>
      </c>
      <c r="AA9" s="111">
        <f t="shared" si="7"/>
        <v>21464516.129032258</v>
      </c>
    </row>
    <row r="10" spans="1:27" x14ac:dyDescent="0.25">
      <c r="A10" s="42" t="s">
        <v>37</v>
      </c>
      <c r="B10" s="42" t="s">
        <v>42</v>
      </c>
      <c r="C10" s="30" t="s">
        <v>50</v>
      </c>
      <c r="D10" s="48">
        <v>18</v>
      </c>
      <c r="E10" s="42">
        <f t="shared" ref="E10" si="10">I10</f>
        <v>711</v>
      </c>
      <c r="F10" s="42">
        <v>931</v>
      </c>
      <c r="G10" s="42">
        <v>1103</v>
      </c>
      <c r="H10" s="33">
        <f t="shared" si="1"/>
        <v>0.35539437896645515</v>
      </c>
      <c r="I10" s="42">
        <v>711</v>
      </c>
      <c r="J10" s="42">
        <v>536</v>
      </c>
      <c r="K10" s="42">
        <v>1168</v>
      </c>
      <c r="L10" s="42">
        <v>1442</v>
      </c>
      <c r="M10" s="43">
        <v>1312</v>
      </c>
      <c r="N10" s="30">
        <v>0</v>
      </c>
      <c r="O10" s="42">
        <v>4226</v>
      </c>
      <c r="P10" s="33">
        <f t="shared" si="8"/>
        <v>4226</v>
      </c>
      <c r="Q10" s="33">
        <f t="shared" si="3"/>
        <v>0</v>
      </c>
      <c r="R10" s="34">
        <f t="shared" si="4"/>
        <v>100</v>
      </c>
      <c r="S10" s="78"/>
    </row>
    <row r="11" spans="1:27" ht="15.75" thickBot="1" x14ac:dyDescent="0.3">
      <c r="A11" s="42" t="s">
        <v>37</v>
      </c>
      <c r="B11" s="42" t="s">
        <v>42</v>
      </c>
      <c r="C11" s="35" t="s">
        <v>51</v>
      </c>
      <c r="D11" s="35">
        <v>18</v>
      </c>
      <c r="E11" s="45">
        <f>K11</f>
        <v>1465</v>
      </c>
      <c r="F11" s="38">
        <v>1570</v>
      </c>
      <c r="G11" s="38">
        <v>2592</v>
      </c>
      <c r="H11" s="38">
        <f t="shared" si="1"/>
        <v>0.4347993827160494</v>
      </c>
      <c r="I11" s="38">
        <v>795</v>
      </c>
      <c r="J11" s="38">
        <v>656</v>
      </c>
      <c r="K11" s="38">
        <v>1465</v>
      </c>
      <c r="L11" s="38">
        <v>1509</v>
      </c>
      <c r="M11" s="39">
        <v>1374</v>
      </c>
      <c r="N11" s="35">
        <v>0</v>
      </c>
      <c r="O11" s="38">
        <v>4905</v>
      </c>
      <c r="P11" s="38">
        <f t="shared" si="8"/>
        <v>4905</v>
      </c>
      <c r="Q11" s="38">
        <f>(N11*100)/P11</f>
        <v>0</v>
      </c>
      <c r="R11" s="39">
        <f t="shared" si="4"/>
        <v>100</v>
      </c>
      <c r="S11" s="34">
        <f>1000-(630+2+2*1.485)</f>
        <v>365.03</v>
      </c>
    </row>
    <row r="12" spans="1:27" x14ac:dyDescent="0.25">
      <c r="A12" s="42" t="s">
        <v>42</v>
      </c>
      <c r="B12" s="42" t="s">
        <v>37</v>
      </c>
      <c r="C12" s="83" t="s">
        <v>49</v>
      </c>
      <c r="D12" s="47">
        <v>18</v>
      </c>
      <c r="E12" s="44">
        <f>K12</f>
        <v>1228</v>
      </c>
      <c r="F12" s="44">
        <v>1285</v>
      </c>
      <c r="G12" s="29">
        <v>1765</v>
      </c>
      <c r="H12" s="29">
        <f t="shared" si="1"/>
        <v>0.30424929178470256</v>
      </c>
      <c r="I12" s="44">
        <v>644</v>
      </c>
      <c r="J12" s="44">
        <v>543</v>
      </c>
      <c r="K12" s="44">
        <v>1228</v>
      </c>
      <c r="L12" s="44">
        <v>1462</v>
      </c>
      <c r="M12" s="56">
        <v>1332</v>
      </c>
      <c r="N12" s="47">
        <v>0</v>
      </c>
      <c r="O12" s="44">
        <v>4312</v>
      </c>
      <c r="P12" s="29">
        <f t="shared" si="8"/>
        <v>4312</v>
      </c>
      <c r="Q12" s="29">
        <f t="shared" si="3"/>
        <v>0</v>
      </c>
      <c r="R12" s="76">
        <f t="shared" si="4"/>
        <v>100</v>
      </c>
      <c r="S12" s="78"/>
    </row>
    <row r="13" spans="1:27" x14ac:dyDescent="0.25">
      <c r="A13" s="42" t="s">
        <v>42</v>
      </c>
      <c r="B13" s="42" t="s">
        <v>37</v>
      </c>
      <c r="C13" s="84" t="s">
        <v>50</v>
      </c>
      <c r="D13" s="30" t="s">
        <v>93</v>
      </c>
      <c r="E13" s="42" t="s">
        <v>93</v>
      </c>
      <c r="F13" s="42" t="s">
        <v>93</v>
      </c>
      <c r="G13" s="42" t="s">
        <v>93</v>
      </c>
      <c r="H13" s="33" t="s">
        <v>93</v>
      </c>
      <c r="I13" s="42" t="s">
        <v>93</v>
      </c>
      <c r="J13" s="42" t="s">
        <v>93</v>
      </c>
      <c r="K13" s="42" t="s">
        <v>93</v>
      </c>
      <c r="L13" s="42" t="s">
        <v>93</v>
      </c>
      <c r="M13" s="34" t="s">
        <v>93</v>
      </c>
      <c r="N13" s="30" t="s">
        <v>93</v>
      </c>
      <c r="O13" s="42" t="s">
        <v>93</v>
      </c>
      <c r="P13" s="33" t="s">
        <v>93</v>
      </c>
      <c r="Q13" s="33" t="s">
        <v>93</v>
      </c>
      <c r="R13" s="34" t="s">
        <v>93</v>
      </c>
      <c r="S13" s="78"/>
    </row>
    <row r="14" spans="1:27" ht="15.75" thickBot="1" x14ac:dyDescent="0.3">
      <c r="A14" s="42" t="s">
        <v>42</v>
      </c>
      <c r="B14" s="42" t="s">
        <v>37</v>
      </c>
      <c r="C14" s="84" t="s">
        <v>51</v>
      </c>
      <c r="D14" s="30">
        <v>18</v>
      </c>
      <c r="E14" s="33">
        <f t="shared" ref="E14:E21" si="11">I14</f>
        <v>929</v>
      </c>
      <c r="F14" s="33">
        <v>1558</v>
      </c>
      <c r="G14" s="33">
        <v>1952</v>
      </c>
      <c r="H14" s="33">
        <f t="shared" si="1"/>
        <v>0.52407786885245899</v>
      </c>
      <c r="I14" s="33">
        <v>929</v>
      </c>
      <c r="J14" s="33">
        <v>600</v>
      </c>
      <c r="K14" s="33">
        <v>1197</v>
      </c>
      <c r="L14" s="33">
        <v>1478</v>
      </c>
      <c r="M14" s="34">
        <v>1307</v>
      </c>
      <c r="N14" s="30">
        <v>2999</v>
      </c>
      <c r="O14" s="33">
        <v>2090</v>
      </c>
      <c r="P14" s="33">
        <f>SUM(N14:O14)</f>
        <v>5089</v>
      </c>
      <c r="Q14" s="87">
        <f>(N14*100)/P14</f>
        <v>58.931027706818625</v>
      </c>
      <c r="R14" s="88">
        <f t="shared" si="4"/>
        <v>41.068972293181375</v>
      </c>
      <c r="S14" s="34">
        <f>1000-(250+170+2+2*1.485)</f>
        <v>575.03</v>
      </c>
    </row>
    <row r="15" spans="1:27" x14ac:dyDescent="0.25">
      <c r="A15" s="124" t="s">
        <v>46</v>
      </c>
      <c r="B15" s="42" t="s">
        <v>37</v>
      </c>
      <c r="C15" s="83" t="s">
        <v>49</v>
      </c>
      <c r="D15" s="47">
        <v>18</v>
      </c>
      <c r="E15" s="29">
        <f t="shared" si="11"/>
        <v>1232</v>
      </c>
      <c r="F15" s="44">
        <v>2011</v>
      </c>
      <c r="G15" s="44">
        <v>2572</v>
      </c>
      <c r="H15" s="29">
        <f t="shared" si="1"/>
        <v>0.52099533437014001</v>
      </c>
      <c r="I15" s="44">
        <v>1232</v>
      </c>
      <c r="J15" s="44">
        <v>797</v>
      </c>
      <c r="K15" s="44">
        <v>1332</v>
      </c>
      <c r="L15" s="44">
        <v>1535</v>
      </c>
      <c r="M15" s="56">
        <v>1433</v>
      </c>
      <c r="N15" s="44">
        <v>0</v>
      </c>
      <c r="O15" s="44">
        <v>4812</v>
      </c>
      <c r="P15" s="29">
        <f t="shared" si="8"/>
        <v>4812</v>
      </c>
      <c r="Q15" s="29">
        <f t="shared" si="3"/>
        <v>0</v>
      </c>
      <c r="R15" s="29">
        <f t="shared" si="4"/>
        <v>100</v>
      </c>
      <c r="S15" s="77"/>
    </row>
    <row r="16" spans="1:27" x14ac:dyDescent="0.25">
      <c r="A16" s="124" t="s">
        <v>46</v>
      </c>
      <c r="B16" s="42" t="s">
        <v>37</v>
      </c>
      <c r="C16" s="84" t="s">
        <v>50</v>
      </c>
      <c r="D16" s="30">
        <v>18</v>
      </c>
      <c r="E16" s="33">
        <f t="shared" si="11"/>
        <v>1456</v>
      </c>
      <c r="F16" s="42">
        <v>2612</v>
      </c>
      <c r="G16" s="42">
        <v>3284</v>
      </c>
      <c r="H16" s="33">
        <f t="shared" si="1"/>
        <v>0.55663824604141288</v>
      </c>
      <c r="I16" s="42">
        <v>1456</v>
      </c>
      <c r="J16" s="42">
        <v>899</v>
      </c>
      <c r="K16" s="42">
        <v>1447</v>
      </c>
      <c r="L16" s="42">
        <v>1660</v>
      </c>
      <c r="M16" s="34">
        <v>1495</v>
      </c>
      <c r="N16" s="33">
        <v>0</v>
      </c>
      <c r="O16" s="42">
        <v>5386</v>
      </c>
      <c r="P16" s="33">
        <f t="shared" si="8"/>
        <v>5386</v>
      </c>
      <c r="Q16" s="33">
        <f t="shared" si="3"/>
        <v>0</v>
      </c>
      <c r="R16" s="33">
        <f t="shared" si="4"/>
        <v>100</v>
      </c>
      <c r="S16" s="78"/>
    </row>
    <row r="17" spans="1:19" ht="15.75" thickBot="1" x14ac:dyDescent="0.3">
      <c r="A17" s="124" t="s">
        <v>46</v>
      </c>
      <c r="B17" s="42" t="s">
        <v>37</v>
      </c>
      <c r="C17" s="85" t="s">
        <v>51</v>
      </c>
      <c r="D17" s="35">
        <v>18</v>
      </c>
      <c r="E17" s="38">
        <f t="shared" si="11"/>
        <v>1554</v>
      </c>
      <c r="F17" s="38">
        <v>3067</v>
      </c>
      <c r="G17" s="38">
        <v>3492</v>
      </c>
      <c r="H17" s="38">
        <f t="shared" si="1"/>
        <v>0.55498281786941583</v>
      </c>
      <c r="I17" s="38">
        <v>1554</v>
      </c>
      <c r="J17" s="38">
        <v>891</v>
      </c>
      <c r="K17" s="38">
        <v>1352</v>
      </c>
      <c r="L17" s="38">
        <v>1550</v>
      </c>
      <c r="M17" s="39">
        <v>1455</v>
      </c>
      <c r="N17" s="38">
        <v>2328</v>
      </c>
      <c r="O17" s="38">
        <v>3292</v>
      </c>
      <c r="P17" s="38">
        <f>SUM(N17:O17)</f>
        <v>5620</v>
      </c>
      <c r="Q17" s="86">
        <f>(N17*100)/P17</f>
        <v>41.423487544483983</v>
      </c>
      <c r="R17" s="86">
        <f t="shared" si="4"/>
        <v>58.576512455516017</v>
      </c>
      <c r="S17" s="39">
        <f>1000-(350+2+2*1.485)</f>
        <v>645.03</v>
      </c>
    </row>
    <row r="18" spans="1:19" x14ac:dyDescent="0.25">
      <c r="A18" s="42" t="s">
        <v>37</v>
      </c>
      <c r="B18" s="124" t="s">
        <v>46</v>
      </c>
      <c r="C18" s="83" t="s">
        <v>49</v>
      </c>
      <c r="D18" s="25">
        <v>18</v>
      </c>
      <c r="E18" s="29">
        <f t="shared" si="11"/>
        <v>687</v>
      </c>
      <c r="F18" s="29">
        <v>898</v>
      </c>
      <c r="G18" s="29">
        <v>991</v>
      </c>
      <c r="H18" s="29">
        <f t="shared" si="1"/>
        <v>0.30676084762865791</v>
      </c>
      <c r="I18" s="29">
        <v>687</v>
      </c>
      <c r="J18" s="29">
        <v>465</v>
      </c>
      <c r="K18" s="29">
        <v>984</v>
      </c>
      <c r="L18" s="29">
        <v>1431</v>
      </c>
      <c r="M18" s="76">
        <v>1307</v>
      </c>
      <c r="N18" s="29">
        <v>0</v>
      </c>
      <c r="O18" s="29">
        <v>3461</v>
      </c>
      <c r="P18" s="29">
        <f t="shared" si="8"/>
        <v>3461</v>
      </c>
      <c r="Q18" s="29">
        <f t="shared" si="3"/>
        <v>0</v>
      </c>
      <c r="R18" s="29">
        <f t="shared" si="4"/>
        <v>100</v>
      </c>
      <c r="S18" s="77"/>
    </row>
    <row r="19" spans="1:19" x14ac:dyDescent="0.25">
      <c r="A19" s="42" t="s">
        <v>37</v>
      </c>
      <c r="B19" s="124" t="s">
        <v>46</v>
      </c>
      <c r="C19" s="84" t="s">
        <v>50</v>
      </c>
      <c r="D19" s="30">
        <v>18</v>
      </c>
      <c r="E19" s="42">
        <f t="shared" si="11"/>
        <v>1329</v>
      </c>
      <c r="F19" s="42">
        <v>2424</v>
      </c>
      <c r="G19" s="42">
        <v>2997</v>
      </c>
      <c r="H19" s="33">
        <f t="shared" si="1"/>
        <v>0.55655655655655656</v>
      </c>
      <c r="I19" s="42">
        <v>1329</v>
      </c>
      <c r="J19" s="42">
        <v>812</v>
      </c>
      <c r="K19" s="42">
        <v>1325</v>
      </c>
      <c r="L19" s="42">
        <v>1512</v>
      </c>
      <c r="M19" s="34">
        <v>1290</v>
      </c>
      <c r="N19" s="42">
        <v>0</v>
      </c>
      <c r="O19" s="42">
        <v>5039</v>
      </c>
      <c r="P19" s="33">
        <f t="shared" si="8"/>
        <v>5039</v>
      </c>
      <c r="Q19" s="33">
        <f t="shared" si="3"/>
        <v>0</v>
      </c>
      <c r="R19" s="33">
        <f t="shared" si="4"/>
        <v>100</v>
      </c>
      <c r="S19" s="78"/>
    </row>
    <row r="20" spans="1:19" ht="15.75" thickBot="1" x14ac:dyDescent="0.3">
      <c r="A20" s="42" t="s">
        <v>37</v>
      </c>
      <c r="B20" s="124" t="s">
        <v>46</v>
      </c>
      <c r="C20" s="85" t="s">
        <v>51</v>
      </c>
      <c r="D20" s="35">
        <v>16</v>
      </c>
      <c r="E20" s="38">
        <f t="shared" si="11"/>
        <v>1287</v>
      </c>
      <c r="F20" s="38">
        <v>2633</v>
      </c>
      <c r="G20" s="38">
        <v>3296</v>
      </c>
      <c r="H20" s="38">
        <f t="shared" si="1"/>
        <v>0.60952669902912626</v>
      </c>
      <c r="I20" s="38">
        <v>1287</v>
      </c>
      <c r="J20" s="38">
        <v>757</v>
      </c>
      <c r="K20" s="38">
        <v>984</v>
      </c>
      <c r="L20" s="38">
        <v>838</v>
      </c>
      <c r="M20" s="39">
        <v>777</v>
      </c>
      <c r="N20" s="38">
        <v>0</v>
      </c>
      <c r="O20" s="38">
        <v>4118</v>
      </c>
      <c r="P20" s="38">
        <f t="shared" si="8"/>
        <v>4118</v>
      </c>
      <c r="Q20" s="38">
        <f t="shared" si="3"/>
        <v>0</v>
      </c>
      <c r="R20" s="38">
        <f t="shared" si="4"/>
        <v>100</v>
      </c>
      <c r="S20" s="39">
        <f>1000-(490+2+2*1.485)</f>
        <v>505.03</v>
      </c>
    </row>
    <row r="21" spans="1:19" x14ac:dyDescent="0.25">
      <c r="A21" s="124" t="s">
        <v>46</v>
      </c>
      <c r="B21" s="42" t="s">
        <v>42</v>
      </c>
      <c r="C21" s="83" t="s">
        <v>49</v>
      </c>
      <c r="D21" s="25">
        <v>18</v>
      </c>
      <c r="E21" s="29">
        <f t="shared" si="11"/>
        <v>1241</v>
      </c>
      <c r="F21" s="29">
        <v>2058</v>
      </c>
      <c r="G21" s="29">
        <v>2628</v>
      </c>
      <c r="H21" s="29">
        <f t="shared" si="1"/>
        <v>0.52777777777777779</v>
      </c>
      <c r="I21" s="29">
        <v>1241</v>
      </c>
      <c r="J21" s="29">
        <v>798</v>
      </c>
      <c r="K21" s="29">
        <v>1333</v>
      </c>
      <c r="L21" s="29">
        <v>1543</v>
      </c>
      <c r="M21" s="76">
        <v>1466</v>
      </c>
      <c r="N21" s="29">
        <v>2315</v>
      </c>
      <c r="O21" s="29">
        <v>3219</v>
      </c>
      <c r="P21" s="29">
        <f t="shared" si="8"/>
        <v>5534</v>
      </c>
      <c r="Q21" s="89">
        <f t="shared" si="3"/>
        <v>41.832309360318035</v>
      </c>
      <c r="R21" s="89">
        <f t="shared" si="4"/>
        <v>58.167690639681965</v>
      </c>
      <c r="S21" s="77"/>
    </row>
    <row r="22" spans="1:19" x14ac:dyDescent="0.25">
      <c r="A22" s="124" t="s">
        <v>46</v>
      </c>
      <c r="B22" s="42" t="s">
        <v>42</v>
      </c>
      <c r="C22" s="84" t="s">
        <v>50</v>
      </c>
      <c r="D22" s="30">
        <v>18</v>
      </c>
      <c r="E22" s="42">
        <f>K22</f>
        <v>1519</v>
      </c>
      <c r="F22" s="42">
        <v>2040</v>
      </c>
      <c r="G22" s="42">
        <v>2658</v>
      </c>
      <c r="H22" s="33">
        <f t="shared" si="1"/>
        <v>0.42851768246802108</v>
      </c>
      <c r="I22" s="42">
        <v>1279</v>
      </c>
      <c r="J22" s="42">
        <v>881</v>
      </c>
      <c r="K22" s="42">
        <v>1519</v>
      </c>
      <c r="L22" s="42">
        <v>1559</v>
      </c>
      <c r="M22" s="34">
        <v>1450</v>
      </c>
      <c r="N22" s="42">
        <v>2249</v>
      </c>
      <c r="O22" s="42">
        <v>3651</v>
      </c>
      <c r="P22" s="33">
        <f t="shared" si="8"/>
        <v>5900</v>
      </c>
      <c r="Q22" s="87">
        <f t="shared" si="3"/>
        <v>38.118644067796609</v>
      </c>
      <c r="R22" s="87">
        <f t="shared" si="4"/>
        <v>61.881355932203391</v>
      </c>
      <c r="S22" s="78"/>
    </row>
    <row r="23" spans="1:19" ht="15.75" thickBot="1" x14ac:dyDescent="0.3">
      <c r="A23" s="124" t="s">
        <v>46</v>
      </c>
      <c r="B23" s="42" t="s">
        <v>42</v>
      </c>
      <c r="C23" s="85" t="s">
        <v>51</v>
      </c>
      <c r="D23" s="35">
        <v>17</v>
      </c>
      <c r="E23" s="38">
        <f>K23</f>
        <v>1252</v>
      </c>
      <c r="F23" s="38">
        <v>1642</v>
      </c>
      <c r="G23" s="38">
        <v>2584</v>
      </c>
      <c r="H23" s="38">
        <f t="shared" si="1"/>
        <v>0.51547987616099067</v>
      </c>
      <c r="I23" s="38">
        <v>936</v>
      </c>
      <c r="J23" s="38">
        <v>689</v>
      </c>
      <c r="K23" s="38">
        <v>1252</v>
      </c>
      <c r="L23" s="38">
        <v>1102</v>
      </c>
      <c r="M23" s="39">
        <v>973</v>
      </c>
      <c r="N23" s="38">
        <v>1508</v>
      </c>
      <c r="O23" s="38">
        <v>2967</v>
      </c>
      <c r="P23" s="38">
        <f t="shared" si="8"/>
        <v>4475</v>
      </c>
      <c r="Q23" s="38">
        <f t="shared" si="3"/>
        <v>33.69832402234637</v>
      </c>
      <c r="R23" s="38">
        <f t="shared" si="4"/>
        <v>66.30167597765363</v>
      </c>
      <c r="S23" s="39">
        <f>1000-(528+2+2*1.485)</f>
        <v>467.03</v>
      </c>
    </row>
    <row r="24" spans="1:19" x14ac:dyDescent="0.25">
      <c r="A24" s="42" t="s">
        <v>42</v>
      </c>
      <c r="B24" s="124" t="s">
        <v>46</v>
      </c>
      <c r="C24" s="84" t="s">
        <v>49</v>
      </c>
      <c r="D24" s="30">
        <v>17</v>
      </c>
      <c r="E24" s="33">
        <f>K24</f>
        <v>928</v>
      </c>
      <c r="F24" s="42">
        <v>963</v>
      </c>
      <c r="G24" s="42">
        <v>1373</v>
      </c>
      <c r="H24" s="33">
        <f t="shared" si="1"/>
        <v>0.3241077931536781</v>
      </c>
      <c r="I24" s="42">
        <v>491</v>
      </c>
      <c r="J24" s="42">
        <v>404</v>
      </c>
      <c r="K24" s="42">
        <v>928</v>
      </c>
      <c r="L24" s="42">
        <v>1115</v>
      </c>
      <c r="M24" s="34">
        <v>1016</v>
      </c>
      <c r="N24" s="42">
        <v>3268</v>
      </c>
      <c r="O24" s="42">
        <v>0</v>
      </c>
      <c r="P24" s="33">
        <f t="shared" si="8"/>
        <v>3268</v>
      </c>
      <c r="Q24" s="33">
        <f t="shared" si="3"/>
        <v>100</v>
      </c>
      <c r="R24" s="33">
        <f t="shared" si="4"/>
        <v>0</v>
      </c>
      <c r="S24" s="78"/>
    </row>
    <row r="25" spans="1:19" x14ac:dyDescent="0.25">
      <c r="A25" s="42" t="s">
        <v>42</v>
      </c>
      <c r="B25" s="124" t="s">
        <v>46</v>
      </c>
      <c r="C25" s="84" t="s">
        <v>50</v>
      </c>
      <c r="D25" s="30">
        <v>17</v>
      </c>
      <c r="E25" s="33">
        <f>K25</f>
        <v>963</v>
      </c>
      <c r="F25" s="42">
        <v>1234</v>
      </c>
      <c r="G25" s="42">
        <v>1587</v>
      </c>
      <c r="H25" s="33">
        <f t="shared" si="1"/>
        <v>0.3931947069943289</v>
      </c>
      <c r="I25" s="42">
        <v>739</v>
      </c>
      <c r="J25" s="42">
        <v>526</v>
      </c>
      <c r="K25" s="42">
        <v>963</v>
      </c>
      <c r="L25" s="42">
        <v>1031</v>
      </c>
      <c r="M25" s="34">
        <v>927</v>
      </c>
      <c r="N25" s="42">
        <v>2500</v>
      </c>
      <c r="O25" s="42">
        <v>1159</v>
      </c>
      <c r="P25" s="33">
        <f t="shared" si="8"/>
        <v>3659</v>
      </c>
      <c r="Q25" s="33">
        <f t="shared" si="3"/>
        <v>68.324678874009294</v>
      </c>
      <c r="R25" s="33">
        <f t="shared" si="4"/>
        <v>31.675321125990706</v>
      </c>
      <c r="S25" s="78"/>
    </row>
    <row r="26" spans="1:19" ht="15.75" thickBot="1" x14ac:dyDescent="0.3">
      <c r="A26" s="42" t="s">
        <v>42</v>
      </c>
      <c r="B26" s="124" t="s">
        <v>46</v>
      </c>
      <c r="C26" s="85" t="s">
        <v>51</v>
      </c>
      <c r="D26" s="35">
        <v>17</v>
      </c>
      <c r="E26" s="38">
        <f>I26</f>
        <v>1346</v>
      </c>
      <c r="F26" s="38">
        <v>2597</v>
      </c>
      <c r="G26" s="38">
        <v>3212</v>
      </c>
      <c r="H26" s="38">
        <f t="shared" si="1"/>
        <v>0.5809464508094645</v>
      </c>
      <c r="I26" s="38">
        <v>1346</v>
      </c>
      <c r="J26" s="38">
        <v>879</v>
      </c>
      <c r="K26" s="38">
        <v>1324</v>
      </c>
      <c r="L26" s="38">
        <v>1189</v>
      </c>
      <c r="M26" s="39">
        <v>1082</v>
      </c>
      <c r="N26" s="38">
        <v>2464</v>
      </c>
      <c r="O26" s="38">
        <v>2844</v>
      </c>
      <c r="P26" s="38">
        <f t="shared" si="8"/>
        <v>5308</v>
      </c>
      <c r="Q26" s="38">
        <f t="shared" si="3"/>
        <v>46.420497362471743</v>
      </c>
      <c r="R26" s="38">
        <f t="shared" si="4"/>
        <v>53.579502637528257</v>
      </c>
      <c r="S26" s="39">
        <f>1000-(595+2+2*1.485)</f>
        <v>400.03</v>
      </c>
    </row>
  </sheetData>
  <mergeCells count="3">
    <mergeCell ref="U1:AA1"/>
    <mergeCell ref="D1:M1"/>
    <mergeCell ref="N1:R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7"/>
  <sheetViews>
    <sheetView tabSelected="1" topLeftCell="H141" zoomScale="90" zoomScaleNormal="90" workbookViewId="0">
      <selection activeCell="S170" sqref="S170"/>
    </sheetView>
  </sheetViews>
  <sheetFormatPr baseColWidth="10" defaultRowHeight="15" x14ac:dyDescent="0.25"/>
  <cols>
    <col min="1" max="3" width="11.42578125" style="1"/>
    <col min="4" max="4" width="9.140625" style="1"/>
    <col min="5" max="5" width="13.140625" style="1" customWidth="1"/>
    <col min="6" max="6" width="14.140625" style="119" bestFit="1" customWidth="1"/>
    <col min="7" max="7" width="14.140625" style="1" customWidth="1"/>
    <col min="8" max="8" width="17.140625" style="1" customWidth="1"/>
    <col min="9" max="9" width="13.42578125" style="9" customWidth="1"/>
    <col min="10" max="10" width="24.42578125" customWidth="1"/>
    <col min="19" max="19" width="21.85546875" customWidth="1"/>
    <col min="20" max="20" width="13.140625" bestFit="1" customWidth="1"/>
    <col min="21" max="21" width="15.42578125" style="9" customWidth="1"/>
  </cols>
  <sheetData>
    <row r="1" spans="1:21" x14ac:dyDescent="0.25">
      <c r="E1" s="145" t="s">
        <v>12</v>
      </c>
      <c r="F1" s="145"/>
      <c r="G1" s="145"/>
      <c r="H1" s="145"/>
      <c r="I1" s="145"/>
    </row>
    <row r="2" spans="1:21" ht="15.75" thickBot="1" x14ac:dyDescent="0.3">
      <c r="B2" s="1" t="s">
        <v>0</v>
      </c>
      <c r="C2" s="1" t="s">
        <v>1</v>
      </c>
      <c r="D2" s="1" t="s">
        <v>4</v>
      </c>
      <c r="E2" s="1" t="s">
        <v>13</v>
      </c>
      <c r="F2" s="119" t="s">
        <v>14</v>
      </c>
      <c r="G2" s="1" t="s">
        <v>153</v>
      </c>
      <c r="H2" s="1" t="s">
        <v>16</v>
      </c>
      <c r="I2" s="9" t="s">
        <v>15</v>
      </c>
    </row>
    <row r="3" spans="1:21" x14ac:dyDescent="0.25">
      <c r="A3" s="1" t="s">
        <v>148</v>
      </c>
      <c r="B3" s="90" t="s">
        <v>40</v>
      </c>
      <c r="C3" s="26" t="s">
        <v>49</v>
      </c>
      <c r="D3" s="29" t="s">
        <v>96</v>
      </c>
      <c r="E3" s="29">
        <v>8539</v>
      </c>
      <c r="F3" s="120">
        <f>10/(990+10)</f>
        <v>0.01</v>
      </c>
      <c r="G3" s="29">
        <v>100</v>
      </c>
      <c r="H3" s="29">
        <f>(2000-1488)/15</f>
        <v>34.133333333333333</v>
      </c>
      <c r="I3" s="113">
        <f>((E3/H3)*G3)*1000</f>
        <v>25016601.5625</v>
      </c>
    </row>
    <row r="4" spans="1:21" x14ac:dyDescent="0.25">
      <c r="A4" s="1" t="s">
        <v>148</v>
      </c>
      <c r="B4" s="91" t="s">
        <v>40</v>
      </c>
      <c r="C4" s="31" t="s">
        <v>49</v>
      </c>
      <c r="D4" s="33">
        <v>1</v>
      </c>
      <c r="E4" s="33">
        <v>8643</v>
      </c>
      <c r="F4" s="112">
        <f>100/(900+100)</f>
        <v>0.1</v>
      </c>
      <c r="G4" s="33">
        <v>10</v>
      </c>
      <c r="H4" s="33">
        <f t="shared" ref="H4:H20" si="0">(2000-1488)/15</f>
        <v>34.133333333333333</v>
      </c>
      <c r="I4" s="114">
        <f t="shared" ref="I4:I73" si="1">((E4/H4)*G4)*1000</f>
        <v>2532128.90625</v>
      </c>
    </row>
    <row r="5" spans="1:21" x14ac:dyDescent="0.25">
      <c r="A5" s="1" t="s">
        <v>148</v>
      </c>
      <c r="B5" s="91" t="s">
        <v>40</v>
      </c>
      <c r="C5" s="31" t="s">
        <v>49</v>
      </c>
      <c r="D5" s="33">
        <v>2</v>
      </c>
      <c r="E5" s="33">
        <v>18164</v>
      </c>
      <c r="F5" s="107" t="s">
        <v>93</v>
      </c>
      <c r="G5" s="107">
        <v>1</v>
      </c>
      <c r="H5" s="33">
        <f t="shared" si="0"/>
        <v>34.133333333333333</v>
      </c>
      <c r="I5" s="114">
        <f t="shared" si="1"/>
        <v>532148.4375</v>
      </c>
    </row>
    <row r="6" spans="1:21" x14ac:dyDescent="0.25">
      <c r="A6" s="1" t="s">
        <v>148</v>
      </c>
      <c r="B6" s="91" t="s">
        <v>40</v>
      </c>
      <c r="C6" s="31" t="s">
        <v>49</v>
      </c>
      <c r="D6" s="33">
        <v>3</v>
      </c>
      <c r="E6" s="42">
        <v>8854</v>
      </c>
      <c r="F6" s="107" t="s">
        <v>93</v>
      </c>
      <c r="G6" s="107">
        <v>1</v>
      </c>
      <c r="H6" s="33">
        <f t="shared" si="0"/>
        <v>34.133333333333333</v>
      </c>
      <c r="I6" s="114">
        <f t="shared" si="1"/>
        <v>259394.53125</v>
      </c>
    </row>
    <row r="7" spans="1:21" x14ac:dyDescent="0.25">
      <c r="A7" s="1" t="s">
        <v>148</v>
      </c>
      <c r="B7" s="91" t="s">
        <v>40</v>
      </c>
      <c r="C7" s="31" t="s">
        <v>49</v>
      </c>
      <c r="D7" s="33">
        <v>4</v>
      </c>
      <c r="E7" s="42">
        <v>908</v>
      </c>
      <c r="F7" s="107" t="s">
        <v>93</v>
      </c>
      <c r="G7" s="107">
        <v>1</v>
      </c>
      <c r="H7" s="33">
        <f t="shared" si="0"/>
        <v>34.133333333333333</v>
      </c>
      <c r="I7" s="114">
        <f t="shared" si="1"/>
        <v>26601.5625</v>
      </c>
    </row>
    <row r="8" spans="1:21" ht="15.75" thickBot="1" x14ac:dyDescent="0.3">
      <c r="A8" s="1" t="s">
        <v>148</v>
      </c>
      <c r="B8" s="92" t="s">
        <v>40</v>
      </c>
      <c r="C8" s="36" t="s">
        <v>49</v>
      </c>
      <c r="D8" s="38">
        <v>5</v>
      </c>
      <c r="E8" s="38">
        <v>875</v>
      </c>
      <c r="F8" s="115" t="s">
        <v>93</v>
      </c>
      <c r="G8" s="115">
        <v>1</v>
      </c>
      <c r="H8" s="38">
        <f t="shared" si="0"/>
        <v>34.133333333333333</v>
      </c>
      <c r="I8" s="116">
        <f t="shared" si="1"/>
        <v>25634.765625</v>
      </c>
    </row>
    <row r="9" spans="1:21" x14ac:dyDescent="0.25">
      <c r="A9" s="1" t="s">
        <v>148</v>
      </c>
      <c r="B9" s="90" t="s">
        <v>40</v>
      </c>
      <c r="C9" s="26" t="s">
        <v>50</v>
      </c>
      <c r="D9" s="29" t="s">
        <v>96</v>
      </c>
      <c r="E9" s="44">
        <v>7244</v>
      </c>
      <c r="F9" s="120">
        <f>10/(990+10)</f>
        <v>0.01</v>
      </c>
      <c r="G9" s="29">
        <v>100</v>
      </c>
      <c r="H9" s="29">
        <f t="shared" si="0"/>
        <v>34.133333333333333</v>
      </c>
      <c r="I9" s="113">
        <f>((E9/H9)*G9)*1000</f>
        <v>21222656.25</v>
      </c>
    </row>
    <row r="10" spans="1:21" x14ac:dyDescent="0.25">
      <c r="A10" s="1" t="s">
        <v>148</v>
      </c>
      <c r="B10" s="91" t="s">
        <v>40</v>
      </c>
      <c r="C10" s="31" t="s">
        <v>50</v>
      </c>
      <c r="D10" s="33">
        <v>1</v>
      </c>
      <c r="E10" s="42">
        <v>11723</v>
      </c>
      <c r="F10" s="112">
        <f>100/(900+100)</f>
        <v>0.1</v>
      </c>
      <c r="G10" s="33">
        <v>10</v>
      </c>
      <c r="H10" s="33">
        <f t="shared" si="0"/>
        <v>34.133333333333333</v>
      </c>
      <c r="I10" s="114">
        <f t="shared" si="1"/>
        <v>3434472.65625</v>
      </c>
    </row>
    <row r="11" spans="1:21" x14ac:dyDescent="0.25">
      <c r="A11" s="1" t="s">
        <v>148</v>
      </c>
      <c r="B11" s="91" t="s">
        <v>40</v>
      </c>
      <c r="C11" s="31" t="s">
        <v>50</v>
      </c>
      <c r="D11" s="33">
        <v>2</v>
      </c>
      <c r="E11" s="42">
        <v>23588</v>
      </c>
      <c r="F11" s="107" t="s">
        <v>93</v>
      </c>
      <c r="G11" s="107">
        <v>1</v>
      </c>
      <c r="H11" s="33">
        <f t="shared" si="0"/>
        <v>34.133333333333333</v>
      </c>
      <c r="I11" s="114">
        <f t="shared" si="1"/>
        <v>691054.6875</v>
      </c>
      <c r="M11" s="1"/>
    </row>
    <row r="12" spans="1:21" x14ac:dyDescent="0.25">
      <c r="A12" s="1" t="s">
        <v>148</v>
      </c>
      <c r="B12" s="91" t="s">
        <v>40</v>
      </c>
      <c r="C12" s="31" t="s">
        <v>50</v>
      </c>
      <c r="D12" s="33">
        <v>3</v>
      </c>
      <c r="E12" s="42">
        <v>8575</v>
      </c>
      <c r="F12" s="107" t="s">
        <v>93</v>
      </c>
      <c r="G12" s="107">
        <v>1</v>
      </c>
      <c r="H12" s="33">
        <f t="shared" si="0"/>
        <v>34.133333333333333</v>
      </c>
      <c r="I12" s="114">
        <f t="shared" si="1"/>
        <v>251220.703125</v>
      </c>
    </row>
    <row r="13" spans="1:21" x14ac:dyDescent="0.25">
      <c r="A13" s="1" t="s">
        <v>148</v>
      </c>
      <c r="B13" s="91" t="s">
        <v>40</v>
      </c>
      <c r="C13" s="31" t="s">
        <v>50</v>
      </c>
      <c r="D13" s="33">
        <v>4</v>
      </c>
      <c r="E13" s="42">
        <v>770</v>
      </c>
      <c r="F13" s="107" t="s">
        <v>93</v>
      </c>
      <c r="G13" s="107">
        <v>1</v>
      </c>
      <c r="H13" s="33">
        <f t="shared" si="0"/>
        <v>34.133333333333333</v>
      </c>
      <c r="I13" s="114">
        <f t="shared" si="1"/>
        <v>22558.59375</v>
      </c>
      <c r="J13" s="150" t="s">
        <v>151</v>
      </c>
      <c r="K13" s="150"/>
      <c r="L13" s="150"/>
      <c r="M13" s="150"/>
    </row>
    <row r="14" spans="1:21" ht="15.75" thickBot="1" x14ac:dyDescent="0.3">
      <c r="A14" s="1" t="s">
        <v>148</v>
      </c>
      <c r="B14" s="92" t="s">
        <v>40</v>
      </c>
      <c r="C14" s="36" t="s">
        <v>50</v>
      </c>
      <c r="D14" s="38">
        <v>5</v>
      </c>
      <c r="E14" s="38">
        <v>3954</v>
      </c>
      <c r="F14" s="115" t="s">
        <v>93</v>
      </c>
      <c r="G14" s="115">
        <v>1</v>
      </c>
      <c r="H14" s="38">
        <f t="shared" si="0"/>
        <v>34.133333333333333</v>
      </c>
      <c r="I14" s="116">
        <f t="shared" si="1"/>
        <v>115839.84375</v>
      </c>
      <c r="J14" s="150"/>
      <c r="K14" s="150"/>
      <c r="L14" s="150"/>
      <c r="M14" s="150"/>
    </row>
    <row r="15" spans="1:21" s="1" customFormat="1" x14ac:dyDescent="0.25">
      <c r="B15" s="90" t="s">
        <v>40</v>
      </c>
      <c r="C15" s="26" t="s">
        <v>51</v>
      </c>
      <c r="D15" s="29" t="s">
        <v>96</v>
      </c>
      <c r="E15" s="29">
        <v>10920</v>
      </c>
      <c r="F15" s="120">
        <f>10/(990+10)</f>
        <v>0.01</v>
      </c>
      <c r="G15" s="29">
        <v>100</v>
      </c>
      <c r="H15" s="29">
        <f t="shared" si="0"/>
        <v>34.133333333333333</v>
      </c>
      <c r="I15" s="113">
        <f>((E15/H15)*G15)*1000</f>
        <v>31992187.5</v>
      </c>
      <c r="J15" s="118"/>
      <c r="K15" s="118"/>
      <c r="L15" s="118"/>
      <c r="M15" s="118"/>
      <c r="U15" s="9"/>
    </row>
    <row r="16" spans="1:21" s="1" customFormat="1" x14ac:dyDescent="0.25">
      <c r="B16" s="91" t="s">
        <v>40</v>
      </c>
      <c r="C16" s="31" t="s">
        <v>51</v>
      </c>
      <c r="D16" s="33">
        <v>1</v>
      </c>
      <c r="E16" s="42">
        <v>10078</v>
      </c>
      <c r="F16" s="112">
        <f>100/(900+100)</f>
        <v>0.1</v>
      </c>
      <c r="G16" s="33">
        <v>10</v>
      </c>
      <c r="H16" s="33">
        <f t="shared" si="0"/>
        <v>34.133333333333333</v>
      </c>
      <c r="I16" s="114">
        <f t="shared" ref="I16:I20" si="2">((E16/H16)*G16)*1000</f>
        <v>2952539.0625</v>
      </c>
      <c r="J16" s="118"/>
      <c r="K16" s="118"/>
      <c r="L16" s="118"/>
      <c r="M16" s="118"/>
      <c r="U16" s="9"/>
    </row>
    <row r="17" spans="1:21" s="1" customFormat="1" x14ac:dyDescent="0.25">
      <c r="B17" s="91" t="s">
        <v>40</v>
      </c>
      <c r="C17" s="31" t="s">
        <v>51</v>
      </c>
      <c r="D17" s="33">
        <v>2</v>
      </c>
      <c r="E17" s="42">
        <v>20048</v>
      </c>
      <c r="F17" s="107" t="s">
        <v>93</v>
      </c>
      <c r="G17" s="107">
        <v>1</v>
      </c>
      <c r="H17" s="33">
        <f t="shared" si="0"/>
        <v>34.133333333333333</v>
      </c>
      <c r="I17" s="114">
        <f t="shared" si="2"/>
        <v>587343.75</v>
      </c>
      <c r="J17" s="118"/>
      <c r="K17" s="118"/>
      <c r="L17" s="118"/>
      <c r="M17" s="118"/>
      <c r="U17" s="9"/>
    </row>
    <row r="18" spans="1:21" s="1" customFormat="1" x14ac:dyDescent="0.25">
      <c r="B18" s="91" t="s">
        <v>40</v>
      </c>
      <c r="C18" s="31" t="s">
        <v>51</v>
      </c>
      <c r="D18" s="33">
        <v>3</v>
      </c>
      <c r="E18" s="42">
        <v>4198</v>
      </c>
      <c r="F18" s="107" t="s">
        <v>93</v>
      </c>
      <c r="G18" s="107">
        <v>1</v>
      </c>
      <c r="H18" s="33">
        <f t="shared" si="0"/>
        <v>34.133333333333333</v>
      </c>
      <c r="I18" s="114">
        <f t="shared" si="2"/>
        <v>122988.28125</v>
      </c>
      <c r="J18" s="118"/>
      <c r="K18" s="118"/>
      <c r="L18" s="118"/>
      <c r="M18" s="118"/>
      <c r="U18" s="9"/>
    </row>
    <row r="19" spans="1:21" s="1" customFormat="1" x14ac:dyDescent="0.25">
      <c r="B19" s="91" t="s">
        <v>40</v>
      </c>
      <c r="C19" s="31" t="s">
        <v>51</v>
      </c>
      <c r="D19" s="33">
        <v>4</v>
      </c>
      <c r="E19" s="42">
        <v>1120</v>
      </c>
      <c r="F19" s="107" t="s">
        <v>93</v>
      </c>
      <c r="G19" s="107">
        <v>1</v>
      </c>
      <c r="H19" s="33">
        <f t="shared" si="0"/>
        <v>34.133333333333333</v>
      </c>
      <c r="I19" s="114">
        <f t="shared" si="2"/>
        <v>32812.5</v>
      </c>
      <c r="J19" s="118"/>
      <c r="K19" s="118"/>
      <c r="L19" s="118"/>
      <c r="M19" s="118"/>
      <c r="U19" s="9"/>
    </row>
    <row r="20" spans="1:21" s="1" customFormat="1" ht="15.75" thickBot="1" x14ac:dyDescent="0.3">
      <c r="B20" s="91" t="s">
        <v>40</v>
      </c>
      <c r="C20" s="31" t="s">
        <v>51</v>
      </c>
      <c r="D20" s="33">
        <v>5</v>
      </c>
      <c r="E20" s="33">
        <v>559</v>
      </c>
      <c r="F20" s="107" t="s">
        <v>93</v>
      </c>
      <c r="G20" s="107">
        <v>1</v>
      </c>
      <c r="H20" s="33">
        <f t="shared" si="0"/>
        <v>34.133333333333333</v>
      </c>
      <c r="I20" s="114">
        <f t="shared" si="2"/>
        <v>16376.953125</v>
      </c>
      <c r="J20" s="118"/>
      <c r="K20" s="118"/>
      <c r="L20" s="118"/>
      <c r="M20" s="118"/>
      <c r="U20" s="9"/>
    </row>
    <row r="21" spans="1:21" x14ac:dyDescent="0.25">
      <c r="A21" s="1" t="s">
        <v>148</v>
      </c>
      <c r="B21" s="90" t="s">
        <v>40</v>
      </c>
      <c r="C21" s="26" t="s">
        <v>131</v>
      </c>
      <c r="D21" s="29" t="s">
        <v>96</v>
      </c>
      <c r="E21" s="29">
        <v>9310</v>
      </c>
      <c r="F21" s="120">
        <f>10/(990+10)</f>
        <v>0.01</v>
      </c>
      <c r="G21" s="29">
        <v>100</v>
      </c>
      <c r="H21" s="29">
        <f>(2000-1145)/18</f>
        <v>47.5</v>
      </c>
      <c r="I21" s="113">
        <f>((E21/H21)*G21)*1000</f>
        <v>19600000</v>
      </c>
    </row>
    <row r="22" spans="1:21" x14ac:dyDescent="0.25">
      <c r="A22" s="1" t="s">
        <v>148</v>
      </c>
      <c r="B22" s="91" t="s">
        <v>40</v>
      </c>
      <c r="C22" s="31" t="s">
        <v>131</v>
      </c>
      <c r="D22" s="33">
        <v>1</v>
      </c>
      <c r="E22" s="42">
        <v>8889</v>
      </c>
      <c r="F22" s="112">
        <f>100/(900+100)</f>
        <v>0.1</v>
      </c>
      <c r="G22" s="33">
        <v>10</v>
      </c>
      <c r="H22" s="33">
        <f t="shared" ref="H22:H26" si="3">(2000-1145)/18</f>
        <v>47.5</v>
      </c>
      <c r="I22" s="114">
        <f t="shared" si="1"/>
        <v>1871368.4210526317</v>
      </c>
    </row>
    <row r="23" spans="1:21" x14ac:dyDescent="0.25">
      <c r="A23" s="1" t="s">
        <v>148</v>
      </c>
      <c r="B23" s="91" t="s">
        <v>40</v>
      </c>
      <c r="C23" s="31" t="s">
        <v>131</v>
      </c>
      <c r="D23" s="33">
        <v>2</v>
      </c>
      <c r="E23" s="42">
        <v>19249</v>
      </c>
      <c r="F23" s="107" t="s">
        <v>93</v>
      </c>
      <c r="G23" s="107">
        <v>1</v>
      </c>
      <c r="H23" s="33">
        <f t="shared" si="3"/>
        <v>47.5</v>
      </c>
      <c r="I23" s="114">
        <f t="shared" si="1"/>
        <v>405242.10526315792</v>
      </c>
    </row>
    <row r="24" spans="1:21" x14ac:dyDescent="0.25">
      <c r="A24" s="1" t="s">
        <v>148</v>
      </c>
      <c r="B24" s="91" t="s">
        <v>40</v>
      </c>
      <c r="C24" s="31" t="s">
        <v>131</v>
      </c>
      <c r="D24" s="33">
        <v>3</v>
      </c>
      <c r="E24" s="42">
        <v>5145</v>
      </c>
      <c r="F24" s="107" t="s">
        <v>93</v>
      </c>
      <c r="G24" s="107">
        <v>1</v>
      </c>
      <c r="H24" s="33">
        <f t="shared" si="3"/>
        <v>47.5</v>
      </c>
      <c r="I24" s="114">
        <f t="shared" si="1"/>
        <v>108315.7894736842</v>
      </c>
    </row>
    <row r="25" spans="1:21" x14ac:dyDescent="0.25">
      <c r="A25" s="1" t="s">
        <v>148</v>
      </c>
      <c r="B25" s="91" t="s">
        <v>40</v>
      </c>
      <c r="C25" s="31" t="s">
        <v>131</v>
      </c>
      <c r="D25" s="33">
        <v>4</v>
      </c>
      <c r="E25" s="42">
        <v>1015</v>
      </c>
      <c r="F25" s="107" t="s">
        <v>93</v>
      </c>
      <c r="G25" s="107">
        <v>1</v>
      </c>
      <c r="H25" s="33">
        <f t="shared" si="3"/>
        <v>47.5</v>
      </c>
      <c r="I25" s="114">
        <f t="shared" si="1"/>
        <v>21368.42105263158</v>
      </c>
    </row>
    <row r="26" spans="1:21" ht="15.75" thickBot="1" x14ac:dyDescent="0.3">
      <c r="A26" s="1" t="s">
        <v>148</v>
      </c>
      <c r="B26" s="92" t="s">
        <v>40</v>
      </c>
      <c r="C26" s="36" t="s">
        <v>131</v>
      </c>
      <c r="D26" s="38">
        <v>5</v>
      </c>
      <c r="E26" s="38">
        <v>454</v>
      </c>
      <c r="F26" s="115" t="s">
        <v>93</v>
      </c>
      <c r="G26" s="115">
        <v>1</v>
      </c>
      <c r="H26" s="38">
        <f t="shared" si="3"/>
        <v>47.5</v>
      </c>
      <c r="I26" s="116">
        <f t="shared" si="1"/>
        <v>9557.894736842105</v>
      </c>
    </row>
    <row r="27" spans="1:21" x14ac:dyDescent="0.25">
      <c r="A27" s="1" t="s">
        <v>148</v>
      </c>
      <c r="B27" s="93" t="s">
        <v>41</v>
      </c>
      <c r="C27" s="26" t="s">
        <v>49</v>
      </c>
      <c r="D27" s="29" t="s">
        <v>96</v>
      </c>
      <c r="E27" s="29">
        <v>16064</v>
      </c>
      <c r="F27" s="120">
        <f>10/(990+10)</f>
        <v>0.01</v>
      </c>
      <c r="G27" s="29">
        <v>100</v>
      </c>
      <c r="H27" s="44">
        <f>(2000-1570)/15</f>
        <v>28.666666666666668</v>
      </c>
      <c r="I27" s="113">
        <f>((E27/H27)*G27)*1000</f>
        <v>56037209.302325584</v>
      </c>
    </row>
    <row r="28" spans="1:21" x14ac:dyDescent="0.25">
      <c r="A28" s="1" t="s">
        <v>148</v>
      </c>
      <c r="B28" s="94" t="s">
        <v>41</v>
      </c>
      <c r="C28" s="31" t="s">
        <v>49</v>
      </c>
      <c r="D28" s="33">
        <v>1</v>
      </c>
      <c r="E28" s="42">
        <v>11514</v>
      </c>
      <c r="F28" s="112">
        <f>100/(900+100)</f>
        <v>0.1</v>
      </c>
      <c r="G28" s="33">
        <v>10</v>
      </c>
      <c r="H28" s="42">
        <f t="shared" ref="H28:H44" si="4">(2000-1570)/15</f>
        <v>28.666666666666668</v>
      </c>
      <c r="I28" s="114">
        <f t="shared" si="1"/>
        <v>4016511.6279069763</v>
      </c>
    </row>
    <row r="29" spans="1:21" x14ac:dyDescent="0.25">
      <c r="A29" s="1" t="s">
        <v>148</v>
      </c>
      <c r="B29" s="94" t="s">
        <v>41</v>
      </c>
      <c r="C29" s="31" t="s">
        <v>49</v>
      </c>
      <c r="D29" s="33">
        <v>2</v>
      </c>
      <c r="E29" s="42">
        <v>23412</v>
      </c>
      <c r="F29" s="107" t="s">
        <v>93</v>
      </c>
      <c r="G29" s="107">
        <v>1</v>
      </c>
      <c r="H29" s="42">
        <f t="shared" si="4"/>
        <v>28.666666666666668</v>
      </c>
      <c r="I29" s="114">
        <f t="shared" si="1"/>
        <v>816697.67441860458</v>
      </c>
    </row>
    <row r="30" spans="1:21" x14ac:dyDescent="0.25">
      <c r="A30" s="1" t="s">
        <v>148</v>
      </c>
      <c r="B30" s="94" t="s">
        <v>41</v>
      </c>
      <c r="C30" s="31" t="s">
        <v>49</v>
      </c>
      <c r="D30" s="33">
        <v>3</v>
      </c>
      <c r="E30" s="42">
        <v>8643</v>
      </c>
      <c r="F30" s="107" t="s">
        <v>93</v>
      </c>
      <c r="G30" s="107">
        <v>1</v>
      </c>
      <c r="H30" s="42">
        <f t="shared" si="4"/>
        <v>28.666666666666668</v>
      </c>
      <c r="I30" s="114">
        <f t="shared" si="1"/>
        <v>301500</v>
      </c>
    </row>
    <row r="31" spans="1:21" x14ac:dyDescent="0.25">
      <c r="A31" s="1" t="s">
        <v>148</v>
      </c>
      <c r="B31" s="94" t="s">
        <v>41</v>
      </c>
      <c r="C31" s="31" t="s">
        <v>49</v>
      </c>
      <c r="D31" s="33">
        <v>4</v>
      </c>
      <c r="E31" s="42">
        <v>1645</v>
      </c>
      <c r="F31" s="107" t="s">
        <v>93</v>
      </c>
      <c r="G31" s="107">
        <v>1</v>
      </c>
      <c r="H31" s="42">
        <f t="shared" si="4"/>
        <v>28.666666666666668</v>
      </c>
      <c r="I31" s="114">
        <f t="shared" si="1"/>
        <v>57383.720930232557</v>
      </c>
    </row>
    <row r="32" spans="1:21" ht="15.75" thickBot="1" x14ac:dyDescent="0.3">
      <c r="A32" s="1" t="s">
        <v>148</v>
      </c>
      <c r="B32" s="95" t="s">
        <v>41</v>
      </c>
      <c r="C32" s="36" t="s">
        <v>49</v>
      </c>
      <c r="D32" s="38">
        <v>5</v>
      </c>
      <c r="E32" s="38">
        <v>875</v>
      </c>
      <c r="F32" s="115" t="s">
        <v>93</v>
      </c>
      <c r="G32" s="115">
        <v>1</v>
      </c>
      <c r="H32" s="45">
        <f t="shared" si="4"/>
        <v>28.666666666666668</v>
      </c>
      <c r="I32" s="116">
        <f t="shared" si="1"/>
        <v>30523.255813953485</v>
      </c>
    </row>
    <row r="33" spans="1:9" x14ac:dyDescent="0.25">
      <c r="A33" s="1" t="s">
        <v>148</v>
      </c>
      <c r="B33" s="93" t="s">
        <v>41</v>
      </c>
      <c r="C33" s="26" t="s">
        <v>50</v>
      </c>
      <c r="D33" s="29" t="s">
        <v>96</v>
      </c>
      <c r="E33" s="29">
        <v>8120</v>
      </c>
      <c r="F33" s="120">
        <f>10/(990+10)</f>
        <v>0.01</v>
      </c>
      <c r="G33" s="29">
        <v>100</v>
      </c>
      <c r="H33" s="44">
        <f t="shared" si="4"/>
        <v>28.666666666666668</v>
      </c>
      <c r="I33" s="113">
        <f>((E33/H33)*G33)*1000</f>
        <v>28325581.395348836</v>
      </c>
    </row>
    <row r="34" spans="1:9" x14ac:dyDescent="0.25">
      <c r="A34" s="1" t="s">
        <v>148</v>
      </c>
      <c r="B34" s="94" t="s">
        <v>41</v>
      </c>
      <c r="C34" s="31" t="s">
        <v>50</v>
      </c>
      <c r="D34" s="42">
        <v>1</v>
      </c>
      <c r="E34" s="42">
        <v>11829</v>
      </c>
      <c r="F34" s="112">
        <f>100/(900+100)</f>
        <v>0.1</v>
      </c>
      <c r="G34" s="33">
        <v>10</v>
      </c>
      <c r="H34" s="42">
        <f t="shared" si="4"/>
        <v>28.666666666666668</v>
      </c>
      <c r="I34" s="114">
        <f t="shared" si="1"/>
        <v>4126395.3488372089</v>
      </c>
    </row>
    <row r="35" spans="1:9" x14ac:dyDescent="0.25">
      <c r="A35" s="1" t="s">
        <v>148</v>
      </c>
      <c r="B35" s="94" t="s">
        <v>41</v>
      </c>
      <c r="C35" s="31" t="s">
        <v>50</v>
      </c>
      <c r="D35" s="33">
        <v>2</v>
      </c>
      <c r="E35" s="42">
        <v>23414</v>
      </c>
      <c r="F35" s="107" t="s">
        <v>93</v>
      </c>
      <c r="G35" s="107">
        <v>1</v>
      </c>
      <c r="H35" s="42">
        <f t="shared" si="4"/>
        <v>28.666666666666668</v>
      </c>
      <c r="I35" s="114">
        <f t="shared" si="1"/>
        <v>816767.4418604651</v>
      </c>
    </row>
    <row r="36" spans="1:9" x14ac:dyDescent="0.25">
      <c r="A36" s="1" t="s">
        <v>148</v>
      </c>
      <c r="B36" s="94" t="s">
        <v>41</v>
      </c>
      <c r="C36" s="31" t="s">
        <v>50</v>
      </c>
      <c r="D36" s="33">
        <v>3</v>
      </c>
      <c r="E36" s="42">
        <v>7945</v>
      </c>
      <c r="F36" s="107" t="s">
        <v>93</v>
      </c>
      <c r="G36" s="107">
        <v>1</v>
      </c>
      <c r="H36" s="42">
        <f t="shared" si="4"/>
        <v>28.666666666666668</v>
      </c>
      <c r="I36" s="114">
        <f t="shared" si="1"/>
        <v>277151.16279069765</v>
      </c>
    </row>
    <row r="37" spans="1:9" x14ac:dyDescent="0.25">
      <c r="A37" s="1" t="s">
        <v>148</v>
      </c>
      <c r="B37" s="94" t="s">
        <v>41</v>
      </c>
      <c r="C37" s="31" t="s">
        <v>50</v>
      </c>
      <c r="D37" s="33">
        <v>4</v>
      </c>
      <c r="E37" s="42">
        <v>3220</v>
      </c>
      <c r="F37" s="107" t="s">
        <v>93</v>
      </c>
      <c r="G37" s="107">
        <v>1</v>
      </c>
      <c r="H37" s="42">
        <f t="shared" si="4"/>
        <v>28.666666666666668</v>
      </c>
      <c r="I37" s="114">
        <f t="shared" si="1"/>
        <v>112325.58139534884</v>
      </c>
    </row>
    <row r="38" spans="1:9" ht="15.75" thickBot="1" x14ac:dyDescent="0.3">
      <c r="A38" s="1" t="s">
        <v>148</v>
      </c>
      <c r="B38" s="95" t="s">
        <v>41</v>
      </c>
      <c r="C38" s="36" t="s">
        <v>50</v>
      </c>
      <c r="D38" s="38">
        <v>5</v>
      </c>
      <c r="E38" s="38">
        <v>804</v>
      </c>
      <c r="F38" s="115" t="s">
        <v>93</v>
      </c>
      <c r="G38" s="115">
        <v>1</v>
      </c>
      <c r="H38" s="45">
        <f t="shared" si="4"/>
        <v>28.666666666666668</v>
      </c>
      <c r="I38" s="116">
        <f t="shared" si="1"/>
        <v>28046.511627906977</v>
      </c>
    </row>
    <row r="39" spans="1:9" x14ac:dyDescent="0.25">
      <c r="A39" s="1" t="s">
        <v>148</v>
      </c>
      <c r="B39" s="93" t="s">
        <v>41</v>
      </c>
      <c r="C39" s="26" t="s">
        <v>51</v>
      </c>
      <c r="D39" s="29" t="s">
        <v>96</v>
      </c>
      <c r="E39" s="29">
        <v>10465</v>
      </c>
      <c r="F39" s="120">
        <f>10/(990+10)</f>
        <v>0.01</v>
      </c>
      <c r="G39" s="29">
        <v>100</v>
      </c>
      <c r="H39" s="44">
        <f t="shared" si="4"/>
        <v>28.666666666666668</v>
      </c>
      <c r="I39" s="113">
        <f>((E39/H39)*G39)*1000</f>
        <v>36505813.953488372</v>
      </c>
    </row>
    <row r="40" spans="1:9" x14ac:dyDescent="0.25">
      <c r="A40" s="1" t="s">
        <v>148</v>
      </c>
      <c r="B40" s="94" t="s">
        <v>41</v>
      </c>
      <c r="C40" s="31" t="s">
        <v>51</v>
      </c>
      <c r="D40" s="33">
        <v>1</v>
      </c>
      <c r="E40" s="42">
        <v>13683</v>
      </c>
      <c r="F40" s="112">
        <f>100/(900+100)</f>
        <v>0.1</v>
      </c>
      <c r="G40" s="33">
        <v>10</v>
      </c>
      <c r="H40" s="42">
        <f t="shared" si="4"/>
        <v>28.666666666666668</v>
      </c>
      <c r="I40" s="114">
        <f t="shared" si="1"/>
        <v>4773139.5348837208</v>
      </c>
    </row>
    <row r="41" spans="1:9" x14ac:dyDescent="0.25">
      <c r="A41" s="1" t="s">
        <v>148</v>
      </c>
      <c r="B41" s="94" t="s">
        <v>41</v>
      </c>
      <c r="C41" s="31" t="s">
        <v>51</v>
      </c>
      <c r="D41" s="33">
        <v>2</v>
      </c>
      <c r="E41" s="42">
        <v>31039</v>
      </c>
      <c r="F41" s="107" t="s">
        <v>93</v>
      </c>
      <c r="G41" s="107">
        <v>1</v>
      </c>
      <c r="H41" s="42">
        <f t="shared" si="4"/>
        <v>28.666666666666668</v>
      </c>
      <c r="I41" s="114">
        <f t="shared" si="1"/>
        <v>1082755.8139534884</v>
      </c>
    </row>
    <row r="42" spans="1:9" x14ac:dyDescent="0.25">
      <c r="A42" s="1" t="s">
        <v>148</v>
      </c>
      <c r="B42" s="94" t="s">
        <v>41</v>
      </c>
      <c r="C42" s="31" t="s">
        <v>51</v>
      </c>
      <c r="D42" s="33">
        <v>3</v>
      </c>
      <c r="E42" s="42">
        <v>8085</v>
      </c>
      <c r="F42" s="107" t="s">
        <v>93</v>
      </c>
      <c r="G42" s="107">
        <v>1</v>
      </c>
      <c r="H42" s="42">
        <f t="shared" si="4"/>
        <v>28.666666666666668</v>
      </c>
      <c r="I42" s="114">
        <f t="shared" si="1"/>
        <v>282034.8837209302</v>
      </c>
    </row>
    <row r="43" spans="1:9" x14ac:dyDescent="0.25">
      <c r="A43" s="1" t="s">
        <v>148</v>
      </c>
      <c r="B43" s="94" t="s">
        <v>41</v>
      </c>
      <c r="C43" s="31" t="s">
        <v>51</v>
      </c>
      <c r="D43" s="33">
        <v>4</v>
      </c>
      <c r="E43" s="42">
        <v>3463</v>
      </c>
      <c r="F43" s="107" t="s">
        <v>93</v>
      </c>
      <c r="G43" s="107">
        <v>1</v>
      </c>
      <c r="H43" s="42">
        <f t="shared" si="4"/>
        <v>28.666666666666668</v>
      </c>
      <c r="I43" s="114">
        <f t="shared" si="1"/>
        <v>120802.32558139534</v>
      </c>
    </row>
    <row r="44" spans="1:9" ht="15.75" thickBot="1" x14ac:dyDescent="0.3">
      <c r="A44" s="1" t="s">
        <v>148</v>
      </c>
      <c r="B44" s="95" t="s">
        <v>41</v>
      </c>
      <c r="C44" s="36" t="s">
        <v>51</v>
      </c>
      <c r="D44" s="38">
        <v>5</v>
      </c>
      <c r="E44" s="38">
        <v>1050</v>
      </c>
      <c r="F44" s="115" t="s">
        <v>93</v>
      </c>
      <c r="G44" s="115">
        <v>1</v>
      </c>
      <c r="H44" s="45">
        <f t="shared" si="4"/>
        <v>28.666666666666668</v>
      </c>
      <c r="I44" s="116">
        <f t="shared" si="1"/>
        <v>36627.906976744183</v>
      </c>
    </row>
    <row r="45" spans="1:9" x14ac:dyDescent="0.25">
      <c r="A45" s="1" t="s">
        <v>148</v>
      </c>
      <c r="B45" s="90" t="s">
        <v>42</v>
      </c>
      <c r="C45" s="26" t="s">
        <v>49</v>
      </c>
      <c r="D45" s="29" t="s">
        <v>96</v>
      </c>
      <c r="E45" s="29">
        <v>13615</v>
      </c>
      <c r="F45" s="120">
        <f>10/(990+10)</f>
        <v>0.01</v>
      </c>
      <c r="G45" s="29">
        <v>100</v>
      </c>
      <c r="H45" s="29">
        <f>(2000-1360)/15</f>
        <v>42.666666666666664</v>
      </c>
      <c r="I45" s="113">
        <f>((E45/H45)*G45)*1000</f>
        <v>31910156.25</v>
      </c>
    </row>
    <row r="46" spans="1:9" x14ac:dyDescent="0.25">
      <c r="A46" s="1" t="s">
        <v>148</v>
      </c>
      <c r="B46" s="91" t="s">
        <v>42</v>
      </c>
      <c r="C46" s="31" t="s">
        <v>49</v>
      </c>
      <c r="D46" s="33">
        <v>0</v>
      </c>
      <c r="E46" s="42">
        <v>26180</v>
      </c>
      <c r="F46" s="112">
        <f>100/(900+100)</f>
        <v>0.1</v>
      </c>
      <c r="G46" s="33">
        <v>10</v>
      </c>
      <c r="H46" s="33">
        <f t="shared" ref="H46:H62" si="5">(2000-1360)/15</f>
        <v>42.666666666666664</v>
      </c>
      <c r="I46" s="114">
        <f t="shared" si="1"/>
        <v>6135937.5</v>
      </c>
    </row>
    <row r="47" spans="1:9" x14ac:dyDescent="0.25">
      <c r="A47" s="1" t="s">
        <v>148</v>
      </c>
      <c r="B47" s="91" t="s">
        <v>42</v>
      </c>
      <c r="C47" s="31" t="s">
        <v>49</v>
      </c>
      <c r="D47" s="33" t="s">
        <v>105</v>
      </c>
      <c r="E47" s="42">
        <v>5775</v>
      </c>
      <c r="F47" s="112">
        <f>100/(900+100)</f>
        <v>0.1</v>
      </c>
      <c r="G47" s="107">
        <v>10</v>
      </c>
      <c r="H47" s="33">
        <f t="shared" si="5"/>
        <v>42.666666666666664</v>
      </c>
      <c r="I47" s="114">
        <f t="shared" si="1"/>
        <v>1353515.625</v>
      </c>
    </row>
    <row r="48" spans="1:9" x14ac:dyDescent="0.25">
      <c r="A48" s="1" t="s">
        <v>148</v>
      </c>
      <c r="B48" s="91" t="s">
        <v>42</v>
      </c>
      <c r="C48" s="31" t="s">
        <v>49</v>
      </c>
      <c r="D48" s="33">
        <v>1</v>
      </c>
      <c r="E48" s="42">
        <v>15785</v>
      </c>
      <c r="F48" s="107" t="s">
        <v>93</v>
      </c>
      <c r="G48" s="107">
        <v>1</v>
      </c>
      <c r="H48" s="33">
        <f t="shared" si="5"/>
        <v>42.666666666666664</v>
      </c>
      <c r="I48" s="114">
        <f t="shared" si="1"/>
        <v>369960.9375</v>
      </c>
    </row>
    <row r="49" spans="1:9" x14ac:dyDescent="0.25">
      <c r="A49" s="1" t="s">
        <v>148</v>
      </c>
      <c r="B49" s="91" t="s">
        <v>42</v>
      </c>
      <c r="C49" s="31" t="s">
        <v>49</v>
      </c>
      <c r="D49" s="33">
        <v>2</v>
      </c>
      <c r="E49" s="42">
        <v>1644</v>
      </c>
      <c r="F49" s="107" t="s">
        <v>93</v>
      </c>
      <c r="G49" s="107">
        <v>1</v>
      </c>
      <c r="H49" s="33">
        <f t="shared" si="5"/>
        <v>42.666666666666664</v>
      </c>
      <c r="I49" s="114">
        <f t="shared" si="1"/>
        <v>38531.25</v>
      </c>
    </row>
    <row r="50" spans="1:9" ht="15.75" thickBot="1" x14ac:dyDescent="0.3">
      <c r="A50" s="1" t="s">
        <v>148</v>
      </c>
      <c r="B50" s="92" t="s">
        <v>42</v>
      </c>
      <c r="C50" s="36" t="s">
        <v>49</v>
      </c>
      <c r="D50" s="38">
        <v>3</v>
      </c>
      <c r="E50" s="38">
        <v>979</v>
      </c>
      <c r="F50" s="115" t="s">
        <v>93</v>
      </c>
      <c r="G50" s="115">
        <v>1</v>
      </c>
      <c r="H50" s="38">
        <f t="shared" si="5"/>
        <v>42.666666666666664</v>
      </c>
      <c r="I50" s="116">
        <f t="shared" si="1"/>
        <v>22945.3125</v>
      </c>
    </row>
    <row r="51" spans="1:9" x14ac:dyDescent="0.25">
      <c r="A51" s="1" t="s">
        <v>148</v>
      </c>
      <c r="B51" s="90" t="s">
        <v>42</v>
      </c>
      <c r="C51" s="26" t="s">
        <v>50</v>
      </c>
      <c r="D51" s="29" t="s">
        <v>96</v>
      </c>
      <c r="E51" s="29">
        <v>18585</v>
      </c>
      <c r="F51" s="120">
        <f>10/(990+10)</f>
        <v>0.01</v>
      </c>
      <c r="G51" s="29">
        <v>100</v>
      </c>
      <c r="H51" s="29">
        <f t="shared" si="5"/>
        <v>42.666666666666664</v>
      </c>
      <c r="I51" s="113">
        <f>((E51/H51)*G51)*1000</f>
        <v>43558593.75</v>
      </c>
    </row>
    <row r="52" spans="1:9" x14ac:dyDescent="0.25">
      <c r="A52" s="1" t="s">
        <v>148</v>
      </c>
      <c r="B52" s="91" t="s">
        <v>42</v>
      </c>
      <c r="C52" s="31" t="s">
        <v>50</v>
      </c>
      <c r="D52" s="33">
        <v>1</v>
      </c>
      <c r="E52" s="42">
        <v>43014</v>
      </c>
      <c r="F52" s="112">
        <f>100/(900+100)</f>
        <v>0.1</v>
      </c>
      <c r="G52" s="33">
        <v>10</v>
      </c>
      <c r="H52" s="33">
        <f t="shared" si="5"/>
        <v>42.666666666666664</v>
      </c>
      <c r="I52" s="114">
        <f t="shared" si="1"/>
        <v>10081406.25</v>
      </c>
    </row>
    <row r="53" spans="1:9" x14ac:dyDescent="0.25">
      <c r="A53" s="1" t="s">
        <v>148</v>
      </c>
      <c r="B53" s="91" t="s">
        <v>42</v>
      </c>
      <c r="C53" s="31" t="s">
        <v>50</v>
      </c>
      <c r="D53" s="33">
        <v>2</v>
      </c>
      <c r="E53" s="42">
        <v>9660</v>
      </c>
      <c r="F53" s="112">
        <f>100/(900+100)</f>
        <v>0.1</v>
      </c>
      <c r="G53" s="107">
        <v>10</v>
      </c>
      <c r="H53" s="33">
        <f t="shared" si="5"/>
        <v>42.666666666666664</v>
      </c>
      <c r="I53" s="114">
        <f t="shared" si="1"/>
        <v>2264062.5</v>
      </c>
    </row>
    <row r="54" spans="1:9" x14ac:dyDescent="0.25">
      <c r="A54" s="1" t="s">
        <v>148</v>
      </c>
      <c r="B54" s="91" t="s">
        <v>42</v>
      </c>
      <c r="C54" s="31" t="s">
        <v>50</v>
      </c>
      <c r="D54" s="33">
        <v>3</v>
      </c>
      <c r="E54" s="42">
        <v>28314</v>
      </c>
      <c r="F54" s="107" t="s">
        <v>93</v>
      </c>
      <c r="G54" s="107">
        <v>1</v>
      </c>
      <c r="H54" s="33">
        <f t="shared" si="5"/>
        <v>42.666666666666664</v>
      </c>
      <c r="I54" s="114">
        <f t="shared" si="1"/>
        <v>663609.375</v>
      </c>
    </row>
    <row r="55" spans="1:9" x14ac:dyDescent="0.25">
      <c r="A55" s="1" t="s">
        <v>148</v>
      </c>
      <c r="B55" s="91" t="s">
        <v>42</v>
      </c>
      <c r="C55" s="31" t="s">
        <v>50</v>
      </c>
      <c r="D55" s="33">
        <v>4</v>
      </c>
      <c r="E55" s="42">
        <v>4409</v>
      </c>
      <c r="F55" s="107" t="s">
        <v>93</v>
      </c>
      <c r="G55" s="107">
        <v>1</v>
      </c>
      <c r="H55" s="33">
        <f t="shared" si="5"/>
        <v>42.666666666666664</v>
      </c>
      <c r="I55" s="114">
        <f t="shared" si="1"/>
        <v>103335.9375</v>
      </c>
    </row>
    <row r="56" spans="1:9" ht="15.75" thickBot="1" x14ac:dyDescent="0.3">
      <c r="A56" s="1" t="s">
        <v>148</v>
      </c>
      <c r="B56" s="92" t="s">
        <v>42</v>
      </c>
      <c r="C56" s="36" t="s">
        <v>50</v>
      </c>
      <c r="D56" s="38">
        <v>5</v>
      </c>
      <c r="E56" s="38">
        <v>1995</v>
      </c>
      <c r="F56" s="115" t="s">
        <v>93</v>
      </c>
      <c r="G56" s="115">
        <v>1</v>
      </c>
      <c r="H56" s="38">
        <f t="shared" si="5"/>
        <v>42.666666666666664</v>
      </c>
      <c r="I56" s="116">
        <f t="shared" si="1"/>
        <v>46757.8125</v>
      </c>
    </row>
    <row r="57" spans="1:9" x14ac:dyDescent="0.25">
      <c r="A57" s="1" t="s">
        <v>148</v>
      </c>
      <c r="B57" s="90" t="s">
        <v>42</v>
      </c>
      <c r="C57" s="26" t="s">
        <v>51</v>
      </c>
      <c r="D57" s="29" t="s">
        <v>96</v>
      </c>
      <c r="E57" s="29">
        <v>24184</v>
      </c>
      <c r="F57" s="120">
        <f>10/(990+10)</f>
        <v>0.01</v>
      </c>
      <c r="G57" s="29">
        <v>100</v>
      </c>
      <c r="H57" s="29">
        <f t="shared" si="5"/>
        <v>42.666666666666664</v>
      </c>
      <c r="I57" s="113">
        <f>((E57/H57)*G57)*1000</f>
        <v>56681250</v>
      </c>
    </row>
    <row r="58" spans="1:9" x14ac:dyDescent="0.25">
      <c r="A58" s="1" t="s">
        <v>148</v>
      </c>
      <c r="B58" s="91" t="s">
        <v>42</v>
      </c>
      <c r="C58" s="31" t="s">
        <v>51</v>
      </c>
      <c r="D58" s="33">
        <v>1</v>
      </c>
      <c r="E58" s="42">
        <v>44205</v>
      </c>
      <c r="F58" s="112">
        <f>100/(900+100)</f>
        <v>0.1</v>
      </c>
      <c r="G58" s="33">
        <v>10</v>
      </c>
      <c r="H58" s="33">
        <f t="shared" si="5"/>
        <v>42.666666666666664</v>
      </c>
      <c r="I58" s="114">
        <f t="shared" si="1"/>
        <v>10360546.875</v>
      </c>
    </row>
    <row r="59" spans="1:9" x14ac:dyDescent="0.25">
      <c r="A59" s="1" t="s">
        <v>148</v>
      </c>
      <c r="B59" s="91" t="s">
        <v>42</v>
      </c>
      <c r="C59" s="31" t="s">
        <v>51</v>
      </c>
      <c r="D59" s="33">
        <v>2</v>
      </c>
      <c r="E59" s="42">
        <v>9342</v>
      </c>
      <c r="F59" s="112">
        <f>100/(900+100)</f>
        <v>0.1</v>
      </c>
      <c r="G59" s="107">
        <v>10</v>
      </c>
      <c r="H59" s="33">
        <f t="shared" si="5"/>
        <v>42.666666666666664</v>
      </c>
      <c r="I59" s="114">
        <f t="shared" si="1"/>
        <v>2189531.25</v>
      </c>
    </row>
    <row r="60" spans="1:9" x14ac:dyDescent="0.25">
      <c r="A60" s="1" t="s">
        <v>148</v>
      </c>
      <c r="B60" s="91" t="s">
        <v>42</v>
      </c>
      <c r="C60" s="31" t="s">
        <v>51</v>
      </c>
      <c r="D60" s="33">
        <v>3</v>
      </c>
      <c r="E60" s="42">
        <v>24535</v>
      </c>
      <c r="F60" s="107" t="s">
        <v>93</v>
      </c>
      <c r="G60" s="107">
        <v>1</v>
      </c>
      <c r="H60" s="33">
        <f t="shared" si="5"/>
        <v>42.666666666666664</v>
      </c>
      <c r="I60" s="114">
        <f t="shared" si="1"/>
        <v>575039.0625</v>
      </c>
    </row>
    <row r="61" spans="1:9" x14ac:dyDescent="0.25">
      <c r="A61" s="1" t="s">
        <v>148</v>
      </c>
      <c r="B61" s="91" t="s">
        <v>42</v>
      </c>
      <c r="C61" s="31" t="s">
        <v>51</v>
      </c>
      <c r="D61" s="33">
        <v>4</v>
      </c>
      <c r="E61" s="42">
        <v>12004</v>
      </c>
      <c r="F61" s="107" t="s">
        <v>93</v>
      </c>
      <c r="G61" s="107">
        <v>1</v>
      </c>
      <c r="H61" s="33">
        <f t="shared" si="5"/>
        <v>42.666666666666664</v>
      </c>
      <c r="I61" s="114">
        <f t="shared" si="1"/>
        <v>281343.75</v>
      </c>
    </row>
    <row r="62" spans="1:9" ht="15.75" thickBot="1" x14ac:dyDescent="0.3">
      <c r="A62" s="1" t="s">
        <v>148</v>
      </c>
      <c r="B62" s="92" t="s">
        <v>42</v>
      </c>
      <c r="C62" s="36" t="s">
        <v>51</v>
      </c>
      <c r="D62" s="38">
        <v>5</v>
      </c>
      <c r="E62" s="38">
        <v>2590</v>
      </c>
      <c r="F62" s="115" t="s">
        <v>93</v>
      </c>
      <c r="G62" s="115">
        <v>1</v>
      </c>
      <c r="H62" s="38">
        <f t="shared" si="5"/>
        <v>42.666666666666664</v>
      </c>
      <c r="I62" s="116">
        <f t="shared" si="1"/>
        <v>60703.125</v>
      </c>
    </row>
    <row r="63" spans="1:9" x14ac:dyDescent="0.25">
      <c r="A63" s="1" t="s">
        <v>149</v>
      </c>
      <c r="B63" s="93" t="s">
        <v>37</v>
      </c>
      <c r="C63" s="26" t="s">
        <v>49</v>
      </c>
      <c r="D63" s="29" t="s">
        <v>96</v>
      </c>
      <c r="E63" s="29">
        <v>31828</v>
      </c>
      <c r="F63" s="120">
        <f>10/(990+10)</f>
        <v>0.01</v>
      </c>
      <c r="G63" s="29">
        <v>100</v>
      </c>
      <c r="H63" s="44">
        <f>(2000-1475)/15</f>
        <v>35</v>
      </c>
      <c r="I63" s="113">
        <f>((E63/H63)*G63)*1000</f>
        <v>90937142.857142866</v>
      </c>
    </row>
    <row r="64" spans="1:9" x14ac:dyDescent="0.25">
      <c r="A64" s="1" t="s">
        <v>149</v>
      </c>
      <c r="B64" s="94" t="s">
        <v>37</v>
      </c>
      <c r="C64" s="31" t="s">
        <v>49</v>
      </c>
      <c r="D64" s="33">
        <v>0</v>
      </c>
      <c r="E64" s="42">
        <v>47712</v>
      </c>
      <c r="F64" s="112">
        <f>100/(900+100)</f>
        <v>0.1</v>
      </c>
      <c r="G64" s="33">
        <v>10</v>
      </c>
      <c r="H64" s="42">
        <f t="shared" ref="H64:H80" si="6">(2000-1475)/15</f>
        <v>35</v>
      </c>
      <c r="I64" s="114">
        <f t="shared" si="1"/>
        <v>13632000</v>
      </c>
    </row>
    <row r="65" spans="1:9" x14ac:dyDescent="0.25">
      <c r="A65" s="1" t="s">
        <v>149</v>
      </c>
      <c r="B65" s="94" t="s">
        <v>37</v>
      </c>
      <c r="C65" s="31" t="s">
        <v>49</v>
      </c>
      <c r="D65" s="33" t="s">
        <v>105</v>
      </c>
      <c r="E65" s="42">
        <v>31924</v>
      </c>
      <c r="F65" s="112">
        <f t="shared" ref="F65:F66" si="7">100/(900+100)</f>
        <v>0.1</v>
      </c>
      <c r="G65" s="107">
        <v>10</v>
      </c>
      <c r="H65" s="42">
        <f t="shared" si="6"/>
        <v>35</v>
      </c>
      <c r="I65" s="114">
        <f t="shared" si="1"/>
        <v>9121142.8571428563</v>
      </c>
    </row>
    <row r="66" spans="1:9" x14ac:dyDescent="0.25">
      <c r="A66" s="1" t="s">
        <v>149</v>
      </c>
      <c r="B66" s="94" t="s">
        <v>37</v>
      </c>
      <c r="C66" s="31" t="s">
        <v>49</v>
      </c>
      <c r="D66" s="33">
        <v>1</v>
      </c>
      <c r="E66" s="42">
        <v>6548</v>
      </c>
      <c r="F66" s="112">
        <f t="shared" si="7"/>
        <v>0.1</v>
      </c>
      <c r="G66" s="107">
        <v>10</v>
      </c>
      <c r="H66" s="42">
        <f t="shared" si="6"/>
        <v>35</v>
      </c>
      <c r="I66" s="114">
        <f t="shared" si="1"/>
        <v>1870857.142857143</v>
      </c>
    </row>
    <row r="67" spans="1:9" x14ac:dyDescent="0.25">
      <c r="A67" s="1" t="s">
        <v>149</v>
      </c>
      <c r="B67" s="94" t="s">
        <v>37</v>
      </c>
      <c r="C67" s="31" t="s">
        <v>49</v>
      </c>
      <c r="D67" s="33">
        <v>2</v>
      </c>
      <c r="E67" s="42">
        <v>15625</v>
      </c>
      <c r="F67" s="107" t="s">
        <v>93</v>
      </c>
      <c r="G67" s="107">
        <v>1</v>
      </c>
      <c r="H67" s="42">
        <f t="shared" si="6"/>
        <v>35</v>
      </c>
      <c r="I67" s="114">
        <f t="shared" si="1"/>
        <v>446428.57142857142</v>
      </c>
    </row>
    <row r="68" spans="1:9" ht="15.75" thickBot="1" x14ac:dyDescent="0.3">
      <c r="A68" s="1" t="s">
        <v>149</v>
      </c>
      <c r="B68" s="95" t="s">
        <v>37</v>
      </c>
      <c r="C68" s="36" t="s">
        <v>49</v>
      </c>
      <c r="D68" s="38">
        <v>3</v>
      </c>
      <c r="E68" s="38">
        <v>3406</v>
      </c>
      <c r="F68" s="108" t="s">
        <v>93</v>
      </c>
      <c r="G68" s="115">
        <v>1</v>
      </c>
      <c r="H68" s="45">
        <f t="shared" si="6"/>
        <v>35</v>
      </c>
      <c r="I68" s="116">
        <f t="shared" si="1"/>
        <v>97314.28571428571</v>
      </c>
    </row>
    <row r="69" spans="1:9" x14ac:dyDescent="0.25">
      <c r="A69" s="1" t="s">
        <v>149</v>
      </c>
      <c r="B69" s="93" t="s">
        <v>37</v>
      </c>
      <c r="C69" s="26" t="s">
        <v>50</v>
      </c>
      <c r="D69" s="29" t="s">
        <v>96</v>
      </c>
      <c r="E69" s="29">
        <v>22807</v>
      </c>
      <c r="F69" s="120">
        <f>10/(990+10)</f>
        <v>0.01</v>
      </c>
      <c r="G69" s="117">
        <v>100</v>
      </c>
      <c r="H69" s="44">
        <f t="shared" si="6"/>
        <v>35</v>
      </c>
      <c r="I69" s="113">
        <f>((E69/H69)*G69)*1000</f>
        <v>65162857.142857134</v>
      </c>
    </row>
    <row r="70" spans="1:9" x14ac:dyDescent="0.25">
      <c r="A70" s="1" t="s">
        <v>149</v>
      </c>
      <c r="B70" s="94" t="s">
        <v>37</v>
      </c>
      <c r="C70" s="31" t="s">
        <v>50</v>
      </c>
      <c r="D70" s="33">
        <v>1</v>
      </c>
      <c r="E70" s="42">
        <v>41447</v>
      </c>
      <c r="F70" s="112">
        <f>100/(900+100)</f>
        <v>0.1</v>
      </c>
      <c r="G70" s="107">
        <v>10</v>
      </c>
      <c r="H70" s="42">
        <f t="shared" si="6"/>
        <v>35</v>
      </c>
      <c r="I70" s="114">
        <f t="shared" si="1"/>
        <v>11842000</v>
      </c>
    </row>
    <row r="71" spans="1:9" x14ac:dyDescent="0.25">
      <c r="A71" s="1" t="s">
        <v>149</v>
      </c>
      <c r="B71" s="94" t="s">
        <v>37</v>
      </c>
      <c r="C71" s="31" t="s">
        <v>50</v>
      </c>
      <c r="D71" s="33">
        <v>2</v>
      </c>
      <c r="E71" s="42">
        <v>8841</v>
      </c>
      <c r="F71" s="112">
        <f t="shared" ref="F71" si="8">100/(900+100)</f>
        <v>0.1</v>
      </c>
      <c r="G71" s="107">
        <v>10</v>
      </c>
      <c r="H71" s="42">
        <f t="shared" si="6"/>
        <v>35</v>
      </c>
      <c r="I71" s="114">
        <f t="shared" si="1"/>
        <v>2526000</v>
      </c>
    </row>
    <row r="72" spans="1:9" x14ac:dyDescent="0.25">
      <c r="A72" s="1" t="s">
        <v>149</v>
      </c>
      <c r="B72" s="94" t="s">
        <v>37</v>
      </c>
      <c r="C72" s="31" t="s">
        <v>50</v>
      </c>
      <c r="D72" s="33">
        <v>3</v>
      </c>
      <c r="E72" s="42">
        <v>22472</v>
      </c>
      <c r="F72" s="107" t="s">
        <v>93</v>
      </c>
      <c r="G72" s="107">
        <v>1</v>
      </c>
      <c r="H72" s="42">
        <f t="shared" si="6"/>
        <v>35</v>
      </c>
      <c r="I72" s="114">
        <f t="shared" si="1"/>
        <v>642057.14285714284</v>
      </c>
    </row>
    <row r="73" spans="1:9" x14ac:dyDescent="0.25">
      <c r="A73" s="1" t="s">
        <v>149</v>
      </c>
      <c r="B73" s="94" t="s">
        <v>37</v>
      </c>
      <c r="C73" s="31" t="s">
        <v>50</v>
      </c>
      <c r="D73" s="33">
        <v>4</v>
      </c>
      <c r="E73" s="42">
        <v>11371</v>
      </c>
      <c r="F73" s="107" t="s">
        <v>93</v>
      </c>
      <c r="G73" s="107">
        <v>1</v>
      </c>
      <c r="H73" s="42">
        <f t="shared" si="6"/>
        <v>35</v>
      </c>
      <c r="I73" s="114">
        <f t="shared" si="1"/>
        <v>324885.71428571432</v>
      </c>
    </row>
    <row r="74" spans="1:9" ht="15.75" thickBot="1" x14ac:dyDescent="0.3">
      <c r="A74" s="1" t="s">
        <v>149</v>
      </c>
      <c r="B74" s="95" t="s">
        <v>37</v>
      </c>
      <c r="C74" s="36" t="s">
        <v>50</v>
      </c>
      <c r="D74" s="38">
        <v>5</v>
      </c>
      <c r="E74" s="38">
        <v>2264</v>
      </c>
      <c r="F74" s="115" t="s">
        <v>93</v>
      </c>
      <c r="G74" s="115">
        <v>1</v>
      </c>
      <c r="H74" s="45">
        <f t="shared" si="6"/>
        <v>35</v>
      </c>
      <c r="I74" s="116">
        <f t="shared" ref="I74" si="9">((E74/H74)*G74)*1000</f>
        <v>64685.714285714283</v>
      </c>
    </row>
    <row r="75" spans="1:9" x14ac:dyDescent="0.25">
      <c r="A75" s="1" t="s">
        <v>149</v>
      </c>
      <c r="B75" s="93" t="s">
        <v>37</v>
      </c>
      <c r="C75" s="26" t="s">
        <v>51</v>
      </c>
      <c r="D75" s="29" t="s">
        <v>96</v>
      </c>
      <c r="E75" s="29">
        <v>38032</v>
      </c>
      <c r="F75" s="120">
        <f>10/(990+10)</f>
        <v>0.01</v>
      </c>
      <c r="G75" s="117">
        <v>100</v>
      </c>
      <c r="H75" s="44">
        <f t="shared" si="6"/>
        <v>35</v>
      </c>
      <c r="I75" s="113">
        <f>((E75/H75)*G75)*1000</f>
        <v>108662857.14285713</v>
      </c>
    </row>
    <row r="76" spans="1:9" x14ac:dyDescent="0.25">
      <c r="A76" s="1" t="s">
        <v>149</v>
      </c>
      <c r="B76" s="94" t="s">
        <v>37</v>
      </c>
      <c r="C76" s="31" t="s">
        <v>51</v>
      </c>
      <c r="D76" s="33">
        <v>1</v>
      </c>
      <c r="E76" s="42">
        <v>35858</v>
      </c>
      <c r="F76" s="112">
        <f>100/(900+100)</f>
        <v>0.1</v>
      </c>
      <c r="G76" s="107">
        <v>10</v>
      </c>
      <c r="H76" s="42">
        <f t="shared" si="6"/>
        <v>35</v>
      </c>
      <c r="I76" s="114">
        <f t="shared" ref="I76:I140" si="10">((E76/H76)*G76)*1000</f>
        <v>10245142.857142856</v>
      </c>
    </row>
    <row r="77" spans="1:9" x14ac:dyDescent="0.25">
      <c r="A77" s="1" t="s">
        <v>149</v>
      </c>
      <c r="B77" s="94" t="s">
        <v>37</v>
      </c>
      <c r="C77" s="31" t="s">
        <v>51</v>
      </c>
      <c r="D77" s="33">
        <v>2</v>
      </c>
      <c r="E77" s="42">
        <v>7760</v>
      </c>
      <c r="F77" s="112">
        <f t="shared" ref="F77" si="11">100/(900+100)</f>
        <v>0.1</v>
      </c>
      <c r="G77" s="107">
        <v>10</v>
      </c>
      <c r="H77" s="42">
        <f t="shared" si="6"/>
        <v>35</v>
      </c>
      <c r="I77" s="114">
        <f t="shared" si="10"/>
        <v>2217142.8571428573</v>
      </c>
    </row>
    <row r="78" spans="1:9" x14ac:dyDescent="0.25">
      <c r="A78" s="1" t="s">
        <v>149</v>
      </c>
      <c r="B78" s="94" t="s">
        <v>37</v>
      </c>
      <c r="C78" s="31" t="s">
        <v>51</v>
      </c>
      <c r="D78" s="33">
        <v>3</v>
      </c>
      <c r="E78" s="42">
        <v>20832</v>
      </c>
      <c r="F78" s="107" t="s">
        <v>93</v>
      </c>
      <c r="G78" s="107">
        <v>1</v>
      </c>
      <c r="H78" s="42">
        <f t="shared" si="6"/>
        <v>35</v>
      </c>
      <c r="I78" s="114">
        <f t="shared" si="10"/>
        <v>595200</v>
      </c>
    </row>
    <row r="79" spans="1:9" x14ac:dyDescent="0.25">
      <c r="A79" s="1" t="s">
        <v>149</v>
      </c>
      <c r="B79" s="94" t="s">
        <v>37</v>
      </c>
      <c r="C79" s="31" t="s">
        <v>51</v>
      </c>
      <c r="D79" s="33">
        <v>4</v>
      </c>
      <c r="E79" s="42">
        <v>8144</v>
      </c>
      <c r="F79" s="107" t="s">
        <v>93</v>
      </c>
      <c r="G79" s="107">
        <v>1</v>
      </c>
      <c r="H79" s="42">
        <f t="shared" si="6"/>
        <v>35</v>
      </c>
      <c r="I79" s="114">
        <f t="shared" si="10"/>
        <v>232685.71428571429</v>
      </c>
    </row>
    <row r="80" spans="1:9" ht="15.75" thickBot="1" x14ac:dyDescent="0.3">
      <c r="A80" s="1" t="s">
        <v>149</v>
      </c>
      <c r="B80" s="95" t="s">
        <v>37</v>
      </c>
      <c r="C80" s="36" t="s">
        <v>51</v>
      </c>
      <c r="D80" s="38">
        <v>5</v>
      </c>
      <c r="E80" s="38">
        <v>4331</v>
      </c>
      <c r="F80" s="115" t="s">
        <v>93</v>
      </c>
      <c r="G80" s="115">
        <v>1</v>
      </c>
      <c r="H80" s="45">
        <f t="shared" si="6"/>
        <v>35</v>
      </c>
      <c r="I80" s="116">
        <f t="shared" si="10"/>
        <v>123742.85714285714</v>
      </c>
    </row>
    <row r="81" spans="1:9" x14ac:dyDescent="0.25">
      <c r="A81" s="1" t="s">
        <v>149</v>
      </c>
      <c r="B81" s="90" t="s">
        <v>39</v>
      </c>
      <c r="C81" s="26" t="s">
        <v>49</v>
      </c>
      <c r="D81" s="29" t="s">
        <v>96</v>
      </c>
      <c r="E81" s="29">
        <v>23959</v>
      </c>
      <c r="F81" s="120">
        <f>10/(990+10)</f>
        <v>0.01</v>
      </c>
      <c r="G81" s="117">
        <v>100</v>
      </c>
      <c r="H81" s="29">
        <f>(2000-1420)/15</f>
        <v>38.666666666666664</v>
      </c>
      <c r="I81" s="113">
        <f>((E81/H81)*G81)*1000</f>
        <v>61962931.03448277</v>
      </c>
    </row>
    <row r="82" spans="1:9" x14ac:dyDescent="0.25">
      <c r="A82" s="1" t="s">
        <v>149</v>
      </c>
      <c r="B82" s="91" t="s">
        <v>39</v>
      </c>
      <c r="C82" s="31" t="s">
        <v>49</v>
      </c>
      <c r="D82" s="33">
        <v>1</v>
      </c>
      <c r="E82" s="42">
        <v>50281</v>
      </c>
      <c r="F82" s="112">
        <f>100/(900+100)</f>
        <v>0.1</v>
      </c>
      <c r="G82" s="107">
        <v>10</v>
      </c>
      <c r="H82" s="33">
        <f t="shared" ref="H82:H98" si="12">(2000-1420)/15</f>
        <v>38.666666666666664</v>
      </c>
      <c r="I82" s="114">
        <f t="shared" si="10"/>
        <v>13003706.896551725</v>
      </c>
    </row>
    <row r="83" spans="1:9" x14ac:dyDescent="0.25">
      <c r="A83" s="1" t="s">
        <v>149</v>
      </c>
      <c r="B83" s="91" t="s">
        <v>39</v>
      </c>
      <c r="C83" s="31" t="s">
        <v>49</v>
      </c>
      <c r="D83" s="33">
        <v>2</v>
      </c>
      <c r="E83" s="42">
        <v>10907</v>
      </c>
      <c r="F83" s="112">
        <f t="shared" ref="F83" si="13">100/(900+100)</f>
        <v>0.1</v>
      </c>
      <c r="G83" s="107">
        <v>10</v>
      </c>
      <c r="H83" s="33">
        <f t="shared" si="12"/>
        <v>38.666666666666664</v>
      </c>
      <c r="I83" s="114">
        <f t="shared" si="10"/>
        <v>2820775.8620689656</v>
      </c>
    </row>
    <row r="84" spans="1:9" x14ac:dyDescent="0.25">
      <c r="A84" s="1" t="s">
        <v>149</v>
      </c>
      <c r="B84" s="91" t="s">
        <v>39</v>
      </c>
      <c r="C84" s="31" t="s">
        <v>49</v>
      </c>
      <c r="D84" s="33">
        <v>3</v>
      </c>
      <c r="E84" s="42">
        <v>27381</v>
      </c>
      <c r="F84" s="107" t="s">
        <v>93</v>
      </c>
      <c r="G84" s="107">
        <v>1</v>
      </c>
      <c r="H84" s="33">
        <f t="shared" si="12"/>
        <v>38.666666666666664</v>
      </c>
      <c r="I84" s="114">
        <f t="shared" si="10"/>
        <v>708129.31034482771</v>
      </c>
    </row>
    <row r="85" spans="1:9" x14ac:dyDescent="0.25">
      <c r="A85" s="1" t="s">
        <v>149</v>
      </c>
      <c r="B85" s="91" t="s">
        <v>39</v>
      </c>
      <c r="C85" s="31" t="s">
        <v>49</v>
      </c>
      <c r="D85" s="33">
        <v>4</v>
      </c>
      <c r="E85" s="42">
        <v>13924</v>
      </c>
      <c r="F85" s="107" t="s">
        <v>93</v>
      </c>
      <c r="G85" s="107">
        <v>1</v>
      </c>
      <c r="H85" s="33">
        <f t="shared" si="12"/>
        <v>38.666666666666664</v>
      </c>
      <c r="I85" s="114">
        <f t="shared" si="10"/>
        <v>360103.44827586209</v>
      </c>
    </row>
    <row r="86" spans="1:9" ht="15.75" thickBot="1" x14ac:dyDescent="0.3">
      <c r="A86" s="1" t="s">
        <v>149</v>
      </c>
      <c r="B86" s="92" t="s">
        <v>39</v>
      </c>
      <c r="C86" s="36" t="s">
        <v>49</v>
      </c>
      <c r="D86" s="38">
        <v>5</v>
      </c>
      <c r="E86" s="38">
        <v>2851</v>
      </c>
      <c r="F86" s="115" t="s">
        <v>93</v>
      </c>
      <c r="G86" s="115">
        <v>1</v>
      </c>
      <c r="H86" s="38">
        <f t="shared" si="12"/>
        <v>38.666666666666664</v>
      </c>
      <c r="I86" s="116">
        <f t="shared" si="10"/>
        <v>73732.758620689667</v>
      </c>
    </row>
    <row r="87" spans="1:9" x14ac:dyDescent="0.25">
      <c r="A87" s="1" t="s">
        <v>149</v>
      </c>
      <c r="B87" s="90" t="s">
        <v>39</v>
      </c>
      <c r="C87" s="26" t="s">
        <v>50</v>
      </c>
      <c r="D87" s="29" t="s">
        <v>96</v>
      </c>
      <c r="E87" s="29">
        <v>31413</v>
      </c>
      <c r="F87" s="120">
        <f>10/(990+10)</f>
        <v>0.01</v>
      </c>
      <c r="G87" s="117">
        <v>100</v>
      </c>
      <c r="H87" s="29">
        <f t="shared" si="12"/>
        <v>38.666666666666664</v>
      </c>
      <c r="I87" s="113">
        <f>((E87/H87)*G87)*1000</f>
        <v>81240517.241379321</v>
      </c>
    </row>
    <row r="88" spans="1:9" x14ac:dyDescent="0.25">
      <c r="A88" s="1" t="s">
        <v>149</v>
      </c>
      <c r="B88" s="91" t="s">
        <v>39</v>
      </c>
      <c r="C88" s="31" t="s">
        <v>50</v>
      </c>
      <c r="D88" s="33">
        <v>1</v>
      </c>
      <c r="E88" s="42">
        <v>50115</v>
      </c>
      <c r="F88" s="112">
        <f>100/(900+100)</f>
        <v>0.1</v>
      </c>
      <c r="G88" s="107">
        <v>10</v>
      </c>
      <c r="H88" s="33">
        <f t="shared" si="12"/>
        <v>38.666666666666664</v>
      </c>
      <c r="I88" s="114">
        <f t="shared" si="10"/>
        <v>12960775.862068968</v>
      </c>
    </row>
    <row r="89" spans="1:9" x14ac:dyDescent="0.25">
      <c r="A89" s="1" t="s">
        <v>149</v>
      </c>
      <c r="B89" s="91" t="s">
        <v>39</v>
      </c>
      <c r="C89" s="31" t="s">
        <v>50</v>
      </c>
      <c r="D89" s="33">
        <v>2</v>
      </c>
      <c r="E89" s="42">
        <v>9900</v>
      </c>
      <c r="F89" s="112">
        <f t="shared" ref="F89" si="14">100/(900+100)</f>
        <v>0.1</v>
      </c>
      <c r="G89" s="107">
        <v>10</v>
      </c>
      <c r="H89" s="33">
        <f t="shared" si="12"/>
        <v>38.666666666666664</v>
      </c>
      <c r="I89" s="114">
        <f t="shared" si="10"/>
        <v>2560344.8275862071</v>
      </c>
    </row>
    <row r="90" spans="1:9" x14ac:dyDescent="0.25">
      <c r="A90" s="1" t="s">
        <v>149</v>
      </c>
      <c r="B90" s="91" t="s">
        <v>39</v>
      </c>
      <c r="C90" s="31" t="s">
        <v>50</v>
      </c>
      <c r="D90" s="33">
        <v>3</v>
      </c>
      <c r="E90" s="42">
        <v>34009</v>
      </c>
      <c r="F90" s="107" t="s">
        <v>93</v>
      </c>
      <c r="G90" s="107">
        <v>1</v>
      </c>
      <c r="H90" s="33">
        <f t="shared" si="12"/>
        <v>38.666666666666664</v>
      </c>
      <c r="I90" s="114">
        <f t="shared" si="10"/>
        <v>879543.10344827594</v>
      </c>
    </row>
    <row r="91" spans="1:9" x14ac:dyDescent="0.25">
      <c r="A91" s="1" t="s">
        <v>149</v>
      </c>
      <c r="B91" s="91" t="s">
        <v>39</v>
      </c>
      <c r="C91" s="31" t="s">
        <v>50</v>
      </c>
      <c r="D91" s="33">
        <v>4</v>
      </c>
      <c r="E91" s="42">
        <v>15774</v>
      </c>
      <c r="F91" s="107" t="s">
        <v>93</v>
      </c>
      <c r="G91" s="107">
        <v>1</v>
      </c>
      <c r="H91" s="33">
        <f t="shared" si="12"/>
        <v>38.666666666666664</v>
      </c>
      <c r="I91" s="114">
        <f t="shared" si="10"/>
        <v>407948.27586206899</v>
      </c>
    </row>
    <row r="92" spans="1:9" ht="15.75" thickBot="1" x14ac:dyDescent="0.3">
      <c r="A92" s="1" t="s">
        <v>149</v>
      </c>
      <c r="B92" s="92" t="s">
        <v>39</v>
      </c>
      <c r="C92" s="36" t="s">
        <v>50</v>
      </c>
      <c r="D92" s="38">
        <v>5</v>
      </c>
      <c r="E92" s="38">
        <v>6718</v>
      </c>
      <c r="F92" s="115" t="s">
        <v>93</v>
      </c>
      <c r="G92" s="115">
        <v>1</v>
      </c>
      <c r="H92" s="38">
        <f t="shared" si="12"/>
        <v>38.666666666666664</v>
      </c>
      <c r="I92" s="116">
        <f t="shared" si="10"/>
        <v>173741.37931034481</v>
      </c>
    </row>
    <row r="93" spans="1:9" x14ac:dyDescent="0.25">
      <c r="A93" s="1" t="s">
        <v>149</v>
      </c>
      <c r="B93" s="90" t="s">
        <v>39</v>
      </c>
      <c r="C93" s="26" t="s">
        <v>51</v>
      </c>
      <c r="D93" s="29" t="s">
        <v>96</v>
      </c>
      <c r="E93" s="29">
        <v>24640</v>
      </c>
      <c r="F93" s="120">
        <f>10/(990+10)</f>
        <v>0.01</v>
      </c>
      <c r="G93" s="117">
        <v>100</v>
      </c>
      <c r="H93" s="29">
        <f t="shared" si="12"/>
        <v>38.666666666666664</v>
      </c>
      <c r="I93" s="113">
        <f>((E93/H93)*G93)*1000</f>
        <v>63724137.931034483</v>
      </c>
    </row>
    <row r="94" spans="1:9" x14ac:dyDescent="0.25">
      <c r="A94" s="1" t="s">
        <v>149</v>
      </c>
      <c r="B94" s="91" t="s">
        <v>39</v>
      </c>
      <c r="C94" s="31" t="s">
        <v>51</v>
      </c>
      <c r="D94" s="33">
        <v>1</v>
      </c>
      <c r="E94" s="42">
        <v>49947</v>
      </c>
      <c r="F94" s="112">
        <f>100/(900+100)</f>
        <v>0.1</v>
      </c>
      <c r="G94" s="107">
        <v>10</v>
      </c>
      <c r="H94" s="33">
        <f t="shared" si="12"/>
        <v>38.666666666666664</v>
      </c>
      <c r="I94" s="114">
        <f t="shared" si="10"/>
        <v>12917327.586206898</v>
      </c>
    </row>
    <row r="95" spans="1:9" x14ac:dyDescent="0.25">
      <c r="A95" s="1" t="s">
        <v>149</v>
      </c>
      <c r="B95" s="91" t="s">
        <v>39</v>
      </c>
      <c r="C95" s="31" t="s">
        <v>51</v>
      </c>
      <c r="D95" s="33">
        <v>2</v>
      </c>
      <c r="E95" s="42">
        <v>9805</v>
      </c>
      <c r="F95" s="112">
        <f t="shared" ref="F95" si="15">100/(900+100)</f>
        <v>0.1</v>
      </c>
      <c r="G95" s="107">
        <v>10</v>
      </c>
      <c r="H95" s="33">
        <f t="shared" si="12"/>
        <v>38.666666666666664</v>
      </c>
      <c r="I95" s="114">
        <f t="shared" si="10"/>
        <v>2535775.8620689656</v>
      </c>
    </row>
    <row r="96" spans="1:9" x14ac:dyDescent="0.25">
      <c r="A96" s="1" t="s">
        <v>149</v>
      </c>
      <c r="B96" s="91" t="s">
        <v>39</v>
      </c>
      <c r="C96" s="31" t="s">
        <v>51</v>
      </c>
      <c r="D96" s="33">
        <v>3</v>
      </c>
      <c r="E96" s="42">
        <v>21647</v>
      </c>
      <c r="F96" s="107" t="s">
        <v>93</v>
      </c>
      <c r="G96" s="107">
        <v>1</v>
      </c>
      <c r="H96" s="33">
        <f t="shared" si="12"/>
        <v>38.666666666666664</v>
      </c>
      <c r="I96" s="114">
        <f t="shared" si="10"/>
        <v>559836.20689655177</v>
      </c>
    </row>
    <row r="97" spans="1:18" x14ac:dyDescent="0.25">
      <c r="A97" s="1" t="s">
        <v>149</v>
      </c>
      <c r="B97" s="91" t="s">
        <v>39</v>
      </c>
      <c r="C97" s="31" t="s">
        <v>51</v>
      </c>
      <c r="D97" s="33">
        <v>4</v>
      </c>
      <c r="E97" s="42">
        <v>12214</v>
      </c>
      <c r="F97" s="107" t="s">
        <v>93</v>
      </c>
      <c r="G97" s="107">
        <v>1</v>
      </c>
      <c r="H97" s="33">
        <f t="shared" si="12"/>
        <v>38.666666666666664</v>
      </c>
      <c r="I97" s="114">
        <f t="shared" si="10"/>
        <v>315879.31034482759</v>
      </c>
      <c r="K97" s="125" t="s">
        <v>168</v>
      </c>
    </row>
    <row r="98" spans="1:18" ht="15.75" thickBot="1" x14ac:dyDescent="0.3">
      <c r="A98" s="1" t="s">
        <v>149</v>
      </c>
      <c r="B98" s="92" t="s">
        <v>39</v>
      </c>
      <c r="C98" s="36" t="s">
        <v>51</v>
      </c>
      <c r="D98" s="38">
        <v>5</v>
      </c>
      <c r="E98" s="38">
        <v>5175</v>
      </c>
      <c r="F98" s="115" t="s">
        <v>93</v>
      </c>
      <c r="G98" s="115">
        <v>1</v>
      </c>
      <c r="H98" s="38">
        <f t="shared" si="12"/>
        <v>38.666666666666664</v>
      </c>
      <c r="I98" s="116">
        <f t="shared" si="10"/>
        <v>133836.20689655174</v>
      </c>
    </row>
    <row r="99" spans="1:18" x14ac:dyDescent="0.25">
      <c r="A99" s="1" t="s">
        <v>150</v>
      </c>
      <c r="B99" s="100" t="s">
        <v>45</v>
      </c>
      <c r="C99" s="31" t="s">
        <v>49</v>
      </c>
      <c r="D99" s="33" t="s">
        <v>96</v>
      </c>
      <c r="E99" s="42">
        <v>33070</v>
      </c>
      <c r="F99" s="120">
        <v>0.1</v>
      </c>
      <c r="G99" s="29">
        <v>10</v>
      </c>
      <c r="H99" s="33">
        <f>(3000-1485)/15</f>
        <v>101</v>
      </c>
      <c r="I99" s="113">
        <f>((E99/H99)*G99)*1000</f>
        <v>3274257.425742574</v>
      </c>
      <c r="K99" s="100" t="s">
        <v>45</v>
      </c>
      <c r="L99" s="31" t="s">
        <v>49</v>
      </c>
      <c r="M99" s="33" t="s">
        <v>96</v>
      </c>
      <c r="N99" s="42">
        <v>31055</v>
      </c>
      <c r="O99" s="120">
        <v>0.1</v>
      </c>
      <c r="P99" s="29">
        <v>10</v>
      </c>
      <c r="Q99" s="33">
        <f>((3000-1460)/15)</f>
        <v>102.66666666666667</v>
      </c>
      <c r="R99" s="113">
        <f>((N99/Q99)*P99)*1000</f>
        <v>3024837.6623376627</v>
      </c>
    </row>
    <row r="100" spans="1:18" x14ac:dyDescent="0.25">
      <c r="A100" s="1" t="s">
        <v>150</v>
      </c>
      <c r="B100" s="100" t="s">
        <v>45</v>
      </c>
      <c r="C100" s="31" t="s">
        <v>49</v>
      </c>
      <c r="D100" s="33">
        <v>1</v>
      </c>
      <c r="E100" s="42">
        <v>20170</v>
      </c>
      <c r="F100" s="107" t="s">
        <v>93</v>
      </c>
      <c r="G100" s="33">
        <v>1</v>
      </c>
      <c r="H100" s="33">
        <f t="shared" ref="H100:H117" si="16">(3000-1485)/15</f>
        <v>101</v>
      </c>
      <c r="I100" s="114">
        <f t="shared" si="10"/>
        <v>199702.97029702971</v>
      </c>
      <c r="K100" s="100" t="s">
        <v>45</v>
      </c>
      <c r="L100" s="31" t="s">
        <v>49</v>
      </c>
      <c r="M100" s="33">
        <v>1</v>
      </c>
      <c r="N100" s="42">
        <v>21587</v>
      </c>
      <c r="O100" s="107" t="s">
        <v>93</v>
      </c>
      <c r="P100" s="33">
        <v>1</v>
      </c>
      <c r="Q100" s="33">
        <f t="shared" ref="Q100:Q117" si="17">((3000-1460)/15)</f>
        <v>102.66666666666667</v>
      </c>
      <c r="R100" s="114">
        <f t="shared" ref="R100:R104" si="18">((N100/Q100)*P100)*1000</f>
        <v>210262.987012987</v>
      </c>
    </row>
    <row r="101" spans="1:18" x14ac:dyDescent="0.25">
      <c r="A101" s="1" t="s">
        <v>150</v>
      </c>
      <c r="B101" s="100" t="s">
        <v>45</v>
      </c>
      <c r="C101" s="31" t="s">
        <v>49</v>
      </c>
      <c r="D101" s="33">
        <v>2</v>
      </c>
      <c r="E101" s="42">
        <v>3561</v>
      </c>
      <c r="F101" s="107" t="s">
        <v>93</v>
      </c>
      <c r="G101" s="33">
        <v>1</v>
      </c>
      <c r="H101" s="33">
        <f t="shared" si="16"/>
        <v>101</v>
      </c>
      <c r="I101" s="114">
        <f t="shared" si="10"/>
        <v>35257.425742574254</v>
      </c>
      <c r="K101" s="100" t="s">
        <v>45</v>
      </c>
      <c r="L101" s="31" t="s">
        <v>49</v>
      </c>
      <c r="M101" s="33">
        <v>2</v>
      </c>
      <c r="N101" s="42">
        <v>3768</v>
      </c>
      <c r="O101" s="107" t="s">
        <v>93</v>
      </c>
      <c r="P101" s="33">
        <v>1</v>
      </c>
      <c r="Q101" s="33">
        <f t="shared" si="17"/>
        <v>102.66666666666667</v>
      </c>
      <c r="R101" s="114">
        <f t="shared" si="18"/>
        <v>36701.2987012987</v>
      </c>
    </row>
    <row r="102" spans="1:18" x14ac:dyDescent="0.25">
      <c r="A102" s="1" t="s">
        <v>150</v>
      </c>
      <c r="B102" s="100" t="s">
        <v>45</v>
      </c>
      <c r="C102" s="31" t="s">
        <v>49</v>
      </c>
      <c r="D102" s="33">
        <v>3</v>
      </c>
      <c r="E102" s="42">
        <v>1843</v>
      </c>
      <c r="F102" s="107" t="s">
        <v>93</v>
      </c>
      <c r="G102" s="42">
        <v>1</v>
      </c>
      <c r="H102" s="33">
        <f t="shared" si="16"/>
        <v>101</v>
      </c>
      <c r="I102" s="114">
        <f t="shared" si="10"/>
        <v>18247.524752475249</v>
      </c>
      <c r="K102" s="100" t="s">
        <v>45</v>
      </c>
      <c r="L102" s="31" t="s">
        <v>49</v>
      </c>
      <c r="M102" s="33">
        <v>3</v>
      </c>
      <c r="N102" s="42">
        <v>2088</v>
      </c>
      <c r="O102" s="107" t="s">
        <v>93</v>
      </c>
      <c r="P102" s="42">
        <v>1</v>
      </c>
      <c r="Q102" s="33">
        <f t="shared" si="17"/>
        <v>102.66666666666667</v>
      </c>
      <c r="R102" s="114">
        <f t="shared" si="18"/>
        <v>20337.662337662336</v>
      </c>
    </row>
    <row r="103" spans="1:18" x14ac:dyDescent="0.25">
      <c r="A103" s="1" t="s">
        <v>150</v>
      </c>
      <c r="B103" s="100" t="s">
        <v>45</v>
      </c>
      <c r="C103" s="31" t="s">
        <v>49</v>
      </c>
      <c r="D103" s="33">
        <v>4</v>
      </c>
      <c r="E103" s="42">
        <v>355</v>
      </c>
      <c r="F103" s="107" t="s">
        <v>93</v>
      </c>
      <c r="G103" s="42">
        <v>1</v>
      </c>
      <c r="H103" s="33">
        <f t="shared" si="16"/>
        <v>101</v>
      </c>
      <c r="I103" s="114">
        <f t="shared" si="10"/>
        <v>3514.8514851485147</v>
      </c>
      <c r="K103" s="100" t="s">
        <v>45</v>
      </c>
      <c r="L103" s="31" t="s">
        <v>49</v>
      </c>
      <c r="M103" s="33">
        <v>4</v>
      </c>
      <c r="N103" s="42">
        <v>376</v>
      </c>
      <c r="O103" s="107" t="s">
        <v>93</v>
      </c>
      <c r="P103" s="42">
        <v>1</v>
      </c>
      <c r="Q103" s="33">
        <f t="shared" si="17"/>
        <v>102.66666666666667</v>
      </c>
      <c r="R103" s="114">
        <f t="shared" si="18"/>
        <v>3662.3376623376621</v>
      </c>
    </row>
    <row r="104" spans="1:18" ht="15.75" thickBot="1" x14ac:dyDescent="0.3">
      <c r="A104" s="1" t="s">
        <v>150</v>
      </c>
      <c r="B104" s="100" t="s">
        <v>45</v>
      </c>
      <c r="C104" s="36" t="s">
        <v>49</v>
      </c>
      <c r="D104" s="38">
        <v>5</v>
      </c>
      <c r="E104" s="38">
        <v>194</v>
      </c>
      <c r="F104" s="108" t="s">
        <v>93</v>
      </c>
      <c r="G104" s="38">
        <v>1</v>
      </c>
      <c r="H104" s="38">
        <f t="shared" si="16"/>
        <v>101</v>
      </c>
      <c r="I104" s="116">
        <f t="shared" si="10"/>
        <v>1920.7920792079208</v>
      </c>
      <c r="K104" s="100" t="s">
        <v>45</v>
      </c>
      <c r="L104" s="36" t="s">
        <v>49</v>
      </c>
      <c r="M104" s="38">
        <v>5</v>
      </c>
      <c r="N104" s="38">
        <v>184</v>
      </c>
      <c r="O104" s="108" t="s">
        <v>93</v>
      </c>
      <c r="P104" s="38">
        <v>1</v>
      </c>
      <c r="Q104" s="38">
        <f t="shared" si="17"/>
        <v>102.66666666666667</v>
      </c>
      <c r="R104" s="116">
        <f t="shared" si="18"/>
        <v>1792.2077922077922</v>
      </c>
    </row>
    <row r="105" spans="1:18" x14ac:dyDescent="0.25">
      <c r="A105" s="1" t="s">
        <v>150</v>
      </c>
      <c r="B105" s="99" t="s">
        <v>45</v>
      </c>
      <c r="C105" s="26" t="s">
        <v>50</v>
      </c>
      <c r="D105" s="29" t="s">
        <v>96</v>
      </c>
      <c r="E105" s="29">
        <v>39584</v>
      </c>
      <c r="F105" s="120">
        <v>0.1</v>
      </c>
      <c r="G105" s="29">
        <v>10</v>
      </c>
      <c r="H105" s="33">
        <f>(3000-1485)/15</f>
        <v>101</v>
      </c>
      <c r="I105" s="113">
        <f>((E105/H105)*G105)*1000</f>
        <v>3919207.9207920786</v>
      </c>
      <c r="K105" s="99" t="s">
        <v>45</v>
      </c>
      <c r="L105" s="26" t="s">
        <v>50</v>
      </c>
      <c r="M105" s="29" t="s">
        <v>96</v>
      </c>
      <c r="N105" s="29">
        <v>44977</v>
      </c>
      <c r="O105" s="120">
        <v>0.1</v>
      </c>
      <c r="P105" s="29">
        <v>10</v>
      </c>
      <c r="Q105" s="33">
        <f t="shared" si="17"/>
        <v>102.66666666666667</v>
      </c>
      <c r="R105" s="113">
        <f>((N105/Q105)*P105)*1000</f>
        <v>4380876.6233766237</v>
      </c>
    </row>
    <row r="106" spans="1:18" x14ac:dyDescent="0.25">
      <c r="A106" s="1" t="s">
        <v>150</v>
      </c>
      <c r="B106" s="100" t="s">
        <v>45</v>
      </c>
      <c r="C106" s="31" t="s">
        <v>50</v>
      </c>
      <c r="D106" s="33">
        <v>1</v>
      </c>
      <c r="E106" s="42">
        <v>23294</v>
      </c>
      <c r="F106" s="107" t="s">
        <v>93</v>
      </c>
      <c r="G106" s="33">
        <v>1</v>
      </c>
      <c r="H106" s="33">
        <f t="shared" si="16"/>
        <v>101</v>
      </c>
      <c r="I106" s="114">
        <f t="shared" si="10"/>
        <v>230633.66336633664</v>
      </c>
      <c r="K106" s="100" t="s">
        <v>45</v>
      </c>
      <c r="L106" s="31" t="s">
        <v>50</v>
      </c>
      <c r="M106" s="33">
        <v>1</v>
      </c>
      <c r="N106" s="42">
        <v>25844</v>
      </c>
      <c r="O106" s="107" t="s">
        <v>93</v>
      </c>
      <c r="P106" s="33">
        <v>1</v>
      </c>
      <c r="Q106" s="33">
        <f t="shared" si="17"/>
        <v>102.66666666666667</v>
      </c>
      <c r="R106" s="114">
        <f t="shared" ref="R106:R110" si="19">((N106/Q106)*P106)*1000</f>
        <v>251727.27272727271</v>
      </c>
    </row>
    <row r="107" spans="1:18" x14ac:dyDescent="0.25">
      <c r="A107" s="1" t="s">
        <v>150</v>
      </c>
      <c r="B107" s="100" t="s">
        <v>45</v>
      </c>
      <c r="C107" s="31" t="s">
        <v>50</v>
      </c>
      <c r="D107" s="33">
        <v>2</v>
      </c>
      <c r="E107" s="42">
        <v>4501</v>
      </c>
      <c r="F107" s="107" t="s">
        <v>93</v>
      </c>
      <c r="G107" s="33">
        <v>1</v>
      </c>
      <c r="H107" s="33">
        <f t="shared" si="16"/>
        <v>101</v>
      </c>
      <c r="I107" s="114">
        <f t="shared" si="10"/>
        <v>44564.356435643567</v>
      </c>
      <c r="K107" s="100" t="s">
        <v>45</v>
      </c>
      <c r="L107" s="31" t="s">
        <v>50</v>
      </c>
      <c r="M107" s="33">
        <v>2</v>
      </c>
      <c r="N107" s="42">
        <v>4784</v>
      </c>
      <c r="O107" s="107" t="s">
        <v>93</v>
      </c>
      <c r="P107" s="33">
        <v>1</v>
      </c>
      <c r="Q107" s="33">
        <f t="shared" si="17"/>
        <v>102.66666666666667</v>
      </c>
      <c r="R107" s="114">
        <f t="shared" si="19"/>
        <v>46597.402597402594</v>
      </c>
    </row>
    <row r="108" spans="1:18" x14ac:dyDescent="0.25">
      <c r="A108" s="1" t="s">
        <v>150</v>
      </c>
      <c r="B108" s="100" t="s">
        <v>45</v>
      </c>
      <c r="C108" s="31" t="s">
        <v>50</v>
      </c>
      <c r="D108" s="33">
        <v>3</v>
      </c>
      <c r="E108" s="42">
        <v>2246</v>
      </c>
      <c r="F108" s="107" t="s">
        <v>93</v>
      </c>
      <c r="G108" s="42">
        <v>1</v>
      </c>
      <c r="H108" s="33">
        <f t="shared" si="16"/>
        <v>101</v>
      </c>
      <c r="I108" s="114">
        <f t="shared" si="10"/>
        <v>22237.623762376239</v>
      </c>
      <c r="K108" s="100" t="s">
        <v>45</v>
      </c>
      <c r="L108" s="31" t="s">
        <v>50</v>
      </c>
      <c r="M108" s="33">
        <v>3</v>
      </c>
      <c r="N108" s="42">
        <v>2694</v>
      </c>
      <c r="O108" s="107" t="s">
        <v>93</v>
      </c>
      <c r="P108" s="42">
        <v>1</v>
      </c>
      <c r="Q108" s="33">
        <f t="shared" si="17"/>
        <v>102.66666666666667</v>
      </c>
      <c r="R108" s="114">
        <f t="shared" si="19"/>
        <v>26240.259740259738</v>
      </c>
    </row>
    <row r="109" spans="1:18" x14ac:dyDescent="0.25">
      <c r="A109" s="1" t="s">
        <v>150</v>
      </c>
      <c r="B109" s="100" t="s">
        <v>45</v>
      </c>
      <c r="C109" s="31" t="s">
        <v>50</v>
      </c>
      <c r="D109" s="33">
        <v>4</v>
      </c>
      <c r="E109" s="42">
        <v>483</v>
      </c>
      <c r="F109" s="107" t="s">
        <v>93</v>
      </c>
      <c r="G109" s="42">
        <v>1</v>
      </c>
      <c r="H109" s="33">
        <f t="shared" si="16"/>
        <v>101</v>
      </c>
      <c r="I109" s="114">
        <f t="shared" si="10"/>
        <v>4782.1782178217818</v>
      </c>
      <c r="K109" s="100" t="s">
        <v>45</v>
      </c>
      <c r="L109" s="31" t="s">
        <v>50</v>
      </c>
      <c r="M109" s="33">
        <v>4</v>
      </c>
      <c r="N109" s="42">
        <v>498</v>
      </c>
      <c r="O109" s="107" t="s">
        <v>93</v>
      </c>
      <c r="P109" s="42">
        <v>1</v>
      </c>
      <c r="Q109" s="33">
        <f t="shared" si="17"/>
        <v>102.66666666666667</v>
      </c>
      <c r="R109" s="114">
        <f t="shared" si="19"/>
        <v>4850.6493506493498</v>
      </c>
    </row>
    <row r="110" spans="1:18" ht="15.75" thickBot="1" x14ac:dyDescent="0.3">
      <c r="A110" s="1" t="s">
        <v>150</v>
      </c>
      <c r="B110" s="100" t="s">
        <v>45</v>
      </c>
      <c r="C110" s="36" t="s">
        <v>50</v>
      </c>
      <c r="D110" s="38">
        <v>5</v>
      </c>
      <c r="E110" s="38">
        <v>224</v>
      </c>
      <c r="F110" s="108" t="s">
        <v>93</v>
      </c>
      <c r="G110" s="38">
        <v>1</v>
      </c>
      <c r="H110" s="38">
        <f t="shared" si="16"/>
        <v>101</v>
      </c>
      <c r="I110" s="116">
        <f t="shared" si="10"/>
        <v>2217.8217821782182</v>
      </c>
      <c r="K110" s="100" t="s">
        <v>45</v>
      </c>
      <c r="L110" s="36" t="s">
        <v>50</v>
      </c>
      <c r="M110" s="38">
        <v>5</v>
      </c>
      <c r="N110" s="38">
        <v>149</v>
      </c>
      <c r="O110" s="108" t="s">
        <v>93</v>
      </c>
      <c r="P110" s="38">
        <v>1</v>
      </c>
      <c r="Q110" s="38">
        <f t="shared" si="17"/>
        <v>102.66666666666667</v>
      </c>
      <c r="R110" s="116">
        <f t="shared" si="19"/>
        <v>1451.2987012987014</v>
      </c>
    </row>
    <row r="111" spans="1:18" x14ac:dyDescent="0.25">
      <c r="A111" s="1" t="s">
        <v>150</v>
      </c>
      <c r="B111" s="99" t="s">
        <v>45</v>
      </c>
      <c r="C111" s="26" t="s">
        <v>51</v>
      </c>
      <c r="D111" s="29" t="s">
        <v>96</v>
      </c>
      <c r="E111" s="29">
        <v>31968</v>
      </c>
      <c r="F111" s="120">
        <v>0.1</v>
      </c>
      <c r="G111" s="29">
        <v>10</v>
      </c>
      <c r="H111" s="33">
        <f>(3000-1485)/15</f>
        <v>101</v>
      </c>
      <c r="I111" s="113">
        <f>((E111/H111)*G111)*1000</f>
        <v>3165148.5148514854</v>
      </c>
      <c r="K111" s="99" t="s">
        <v>45</v>
      </c>
      <c r="L111" s="26" t="s">
        <v>51</v>
      </c>
      <c r="M111" s="29" t="s">
        <v>96</v>
      </c>
      <c r="N111" s="29">
        <v>36421</v>
      </c>
      <c r="O111" s="120">
        <v>0.1</v>
      </c>
      <c r="P111" s="29">
        <v>10</v>
      </c>
      <c r="Q111" s="33">
        <f t="shared" si="17"/>
        <v>102.66666666666667</v>
      </c>
      <c r="R111" s="113">
        <f>((N111/Q111)*P111)*1000</f>
        <v>3547500</v>
      </c>
    </row>
    <row r="112" spans="1:18" x14ac:dyDescent="0.25">
      <c r="A112" s="1" t="s">
        <v>150</v>
      </c>
      <c r="B112" s="100" t="s">
        <v>45</v>
      </c>
      <c r="C112" s="31" t="s">
        <v>51</v>
      </c>
      <c r="D112" s="33">
        <v>0</v>
      </c>
      <c r="E112" s="42">
        <v>7571</v>
      </c>
      <c r="F112" s="107">
        <v>0.1</v>
      </c>
      <c r="G112" s="33">
        <v>10</v>
      </c>
      <c r="H112" s="33">
        <f t="shared" si="16"/>
        <v>101</v>
      </c>
      <c r="I112" s="114">
        <f t="shared" si="10"/>
        <v>749603.96039603965</v>
      </c>
      <c r="K112" s="100" t="s">
        <v>45</v>
      </c>
      <c r="L112" s="31" t="s">
        <v>51</v>
      </c>
      <c r="M112" s="33">
        <v>0</v>
      </c>
      <c r="N112" s="42">
        <v>7946</v>
      </c>
      <c r="O112" s="107">
        <v>0.1</v>
      </c>
      <c r="P112" s="33">
        <v>10</v>
      </c>
      <c r="Q112" s="33">
        <f t="shared" si="17"/>
        <v>102.66666666666667</v>
      </c>
      <c r="R112" s="114">
        <f t="shared" ref="R112:R117" si="20">((N112/Q112)*P112)*1000</f>
        <v>773961.03896103892</v>
      </c>
    </row>
    <row r="113" spans="1:21" x14ac:dyDescent="0.25">
      <c r="A113" s="1" t="s">
        <v>150</v>
      </c>
      <c r="B113" s="100" t="s">
        <v>45</v>
      </c>
      <c r="C113" s="31" t="s">
        <v>51</v>
      </c>
      <c r="D113" s="33">
        <v>1</v>
      </c>
      <c r="E113" s="42">
        <v>15478</v>
      </c>
      <c r="F113" s="107" t="s">
        <v>93</v>
      </c>
      <c r="G113" s="33">
        <v>1</v>
      </c>
      <c r="H113" s="33">
        <f t="shared" si="16"/>
        <v>101</v>
      </c>
      <c r="I113" s="114">
        <f t="shared" si="10"/>
        <v>153247.52475247523</v>
      </c>
      <c r="K113" s="100" t="s">
        <v>45</v>
      </c>
      <c r="L113" s="31" t="s">
        <v>51</v>
      </c>
      <c r="M113" s="33">
        <v>1</v>
      </c>
      <c r="N113" s="42">
        <v>16115</v>
      </c>
      <c r="O113" s="107" t="s">
        <v>93</v>
      </c>
      <c r="P113" s="33">
        <v>1</v>
      </c>
      <c r="Q113" s="33">
        <f t="shared" si="17"/>
        <v>102.66666666666667</v>
      </c>
      <c r="R113" s="114">
        <f t="shared" si="20"/>
        <v>156964.28571428568</v>
      </c>
    </row>
    <row r="114" spans="1:21" x14ac:dyDescent="0.25">
      <c r="A114" s="1" t="s">
        <v>150</v>
      </c>
      <c r="B114" s="100" t="s">
        <v>45</v>
      </c>
      <c r="C114" s="31" t="s">
        <v>51</v>
      </c>
      <c r="D114" s="33">
        <v>2</v>
      </c>
      <c r="E114" s="42">
        <v>5486</v>
      </c>
      <c r="F114" s="107" t="s">
        <v>93</v>
      </c>
      <c r="G114" s="42">
        <v>1</v>
      </c>
      <c r="H114" s="33">
        <f t="shared" si="16"/>
        <v>101</v>
      </c>
      <c r="I114" s="114">
        <f t="shared" si="10"/>
        <v>54316.831683168319</v>
      </c>
      <c r="K114" s="100" t="s">
        <v>45</v>
      </c>
      <c r="L114" s="31" t="s">
        <v>51</v>
      </c>
      <c r="M114" s="33">
        <v>2</v>
      </c>
      <c r="N114" s="42">
        <v>5805</v>
      </c>
      <c r="O114" s="107" t="s">
        <v>93</v>
      </c>
      <c r="P114" s="42">
        <v>1</v>
      </c>
      <c r="Q114" s="33">
        <f t="shared" si="17"/>
        <v>102.66666666666667</v>
      </c>
      <c r="R114" s="114">
        <f t="shared" si="20"/>
        <v>56542.207792207788</v>
      </c>
    </row>
    <row r="115" spans="1:21" x14ac:dyDescent="0.25">
      <c r="A115" s="1" t="s">
        <v>150</v>
      </c>
      <c r="B115" s="100" t="s">
        <v>45</v>
      </c>
      <c r="C115" s="31" t="s">
        <v>51</v>
      </c>
      <c r="D115" s="33">
        <v>3</v>
      </c>
      <c r="E115" s="42">
        <v>1509</v>
      </c>
      <c r="F115" s="107" t="s">
        <v>93</v>
      </c>
      <c r="G115" s="42">
        <v>1</v>
      </c>
      <c r="H115" s="33">
        <f t="shared" si="16"/>
        <v>101</v>
      </c>
      <c r="I115" s="114">
        <f t="shared" si="10"/>
        <v>14940.594059405941</v>
      </c>
      <c r="K115" s="100" t="s">
        <v>45</v>
      </c>
      <c r="L115" s="31" t="s">
        <v>51</v>
      </c>
      <c r="M115" s="33">
        <v>3</v>
      </c>
      <c r="N115" s="42">
        <v>1643</v>
      </c>
      <c r="O115" s="107" t="s">
        <v>93</v>
      </c>
      <c r="P115" s="42">
        <v>1</v>
      </c>
      <c r="Q115" s="33">
        <f t="shared" si="17"/>
        <v>102.66666666666667</v>
      </c>
      <c r="R115" s="114">
        <f t="shared" si="20"/>
        <v>16003.246753246753</v>
      </c>
    </row>
    <row r="116" spans="1:21" s="1" customFormat="1" x14ac:dyDescent="0.25">
      <c r="B116" s="100" t="s">
        <v>45</v>
      </c>
      <c r="C116" s="31"/>
      <c r="D116" s="42">
        <v>4</v>
      </c>
      <c r="E116" s="42">
        <v>358</v>
      </c>
      <c r="F116" s="107" t="s">
        <v>93</v>
      </c>
      <c r="G116" s="42">
        <v>1</v>
      </c>
      <c r="H116" s="33">
        <f t="shared" si="16"/>
        <v>101</v>
      </c>
      <c r="I116" s="114">
        <f t="shared" ref="I116" si="21">((E116/H116)*G116)*1000</f>
        <v>3544.5544554455446</v>
      </c>
      <c r="K116" s="100" t="s">
        <v>45</v>
      </c>
      <c r="L116" s="31"/>
      <c r="M116" s="42">
        <v>4</v>
      </c>
      <c r="N116" s="42">
        <v>403</v>
      </c>
      <c r="O116" s="107" t="s">
        <v>93</v>
      </c>
      <c r="P116" s="42">
        <v>1</v>
      </c>
      <c r="Q116" s="33">
        <f t="shared" si="17"/>
        <v>102.66666666666667</v>
      </c>
      <c r="R116" s="114">
        <f t="shared" si="20"/>
        <v>3925.3246753246749</v>
      </c>
      <c r="U116" s="9"/>
    </row>
    <row r="117" spans="1:21" ht="15.75" thickBot="1" x14ac:dyDescent="0.3">
      <c r="A117" s="1" t="s">
        <v>150</v>
      </c>
      <c r="B117" s="101" t="s">
        <v>45</v>
      </c>
      <c r="C117" s="36" t="s">
        <v>51</v>
      </c>
      <c r="D117" s="38">
        <v>5</v>
      </c>
      <c r="E117" s="38">
        <v>183</v>
      </c>
      <c r="F117" s="108" t="s">
        <v>93</v>
      </c>
      <c r="G117" s="38">
        <v>1</v>
      </c>
      <c r="H117" s="38">
        <f t="shared" si="16"/>
        <v>101</v>
      </c>
      <c r="I117" s="116">
        <f t="shared" si="10"/>
        <v>1811.8811881188119</v>
      </c>
      <c r="K117" s="100" t="s">
        <v>45</v>
      </c>
      <c r="L117" s="31" t="s">
        <v>51</v>
      </c>
      <c r="M117" s="33">
        <v>5</v>
      </c>
      <c r="N117" s="33">
        <v>185</v>
      </c>
      <c r="O117" s="112" t="s">
        <v>93</v>
      </c>
      <c r="P117" s="33">
        <v>1</v>
      </c>
      <c r="Q117" s="33">
        <f t="shared" si="17"/>
        <v>102.66666666666667</v>
      </c>
      <c r="R117" s="114">
        <f t="shared" si="20"/>
        <v>1801.9480519480519</v>
      </c>
    </row>
    <row r="118" spans="1:21" x14ac:dyDescent="0.25">
      <c r="A118" s="1" t="s">
        <v>150</v>
      </c>
      <c r="B118" s="90" t="s">
        <v>48</v>
      </c>
      <c r="C118" s="26" t="s">
        <v>49</v>
      </c>
      <c r="D118" s="29" t="s">
        <v>96</v>
      </c>
      <c r="E118" s="29">
        <v>455</v>
      </c>
      <c r="F118" s="120" t="s">
        <v>93</v>
      </c>
      <c r="G118" s="29">
        <v>1</v>
      </c>
      <c r="H118" s="29">
        <f>(3000-1925)/10</f>
        <v>107.5</v>
      </c>
      <c r="I118" s="113">
        <f>((E118/H118)*G118)*1000</f>
        <v>4232.5581395348845</v>
      </c>
      <c r="K118" s="90" t="s">
        <v>48</v>
      </c>
      <c r="L118" s="26" t="s">
        <v>49</v>
      </c>
      <c r="M118" s="29" t="s">
        <v>96</v>
      </c>
      <c r="N118" s="44">
        <v>482</v>
      </c>
      <c r="O118" s="120" t="s">
        <v>93</v>
      </c>
      <c r="P118" s="29">
        <v>1</v>
      </c>
      <c r="Q118" s="29">
        <f>(3000-1450)/15</f>
        <v>103.33333333333333</v>
      </c>
      <c r="R118" s="113">
        <f>((N118/Q118)*P118)*1000</f>
        <v>4664.5161290322585</v>
      </c>
      <c r="S118" s="76" t="s">
        <v>164</v>
      </c>
    </row>
    <row r="119" spans="1:21" x14ac:dyDescent="0.25">
      <c r="A119" s="1" t="s">
        <v>150</v>
      </c>
      <c r="B119" s="91" t="s">
        <v>48</v>
      </c>
      <c r="C119" s="31" t="s">
        <v>49</v>
      </c>
      <c r="D119" s="33">
        <v>1</v>
      </c>
      <c r="E119" s="33">
        <v>70</v>
      </c>
      <c r="F119" s="107" t="s">
        <v>93</v>
      </c>
      <c r="G119" s="33">
        <v>1</v>
      </c>
      <c r="H119" s="33">
        <f t="shared" ref="H119:H135" si="22">(3000-1925)/10</f>
        <v>107.5</v>
      </c>
      <c r="I119" s="114">
        <f t="shared" si="10"/>
        <v>651.1627906976745</v>
      </c>
      <c r="K119" s="91" t="s">
        <v>48</v>
      </c>
      <c r="L119" s="31" t="s">
        <v>49</v>
      </c>
      <c r="M119" s="33">
        <v>1</v>
      </c>
      <c r="N119" s="42">
        <v>59</v>
      </c>
      <c r="O119" s="107" t="s">
        <v>93</v>
      </c>
      <c r="P119" s="33">
        <v>1</v>
      </c>
      <c r="Q119" s="33">
        <f t="shared" ref="Q119:Q135" si="23">(3000-1450)/15</f>
        <v>103.33333333333333</v>
      </c>
      <c r="R119" s="114">
        <f>((N119/(Q119*S119))*P119)*1000</f>
        <v>285.48387096774195</v>
      </c>
      <c r="S119" s="34">
        <v>2</v>
      </c>
    </row>
    <row r="120" spans="1:21" x14ac:dyDescent="0.25">
      <c r="A120" s="1" t="s">
        <v>150</v>
      </c>
      <c r="B120" s="91" t="s">
        <v>48</v>
      </c>
      <c r="C120" s="31" t="s">
        <v>49</v>
      </c>
      <c r="D120" s="33">
        <v>2</v>
      </c>
      <c r="E120" s="121"/>
      <c r="F120" s="107" t="s">
        <v>93</v>
      </c>
      <c r="G120" s="33">
        <v>1</v>
      </c>
      <c r="H120" s="33">
        <f t="shared" si="22"/>
        <v>107.5</v>
      </c>
      <c r="I120" s="114">
        <f t="shared" si="10"/>
        <v>0</v>
      </c>
      <c r="K120" s="91" t="s">
        <v>48</v>
      </c>
      <c r="L120" s="31" t="s">
        <v>49</v>
      </c>
      <c r="M120" s="33">
        <v>2</v>
      </c>
      <c r="N120" s="42">
        <v>20</v>
      </c>
      <c r="O120" s="107" t="s">
        <v>93</v>
      </c>
      <c r="P120" s="33">
        <v>1</v>
      </c>
      <c r="Q120" s="33">
        <f t="shared" si="23"/>
        <v>103.33333333333333</v>
      </c>
      <c r="R120" s="114">
        <f t="shared" ref="R120:R123" si="24">((N120/(Q120*S120))*P120)*1000</f>
        <v>96.774193548387103</v>
      </c>
      <c r="S120" s="34">
        <v>2</v>
      </c>
    </row>
    <row r="121" spans="1:21" x14ac:dyDescent="0.25">
      <c r="A121" s="1" t="s">
        <v>150</v>
      </c>
      <c r="B121" s="91" t="s">
        <v>48</v>
      </c>
      <c r="C121" s="31" t="s">
        <v>49</v>
      </c>
      <c r="D121" s="33">
        <v>3</v>
      </c>
      <c r="E121" s="121"/>
      <c r="F121" s="107" t="s">
        <v>93</v>
      </c>
      <c r="G121" s="42">
        <v>1</v>
      </c>
      <c r="H121" s="33">
        <f t="shared" si="22"/>
        <v>107.5</v>
      </c>
      <c r="I121" s="114">
        <f t="shared" si="10"/>
        <v>0</v>
      </c>
      <c r="K121" s="91" t="s">
        <v>48</v>
      </c>
      <c r="L121" s="31" t="s">
        <v>49</v>
      </c>
      <c r="M121" s="33">
        <v>3</v>
      </c>
      <c r="N121" s="42">
        <v>11</v>
      </c>
      <c r="O121" s="107" t="s">
        <v>93</v>
      </c>
      <c r="P121" s="42">
        <v>1</v>
      </c>
      <c r="Q121" s="33">
        <f t="shared" si="23"/>
        <v>103.33333333333333</v>
      </c>
      <c r="R121" s="114">
        <f t="shared" si="24"/>
        <v>35.483870967741936</v>
      </c>
      <c r="S121" s="34">
        <v>3</v>
      </c>
    </row>
    <row r="122" spans="1:21" x14ac:dyDescent="0.25">
      <c r="A122" s="1" t="s">
        <v>150</v>
      </c>
      <c r="B122" s="91" t="s">
        <v>48</v>
      </c>
      <c r="C122" s="31" t="s">
        <v>49</v>
      </c>
      <c r="D122" s="33">
        <v>4</v>
      </c>
      <c r="E122" s="121"/>
      <c r="F122" s="107" t="s">
        <v>93</v>
      </c>
      <c r="G122" s="42">
        <v>1</v>
      </c>
      <c r="H122" s="33">
        <f t="shared" si="22"/>
        <v>107.5</v>
      </c>
      <c r="I122" s="114">
        <f t="shared" si="10"/>
        <v>0</v>
      </c>
      <c r="K122" s="91" t="s">
        <v>48</v>
      </c>
      <c r="L122" s="31" t="s">
        <v>49</v>
      </c>
      <c r="M122" s="33">
        <v>4</v>
      </c>
      <c r="N122" s="137">
        <v>2</v>
      </c>
      <c r="O122" s="107" t="s">
        <v>93</v>
      </c>
      <c r="P122" s="42">
        <v>1</v>
      </c>
      <c r="Q122" s="33">
        <f t="shared" si="23"/>
        <v>103.33333333333333</v>
      </c>
      <c r="R122" s="136">
        <f t="shared" si="24"/>
        <v>3.8709677419354844</v>
      </c>
      <c r="S122" s="34">
        <v>5</v>
      </c>
    </row>
    <row r="123" spans="1:21" ht="15.75" thickBot="1" x14ac:dyDescent="0.3">
      <c r="A123" s="1" t="s">
        <v>150</v>
      </c>
      <c r="B123" s="92" t="s">
        <v>48</v>
      </c>
      <c r="C123" s="36" t="s">
        <v>49</v>
      </c>
      <c r="D123" s="38">
        <v>5</v>
      </c>
      <c r="E123" s="122"/>
      <c r="F123" s="108" t="s">
        <v>93</v>
      </c>
      <c r="G123" s="38">
        <v>1</v>
      </c>
      <c r="H123" s="38">
        <f t="shared" si="22"/>
        <v>107.5</v>
      </c>
      <c r="I123" s="116">
        <f t="shared" si="10"/>
        <v>0</v>
      </c>
      <c r="K123" s="92" t="s">
        <v>48</v>
      </c>
      <c r="L123" s="36" t="s">
        <v>49</v>
      </c>
      <c r="M123" s="38">
        <v>5</v>
      </c>
      <c r="N123" s="138">
        <v>3</v>
      </c>
      <c r="O123" s="108" t="s">
        <v>93</v>
      </c>
      <c r="P123" s="38">
        <v>1</v>
      </c>
      <c r="Q123" s="38">
        <f t="shared" si="23"/>
        <v>103.33333333333333</v>
      </c>
      <c r="R123" s="136">
        <f t="shared" si="24"/>
        <v>5.806451612903226</v>
      </c>
      <c r="S123" s="34">
        <v>5</v>
      </c>
    </row>
    <row r="124" spans="1:21" x14ac:dyDescent="0.25">
      <c r="A124" s="1" t="s">
        <v>150</v>
      </c>
      <c r="B124" s="90" t="s">
        <v>48</v>
      </c>
      <c r="C124" s="26" t="s">
        <v>50</v>
      </c>
      <c r="D124" s="29" t="s">
        <v>96</v>
      </c>
      <c r="E124" s="29">
        <v>455</v>
      </c>
      <c r="F124" s="120" t="s">
        <v>93</v>
      </c>
      <c r="G124" s="29">
        <v>1</v>
      </c>
      <c r="H124" s="29">
        <f>(3000-1925)/10</f>
        <v>107.5</v>
      </c>
      <c r="I124" s="113">
        <f>((E124/H124)*G124)*1000</f>
        <v>4232.5581395348845</v>
      </c>
      <c r="K124" s="90" t="s">
        <v>48</v>
      </c>
      <c r="L124" s="26" t="s">
        <v>50</v>
      </c>
      <c r="M124" s="29" t="s">
        <v>96</v>
      </c>
      <c r="N124" s="44">
        <v>469</v>
      </c>
      <c r="O124" s="120" t="s">
        <v>93</v>
      </c>
      <c r="P124" s="29">
        <v>1</v>
      </c>
      <c r="Q124" s="29">
        <f t="shared" si="23"/>
        <v>103.33333333333333</v>
      </c>
      <c r="R124" s="113">
        <f>((N124/Q124)*P124)*1000</f>
        <v>4538.7096774193551</v>
      </c>
      <c r="S124" s="34"/>
    </row>
    <row r="125" spans="1:21" x14ac:dyDescent="0.25">
      <c r="A125" s="1" t="s">
        <v>150</v>
      </c>
      <c r="B125" s="91" t="s">
        <v>48</v>
      </c>
      <c r="C125" s="31" t="s">
        <v>50</v>
      </c>
      <c r="D125" s="33">
        <v>0</v>
      </c>
      <c r="E125" s="33">
        <v>70</v>
      </c>
      <c r="F125" s="107" t="s">
        <v>93</v>
      </c>
      <c r="G125" s="33">
        <v>1</v>
      </c>
      <c r="H125" s="33">
        <f t="shared" si="22"/>
        <v>107.5</v>
      </c>
      <c r="I125" s="114">
        <f t="shared" si="10"/>
        <v>651.1627906976745</v>
      </c>
      <c r="K125" s="91" t="s">
        <v>48</v>
      </c>
      <c r="L125" s="31" t="s">
        <v>50</v>
      </c>
      <c r="M125" s="33">
        <v>0</v>
      </c>
      <c r="N125" s="42">
        <v>96</v>
      </c>
      <c r="O125" s="107" t="s">
        <v>93</v>
      </c>
      <c r="P125" s="33">
        <v>1</v>
      </c>
      <c r="Q125" s="33">
        <f t="shared" si="23"/>
        <v>103.33333333333333</v>
      </c>
      <c r="R125" s="114">
        <f>((N125/Q125)*P125)*1000</f>
        <v>929.03225806451621</v>
      </c>
      <c r="S125" s="34"/>
    </row>
    <row r="126" spans="1:21" x14ac:dyDescent="0.25">
      <c r="A126" s="1" t="s">
        <v>150</v>
      </c>
      <c r="B126" s="91" t="s">
        <v>48</v>
      </c>
      <c r="C126" s="31" t="s">
        <v>50</v>
      </c>
      <c r="D126" s="33">
        <v>1</v>
      </c>
      <c r="E126" s="33">
        <v>35</v>
      </c>
      <c r="F126" s="107" t="s">
        <v>93</v>
      </c>
      <c r="G126" s="33">
        <v>1</v>
      </c>
      <c r="H126" s="33">
        <f t="shared" si="22"/>
        <v>107.5</v>
      </c>
      <c r="I126" s="114">
        <f t="shared" si="10"/>
        <v>325.58139534883725</v>
      </c>
      <c r="K126" s="91" t="s">
        <v>48</v>
      </c>
      <c r="L126" s="31" t="s">
        <v>50</v>
      </c>
      <c r="M126" s="33">
        <v>1</v>
      </c>
      <c r="N126" s="42">
        <v>25</v>
      </c>
      <c r="O126" s="107" t="s">
        <v>93</v>
      </c>
      <c r="P126" s="33">
        <v>1</v>
      </c>
      <c r="Q126" s="33">
        <f t="shared" si="23"/>
        <v>103.33333333333333</v>
      </c>
      <c r="R126" s="114">
        <f>((N126/(Q126*S126))*P126)*1000</f>
        <v>120.96774193548387</v>
      </c>
      <c r="S126" s="34">
        <v>2</v>
      </c>
    </row>
    <row r="127" spans="1:21" x14ac:dyDescent="0.25">
      <c r="A127" s="1" t="s">
        <v>150</v>
      </c>
      <c r="B127" s="91" t="s">
        <v>48</v>
      </c>
      <c r="C127" s="31" t="s">
        <v>50</v>
      </c>
      <c r="D127" s="33">
        <v>2</v>
      </c>
      <c r="E127" s="121"/>
      <c r="F127" s="107" t="s">
        <v>93</v>
      </c>
      <c r="G127" s="42">
        <v>1</v>
      </c>
      <c r="H127" s="33">
        <f t="shared" si="22"/>
        <v>107.5</v>
      </c>
      <c r="I127" s="114">
        <f t="shared" si="10"/>
        <v>0</v>
      </c>
      <c r="K127" s="91" t="s">
        <v>48</v>
      </c>
      <c r="L127" s="31" t="s">
        <v>50</v>
      </c>
      <c r="M127" s="33">
        <v>2</v>
      </c>
      <c r="N127" s="137">
        <v>5</v>
      </c>
      <c r="O127" s="107" t="s">
        <v>93</v>
      </c>
      <c r="P127" s="42">
        <v>1</v>
      </c>
      <c r="Q127" s="33">
        <f t="shared" si="23"/>
        <v>103.33333333333333</v>
      </c>
      <c r="R127" s="136">
        <f t="shared" ref="R127:R129" si="25">((N127/(Q127*S127))*P127)*1000</f>
        <v>16.129032258064516</v>
      </c>
      <c r="S127" s="34">
        <v>3</v>
      </c>
    </row>
    <row r="128" spans="1:21" x14ac:dyDescent="0.25">
      <c r="A128" s="1" t="s">
        <v>150</v>
      </c>
      <c r="B128" s="91" t="s">
        <v>48</v>
      </c>
      <c r="C128" s="31" t="s">
        <v>50</v>
      </c>
      <c r="D128" s="33">
        <v>3</v>
      </c>
      <c r="E128" s="121"/>
      <c r="F128" s="107" t="s">
        <v>93</v>
      </c>
      <c r="G128" s="42">
        <v>1</v>
      </c>
      <c r="H128" s="33">
        <f t="shared" si="22"/>
        <v>107.5</v>
      </c>
      <c r="I128" s="114">
        <f t="shared" si="10"/>
        <v>0</v>
      </c>
      <c r="K128" s="91" t="s">
        <v>48</v>
      </c>
      <c r="L128" s="31" t="s">
        <v>50</v>
      </c>
      <c r="M128" s="33">
        <v>3</v>
      </c>
      <c r="N128" s="137">
        <v>2</v>
      </c>
      <c r="O128" s="107" t="s">
        <v>93</v>
      </c>
      <c r="P128" s="42">
        <v>1</v>
      </c>
      <c r="Q128" s="33">
        <f t="shared" si="23"/>
        <v>103.33333333333333</v>
      </c>
      <c r="R128" s="136">
        <f t="shared" si="25"/>
        <v>3.8709677419354844</v>
      </c>
      <c r="S128" s="34">
        <v>5</v>
      </c>
    </row>
    <row r="129" spans="1:21" ht="15.75" thickBot="1" x14ac:dyDescent="0.3">
      <c r="A129" s="1" t="s">
        <v>150</v>
      </c>
      <c r="B129" s="92" t="s">
        <v>48</v>
      </c>
      <c r="C129" s="36" t="s">
        <v>50</v>
      </c>
      <c r="D129" s="38">
        <v>4</v>
      </c>
      <c r="E129" s="122"/>
      <c r="F129" s="108" t="s">
        <v>93</v>
      </c>
      <c r="G129" s="38">
        <v>1</v>
      </c>
      <c r="H129" s="38">
        <f t="shared" si="22"/>
        <v>107.5</v>
      </c>
      <c r="I129" s="116">
        <f t="shared" si="10"/>
        <v>0</v>
      </c>
      <c r="K129" s="92" t="s">
        <v>48</v>
      </c>
      <c r="L129" s="36" t="s">
        <v>50</v>
      </c>
      <c r="M129" s="38">
        <v>4</v>
      </c>
      <c r="N129" s="45">
        <v>0</v>
      </c>
      <c r="O129" s="108" t="s">
        <v>93</v>
      </c>
      <c r="P129" s="38">
        <v>1</v>
      </c>
      <c r="Q129" s="38">
        <f t="shared" si="23"/>
        <v>103.33333333333333</v>
      </c>
      <c r="R129" s="116">
        <f t="shared" si="25"/>
        <v>0</v>
      </c>
      <c r="S129" s="34">
        <v>5</v>
      </c>
      <c r="U129" s="1"/>
    </row>
    <row r="130" spans="1:21" x14ac:dyDescent="0.25">
      <c r="A130" s="1" t="s">
        <v>150</v>
      </c>
      <c r="B130" s="90" t="s">
        <v>48</v>
      </c>
      <c r="C130" s="26" t="s">
        <v>51</v>
      </c>
      <c r="D130" s="29" t="s">
        <v>96</v>
      </c>
      <c r="E130" s="29">
        <v>595</v>
      </c>
      <c r="F130" s="120" t="s">
        <v>93</v>
      </c>
      <c r="G130" s="29">
        <v>1</v>
      </c>
      <c r="H130" s="29">
        <f>(3000-1925)/10</f>
        <v>107.5</v>
      </c>
      <c r="I130" s="113">
        <f>((E130/H130)*G130)*1000</f>
        <v>5534.8837209302328</v>
      </c>
      <c r="K130" s="90" t="s">
        <v>48</v>
      </c>
      <c r="L130" s="26" t="s">
        <v>51</v>
      </c>
      <c r="M130" s="29" t="s">
        <v>96</v>
      </c>
      <c r="N130" s="44">
        <v>556</v>
      </c>
      <c r="O130" s="120" t="s">
        <v>93</v>
      </c>
      <c r="P130" s="29">
        <v>1</v>
      </c>
      <c r="Q130" s="29">
        <f t="shared" si="23"/>
        <v>103.33333333333333</v>
      </c>
      <c r="R130" s="113">
        <f>((N130/Q130)*P130)*1000</f>
        <v>5380.6451612903229</v>
      </c>
      <c r="S130" s="34"/>
    </row>
    <row r="131" spans="1:21" x14ac:dyDescent="0.25">
      <c r="A131" s="1" t="s">
        <v>150</v>
      </c>
      <c r="B131" s="91" t="s">
        <v>48</v>
      </c>
      <c r="C131" s="31" t="s">
        <v>51</v>
      </c>
      <c r="D131" s="33">
        <v>1</v>
      </c>
      <c r="E131" s="33">
        <v>35</v>
      </c>
      <c r="F131" s="107" t="s">
        <v>93</v>
      </c>
      <c r="G131" s="33">
        <v>1</v>
      </c>
      <c r="H131" s="33">
        <f t="shared" si="22"/>
        <v>107.5</v>
      </c>
      <c r="I131" s="114">
        <f t="shared" si="10"/>
        <v>325.58139534883725</v>
      </c>
      <c r="K131" s="91" t="s">
        <v>48</v>
      </c>
      <c r="L131" s="31" t="s">
        <v>51</v>
      </c>
      <c r="M131" s="33">
        <v>1</v>
      </c>
      <c r="N131" s="42">
        <v>51</v>
      </c>
      <c r="O131" s="107" t="s">
        <v>93</v>
      </c>
      <c r="P131" s="33">
        <v>1</v>
      </c>
      <c r="Q131" s="33">
        <f t="shared" si="23"/>
        <v>103.33333333333333</v>
      </c>
      <c r="R131" s="114">
        <f>((N131/(Q131*S131))*P131)*1000</f>
        <v>246.7741935483871</v>
      </c>
      <c r="S131" s="34">
        <v>2</v>
      </c>
    </row>
    <row r="132" spans="1:21" x14ac:dyDescent="0.25">
      <c r="A132" s="1" t="s">
        <v>150</v>
      </c>
      <c r="B132" s="91" t="s">
        <v>48</v>
      </c>
      <c r="C132" s="31" t="s">
        <v>51</v>
      </c>
      <c r="D132" s="33">
        <v>2</v>
      </c>
      <c r="E132" s="121"/>
      <c r="F132" s="107" t="s">
        <v>93</v>
      </c>
      <c r="G132" s="33">
        <v>1</v>
      </c>
      <c r="H132" s="33">
        <f t="shared" si="22"/>
        <v>107.5</v>
      </c>
      <c r="I132" s="114">
        <f t="shared" si="10"/>
        <v>0</v>
      </c>
      <c r="K132" s="91" t="s">
        <v>48</v>
      </c>
      <c r="L132" s="31" t="s">
        <v>51</v>
      </c>
      <c r="M132" s="33">
        <v>2</v>
      </c>
      <c r="N132" s="42">
        <v>10</v>
      </c>
      <c r="O132" s="107" t="s">
        <v>93</v>
      </c>
      <c r="P132" s="33">
        <v>1</v>
      </c>
      <c r="Q132" s="33">
        <f t="shared" si="23"/>
        <v>103.33333333333333</v>
      </c>
      <c r="R132" s="114">
        <f t="shared" ref="R132:R135" si="26">((N132/(Q132*S132))*P132)*1000</f>
        <v>48.387096774193552</v>
      </c>
      <c r="S132" s="34">
        <v>2</v>
      </c>
    </row>
    <row r="133" spans="1:21" x14ac:dyDescent="0.25">
      <c r="A133" s="1" t="s">
        <v>150</v>
      </c>
      <c r="B133" s="91" t="s">
        <v>48</v>
      </c>
      <c r="C133" s="31" t="s">
        <v>51</v>
      </c>
      <c r="D133" s="33">
        <v>3</v>
      </c>
      <c r="E133" s="121"/>
      <c r="F133" s="107" t="s">
        <v>93</v>
      </c>
      <c r="G133" s="42">
        <v>1</v>
      </c>
      <c r="H133" s="33">
        <f t="shared" si="22"/>
        <v>107.5</v>
      </c>
      <c r="I133" s="114">
        <f t="shared" si="10"/>
        <v>0</v>
      </c>
      <c r="K133" s="91" t="s">
        <v>48</v>
      </c>
      <c r="L133" s="31" t="s">
        <v>51</v>
      </c>
      <c r="M133" s="33">
        <v>3</v>
      </c>
      <c r="N133" s="137">
        <v>1</v>
      </c>
      <c r="O133" s="107" t="s">
        <v>93</v>
      </c>
      <c r="P133" s="42">
        <v>1</v>
      </c>
      <c r="Q133" s="33">
        <f t="shared" si="23"/>
        <v>103.33333333333333</v>
      </c>
      <c r="R133" s="136">
        <f t="shared" si="26"/>
        <v>3.225806451612903</v>
      </c>
      <c r="S133" s="34">
        <v>3</v>
      </c>
    </row>
    <row r="134" spans="1:21" x14ac:dyDescent="0.25">
      <c r="A134" s="1" t="s">
        <v>150</v>
      </c>
      <c r="B134" s="91" t="s">
        <v>48</v>
      </c>
      <c r="C134" s="31" t="s">
        <v>51</v>
      </c>
      <c r="D134" s="33">
        <v>4</v>
      </c>
      <c r="E134" s="121"/>
      <c r="F134" s="107" t="s">
        <v>93</v>
      </c>
      <c r="G134" s="42">
        <v>1</v>
      </c>
      <c r="H134" s="33">
        <f t="shared" si="22"/>
        <v>107.5</v>
      </c>
      <c r="I134" s="114">
        <f t="shared" si="10"/>
        <v>0</v>
      </c>
      <c r="K134" s="91" t="s">
        <v>48</v>
      </c>
      <c r="L134" s="31" t="s">
        <v>51</v>
      </c>
      <c r="M134" s="33">
        <v>4</v>
      </c>
      <c r="N134" s="137">
        <v>3</v>
      </c>
      <c r="O134" s="107" t="s">
        <v>93</v>
      </c>
      <c r="P134" s="42">
        <v>1</v>
      </c>
      <c r="Q134" s="33">
        <f t="shared" si="23"/>
        <v>103.33333333333333</v>
      </c>
      <c r="R134" s="136">
        <f t="shared" si="26"/>
        <v>5.806451612903226</v>
      </c>
      <c r="S134" s="34">
        <v>5</v>
      </c>
    </row>
    <row r="135" spans="1:21" ht="15.75" thickBot="1" x14ac:dyDescent="0.3">
      <c r="A135" s="1" t="s">
        <v>150</v>
      </c>
      <c r="B135" s="92" t="s">
        <v>48</v>
      </c>
      <c r="C135" s="36" t="s">
        <v>51</v>
      </c>
      <c r="D135" s="38">
        <v>5</v>
      </c>
      <c r="E135" s="122"/>
      <c r="F135" s="108" t="s">
        <v>93</v>
      </c>
      <c r="G135" s="38">
        <v>1</v>
      </c>
      <c r="H135" s="38">
        <f t="shared" si="22"/>
        <v>107.5</v>
      </c>
      <c r="I135" s="116">
        <f t="shared" si="10"/>
        <v>0</v>
      </c>
      <c r="K135" s="92" t="s">
        <v>48</v>
      </c>
      <c r="L135" s="36" t="s">
        <v>51</v>
      </c>
      <c r="M135" s="38">
        <v>5</v>
      </c>
      <c r="N135" s="45">
        <v>0</v>
      </c>
      <c r="O135" s="108" t="s">
        <v>93</v>
      </c>
      <c r="P135" s="38">
        <v>1</v>
      </c>
      <c r="Q135" s="33">
        <f t="shared" si="23"/>
        <v>103.33333333333333</v>
      </c>
      <c r="R135" s="116">
        <f t="shared" si="26"/>
        <v>0</v>
      </c>
      <c r="S135" s="39">
        <v>5</v>
      </c>
    </row>
    <row r="136" spans="1:21" x14ac:dyDescent="0.25">
      <c r="A136" s="1" t="s">
        <v>150</v>
      </c>
      <c r="B136" s="99" t="s">
        <v>44</v>
      </c>
      <c r="C136" s="26" t="s">
        <v>49</v>
      </c>
      <c r="D136" s="64" t="s">
        <v>96</v>
      </c>
      <c r="E136" s="29">
        <v>38574</v>
      </c>
      <c r="F136" s="120" t="s">
        <v>93</v>
      </c>
      <c r="G136" s="29">
        <v>1</v>
      </c>
      <c r="H136" s="29">
        <v>101</v>
      </c>
      <c r="I136" s="113">
        <f>((E136/H136)*G136)*1000</f>
        <v>381920.79207920789</v>
      </c>
      <c r="K136" s="100" t="s">
        <v>44</v>
      </c>
      <c r="L136" s="31" t="s">
        <v>49</v>
      </c>
      <c r="M136" s="59" t="s">
        <v>96</v>
      </c>
      <c r="N136" s="33" t="s">
        <v>93</v>
      </c>
      <c r="O136" s="112" t="s">
        <v>93</v>
      </c>
      <c r="P136" s="33">
        <v>1</v>
      </c>
      <c r="Q136" s="33">
        <f>(3000-1955)/10</f>
        <v>104.5</v>
      </c>
      <c r="R136" s="114" t="e">
        <f>((N136/Q136)*P136)*1000</f>
        <v>#VALUE!</v>
      </c>
    </row>
    <row r="137" spans="1:21" x14ac:dyDescent="0.25">
      <c r="A137" s="1" t="s">
        <v>150</v>
      </c>
      <c r="B137" s="100" t="s">
        <v>44</v>
      </c>
      <c r="C137" s="31" t="s">
        <v>49</v>
      </c>
      <c r="D137" s="57">
        <v>1</v>
      </c>
      <c r="E137" s="33">
        <v>3274</v>
      </c>
      <c r="F137" s="107" t="s">
        <v>93</v>
      </c>
      <c r="G137" s="33">
        <v>1</v>
      </c>
      <c r="H137" s="33">
        <v>101</v>
      </c>
      <c r="I137" s="114">
        <f t="shared" si="10"/>
        <v>32415.841584158414</v>
      </c>
      <c r="K137" s="100" t="s">
        <v>44</v>
      </c>
      <c r="L137" s="31" t="s">
        <v>49</v>
      </c>
      <c r="M137" s="57">
        <v>1</v>
      </c>
      <c r="N137" s="42">
        <v>3327</v>
      </c>
      <c r="O137" s="107" t="s">
        <v>93</v>
      </c>
      <c r="P137" s="33">
        <v>1</v>
      </c>
      <c r="Q137" s="33">
        <f t="shared" ref="Q137:Q153" si="27">(3000-1955)/10</f>
        <v>104.5</v>
      </c>
      <c r="R137" s="114">
        <f t="shared" ref="R137:R140" si="28">((N137/Q137)*P137)*1000</f>
        <v>31837.320574162677</v>
      </c>
    </row>
    <row r="138" spans="1:21" x14ac:dyDescent="0.25">
      <c r="A138" s="1" t="s">
        <v>150</v>
      </c>
      <c r="B138" s="100" t="s">
        <v>44</v>
      </c>
      <c r="C138" s="31" t="s">
        <v>49</v>
      </c>
      <c r="D138" s="57">
        <v>2</v>
      </c>
      <c r="E138" s="33">
        <v>662</v>
      </c>
      <c r="F138" s="107" t="s">
        <v>93</v>
      </c>
      <c r="G138" s="33">
        <v>1</v>
      </c>
      <c r="H138" s="33">
        <v>101</v>
      </c>
      <c r="I138" s="114">
        <f t="shared" si="10"/>
        <v>6554.4554455445541</v>
      </c>
      <c r="K138" s="100" t="s">
        <v>44</v>
      </c>
      <c r="L138" s="31" t="s">
        <v>49</v>
      </c>
      <c r="M138" s="57">
        <v>2</v>
      </c>
      <c r="N138" s="42">
        <v>623</v>
      </c>
      <c r="O138" s="107" t="s">
        <v>93</v>
      </c>
      <c r="P138" s="33">
        <v>1</v>
      </c>
      <c r="Q138" s="33">
        <f t="shared" si="27"/>
        <v>104.5</v>
      </c>
      <c r="R138" s="114">
        <f t="shared" si="28"/>
        <v>5961.7224880382773</v>
      </c>
    </row>
    <row r="139" spans="1:21" x14ac:dyDescent="0.25">
      <c r="A139" s="1" t="s">
        <v>150</v>
      </c>
      <c r="B139" s="100" t="s">
        <v>44</v>
      </c>
      <c r="C139" s="31" t="s">
        <v>49</v>
      </c>
      <c r="D139" s="57">
        <v>3</v>
      </c>
      <c r="E139" s="42">
        <v>209</v>
      </c>
      <c r="F139" s="107" t="s">
        <v>93</v>
      </c>
      <c r="G139" s="42">
        <v>1</v>
      </c>
      <c r="H139" s="33">
        <v>101</v>
      </c>
      <c r="I139" s="114">
        <f t="shared" si="10"/>
        <v>2069.3069306930693</v>
      </c>
      <c r="K139" s="100" t="s">
        <v>44</v>
      </c>
      <c r="L139" s="31" t="s">
        <v>49</v>
      </c>
      <c r="M139" s="57">
        <v>3</v>
      </c>
      <c r="N139" s="42">
        <v>239</v>
      </c>
      <c r="O139" s="107" t="s">
        <v>93</v>
      </c>
      <c r="P139" s="42">
        <v>1</v>
      </c>
      <c r="Q139" s="33">
        <f t="shared" si="27"/>
        <v>104.5</v>
      </c>
      <c r="R139" s="114">
        <f>((N139/Q139)*P139)*1000</f>
        <v>2287.0813397129186</v>
      </c>
    </row>
    <row r="140" spans="1:21" x14ac:dyDescent="0.25">
      <c r="A140" s="1" t="s">
        <v>150</v>
      </c>
      <c r="B140" s="100" t="s">
        <v>44</v>
      </c>
      <c r="C140" s="31" t="s">
        <v>49</v>
      </c>
      <c r="D140" s="57">
        <v>4</v>
      </c>
      <c r="E140" s="42">
        <v>35</v>
      </c>
      <c r="F140" s="107" t="s">
        <v>93</v>
      </c>
      <c r="G140" s="42">
        <v>1</v>
      </c>
      <c r="H140" s="33">
        <v>101</v>
      </c>
      <c r="I140" s="114">
        <f t="shared" si="10"/>
        <v>346.53465346534654</v>
      </c>
      <c r="K140" s="100" t="s">
        <v>44</v>
      </c>
      <c r="L140" s="31" t="s">
        <v>49</v>
      </c>
      <c r="M140" s="57">
        <v>4</v>
      </c>
      <c r="N140" s="42">
        <v>57</v>
      </c>
      <c r="O140" s="107" t="s">
        <v>93</v>
      </c>
      <c r="P140" s="42">
        <v>1</v>
      </c>
      <c r="Q140" s="33">
        <f t="shared" si="27"/>
        <v>104.5</v>
      </c>
      <c r="R140" s="114">
        <f t="shared" si="28"/>
        <v>545.45454545454538</v>
      </c>
    </row>
    <row r="141" spans="1:21" ht="15.75" thickBot="1" x14ac:dyDescent="0.3">
      <c r="A141" s="1" t="s">
        <v>150</v>
      </c>
      <c r="B141" s="101" t="s">
        <v>44</v>
      </c>
      <c r="C141" s="36" t="s">
        <v>49</v>
      </c>
      <c r="D141" s="73">
        <v>5</v>
      </c>
      <c r="E141" s="122"/>
      <c r="F141" s="108" t="s">
        <v>93</v>
      </c>
      <c r="G141" s="38">
        <v>1</v>
      </c>
      <c r="H141" s="38">
        <v>101</v>
      </c>
      <c r="I141" s="116">
        <f t="shared" ref="I141" si="29">((E141/H141)*G141)*1000</f>
        <v>0</v>
      </c>
      <c r="K141" s="101" t="s">
        <v>44</v>
      </c>
      <c r="L141" s="36" t="s">
        <v>49</v>
      </c>
      <c r="M141" s="73">
        <v>5</v>
      </c>
      <c r="N141" s="139"/>
      <c r="O141" s="108" t="s">
        <v>93</v>
      </c>
      <c r="P141" s="38">
        <v>1</v>
      </c>
      <c r="Q141" s="38">
        <f t="shared" si="27"/>
        <v>104.5</v>
      </c>
      <c r="R141" s="116">
        <f>((N141/(Q141*S141))*P141)*1000</f>
        <v>0</v>
      </c>
      <c r="S141">
        <v>3</v>
      </c>
    </row>
    <row r="142" spans="1:21" x14ac:dyDescent="0.25">
      <c r="A142" s="1" t="s">
        <v>150</v>
      </c>
      <c r="B142" s="99" t="s">
        <v>44</v>
      </c>
      <c r="C142" s="26" t="s">
        <v>50</v>
      </c>
      <c r="D142" s="64" t="s">
        <v>96</v>
      </c>
      <c r="E142" s="29">
        <v>20832</v>
      </c>
      <c r="F142" s="120" t="s">
        <v>93</v>
      </c>
      <c r="G142" s="29">
        <v>1</v>
      </c>
      <c r="H142" s="29">
        <v>101</v>
      </c>
      <c r="I142" s="113">
        <f>((E142/H142)*G142)*1000</f>
        <v>206257.42574257427</v>
      </c>
      <c r="K142" s="99" t="s">
        <v>44</v>
      </c>
      <c r="L142" s="26" t="s">
        <v>50</v>
      </c>
      <c r="M142" s="64" t="s">
        <v>96</v>
      </c>
      <c r="N142" s="29">
        <v>24047</v>
      </c>
      <c r="O142" s="120" t="s">
        <v>93</v>
      </c>
      <c r="P142" s="29">
        <v>1</v>
      </c>
      <c r="Q142" s="29">
        <f t="shared" si="27"/>
        <v>104.5</v>
      </c>
      <c r="R142" s="113">
        <f>((N142/Q142)*P142)*1000</f>
        <v>230114.83253588516</v>
      </c>
    </row>
    <row r="143" spans="1:21" x14ac:dyDescent="0.25">
      <c r="A143" s="1" t="s">
        <v>150</v>
      </c>
      <c r="B143" s="100" t="s">
        <v>44</v>
      </c>
      <c r="C143" s="31" t="s">
        <v>50</v>
      </c>
      <c r="D143" s="57">
        <v>1</v>
      </c>
      <c r="E143" s="42">
        <v>2481</v>
      </c>
      <c r="F143" s="107" t="s">
        <v>93</v>
      </c>
      <c r="G143" s="33">
        <v>1</v>
      </c>
      <c r="H143" s="33">
        <v>101</v>
      </c>
      <c r="I143" s="114">
        <f t="shared" ref="I143:I174" si="30">((E143/H143)*G143)*1000</f>
        <v>24564.356435643564</v>
      </c>
      <c r="K143" s="100" t="s">
        <v>44</v>
      </c>
      <c r="L143" s="31" t="s">
        <v>50</v>
      </c>
      <c r="M143" s="57">
        <v>1</v>
      </c>
      <c r="N143" s="42">
        <v>2782</v>
      </c>
      <c r="O143" s="107" t="s">
        <v>93</v>
      </c>
      <c r="P143" s="33">
        <v>1</v>
      </c>
      <c r="Q143" s="33">
        <f t="shared" si="27"/>
        <v>104.5</v>
      </c>
      <c r="R143" s="114">
        <f t="shared" ref="R143:R146" si="31">((N143/Q143)*P143)*1000</f>
        <v>26622.009569377991</v>
      </c>
    </row>
    <row r="144" spans="1:21" x14ac:dyDescent="0.25">
      <c r="A144" s="1" t="s">
        <v>150</v>
      </c>
      <c r="B144" s="100" t="s">
        <v>44</v>
      </c>
      <c r="C144" s="31" t="s">
        <v>50</v>
      </c>
      <c r="D144" s="57">
        <v>2</v>
      </c>
      <c r="E144" s="42">
        <v>560</v>
      </c>
      <c r="F144" s="107" t="s">
        <v>93</v>
      </c>
      <c r="G144" s="33">
        <v>1</v>
      </c>
      <c r="H144" s="33">
        <v>101</v>
      </c>
      <c r="I144" s="114">
        <f t="shared" si="30"/>
        <v>5544.5544554455446</v>
      </c>
      <c r="K144" s="100" t="s">
        <v>44</v>
      </c>
      <c r="L144" s="31" t="s">
        <v>50</v>
      </c>
      <c r="M144" s="57">
        <v>2</v>
      </c>
      <c r="N144" s="42">
        <v>550</v>
      </c>
      <c r="O144" s="107" t="s">
        <v>93</v>
      </c>
      <c r="P144" s="33">
        <v>1</v>
      </c>
      <c r="Q144" s="33">
        <f t="shared" si="27"/>
        <v>104.5</v>
      </c>
      <c r="R144" s="114">
        <f t="shared" si="31"/>
        <v>5263.1578947368425</v>
      </c>
    </row>
    <row r="145" spans="1:21" x14ac:dyDescent="0.25">
      <c r="A145" s="1" t="s">
        <v>150</v>
      </c>
      <c r="B145" s="100" t="s">
        <v>44</v>
      </c>
      <c r="C145" s="31" t="s">
        <v>50</v>
      </c>
      <c r="D145" s="57">
        <v>3</v>
      </c>
      <c r="E145" s="42">
        <v>274</v>
      </c>
      <c r="F145" s="107" t="s">
        <v>93</v>
      </c>
      <c r="G145" s="42">
        <v>1</v>
      </c>
      <c r="H145" s="33">
        <v>101</v>
      </c>
      <c r="I145" s="114">
        <f t="shared" si="30"/>
        <v>2712.871287128713</v>
      </c>
      <c r="K145" s="100" t="s">
        <v>44</v>
      </c>
      <c r="L145" s="31" t="s">
        <v>50</v>
      </c>
      <c r="M145" s="57">
        <v>3</v>
      </c>
      <c r="N145" s="42">
        <v>294</v>
      </c>
      <c r="O145" s="107" t="s">
        <v>93</v>
      </c>
      <c r="P145" s="42">
        <v>1</v>
      </c>
      <c r="Q145" s="33">
        <f t="shared" si="27"/>
        <v>104.5</v>
      </c>
      <c r="R145" s="114">
        <f t="shared" si="31"/>
        <v>2813.3971291866028</v>
      </c>
    </row>
    <row r="146" spans="1:21" x14ac:dyDescent="0.25">
      <c r="A146" s="1" t="s">
        <v>150</v>
      </c>
      <c r="B146" s="100" t="s">
        <v>44</v>
      </c>
      <c r="C146" s="31" t="s">
        <v>50</v>
      </c>
      <c r="D146" s="57">
        <v>4</v>
      </c>
      <c r="E146" s="42">
        <v>102</v>
      </c>
      <c r="F146" s="107" t="s">
        <v>93</v>
      </c>
      <c r="G146" s="42">
        <v>1</v>
      </c>
      <c r="H146" s="33">
        <v>101</v>
      </c>
      <c r="I146" s="114">
        <f t="shared" si="30"/>
        <v>1009.90099009901</v>
      </c>
      <c r="K146" s="100" t="s">
        <v>44</v>
      </c>
      <c r="L146" s="31" t="s">
        <v>50</v>
      </c>
      <c r="M146" s="57">
        <v>4</v>
      </c>
      <c r="N146" s="42">
        <v>125</v>
      </c>
      <c r="O146" s="107" t="s">
        <v>93</v>
      </c>
      <c r="P146" s="42">
        <v>1</v>
      </c>
      <c r="Q146" s="33">
        <f t="shared" si="27"/>
        <v>104.5</v>
      </c>
      <c r="R146" s="114">
        <f t="shared" si="31"/>
        <v>1196.1722488038279</v>
      </c>
    </row>
    <row r="147" spans="1:21" ht="15.75" thickBot="1" x14ac:dyDescent="0.3">
      <c r="A147" s="1" t="s">
        <v>150</v>
      </c>
      <c r="B147" s="101" t="s">
        <v>44</v>
      </c>
      <c r="C147" s="36" t="s">
        <v>50</v>
      </c>
      <c r="D147" s="73">
        <v>5</v>
      </c>
      <c r="E147" s="122"/>
      <c r="F147" s="108" t="s">
        <v>93</v>
      </c>
      <c r="G147" s="38">
        <v>1</v>
      </c>
      <c r="H147" s="38">
        <v>101</v>
      </c>
      <c r="I147" s="116">
        <f t="shared" si="30"/>
        <v>0</v>
      </c>
      <c r="K147" s="101" t="s">
        <v>44</v>
      </c>
      <c r="L147" s="36" t="s">
        <v>50</v>
      </c>
      <c r="M147" s="73">
        <v>5</v>
      </c>
      <c r="N147" s="45">
        <v>70</v>
      </c>
      <c r="O147" s="108" t="s">
        <v>93</v>
      </c>
      <c r="P147" s="38">
        <v>1</v>
      </c>
      <c r="Q147" s="38">
        <f t="shared" si="27"/>
        <v>104.5</v>
      </c>
      <c r="R147" s="116">
        <f>((N147/(Q147*S147))*P147)*1000</f>
        <v>334.9282296650718</v>
      </c>
      <c r="S147">
        <v>2</v>
      </c>
    </row>
    <row r="148" spans="1:21" x14ac:dyDescent="0.25">
      <c r="A148" s="1" t="s">
        <v>150</v>
      </c>
      <c r="B148" s="99" t="s">
        <v>44</v>
      </c>
      <c r="C148" s="26" t="s">
        <v>51</v>
      </c>
      <c r="D148" s="64" t="s">
        <v>96</v>
      </c>
      <c r="E148" s="29">
        <v>26391</v>
      </c>
      <c r="F148" s="120" t="s">
        <v>93</v>
      </c>
      <c r="G148" s="29">
        <v>1</v>
      </c>
      <c r="H148" s="29">
        <v>101</v>
      </c>
      <c r="I148" s="113">
        <f>((E148/H148)*G148)*1000</f>
        <v>261297.02970297029</v>
      </c>
      <c r="K148" s="99" t="s">
        <v>44</v>
      </c>
      <c r="L148" s="26" t="s">
        <v>51</v>
      </c>
      <c r="M148" s="64" t="s">
        <v>96</v>
      </c>
      <c r="N148" s="29">
        <v>28770</v>
      </c>
      <c r="O148" s="120" t="s">
        <v>93</v>
      </c>
      <c r="P148" s="29">
        <v>1</v>
      </c>
      <c r="Q148" s="29">
        <f t="shared" si="27"/>
        <v>104.5</v>
      </c>
      <c r="R148" s="113">
        <f>((N148/Q148)*P148)*1000</f>
        <v>275311.00478468899</v>
      </c>
    </row>
    <row r="149" spans="1:21" x14ac:dyDescent="0.25">
      <c r="A149" s="1" t="s">
        <v>150</v>
      </c>
      <c r="B149" s="100" t="s">
        <v>44</v>
      </c>
      <c r="C149" s="31" t="s">
        <v>51</v>
      </c>
      <c r="D149" s="57">
        <v>1</v>
      </c>
      <c r="E149" s="42">
        <v>3111</v>
      </c>
      <c r="F149" s="107" t="s">
        <v>93</v>
      </c>
      <c r="G149" s="33">
        <v>1</v>
      </c>
      <c r="H149" s="33">
        <v>101</v>
      </c>
      <c r="I149" s="114">
        <f t="shared" si="30"/>
        <v>30801.980198019803</v>
      </c>
      <c r="K149" s="100" t="s">
        <v>44</v>
      </c>
      <c r="L149" s="31" t="s">
        <v>51</v>
      </c>
      <c r="M149" s="57">
        <v>1</v>
      </c>
      <c r="N149" s="42">
        <v>3390</v>
      </c>
      <c r="O149" s="107" t="s">
        <v>93</v>
      </c>
      <c r="P149" s="33">
        <v>1</v>
      </c>
      <c r="Q149" s="33">
        <f t="shared" si="27"/>
        <v>104.5</v>
      </c>
      <c r="R149" s="114">
        <f t="shared" ref="R149:R152" si="32">((N149/Q149)*P149)*1000</f>
        <v>32440.191387559807</v>
      </c>
    </row>
    <row r="150" spans="1:21" x14ac:dyDescent="0.25">
      <c r="A150" s="1" t="s">
        <v>150</v>
      </c>
      <c r="B150" s="100" t="s">
        <v>44</v>
      </c>
      <c r="C150" s="31" t="s">
        <v>51</v>
      </c>
      <c r="D150" s="57">
        <v>2</v>
      </c>
      <c r="E150" s="42">
        <v>593</v>
      </c>
      <c r="F150" s="107" t="s">
        <v>93</v>
      </c>
      <c r="G150" s="33">
        <v>1</v>
      </c>
      <c r="H150" s="33">
        <v>101</v>
      </c>
      <c r="I150" s="114">
        <f t="shared" si="30"/>
        <v>5871.287128712871</v>
      </c>
      <c r="K150" s="100" t="s">
        <v>44</v>
      </c>
      <c r="L150" s="31" t="s">
        <v>51</v>
      </c>
      <c r="M150" s="57">
        <v>2</v>
      </c>
      <c r="N150" s="42">
        <v>587</v>
      </c>
      <c r="O150" s="107" t="s">
        <v>93</v>
      </c>
      <c r="P150" s="33">
        <v>1</v>
      </c>
      <c r="Q150" s="33">
        <f t="shared" si="27"/>
        <v>104.5</v>
      </c>
      <c r="R150" s="114">
        <f t="shared" si="32"/>
        <v>5617.2248803827752</v>
      </c>
    </row>
    <row r="151" spans="1:21" x14ac:dyDescent="0.25">
      <c r="A151" s="1" t="s">
        <v>150</v>
      </c>
      <c r="B151" s="100" t="s">
        <v>44</v>
      </c>
      <c r="C151" s="31" t="s">
        <v>51</v>
      </c>
      <c r="D151" s="57">
        <v>3</v>
      </c>
      <c r="E151" s="42">
        <v>244</v>
      </c>
      <c r="F151" s="107" t="s">
        <v>93</v>
      </c>
      <c r="G151" s="42">
        <v>1</v>
      </c>
      <c r="H151" s="33">
        <v>101</v>
      </c>
      <c r="I151" s="114">
        <f t="shared" si="30"/>
        <v>2415.8415841584156</v>
      </c>
      <c r="K151" s="100" t="s">
        <v>44</v>
      </c>
      <c r="L151" s="31" t="s">
        <v>51</v>
      </c>
      <c r="M151" s="57">
        <v>3</v>
      </c>
      <c r="N151" s="42">
        <v>290</v>
      </c>
      <c r="O151" s="107" t="s">
        <v>93</v>
      </c>
      <c r="P151" s="42">
        <v>1</v>
      </c>
      <c r="Q151" s="33">
        <f t="shared" si="27"/>
        <v>104.5</v>
      </c>
      <c r="R151" s="114">
        <f t="shared" si="32"/>
        <v>2775.1196172248801</v>
      </c>
    </row>
    <row r="152" spans="1:21" x14ac:dyDescent="0.25">
      <c r="A152" s="1" t="s">
        <v>150</v>
      </c>
      <c r="B152" s="100" t="s">
        <v>44</v>
      </c>
      <c r="C152" s="31" t="s">
        <v>51</v>
      </c>
      <c r="D152" s="57">
        <v>4</v>
      </c>
      <c r="E152" s="42">
        <v>137</v>
      </c>
      <c r="F152" s="107" t="s">
        <v>93</v>
      </c>
      <c r="G152" s="42">
        <v>1</v>
      </c>
      <c r="H152" s="33">
        <v>101</v>
      </c>
      <c r="I152" s="114">
        <f t="shared" si="30"/>
        <v>1356.4356435643565</v>
      </c>
      <c r="K152" s="100" t="s">
        <v>44</v>
      </c>
      <c r="L152" s="31" t="s">
        <v>51</v>
      </c>
      <c r="M152" s="57">
        <v>4</v>
      </c>
      <c r="N152" s="42">
        <v>150</v>
      </c>
      <c r="O152" s="107" t="s">
        <v>93</v>
      </c>
      <c r="P152" s="42">
        <v>1</v>
      </c>
      <c r="Q152" s="33">
        <f t="shared" si="27"/>
        <v>104.5</v>
      </c>
      <c r="R152" s="114">
        <f t="shared" si="32"/>
        <v>1435.4066985645932</v>
      </c>
      <c r="S152" s="132"/>
    </row>
    <row r="153" spans="1:21" ht="15.75" thickBot="1" x14ac:dyDescent="0.3">
      <c r="A153" s="1" t="s">
        <v>150</v>
      </c>
      <c r="B153" s="100" t="s">
        <v>44</v>
      </c>
      <c r="C153" s="31" t="s">
        <v>51</v>
      </c>
      <c r="D153" s="57">
        <v>5</v>
      </c>
      <c r="E153" s="121"/>
      <c r="F153" s="108" t="s">
        <v>93</v>
      </c>
      <c r="G153" s="38">
        <v>1</v>
      </c>
      <c r="H153" s="38">
        <v>101</v>
      </c>
      <c r="I153" s="114">
        <f t="shared" si="30"/>
        <v>0</v>
      </c>
      <c r="K153" s="100" t="s">
        <v>44</v>
      </c>
      <c r="L153" s="31" t="s">
        <v>51</v>
      </c>
      <c r="M153" s="57">
        <v>5</v>
      </c>
      <c r="N153" s="42">
        <v>32</v>
      </c>
      <c r="O153" s="108" t="s">
        <v>93</v>
      </c>
      <c r="P153" s="38">
        <v>1</v>
      </c>
      <c r="Q153" s="38">
        <f t="shared" si="27"/>
        <v>104.5</v>
      </c>
      <c r="R153" s="114">
        <f>((N153/(Q153*S153))*P153)*1000</f>
        <v>153.11004784688996</v>
      </c>
      <c r="S153">
        <v>2</v>
      </c>
    </row>
    <row r="154" spans="1:21" x14ac:dyDescent="0.25">
      <c r="A154" s="1" t="s">
        <v>150</v>
      </c>
      <c r="B154" s="96" t="s">
        <v>43</v>
      </c>
      <c r="C154" s="26" t="s">
        <v>49</v>
      </c>
      <c r="D154" s="64" t="s">
        <v>96</v>
      </c>
      <c r="E154" s="29">
        <v>3844</v>
      </c>
      <c r="F154" s="120" t="s">
        <v>93</v>
      </c>
      <c r="G154" s="29">
        <v>1</v>
      </c>
      <c r="H154" s="29">
        <f>(3000-1520)/15</f>
        <v>98.666666666666671</v>
      </c>
      <c r="I154" s="113">
        <f>((E154/H154)*G154)*1000</f>
        <v>38959.45945945946</v>
      </c>
      <c r="K154" s="96" t="s">
        <v>43</v>
      </c>
      <c r="L154" s="26" t="s">
        <v>49</v>
      </c>
      <c r="M154" s="64" t="s">
        <v>96</v>
      </c>
      <c r="N154" s="44">
        <v>4058</v>
      </c>
      <c r="O154" s="120" t="s">
        <v>93</v>
      </c>
      <c r="P154" s="29">
        <v>1</v>
      </c>
      <c r="Q154" s="29">
        <f>(3000-1520)/15</f>
        <v>98.666666666666671</v>
      </c>
      <c r="R154" s="113">
        <f>((N154/Q154)*P154)*1000</f>
        <v>41128.37837837838</v>
      </c>
    </row>
    <row r="155" spans="1:21" x14ac:dyDescent="0.25">
      <c r="A155" s="1" t="s">
        <v>150</v>
      </c>
      <c r="B155" s="97" t="s">
        <v>43</v>
      </c>
      <c r="C155" s="31" t="s">
        <v>49</v>
      </c>
      <c r="D155" s="57">
        <v>0</v>
      </c>
      <c r="E155" s="33">
        <v>376</v>
      </c>
      <c r="F155" s="112" t="s">
        <v>93</v>
      </c>
      <c r="G155" s="33">
        <v>1</v>
      </c>
      <c r="H155" s="33">
        <f t="shared" ref="H155:H173" si="33">(3000-1520)/15</f>
        <v>98.666666666666671</v>
      </c>
      <c r="I155" s="114">
        <f t="shared" si="30"/>
        <v>3810.8108108108104</v>
      </c>
      <c r="K155" s="97" t="s">
        <v>43</v>
      </c>
      <c r="L155" s="31" t="s">
        <v>49</v>
      </c>
      <c r="M155" s="57">
        <v>0</v>
      </c>
      <c r="N155" s="42">
        <v>418</v>
      </c>
      <c r="O155" s="112" t="s">
        <v>93</v>
      </c>
      <c r="P155" s="33">
        <v>1</v>
      </c>
      <c r="Q155" s="33">
        <f t="shared" ref="Q155:Q173" si="34">(3000-1520)/15</f>
        <v>98.666666666666671</v>
      </c>
      <c r="R155" s="114">
        <f t="shared" ref="R155:R160" si="35">((N155/Q155)*P155)*1000</f>
        <v>4236.4864864864858</v>
      </c>
    </row>
    <row r="156" spans="1:21" ht="15.75" thickBot="1" x14ac:dyDescent="0.3">
      <c r="A156" s="1" t="s">
        <v>150</v>
      </c>
      <c r="B156" s="97" t="s">
        <v>43</v>
      </c>
      <c r="C156" s="31" t="s">
        <v>49</v>
      </c>
      <c r="D156" s="57">
        <v>1</v>
      </c>
      <c r="E156" s="33">
        <v>118</v>
      </c>
      <c r="F156" s="112" t="s">
        <v>93</v>
      </c>
      <c r="G156" s="33">
        <v>1</v>
      </c>
      <c r="H156" s="33">
        <f t="shared" si="33"/>
        <v>98.666666666666671</v>
      </c>
      <c r="I156" s="114">
        <f t="shared" si="30"/>
        <v>1195.9459459459458</v>
      </c>
      <c r="K156" s="97" t="s">
        <v>43</v>
      </c>
      <c r="L156" s="31" t="s">
        <v>49</v>
      </c>
      <c r="M156" s="57">
        <v>1</v>
      </c>
      <c r="N156" s="42">
        <v>102</v>
      </c>
      <c r="O156" s="112" t="s">
        <v>93</v>
      </c>
      <c r="P156" s="33">
        <v>1</v>
      </c>
      <c r="Q156" s="33">
        <f t="shared" si="34"/>
        <v>98.666666666666671</v>
      </c>
      <c r="R156" s="114">
        <f t="shared" si="35"/>
        <v>1033.7837837837837</v>
      </c>
      <c r="S156" t="s">
        <v>164</v>
      </c>
      <c r="T156" s="1" t="s">
        <v>13</v>
      </c>
      <c r="U156" s="9" t="s">
        <v>15</v>
      </c>
    </row>
    <row r="157" spans="1:21" x14ac:dyDescent="0.25">
      <c r="A157" s="1" t="s">
        <v>150</v>
      </c>
      <c r="B157" s="97" t="s">
        <v>43</v>
      </c>
      <c r="C157" s="31" t="s">
        <v>49</v>
      </c>
      <c r="D157" s="57">
        <v>2</v>
      </c>
      <c r="E157" s="109"/>
      <c r="F157" s="107" t="s">
        <v>93</v>
      </c>
      <c r="G157" s="42">
        <v>1</v>
      </c>
      <c r="H157" s="33">
        <f t="shared" si="33"/>
        <v>98.666666666666671</v>
      </c>
      <c r="I157" s="114">
        <f t="shared" si="30"/>
        <v>0</v>
      </c>
      <c r="J157" s="151" t="s">
        <v>152</v>
      </c>
      <c r="K157" s="97" t="s">
        <v>43</v>
      </c>
      <c r="L157" s="31" t="s">
        <v>49</v>
      </c>
      <c r="M157" s="57">
        <v>2</v>
      </c>
      <c r="N157" s="124">
        <v>12</v>
      </c>
      <c r="O157" s="107" t="s">
        <v>93</v>
      </c>
      <c r="P157" s="42">
        <v>1</v>
      </c>
      <c r="Q157" s="33">
        <f t="shared" si="34"/>
        <v>98.666666666666671</v>
      </c>
      <c r="R157" s="114">
        <f>((N157/(Q157*S157))*P157)*1000</f>
        <v>60.810810810810807</v>
      </c>
      <c r="S157" s="25">
        <v>2</v>
      </c>
      <c r="T157" s="29">
        <v>30</v>
      </c>
      <c r="U157" s="127">
        <f>((T157/Q157/S157)*P157)*1000</f>
        <v>152.02702702702703</v>
      </c>
    </row>
    <row r="158" spans="1:21" x14ac:dyDescent="0.25">
      <c r="A158" s="1" t="s">
        <v>150</v>
      </c>
      <c r="B158" s="97" t="s">
        <v>43</v>
      </c>
      <c r="C158" s="31" t="s">
        <v>49</v>
      </c>
      <c r="D158" s="57">
        <v>3</v>
      </c>
      <c r="E158" s="109"/>
      <c r="F158" s="107" t="s">
        <v>93</v>
      </c>
      <c r="G158" s="42">
        <v>1</v>
      </c>
      <c r="H158" s="33">
        <f t="shared" si="33"/>
        <v>98.666666666666671</v>
      </c>
      <c r="I158" s="114">
        <f t="shared" si="30"/>
        <v>0</v>
      </c>
      <c r="J158" s="151"/>
      <c r="K158" s="97" t="s">
        <v>43</v>
      </c>
      <c r="L158" s="31" t="s">
        <v>49</v>
      </c>
      <c r="M158" s="57">
        <v>3</v>
      </c>
      <c r="N158" s="124">
        <v>10</v>
      </c>
      <c r="O158" s="107" t="s">
        <v>93</v>
      </c>
      <c r="P158" s="42">
        <v>1</v>
      </c>
      <c r="Q158" s="33">
        <f t="shared" si="34"/>
        <v>98.666666666666671</v>
      </c>
      <c r="R158" s="114">
        <f t="shared" ref="R158:R160" si="36">((N158/(Q158*S158))*P158)*1000</f>
        <v>50.67567567567567</v>
      </c>
      <c r="S158" s="30">
        <v>2</v>
      </c>
      <c r="T158" s="33">
        <v>24</v>
      </c>
      <c r="U158" s="128">
        <f>((T158/Q158/S158)*P158)*1000</f>
        <v>121.62162162162161</v>
      </c>
    </row>
    <row r="159" spans="1:21" x14ac:dyDescent="0.25">
      <c r="A159" s="1" t="s">
        <v>150</v>
      </c>
      <c r="B159" s="97" t="s">
        <v>43</v>
      </c>
      <c r="C159" s="31" t="s">
        <v>49</v>
      </c>
      <c r="D159" s="57">
        <v>4</v>
      </c>
      <c r="E159" s="109"/>
      <c r="F159" s="107" t="s">
        <v>93</v>
      </c>
      <c r="G159" s="42">
        <v>1</v>
      </c>
      <c r="H159" s="33">
        <f t="shared" si="33"/>
        <v>98.666666666666671</v>
      </c>
      <c r="I159" s="114">
        <f t="shared" si="30"/>
        <v>0</v>
      </c>
      <c r="J159" s="151"/>
      <c r="K159" s="97" t="s">
        <v>43</v>
      </c>
      <c r="L159" s="31" t="s">
        <v>49</v>
      </c>
      <c r="M159" s="57">
        <v>4</v>
      </c>
      <c r="N159" s="124">
        <v>7</v>
      </c>
      <c r="O159" s="107" t="s">
        <v>93</v>
      </c>
      <c r="P159" s="42">
        <v>1</v>
      </c>
      <c r="Q159" s="33">
        <f t="shared" si="34"/>
        <v>98.666666666666671</v>
      </c>
      <c r="R159" s="114">
        <f t="shared" si="36"/>
        <v>35.472972972972968</v>
      </c>
      <c r="S159" s="30">
        <v>2</v>
      </c>
      <c r="T159" s="33">
        <v>12</v>
      </c>
      <c r="U159" s="128">
        <f t="shared" ref="U159:U160" si="37">((T159/Q159/S159)*P159)*1000</f>
        <v>60.810810810810807</v>
      </c>
    </row>
    <row r="160" spans="1:21" ht="15.75" thickBot="1" x14ac:dyDescent="0.3">
      <c r="A160" s="1" t="s">
        <v>150</v>
      </c>
      <c r="B160" s="98" t="s">
        <v>43</v>
      </c>
      <c r="C160" s="71" t="s">
        <v>49</v>
      </c>
      <c r="D160" s="73">
        <v>5</v>
      </c>
      <c r="E160" s="110"/>
      <c r="F160" s="108" t="s">
        <v>93</v>
      </c>
      <c r="G160" s="45">
        <v>1</v>
      </c>
      <c r="H160" s="38">
        <f t="shared" si="33"/>
        <v>98.666666666666671</v>
      </c>
      <c r="I160" s="116">
        <f t="shared" si="30"/>
        <v>0</v>
      </c>
      <c r="J160" s="151"/>
      <c r="K160" s="98" t="s">
        <v>43</v>
      </c>
      <c r="L160" s="71" t="s">
        <v>49</v>
      </c>
      <c r="M160" s="73">
        <v>5</v>
      </c>
      <c r="N160" s="130">
        <v>1</v>
      </c>
      <c r="O160" s="108" t="s">
        <v>93</v>
      </c>
      <c r="P160" s="45">
        <v>1</v>
      </c>
      <c r="Q160" s="38">
        <f t="shared" si="34"/>
        <v>98.666666666666671</v>
      </c>
      <c r="R160" s="114">
        <f>((N160/(Q160*S160))*P160)*1000</f>
        <v>3.3783783783783785</v>
      </c>
      <c r="S160" s="35">
        <v>3</v>
      </c>
      <c r="T160" s="38">
        <v>8</v>
      </c>
      <c r="U160" s="129">
        <f t="shared" si="37"/>
        <v>27.027027027027025</v>
      </c>
    </row>
    <row r="161" spans="1:21" x14ac:dyDescent="0.25">
      <c r="A161" s="1" t="s">
        <v>150</v>
      </c>
      <c r="B161" s="97" t="s">
        <v>43</v>
      </c>
      <c r="C161" s="53" t="s">
        <v>50</v>
      </c>
      <c r="D161" s="57" t="s">
        <v>96</v>
      </c>
      <c r="E161" s="42">
        <v>4063</v>
      </c>
      <c r="F161" s="112" t="s">
        <v>93</v>
      </c>
      <c r="G161" s="33">
        <v>1</v>
      </c>
      <c r="H161" s="33">
        <f t="shared" si="33"/>
        <v>98.666666666666671</v>
      </c>
      <c r="I161" s="113">
        <f>((E161/H161)*G161)*1000</f>
        <v>41179.054054054046</v>
      </c>
      <c r="K161" s="97" t="s">
        <v>43</v>
      </c>
      <c r="L161" s="53" t="s">
        <v>50</v>
      </c>
      <c r="M161" s="57" t="s">
        <v>96</v>
      </c>
      <c r="N161" s="42">
        <v>3769</v>
      </c>
      <c r="O161" s="112" t="s">
        <v>93</v>
      </c>
      <c r="P161" s="33">
        <v>1</v>
      </c>
      <c r="Q161" s="33">
        <f t="shared" si="34"/>
        <v>98.666666666666671</v>
      </c>
      <c r="R161" s="113">
        <f>((N161/Q161)*P161)*1000</f>
        <v>38199.32432432432</v>
      </c>
    </row>
    <row r="162" spans="1:21" x14ac:dyDescent="0.25">
      <c r="A162" s="1" t="s">
        <v>150</v>
      </c>
      <c r="B162" s="97" t="s">
        <v>43</v>
      </c>
      <c r="C162" s="53" t="s">
        <v>50</v>
      </c>
      <c r="D162" s="57">
        <v>0</v>
      </c>
      <c r="E162" s="42">
        <v>405</v>
      </c>
      <c r="F162" s="112" t="s">
        <v>93</v>
      </c>
      <c r="G162" s="33">
        <v>1</v>
      </c>
      <c r="H162" s="33">
        <f t="shared" si="33"/>
        <v>98.666666666666671</v>
      </c>
      <c r="I162" s="114">
        <f t="shared" si="30"/>
        <v>4104.72972972973</v>
      </c>
      <c r="K162" s="97" t="s">
        <v>43</v>
      </c>
      <c r="L162" s="53" t="s">
        <v>50</v>
      </c>
      <c r="M162" s="57">
        <v>0</v>
      </c>
      <c r="N162" s="42">
        <v>360</v>
      </c>
      <c r="O162" s="112" t="s">
        <v>93</v>
      </c>
      <c r="P162" s="33">
        <v>1</v>
      </c>
      <c r="Q162" s="33">
        <f t="shared" si="34"/>
        <v>98.666666666666671</v>
      </c>
      <c r="R162" s="114">
        <f>((N162/Q162)*P162)*1000</f>
        <v>3648.6486486486488</v>
      </c>
    </row>
    <row r="163" spans="1:21" x14ac:dyDescent="0.25">
      <c r="A163" s="1" t="s">
        <v>150</v>
      </c>
      <c r="B163" s="97" t="s">
        <v>43</v>
      </c>
      <c r="C163" s="53" t="s">
        <v>50</v>
      </c>
      <c r="D163" s="57">
        <v>1</v>
      </c>
      <c r="E163" s="42">
        <v>104</v>
      </c>
      <c r="F163" s="112" t="s">
        <v>93</v>
      </c>
      <c r="G163" s="33">
        <v>1</v>
      </c>
      <c r="H163" s="33">
        <f t="shared" si="33"/>
        <v>98.666666666666671</v>
      </c>
      <c r="I163" s="114">
        <f t="shared" si="30"/>
        <v>1054.0540540540539</v>
      </c>
      <c r="K163" s="97" t="s">
        <v>43</v>
      </c>
      <c r="L163" s="53" t="s">
        <v>50</v>
      </c>
      <c r="M163" s="57">
        <v>1</v>
      </c>
      <c r="N163" s="42">
        <v>151</v>
      </c>
      <c r="O163" s="112" t="s">
        <v>93</v>
      </c>
      <c r="P163" s="33">
        <v>1</v>
      </c>
      <c r="Q163" s="33">
        <f t="shared" si="34"/>
        <v>98.666666666666671</v>
      </c>
      <c r="R163" s="114">
        <f t="shared" ref="R163:R167" si="38">((N163/Q163)*P163)*1000</f>
        <v>1530.4054054054052</v>
      </c>
    </row>
    <row r="164" spans="1:21" x14ac:dyDescent="0.25">
      <c r="A164" s="1" t="s">
        <v>150</v>
      </c>
      <c r="B164" s="97" t="s">
        <v>43</v>
      </c>
      <c r="C164" s="53" t="s">
        <v>50</v>
      </c>
      <c r="D164" s="57">
        <v>2</v>
      </c>
      <c r="E164" s="42">
        <v>29</v>
      </c>
      <c r="F164" s="107" t="s">
        <v>93</v>
      </c>
      <c r="G164" s="42">
        <v>1</v>
      </c>
      <c r="H164" s="33">
        <f t="shared" si="33"/>
        <v>98.666666666666671</v>
      </c>
      <c r="I164" s="114">
        <f t="shared" si="30"/>
        <v>293.91891891891891</v>
      </c>
      <c r="K164" s="97" t="s">
        <v>43</v>
      </c>
      <c r="L164" s="53" t="s">
        <v>50</v>
      </c>
      <c r="M164" s="57">
        <v>2</v>
      </c>
      <c r="N164" s="42">
        <v>37</v>
      </c>
      <c r="O164" s="107" t="s">
        <v>93</v>
      </c>
      <c r="P164" s="42">
        <v>1</v>
      </c>
      <c r="Q164" s="33">
        <f t="shared" si="34"/>
        <v>98.666666666666671</v>
      </c>
      <c r="R164" s="114">
        <f t="shared" si="38"/>
        <v>375</v>
      </c>
    </row>
    <row r="165" spans="1:21" ht="15.75" thickBot="1" x14ac:dyDescent="0.3">
      <c r="A165" s="1" t="s">
        <v>150</v>
      </c>
      <c r="B165" s="97" t="s">
        <v>43</v>
      </c>
      <c r="C165" s="53" t="s">
        <v>50</v>
      </c>
      <c r="D165" s="57">
        <v>3</v>
      </c>
      <c r="E165" s="42">
        <v>21</v>
      </c>
      <c r="F165" s="107" t="s">
        <v>93</v>
      </c>
      <c r="G165" s="42">
        <v>1</v>
      </c>
      <c r="H165" s="33">
        <f t="shared" si="33"/>
        <v>98.666666666666671</v>
      </c>
      <c r="I165" s="114">
        <f t="shared" si="30"/>
        <v>212.83783783783784</v>
      </c>
      <c r="J165" s="151" t="s">
        <v>152</v>
      </c>
      <c r="K165" s="97" t="s">
        <v>43</v>
      </c>
      <c r="L165" s="53" t="s">
        <v>50</v>
      </c>
      <c r="M165" s="57">
        <v>3</v>
      </c>
      <c r="N165" s="42">
        <v>17</v>
      </c>
      <c r="O165" s="107" t="s">
        <v>93</v>
      </c>
      <c r="P165" s="42">
        <v>1</v>
      </c>
      <c r="Q165" s="33">
        <f t="shared" si="34"/>
        <v>98.666666666666671</v>
      </c>
      <c r="R165" s="114">
        <f t="shared" si="38"/>
        <v>172.29729729729729</v>
      </c>
    </row>
    <row r="166" spans="1:21" x14ac:dyDescent="0.25">
      <c r="A166" s="1" t="s">
        <v>150</v>
      </c>
      <c r="B166" s="97" t="s">
        <v>43</v>
      </c>
      <c r="C166" s="58" t="s">
        <v>50</v>
      </c>
      <c r="D166" s="57">
        <v>4</v>
      </c>
      <c r="E166" s="109"/>
      <c r="F166" s="107" t="s">
        <v>93</v>
      </c>
      <c r="G166" s="42">
        <v>1</v>
      </c>
      <c r="H166" s="33">
        <f t="shared" si="33"/>
        <v>98.666666666666671</v>
      </c>
      <c r="I166" s="114">
        <f t="shared" si="30"/>
        <v>0</v>
      </c>
      <c r="J166" s="151"/>
      <c r="K166" s="97" t="s">
        <v>43</v>
      </c>
      <c r="L166" s="58" t="s">
        <v>50</v>
      </c>
      <c r="M166" s="57">
        <v>4</v>
      </c>
      <c r="N166" s="124">
        <v>3</v>
      </c>
      <c r="O166" s="107" t="s">
        <v>93</v>
      </c>
      <c r="P166" s="42">
        <v>1</v>
      </c>
      <c r="Q166" s="33">
        <f t="shared" si="34"/>
        <v>98.666666666666671</v>
      </c>
      <c r="R166" s="114">
        <f>((N166/(Q166*S166))*P166)*1000</f>
        <v>6.0810810810810807</v>
      </c>
      <c r="S166" s="25">
        <v>5</v>
      </c>
      <c r="T166" s="29">
        <v>9</v>
      </c>
      <c r="U166" s="127">
        <f>((T166/Q166/S166)*P166)*1000</f>
        <v>18.243243243243246</v>
      </c>
    </row>
    <row r="167" spans="1:21" ht="15.75" thickBot="1" x14ac:dyDescent="0.3">
      <c r="A167" s="1" t="s">
        <v>150</v>
      </c>
      <c r="B167" s="98" t="s">
        <v>43</v>
      </c>
      <c r="C167" s="71" t="s">
        <v>50</v>
      </c>
      <c r="D167" s="73">
        <v>5</v>
      </c>
      <c r="E167" s="110"/>
      <c r="F167" s="108" t="s">
        <v>93</v>
      </c>
      <c r="G167" s="45">
        <v>1</v>
      </c>
      <c r="H167" s="38">
        <f t="shared" si="33"/>
        <v>98.666666666666671</v>
      </c>
      <c r="I167" s="116">
        <f t="shared" si="30"/>
        <v>0</v>
      </c>
      <c r="J167" s="151"/>
      <c r="K167" s="98" t="s">
        <v>43</v>
      </c>
      <c r="L167" s="71" t="s">
        <v>50</v>
      </c>
      <c r="M167" s="73">
        <v>5</v>
      </c>
      <c r="N167" s="130">
        <v>1</v>
      </c>
      <c r="O167" s="108" t="s">
        <v>93</v>
      </c>
      <c r="P167" s="45">
        <v>1</v>
      </c>
      <c r="Q167" s="38">
        <f t="shared" si="34"/>
        <v>98.666666666666671</v>
      </c>
      <c r="R167" s="114">
        <f>((N167/(Q167*S167))*P167)*1000</f>
        <v>2.0270270270270268</v>
      </c>
      <c r="S167" s="35">
        <v>5</v>
      </c>
      <c r="T167" s="131">
        <v>3</v>
      </c>
      <c r="U167" s="133">
        <f>((T167/Q167/S167)*P167)*1000</f>
        <v>6.0810810810810807</v>
      </c>
    </row>
    <row r="168" spans="1:21" x14ac:dyDescent="0.25">
      <c r="A168" s="1" t="s">
        <v>150</v>
      </c>
      <c r="B168" s="96" t="s">
        <v>43</v>
      </c>
      <c r="C168" s="26" t="s">
        <v>51</v>
      </c>
      <c r="D168" s="64" t="s">
        <v>96</v>
      </c>
      <c r="E168" s="29">
        <v>3509</v>
      </c>
      <c r="F168" s="120" t="s">
        <v>93</v>
      </c>
      <c r="G168" s="29">
        <v>1</v>
      </c>
      <c r="H168" s="29">
        <f t="shared" si="33"/>
        <v>98.666666666666671</v>
      </c>
      <c r="I168" s="113">
        <f>((E168/H168)*G168)*1000</f>
        <v>35564.189189189186</v>
      </c>
      <c r="K168" s="96" t="s">
        <v>43</v>
      </c>
      <c r="L168" s="26" t="s">
        <v>51</v>
      </c>
      <c r="M168" s="64" t="s">
        <v>96</v>
      </c>
      <c r="N168" s="44">
        <v>3860</v>
      </c>
      <c r="O168" s="120" t="s">
        <v>93</v>
      </c>
      <c r="P168" s="29">
        <v>1</v>
      </c>
      <c r="Q168" s="29">
        <f t="shared" si="34"/>
        <v>98.666666666666671</v>
      </c>
      <c r="R168" s="113">
        <f>((N168/Q168)*P168)*1000</f>
        <v>39121.62162162162</v>
      </c>
    </row>
    <row r="169" spans="1:21" x14ac:dyDescent="0.25">
      <c r="A169" s="1" t="s">
        <v>150</v>
      </c>
      <c r="B169" s="97" t="s">
        <v>43</v>
      </c>
      <c r="C169" s="31" t="s">
        <v>51</v>
      </c>
      <c r="D169" s="57">
        <v>0</v>
      </c>
      <c r="E169" s="42">
        <v>723</v>
      </c>
      <c r="F169" s="112" t="s">
        <v>93</v>
      </c>
      <c r="G169" s="33">
        <v>1</v>
      </c>
      <c r="H169" s="33">
        <f t="shared" si="33"/>
        <v>98.666666666666671</v>
      </c>
      <c r="I169" s="114">
        <f t="shared" si="30"/>
        <v>7327.7027027027025</v>
      </c>
      <c r="K169" s="97" t="s">
        <v>43</v>
      </c>
      <c r="L169" s="31" t="s">
        <v>51</v>
      </c>
      <c r="M169" s="57">
        <v>0</v>
      </c>
      <c r="N169" s="42">
        <v>685</v>
      </c>
      <c r="O169" s="112" t="s">
        <v>93</v>
      </c>
      <c r="P169" s="33">
        <v>1</v>
      </c>
      <c r="Q169" s="33">
        <f t="shared" si="34"/>
        <v>98.666666666666671</v>
      </c>
      <c r="R169" s="114">
        <f t="shared" ref="R169:R174" si="39">((N169/Q169)*P169)*1000</f>
        <v>6942.5675675675675</v>
      </c>
    </row>
    <row r="170" spans="1:21" x14ac:dyDescent="0.25">
      <c r="A170" s="1" t="s">
        <v>150</v>
      </c>
      <c r="B170" s="97" t="s">
        <v>43</v>
      </c>
      <c r="C170" s="31" t="s">
        <v>51</v>
      </c>
      <c r="D170" s="57">
        <v>1</v>
      </c>
      <c r="E170" s="42">
        <v>176</v>
      </c>
      <c r="F170" s="112" t="s">
        <v>93</v>
      </c>
      <c r="G170" s="33">
        <v>1</v>
      </c>
      <c r="H170" s="33">
        <f t="shared" si="33"/>
        <v>98.666666666666671</v>
      </c>
      <c r="I170" s="114">
        <f t="shared" si="30"/>
        <v>1783.7837837837837</v>
      </c>
      <c r="K170" s="97" t="s">
        <v>43</v>
      </c>
      <c r="L170" s="31" t="s">
        <v>51</v>
      </c>
      <c r="M170" s="57">
        <v>1</v>
      </c>
      <c r="N170" s="42">
        <v>183</v>
      </c>
      <c r="O170" s="112" t="s">
        <v>93</v>
      </c>
      <c r="P170" s="33">
        <v>1</v>
      </c>
      <c r="Q170" s="33">
        <f t="shared" si="34"/>
        <v>98.666666666666671</v>
      </c>
      <c r="R170" s="114">
        <f t="shared" si="39"/>
        <v>1854.7297297297296</v>
      </c>
    </row>
    <row r="171" spans="1:21" x14ac:dyDescent="0.25">
      <c r="A171" s="1" t="s">
        <v>150</v>
      </c>
      <c r="B171" s="97" t="s">
        <v>43</v>
      </c>
      <c r="C171" s="31" t="s">
        <v>51</v>
      </c>
      <c r="D171" s="57">
        <v>2</v>
      </c>
      <c r="E171" s="42">
        <v>26</v>
      </c>
      <c r="F171" s="107" t="s">
        <v>93</v>
      </c>
      <c r="G171" s="42">
        <v>1</v>
      </c>
      <c r="H171" s="33">
        <f t="shared" si="33"/>
        <v>98.666666666666671</v>
      </c>
      <c r="I171" s="114">
        <f t="shared" si="30"/>
        <v>263.51351351351349</v>
      </c>
      <c r="K171" s="97" t="s">
        <v>43</v>
      </c>
      <c r="L171" s="31" t="s">
        <v>51</v>
      </c>
      <c r="M171" s="57">
        <v>2</v>
      </c>
      <c r="N171" s="42">
        <v>35</v>
      </c>
      <c r="O171" s="107" t="s">
        <v>93</v>
      </c>
      <c r="P171" s="42">
        <v>1</v>
      </c>
      <c r="Q171" s="33">
        <f t="shared" si="34"/>
        <v>98.666666666666671</v>
      </c>
      <c r="R171" s="114">
        <f t="shared" si="39"/>
        <v>354.72972972972974</v>
      </c>
    </row>
    <row r="172" spans="1:21" ht="15.75" thickBot="1" x14ac:dyDescent="0.3">
      <c r="A172" s="1" t="s">
        <v>150</v>
      </c>
      <c r="B172" s="97" t="s">
        <v>43</v>
      </c>
      <c r="C172" s="31" t="s">
        <v>51</v>
      </c>
      <c r="D172" s="57">
        <v>3</v>
      </c>
      <c r="E172" s="109"/>
      <c r="F172" s="107" t="s">
        <v>93</v>
      </c>
      <c r="G172" s="42">
        <v>1</v>
      </c>
      <c r="H172" s="33">
        <f t="shared" si="33"/>
        <v>98.666666666666671</v>
      </c>
      <c r="I172" s="114">
        <f t="shared" si="30"/>
        <v>0</v>
      </c>
      <c r="J172" s="151" t="s">
        <v>152</v>
      </c>
      <c r="K172" s="97" t="s">
        <v>43</v>
      </c>
      <c r="L172" s="31" t="s">
        <v>51</v>
      </c>
      <c r="M172" s="57">
        <v>3</v>
      </c>
      <c r="N172" s="42">
        <v>19</v>
      </c>
      <c r="O172" s="107" t="s">
        <v>93</v>
      </c>
      <c r="P172" s="42">
        <v>1</v>
      </c>
      <c r="Q172" s="33">
        <f t="shared" si="34"/>
        <v>98.666666666666671</v>
      </c>
      <c r="R172" s="114">
        <f t="shared" si="39"/>
        <v>192.56756756756758</v>
      </c>
    </row>
    <row r="173" spans="1:21" ht="15.75" thickBot="1" x14ac:dyDescent="0.3">
      <c r="A173" s="1" t="s">
        <v>150</v>
      </c>
      <c r="B173" s="97" t="s">
        <v>43</v>
      </c>
      <c r="C173" s="58" t="s">
        <v>51</v>
      </c>
      <c r="D173" s="57">
        <v>4</v>
      </c>
      <c r="E173" s="109"/>
      <c r="F173" s="107" t="s">
        <v>93</v>
      </c>
      <c r="G173" s="42">
        <v>1</v>
      </c>
      <c r="H173" s="33">
        <f t="shared" si="33"/>
        <v>98.666666666666671</v>
      </c>
      <c r="I173" s="114">
        <f t="shared" si="30"/>
        <v>0</v>
      </c>
      <c r="J173" s="151"/>
      <c r="K173" s="97" t="s">
        <v>43</v>
      </c>
      <c r="L173" s="58" t="s">
        <v>51</v>
      </c>
      <c r="M173" s="57">
        <v>4</v>
      </c>
      <c r="N173" s="124">
        <v>5</v>
      </c>
      <c r="O173" s="107" t="s">
        <v>93</v>
      </c>
      <c r="P173" s="42">
        <v>1</v>
      </c>
      <c r="Q173" s="33">
        <f t="shared" si="34"/>
        <v>98.666666666666671</v>
      </c>
      <c r="R173" s="114">
        <f>((N173/(Q173*S173))*P173)*1000</f>
        <v>16.891891891891891</v>
      </c>
      <c r="S173" s="126">
        <v>3</v>
      </c>
      <c r="T173" s="134">
        <v>7</v>
      </c>
      <c r="U173" s="135">
        <f>((T173/Q173/S173)*P173)*1000</f>
        <v>23.648648648648646</v>
      </c>
    </row>
    <row r="174" spans="1:21" ht="15.75" thickBot="1" x14ac:dyDescent="0.3">
      <c r="A174" s="1" t="s">
        <v>150</v>
      </c>
      <c r="B174" s="98" t="s">
        <v>43</v>
      </c>
      <c r="C174" s="71" t="s">
        <v>51</v>
      </c>
      <c r="D174" s="73">
        <v>5</v>
      </c>
      <c r="E174" s="110"/>
      <c r="F174" s="108" t="s">
        <v>93</v>
      </c>
      <c r="G174" s="45">
        <v>1</v>
      </c>
      <c r="H174" s="38">
        <f>(3000-1520)/15</f>
        <v>98.666666666666671</v>
      </c>
      <c r="I174" s="116">
        <f t="shared" si="30"/>
        <v>0</v>
      </c>
      <c r="J174" s="151"/>
      <c r="K174" s="98" t="s">
        <v>43</v>
      </c>
      <c r="L174" s="71" t="s">
        <v>51</v>
      </c>
      <c r="M174" s="73">
        <v>5</v>
      </c>
      <c r="N174" s="130">
        <v>0</v>
      </c>
      <c r="O174" s="108" t="s">
        <v>93</v>
      </c>
      <c r="P174" s="45">
        <v>1</v>
      </c>
      <c r="Q174" s="38">
        <f>(3000-1520)/15</f>
        <v>98.666666666666671</v>
      </c>
      <c r="R174" s="116">
        <f t="shared" si="39"/>
        <v>0</v>
      </c>
    </row>
    <row r="175" spans="1:21" x14ac:dyDescent="0.25">
      <c r="B175" s="57"/>
      <c r="C175" s="58"/>
      <c r="D175" s="57"/>
      <c r="E175" s="33"/>
      <c r="F175" s="112"/>
      <c r="G175" s="33"/>
      <c r="H175" s="33"/>
      <c r="I175" s="111"/>
    </row>
    <row r="176" spans="1:21" x14ac:dyDescent="0.25">
      <c r="B176" s="57"/>
      <c r="C176" s="58"/>
      <c r="D176" s="57"/>
      <c r="E176" s="33"/>
      <c r="F176" s="112"/>
      <c r="G176" s="33"/>
      <c r="H176" s="33"/>
      <c r="I176" s="111"/>
    </row>
    <row r="177" spans="2:9" x14ac:dyDescent="0.25">
      <c r="B177" s="57"/>
      <c r="C177" s="58"/>
      <c r="D177" s="57"/>
      <c r="E177" s="33"/>
      <c r="F177" s="112"/>
      <c r="G177" s="33"/>
      <c r="H177" s="33"/>
      <c r="I177" s="111"/>
    </row>
  </sheetData>
  <mergeCells count="5">
    <mergeCell ref="E1:I1"/>
    <mergeCell ref="J13:M14"/>
    <mergeCell ref="J157:J160"/>
    <mergeCell ref="J165:J167"/>
    <mergeCell ref="J172:J17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7"/>
  <sheetViews>
    <sheetView zoomScale="50" zoomScaleNormal="50" workbookViewId="0">
      <selection activeCell="H12" sqref="H12"/>
    </sheetView>
  </sheetViews>
  <sheetFormatPr baseColWidth="10" defaultRowHeight="15" x14ac:dyDescent="0.25"/>
  <cols>
    <col min="1" max="3" width="11.42578125" style="1"/>
    <col min="8" max="8" width="12.85546875" customWidth="1"/>
  </cols>
  <sheetData>
    <row r="2" spans="1:6" ht="15.75" thickBot="1" x14ac:dyDescent="0.3">
      <c r="A2" s="1" t="s">
        <v>0</v>
      </c>
      <c r="B2" s="1" t="s">
        <v>1</v>
      </c>
      <c r="C2" s="1" t="s">
        <v>4</v>
      </c>
      <c r="D2" s="9"/>
      <c r="F2" s="125" t="s">
        <v>166</v>
      </c>
    </row>
    <row r="3" spans="1:6" x14ac:dyDescent="0.25">
      <c r="A3" s="90" t="s">
        <v>40</v>
      </c>
      <c r="B3" s="26" t="s">
        <v>49</v>
      </c>
      <c r="C3" s="29" t="s">
        <v>96</v>
      </c>
      <c r="D3" s="127">
        <f>Cyto!I3</f>
        <v>25016601.5625</v>
      </c>
      <c r="F3" s="79" t="s">
        <v>167</v>
      </c>
    </row>
    <row r="4" spans="1:6" x14ac:dyDescent="0.25">
      <c r="A4" s="91" t="s">
        <v>40</v>
      </c>
      <c r="B4" s="31" t="s">
        <v>49</v>
      </c>
      <c r="C4" s="33">
        <v>1</v>
      </c>
      <c r="D4" s="128">
        <f>Cyto!I4</f>
        <v>2532128.90625</v>
      </c>
    </row>
    <row r="5" spans="1:6" x14ac:dyDescent="0.25">
      <c r="A5" s="91" t="s">
        <v>40</v>
      </c>
      <c r="B5" s="31" t="s">
        <v>49</v>
      </c>
      <c r="C5" s="33">
        <v>2</v>
      </c>
      <c r="D5" s="128">
        <f>Cyto!I5</f>
        <v>532148.4375</v>
      </c>
    </row>
    <row r="6" spans="1:6" x14ac:dyDescent="0.25">
      <c r="A6" s="91" t="s">
        <v>40</v>
      </c>
      <c r="B6" s="31" t="s">
        <v>49</v>
      </c>
      <c r="C6" s="33">
        <v>3</v>
      </c>
      <c r="D6" s="128">
        <f>Cyto!I6</f>
        <v>259394.53125</v>
      </c>
    </row>
    <row r="7" spans="1:6" x14ac:dyDescent="0.25">
      <c r="A7" s="91" t="s">
        <v>40</v>
      </c>
      <c r="B7" s="31" t="s">
        <v>49</v>
      </c>
      <c r="C7" s="33">
        <v>4</v>
      </c>
      <c r="D7" s="128">
        <f>Cyto!I7</f>
        <v>26601.5625</v>
      </c>
    </row>
    <row r="8" spans="1:6" ht="15.75" thickBot="1" x14ac:dyDescent="0.3">
      <c r="A8" s="92" t="s">
        <v>40</v>
      </c>
      <c r="B8" s="36" t="s">
        <v>49</v>
      </c>
      <c r="C8" s="38">
        <v>5</v>
      </c>
      <c r="D8" s="129">
        <f>Cyto!I8</f>
        <v>25634.765625</v>
      </c>
    </row>
    <row r="9" spans="1:6" x14ac:dyDescent="0.25">
      <c r="A9" s="90" t="s">
        <v>40</v>
      </c>
      <c r="B9" s="26" t="s">
        <v>50</v>
      </c>
      <c r="C9" s="29" t="s">
        <v>96</v>
      </c>
      <c r="D9" s="127">
        <f>Cyto!I9</f>
        <v>21222656.25</v>
      </c>
    </row>
    <row r="10" spans="1:6" x14ac:dyDescent="0.25">
      <c r="A10" s="91" t="s">
        <v>40</v>
      </c>
      <c r="B10" s="31" t="s">
        <v>50</v>
      </c>
      <c r="C10" s="33">
        <v>1</v>
      </c>
      <c r="D10" s="128">
        <f>Cyto!I10</f>
        <v>3434472.65625</v>
      </c>
    </row>
    <row r="11" spans="1:6" x14ac:dyDescent="0.25">
      <c r="A11" s="91" t="s">
        <v>40</v>
      </c>
      <c r="B11" s="31" t="s">
        <v>50</v>
      </c>
      <c r="C11" s="33">
        <v>2</v>
      </c>
      <c r="D11" s="128">
        <f>Cyto!I11</f>
        <v>691054.6875</v>
      </c>
    </row>
    <row r="12" spans="1:6" x14ac:dyDescent="0.25">
      <c r="A12" s="91" t="s">
        <v>40</v>
      </c>
      <c r="B12" s="31" t="s">
        <v>50</v>
      </c>
      <c r="C12" s="33">
        <v>3</v>
      </c>
      <c r="D12" s="128">
        <f>Cyto!I12</f>
        <v>251220.703125</v>
      </c>
    </row>
    <row r="13" spans="1:6" x14ac:dyDescent="0.25">
      <c r="A13" s="91" t="s">
        <v>40</v>
      </c>
      <c r="B13" s="31" t="s">
        <v>50</v>
      </c>
      <c r="C13" s="33">
        <v>4</v>
      </c>
      <c r="D13" s="128">
        <f>Cyto!I13</f>
        <v>22558.59375</v>
      </c>
    </row>
    <row r="14" spans="1:6" ht="15.75" thickBot="1" x14ac:dyDescent="0.3">
      <c r="A14" s="92" t="s">
        <v>40</v>
      </c>
      <c r="B14" s="36" t="s">
        <v>50</v>
      </c>
      <c r="C14" s="38">
        <v>5</v>
      </c>
      <c r="D14" s="129">
        <f>Cyto!I14</f>
        <v>115839.84375</v>
      </c>
    </row>
    <row r="15" spans="1:6" x14ac:dyDescent="0.25">
      <c r="A15" s="90" t="s">
        <v>40</v>
      </c>
      <c r="B15" s="26" t="s">
        <v>51</v>
      </c>
      <c r="C15" s="29" t="s">
        <v>96</v>
      </c>
      <c r="D15" s="127">
        <f>Cyto!I15</f>
        <v>31992187.5</v>
      </c>
    </row>
    <row r="16" spans="1:6" x14ac:dyDescent="0.25">
      <c r="A16" s="91" t="s">
        <v>40</v>
      </c>
      <c r="B16" s="31" t="s">
        <v>51</v>
      </c>
      <c r="C16" s="33">
        <v>1</v>
      </c>
      <c r="D16" s="128">
        <f>Cyto!I16</f>
        <v>2952539.0625</v>
      </c>
    </row>
    <row r="17" spans="1:4" x14ac:dyDescent="0.25">
      <c r="A17" s="91" t="s">
        <v>40</v>
      </c>
      <c r="B17" s="31" t="s">
        <v>51</v>
      </c>
      <c r="C17" s="33">
        <v>2</v>
      </c>
      <c r="D17" s="128">
        <f>Cyto!I17</f>
        <v>587343.75</v>
      </c>
    </row>
    <row r="18" spans="1:4" x14ac:dyDescent="0.25">
      <c r="A18" s="91" t="s">
        <v>40</v>
      </c>
      <c r="B18" s="31" t="s">
        <v>51</v>
      </c>
      <c r="C18" s="33">
        <v>3</v>
      </c>
      <c r="D18" s="128">
        <f>Cyto!I18</f>
        <v>122988.28125</v>
      </c>
    </row>
    <row r="19" spans="1:4" x14ac:dyDescent="0.25">
      <c r="A19" s="91" t="s">
        <v>40</v>
      </c>
      <c r="B19" s="31" t="s">
        <v>51</v>
      </c>
      <c r="C19" s="33">
        <v>4</v>
      </c>
      <c r="D19" s="128">
        <f>Cyto!I19</f>
        <v>32812.5</v>
      </c>
    </row>
    <row r="20" spans="1:4" ht="15.75" thickBot="1" x14ac:dyDescent="0.3">
      <c r="A20" s="92" t="s">
        <v>40</v>
      </c>
      <c r="B20" s="36" t="s">
        <v>51</v>
      </c>
      <c r="C20" s="38">
        <v>5</v>
      </c>
      <c r="D20" s="129">
        <f>Cyto!I20</f>
        <v>16376.953125</v>
      </c>
    </row>
    <row r="21" spans="1:4" x14ac:dyDescent="0.25">
      <c r="A21" s="90" t="s">
        <v>40</v>
      </c>
      <c r="B21" s="26" t="s">
        <v>131</v>
      </c>
      <c r="C21" s="29" t="s">
        <v>96</v>
      </c>
      <c r="D21" s="127">
        <f>Cyto!I21</f>
        <v>19600000</v>
      </c>
    </row>
    <row r="22" spans="1:4" x14ac:dyDescent="0.25">
      <c r="A22" s="91" t="s">
        <v>40</v>
      </c>
      <c r="B22" s="31" t="s">
        <v>131</v>
      </c>
      <c r="C22" s="33">
        <v>1</v>
      </c>
      <c r="D22" s="128">
        <f>Cyto!I22</f>
        <v>1871368.4210526317</v>
      </c>
    </row>
    <row r="23" spans="1:4" x14ac:dyDescent="0.25">
      <c r="A23" s="91" t="s">
        <v>40</v>
      </c>
      <c r="B23" s="31" t="s">
        <v>131</v>
      </c>
      <c r="C23" s="33">
        <v>2</v>
      </c>
      <c r="D23" s="128">
        <f>Cyto!I23</f>
        <v>405242.10526315792</v>
      </c>
    </row>
    <row r="24" spans="1:4" x14ac:dyDescent="0.25">
      <c r="A24" s="91" t="s">
        <v>40</v>
      </c>
      <c r="B24" s="31" t="s">
        <v>131</v>
      </c>
      <c r="C24" s="33">
        <v>3</v>
      </c>
      <c r="D24" s="128">
        <f>Cyto!I24</f>
        <v>108315.7894736842</v>
      </c>
    </row>
    <row r="25" spans="1:4" x14ac:dyDescent="0.25">
      <c r="A25" s="91" t="s">
        <v>40</v>
      </c>
      <c r="B25" s="31" t="s">
        <v>131</v>
      </c>
      <c r="C25" s="33">
        <v>4</v>
      </c>
      <c r="D25" s="128">
        <f>Cyto!I25</f>
        <v>21368.42105263158</v>
      </c>
    </row>
    <row r="26" spans="1:4" ht="15.75" thickBot="1" x14ac:dyDescent="0.3">
      <c r="A26" s="92" t="s">
        <v>40</v>
      </c>
      <c r="B26" s="36" t="s">
        <v>131</v>
      </c>
      <c r="C26" s="38">
        <v>5</v>
      </c>
      <c r="D26" s="129">
        <f>Cyto!I26</f>
        <v>9557.894736842105</v>
      </c>
    </row>
    <row r="27" spans="1:4" x14ac:dyDescent="0.25">
      <c r="A27" s="93" t="s">
        <v>41</v>
      </c>
      <c r="B27" s="26" t="s">
        <v>49</v>
      </c>
      <c r="C27" s="29" t="s">
        <v>96</v>
      </c>
      <c r="D27" s="127">
        <f>Cyto!I27</f>
        <v>56037209.302325584</v>
      </c>
    </row>
    <row r="28" spans="1:4" x14ac:dyDescent="0.25">
      <c r="A28" s="94" t="s">
        <v>41</v>
      </c>
      <c r="B28" s="31" t="s">
        <v>49</v>
      </c>
      <c r="C28" s="33">
        <v>1</v>
      </c>
      <c r="D28" s="128">
        <f>Cyto!I28</f>
        <v>4016511.6279069763</v>
      </c>
    </row>
    <row r="29" spans="1:4" x14ac:dyDescent="0.25">
      <c r="A29" s="94" t="s">
        <v>41</v>
      </c>
      <c r="B29" s="31" t="s">
        <v>49</v>
      </c>
      <c r="C29" s="33">
        <v>2</v>
      </c>
      <c r="D29" s="128">
        <f>Cyto!I29</f>
        <v>816697.67441860458</v>
      </c>
    </row>
    <row r="30" spans="1:4" x14ac:dyDescent="0.25">
      <c r="A30" s="94" t="s">
        <v>41</v>
      </c>
      <c r="B30" s="31" t="s">
        <v>49</v>
      </c>
      <c r="C30" s="33">
        <v>3</v>
      </c>
      <c r="D30" s="128">
        <f>Cyto!I30</f>
        <v>301500</v>
      </c>
    </row>
    <row r="31" spans="1:4" x14ac:dyDescent="0.25">
      <c r="A31" s="94" t="s">
        <v>41</v>
      </c>
      <c r="B31" s="31" t="s">
        <v>49</v>
      </c>
      <c r="C31" s="33">
        <v>4</v>
      </c>
      <c r="D31" s="128">
        <f>Cyto!I31</f>
        <v>57383.720930232557</v>
      </c>
    </row>
    <row r="32" spans="1:4" ht="15.75" thickBot="1" x14ac:dyDescent="0.3">
      <c r="A32" s="95" t="s">
        <v>41</v>
      </c>
      <c r="B32" s="36" t="s">
        <v>49</v>
      </c>
      <c r="C32" s="38">
        <v>5</v>
      </c>
      <c r="D32" s="129">
        <f>Cyto!I32</f>
        <v>30523.255813953485</v>
      </c>
    </row>
    <row r="33" spans="1:4" x14ac:dyDescent="0.25">
      <c r="A33" s="93" t="s">
        <v>41</v>
      </c>
      <c r="B33" s="26" t="s">
        <v>50</v>
      </c>
      <c r="C33" s="29" t="s">
        <v>96</v>
      </c>
      <c r="D33" s="127">
        <f>Cyto!I33</f>
        <v>28325581.395348836</v>
      </c>
    </row>
    <row r="34" spans="1:4" x14ac:dyDescent="0.25">
      <c r="A34" s="94" t="s">
        <v>41</v>
      </c>
      <c r="B34" s="31" t="s">
        <v>50</v>
      </c>
      <c r="C34" s="42">
        <v>1</v>
      </c>
      <c r="D34" s="128">
        <f>Cyto!I34</f>
        <v>4126395.3488372089</v>
      </c>
    </row>
    <row r="35" spans="1:4" x14ac:dyDescent="0.25">
      <c r="A35" s="94" t="s">
        <v>41</v>
      </c>
      <c r="B35" s="31" t="s">
        <v>50</v>
      </c>
      <c r="C35" s="33">
        <v>2</v>
      </c>
      <c r="D35" s="128">
        <f>Cyto!I35</f>
        <v>816767.4418604651</v>
      </c>
    </row>
    <row r="36" spans="1:4" x14ac:dyDescent="0.25">
      <c r="A36" s="94" t="s">
        <v>41</v>
      </c>
      <c r="B36" s="31" t="s">
        <v>50</v>
      </c>
      <c r="C36" s="33">
        <v>3</v>
      </c>
      <c r="D36" s="128">
        <f>Cyto!I36</f>
        <v>277151.16279069765</v>
      </c>
    </row>
    <row r="37" spans="1:4" x14ac:dyDescent="0.25">
      <c r="A37" s="94" t="s">
        <v>41</v>
      </c>
      <c r="B37" s="31" t="s">
        <v>50</v>
      </c>
      <c r="C37" s="33">
        <v>4</v>
      </c>
      <c r="D37" s="128">
        <f>Cyto!I37</f>
        <v>112325.58139534884</v>
      </c>
    </row>
    <row r="38" spans="1:4" ht="15.75" thickBot="1" x14ac:dyDescent="0.3">
      <c r="A38" s="95" t="s">
        <v>41</v>
      </c>
      <c r="B38" s="36" t="s">
        <v>50</v>
      </c>
      <c r="C38" s="38">
        <v>5</v>
      </c>
      <c r="D38" s="129">
        <f>Cyto!I38</f>
        <v>28046.511627906977</v>
      </c>
    </row>
    <row r="39" spans="1:4" x14ac:dyDescent="0.25">
      <c r="A39" s="93" t="s">
        <v>41</v>
      </c>
      <c r="B39" s="26" t="s">
        <v>51</v>
      </c>
      <c r="C39" s="29" t="s">
        <v>96</v>
      </c>
      <c r="D39" s="127">
        <f>Cyto!I39</f>
        <v>36505813.953488372</v>
      </c>
    </row>
    <row r="40" spans="1:4" x14ac:dyDescent="0.25">
      <c r="A40" s="94" t="s">
        <v>41</v>
      </c>
      <c r="B40" s="31" t="s">
        <v>51</v>
      </c>
      <c r="C40" s="33">
        <v>1</v>
      </c>
      <c r="D40" s="128">
        <f>Cyto!I40</f>
        <v>4773139.5348837208</v>
      </c>
    </row>
    <row r="41" spans="1:4" x14ac:dyDescent="0.25">
      <c r="A41" s="94" t="s">
        <v>41</v>
      </c>
      <c r="B41" s="31" t="s">
        <v>51</v>
      </c>
      <c r="C41" s="33">
        <v>2</v>
      </c>
      <c r="D41" s="128">
        <f>Cyto!I41</f>
        <v>1082755.8139534884</v>
      </c>
    </row>
    <row r="42" spans="1:4" x14ac:dyDescent="0.25">
      <c r="A42" s="94" t="s">
        <v>41</v>
      </c>
      <c r="B42" s="31" t="s">
        <v>51</v>
      </c>
      <c r="C42" s="33">
        <v>3</v>
      </c>
      <c r="D42" s="128">
        <f>Cyto!I42</f>
        <v>282034.8837209302</v>
      </c>
    </row>
    <row r="43" spans="1:4" x14ac:dyDescent="0.25">
      <c r="A43" s="94" t="s">
        <v>41</v>
      </c>
      <c r="B43" s="31" t="s">
        <v>51</v>
      </c>
      <c r="C43" s="33">
        <v>4</v>
      </c>
      <c r="D43" s="128">
        <f>Cyto!I43</f>
        <v>120802.32558139534</v>
      </c>
    </row>
    <row r="44" spans="1:4" ht="15.75" thickBot="1" x14ac:dyDescent="0.3">
      <c r="A44" s="95" t="s">
        <v>41</v>
      </c>
      <c r="B44" s="36" t="s">
        <v>51</v>
      </c>
      <c r="C44" s="38">
        <v>5</v>
      </c>
      <c r="D44" s="129">
        <f>Cyto!I44</f>
        <v>36627.906976744183</v>
      </c>
    </row>
    <row r="45" spans="1:4" x14ac:dyDescent="0.25">
      <c r="A45" s="90" t="s">
        <v>42</v>
      </c>
      <c r="B45" s="26" t="s">
        <v>49</v>
      </c>
      <c r="C45" s="29" t="s">
        <v>96</v>
      </c>
      <c r="D45" s="127">
        <f>Cyto!I45</f>
        <v>31910156.25</v>
      </c>
    </row>
    <row r="46" spans="1:4" x14ac:dyDescent="0.25">
      <c r="A46" s="91" t="s">
        <v>42</v>
      </c>
      <c r="B46" s="31" t="s">
        <v>49</v>
      </c>
      <c r="C46" s="33">
        <v>0</v>
      </c>
      <c r="D46" s="128">
        <f>Cyto!I46</f>
        <v>6135937.5</v>
      </c>
    </row>
    <row r="47" spans="1:4" x14ac:dyDescent="0.25">
      <c r="A47" s="91" t="s">
        <v>42</v>
      </c>
      <c r="B47" s="31" t="s">
        <v>49</v>
      </c>
      <c r="C47" s="33" t="s">
        <v>105</v>
      </c>
      <c r="D47" s="128">
        <f>Cyto!I47</f>
        <v>1353515.625</v>
      </c>
    </row>
    <row r="48" spans="1:4" x14ac:dyDescent="0.25">
      <c r="A48" s="91" t="s">
        <v>42</v>
      </c>
      <c r="B48" s="31" t="s">
        <v>49</v>
      </c>
      <c r="C48" s="33">
        <v>1</v>
      </c>
      <c r="D48" s="128">
        <f>Cyto!I48</f>
        <v>369960.9375</v>
      </c>
    </row>
    <row r="49" spans="1:4" x14ac:dyDescent="0.25">
      <c r="A49" s="91" t="s">
        <v>42</v>
      </c>
      <c r="B49" s="31" t="s">
        <v>49</v>
      </c>
      <c r="C49" s="33">
        <v>2</v>
      </c>
      <c r="D49" s="128">
        <f>Cyto!I49</f>
        <v>38531.25</v>
      </c>
    </row>
    <row r="50" spans="1:4" ht="15.75" thickBot="1" x14ac:dyDescent="0.3">
      <c r="A50" s="92" t="s">
        <v>42</v>
      </c>
      <c r="B50" s="36" t="s">
        <v>49</v>
      </c>
      <c r="C50" s="38">
        <v>3</v>
      </c>
      <c r="D50" s="129">
        <f>Cyto!I50</f>
        <v>22945.3125</v>
      </c>
    </row>
    <row r="51" spans="1:4" x14ac:dyDescent="0.25">
      <c r="A51" s="90" t="s">
        <v>42</v>
      </c>
      <c r="B51" s="26" t="s">
        <v>50</v>
      </c>
      <c r="C51" s="29" t="s">
        <v>96</v>
      </c>
      <c r="D51" s="127">
        <f>Cyto!I51</f>
        <v>43558593.75</v>
      </c>
    </row>
    <row r="52" spans="1:4" x14ac:dyDescent="0.25">
      <c r="A52" s="91" t="s">
        <v>42</v>
      </c>
      <c r="B52" s="31" t="s">
        <v>50</v>
      </c>
      <c r="C52" s="33">
        <v>1</v>
      </c>
      <c r="D52" s="128">
        <f>Cyto!I52</f>
        <v>10081406.25</v>
      </c>
    </row>
    <row r="53" spans="1:4" x14ac:dyDescent="0.25">
      <c r="A53" s="91" t="s">
        <v>42</v>
      </c>
      <c r="B53" s="31" t="s">
        <v>50</v>
      </c>
      <c r="C53" s="33">
        <v>2</v>
      </c>
      <c r="D53" s="128">
        <f>Cyto!I53</f>
        <v>2264062.5</v>
      </c>
    </row>
    <row r="54" spans="1:4" x14ac:dyDescent="0.25">
      <c r="A54" s="91" t="s">
        <v>42</v>
      </c>
      <c r="B54" s="31" t="s">
        <v>50</v>
      </c>
      <c r="C54" s="33">
        <v>3</v>
      </c>
      <c r="D54" s="128">
        <f>Cyto!I54</f>
        <v>663609.375</v>
      </c>
    </row>
    <row r="55" spans="1:4" x14ac:dyDescent="0.25">
      <c r="A55" s="91" t="s">
        <v>42</v>
      </c>
      <c r="B55" s="31" t="s">
        <v>50</v>
      </c>
      <c r="C55" s="33">
        <v>4</v>
      </c>
      <c r="D55" s="128">
        <f>Cyto!I55</f>
        <v>103335.9375</v>
      </c>
    </row>
    <row r="56" spans="1:4" ht="15.75" thickBot="1" x14ac:dyDescent="0.3">
      <c r="A56" s="92" t="s">
        <v>42</v>
      </c>
      <c r="B56" s="36" t="s">
        <v>50</v>
      </c>
      <c r="C56" s="38">
        <v>5</v>
      </c>
      <c r="D56" s="129">
        <f>Cyto!I56</f>
        <v>46757.8125</v>
      </c>
    </row>
    <row r="57" spans="1:4" x14ac:dyDescent="0.25">
      <c r="A57" s="90" t="s">
        <v>42</v>
      </c>
      <c r="B57" s="26" t="s">
        <v>51</v>
      </c>
      <c r="C57" s="29" t="s">
        <v>96</v>
      </c>
      <c r="D57" s="127">
        <f>Cyto!I57</f>
        <v>56681250</v>
      </c>
    </row>
    <row r="58" spans="1:4" x14ac:dyDescent="0.25">
      <c r="A58" s="91" t="s">
        <v>42</v>
      </c>
      <c r="B58" s="31" t="s">
        <v>51</v>
      </c>
      <c r="C58" s="33">
        <v>1</v>
      </c>
      <c r="D58" s="128">
        <f>Cyto!I58</f>
        <v>10360546.875</v>
      </c>
    </row>
    <row r="59" spans="1:4" x14ac:dyDescent="0.25">
      <c r="A59" s="91" t="s">
        <v>42</v>
      </c>
      <c r="B59" s="31" t="s">
        <v>51</v>
      </c>
      <c r="C59" s="33">
        <v>2</v>
      </c>
      <c r="D59" s="128">
        <f>Cyto!I59</f>
        <v>2189531.25</v>
      </c>
    </row>
    <row r="60" spans="1:4" x14ac:dyDescent="0.25">
      <c r="A60" s="91" t="s">
        <v>42</v>
      </c>
      <c r="B60" s="31" t="s">
        <v>51</v>
      </c>
      <c r="C60" s="33">
        <v>3</v>
      </c>
      <c r="D60" s="128">
        <f>Cyto!I60</f>
        <v>575039.0625</v>
      </c>
    </row>
    <row r="61" spans="1:4" x14ac:dyDescent="0.25">
      <c r="A61" s="91" t="s">
        <v>42</v>
      </c>
      <c r="B61" s="31" t="s">
        <v>51</v>
      </c>
      <c r="C61" s="33">
        <v>4</v>
      </c>
      <c r="D61" s="128">
        <f>Cyto!I61</f>
        <v>281343.75</v>
      </c>
    </row>
    <row r="62" spans="1:4" ht="15.75" thickBot="1" x14ac:dyDescent="0.3">
      <c r="A62" s="92" t="s">
        <v>42</v>
      </c>
      <c r="B62" s="36" t="s">
        <v>51</v>
      </c>
      <c r="C62" s="38">
        <v>5</v>
      </c>
      <c r="D62" s="129">
        <f>Cyto!I62</f>
        <v>60703.125</v>
      </c>
    </row>
    <row r="63" spans="1:4" x14ac:dyDescent="0.25">
      <c r="A63" s="93" t="s">
        <v>37</v>
      </c>
      <c r="B63" s="26" t="s">
        <v>49</v>
      </c>
      <c r="C63" s="29" t="s">
        <v>96</v>
      </c>
      <c r="D63" s="127">
        <f>Cyto!I63</f>
        <v>90937142.857142866</v>
      </c>
    </row>
    <row r="64" spans="1:4" x14ac:dyDescent="0.25">
      <c r="A64" s="94" t="s">
        <v>37</v>
      </c>
      <c r="B64" s="31" t="s">
        <v>49</v>
      </c>
      <c r="C64" s="33">
        <v>0</v>
      </c>
      <c r="D64" s="128">
        <f>Cyto!I64</f>
        <v>13632000</v>
      </c>
    </row>
    <row r="65" spans="1:4" x14ac:dyDescent="0.25">
      <c r="A65" s="94" t="s">
        <v>37</v>
      </c>
      <c r="B65" s="31" t="s">
        <v>49</v>
      </c>
      <c r="C65" s="33" t="s">
        <v>105</v>
      </c>
      <c r="D65" s="128">
        <f>Cyto!I65</f>
        <v>9121142.8571428563</v>
      </c>
    </row>
    <row r="66" spans="1:4" x14ac:dyDescent="0.25">
      <c r="A66" s="94" t="s">
        <v>37</v>
      </c>
      <c r="B66" s="31" t="s">
        <v>49</v>
      </c>
      <c r="C66" s="33">
        <v>1</v>
      </c>
      <c r="D66" s="128">
        <f>Cyto!I66</f>
        <v>1870857.142857143</v>
      </c>
    </row>
    <row r="67" spans="1:4" x14ac:dyDescent="0.25">
      <c r="A67" s="94" t="s">
        <v>37</v>
      </c>
      <c r="B67" s="31" t="s">
        <v>49</v>
      </c>
      <c r="C67" s="33">
        <v>2</v>
      </c>
      <c r="D67" s="128">
        <f>Cyto!I67</f>
        <v>446428.57142857142</v>
      </c>
    </row>
    <row r="68" spans="1:4" ht="15.75" thickBot="1" x14ac:dyDescent="0.3">
      <c r="A68" s="95" t="s">
        <v>37</v>
      </c>
      <c r="B68" s="36" t="s">
        <v>49</v>
      </c>
      <c r="C68" s="38">
        <v>3</v>
      </c>
      <c r="D68" s="129">
        <f>Cyto!I68</f>
        <v>97314.28571428571</v>
      </c>
    </row>
    <row r="69" spans="1:4" x14ac:dyDescent="0.25">
      <c r="A69" s="93" t="s">
        <v>37</v>
      </c>
      <c r="B69" s="26" t="s">
        <v>50</v>
      </c>
      <c r="C69" s="29" t="s">
        <v>96</v>
      </c>
      <c r="D69" s="127">
        <f>Cyto!I69</f>
        <v>65162857.142857134</v>
      </c>
    </row>
    <row r="70" spans="1:4" x14ac:dyDescent="0.25">
      <c r="A70" s="94" t="s">
        <v>37</v>
      </c>
      <c r="B70" s="31" t="s">
        <v>50</v>
      </c>
      <c r="C70" s="33">
        <v>1</v>
      </c>
      <c r="D70" s="128">
        <f>Cyto!I70</f>
        <v>11842000</v>
      </c>
    </row>
    <row r="71" spans="1:4" x14ac:dyDescent="0.25">
      <c r="A71" s="94" t="s">
        <v>37</v>
      </c>
      <c r="B71" s="31" t="s">
        <v>50</v>
      </c>
      <c r="C71" s="33">
        <v>2</v>
      </c>
      <c r="D71" s="128">
        <f>Cyto!I71</f>
        <v>2526000</v>
      </c>
    </row>
    <row r="72" spans="1:4" x14ac:dyDescent="0.25">
      <c r="A72" s="94" t="s">
        <v>37</v>
      </c>
      <c r="B72" s="31" t="s">
        <v>50</v>
      </c>
      <c r="C72" s="33">
        <v>3</v>
      </c>
      <c r="D72" s="128">
        <f>Cyto!I72</f>
        <v>642057.14285714284</v>
      </c>
    </row>
    <row r="73" spans="1:4" x14ac:dyDescent="0.25">
      <c r="A73" s="94" t="s">
        <v>37</v>
      </c>
      <c r="B73" s="31" t="s">
        <v>50</v>
      </c>
      <c r="C73" s="33">
        <v>4</v>
      </c>
      <c r="D73" s="128">
        <f>Cyto!I73</f>
        <v>324885.71428571432</v>
      </c>
    </row>
    <row r="74" spans="1:4" ht="15.75" thickBot="1" x14ac:dyDescent="0.3">
      <c r="A74" s="95" t="s">
        <v>37</v>
      </c>
      <c r="B74" s="36" t="s">
        <v>50</v>
      </c>
      <c r="C74" s="38">
        <v>5</v>
      </c>
      <c r="D74" s="129">
        <f>Cyto!I74</f>
        <v>64685.714285714283</v>
      </c>
    </row>
    <row r="75" spans="1:4" x14ac:dyDescent="0.25">
      <c r="A75" s="93" t="s">
        <v>37</v>
      </c>
      <c r="B75" s="26" t="s">
        <v>51</v>
      </c>
      <c r="C75" s="29" t="s">
        <v>96</v>
      </c>
      <c r="D75" s="127">
        <f>Cyto!I75</f>
        <v>108662857.14285713</v>
      </c>
    </row>
    <row r="76" spans="1:4" x14ac:dyDescent="0.25">
      <c r="A76" s="94" t="s">
        <v>37</v>
      </c>
      <c r="B76" s="31" t="s">
        <v>51</v>
      </c>
      <c r="C76" s="33">
        <v>1</v>
      </c>
      <c r="D76" s="128">
        <f>Cyto!I76</f>
        <v>10245142.857142856</v>
      </c>
    </row>
    <row r="77" spans="1:4" x14ac:dyDescent="0.25">
      <c r="A77" s="94" t="s">
        <v>37</v>
      </c>
      <c r="B77" s="31" t="s">
        <v>51</v>
      </c>
      <c r="C77" s="33">
        <v>2</v>
      </c>
      <c r="D77" s="128">
        <f>Cyto!I77</f>
        <v>2217142.8571428573</v>
      </c>
    </row>
    <row r="78" spans="1:4" x14ac:dyDescent="0.25">
      <c r="A78" s="94" t="s">
        <v>37</v>
      </c>
      <c r="B78" s="31" t="s">
        <v>51</v>
      </c>
      <c r="C78" s="33">
        <v>3</v>
      </c>
      <c r="D78" s="128">
        <f>Cyto!I78</f>
        <v>595200</v>
      </c>
    </row>
    <row r="79" spans="1:4" x14ac:dyDescent="0.25">
      <c r="A79" s="94" t="s">
        <v>37</v>
      </c>
      <c r="B79" s="31" t="s">
        <v>51</v>
      </c>
      <c r="C79" s="33">
        <v>4</v>
      </c>
      <c r="D79" s="128">
        <f>Cyto!I79</f>
        <v>232685.71428571429</v>
      </c>
    </row>
    <row r="80" spans="1:4" ht="15.75" thickBot="1" x14ac:dyDescent="0.3">
      <c r="A80" s="95" t="s">
        <v>37</v>
      </c>
      <c r="B80" s="36" t="s">
        <v>51</v>
      </c>
      <c r="C80" s="38">
        <v>5</v>
      </c>
      <c r="D80" s="129">
        <f>Cyto!I80</f>
        <v>123742.85714285714</v>
      </c>
    </row>
    <row r="81" spans="1:4" x14ac:dyDescent="0.25">
      <c r="A81" s="90" t="s">
        <v>39</v>
      </c>
      <c r="B81" s="26" t="s">
        <v>49</v>
      </c>
      <c r="C81" s="29" t="s">
        <v>96</v>
      </c>
      <c r="D81" s="127">
        <f>Cyto!I81</f>
        <v>61962931.03448277</v>
      </c>
    </row>
    <row r="82" spans="1:4" x14ac:dyDescent="0.25">
      <c r="A82" s="91" t="s">
        <v>39</v>
      </c>
      <c r="B82" s="31" t="s">
        <v>49</v>
      </c>
      <c r="C82" s="33">
        <v>1</v>
      </c>
      <c r="D82" s="128">
        <f>Cyto!I82</f>
        <v>13003706.896551725</v>
      </c>
    </row>
    <row r="83" spans="1:4" x14ac:dyDescent="0.25">
      <c r="A83" s="91" t="s">
        <v>39</v>
      </c>
      <c r="B83" s="31" t="s">
        <v>49</v>
      </c>
      <c r="C83" s="33">
        <v>2</v>
      </c>
      <c r="D83" s="128">
        <f>Cyto!I83</f>
        <v>2820775.8620689656</v>
      </c>
    </row>
    <row r="84" spans="1:4" x14ac:dyDescent="0.25">
      <c r="A84" s="91" t="s">
        <v>39</v>
      </c>
      <c r="B84" s="31" t="s">
        <v>49</v>
      </c>
      <c r="C84" s="33">
        <v>3</v>
      </c>
      <c r="D84" s="128">
        <f>Cyto!I84</f>
        <v>708129.31034482771</v>
      </c>
    </row>
    <row r="85" spans="1:4" x14ac:dyDescent="0.25">
      <c r="A85" s="91" t="s">
        <v>39</v>
      </c>
      <c r="B85" s="31" t="s">
        <v>49</v>
      </c>
      <c r="C85" s="33">
        <v>4</v>
      </c>
      <c r="D85" s="128">
        <f>Cyto!I85</f>
        <v>360103.44827586209</v>
      </c>
    </row>
    <row r="86" spans="1:4" ht="15.75" thickBot="1" x14ac:dyDescent="0.3">
      <c r="A86" s="92" t="s">
        <v>39</v>
      </c>
      <c r="B86" s="36" t="s">
        <v>49</v>
      </c>
      <c r="C86" s="38">
        <v>5</v>
      </c>
      <c r="D86" s="129">
        <f>Cyto!I86</f>
        <v>73732.758620689667</v>
      </c>
    </row>
    <row r="87" spans="1:4" x14ac:dyDescent="0.25">
      <c r="A87" s="90" t="s">
        <v>39</v>
      </c>
      <c r="B87" s="26" t="s">
        <v>50</v>
      </c>
      <c r="C87" s="29" t="s">
        <v>96</v>
      </c>
      <c r="D87" s="127">
        <f>Cyto!I87</f>
        <v>81240517.241379321</v>
      </c>
    </row>
    <row r="88" spans="1:4" x14ac:dyDescent="0.25">
      <c r="A88" s="91" t="s">
        <v>39</v>
      </c>
      <c r="B88" s="31" t="s">
        <v>50</v>
      </c>
      <c r="C88" s="33">
        <v>1</v>
      </c>
      <c r="D88" s="128">
        <f>Cyto!I88</f>
        <v>12960775.862068968</v>
      </c>
    </row>
    <row r="89" spans="1:4" x14ac:dyDescent="0.25">
      <c r="A89" s="91" t="s">
        <v>39</v>
      </c>
      <c r="B89" s="31" t="s">
        <v>50</v>
      </c>
      <c r="C89" s="33">
        <v>2</v>
      </c>
      <c r="D89" s="128">
        <f>Cyto!I89</f>
        <v>2560344.8275862071</v>
      </c>
    </row>
    <row r="90" spans="1:4" x14ac:dyDescent="0.25">
      <c r="A90" s="91" t="s">
        <v>39</v>
      </c>
      <c r="B90" s="31" t="s">
        <v>50</v>
      </c>
      <c r="C90" s="33">
        <v>3</v>
      </c>
      <c r="D90" s="128">
        <f>Cyto!I90</f>
        <v>879543.10344827594</v>
      </c>
    </row>
    <row r="91" spans="1:4" x14ac:dyDescent="0.25">
      <c r="A91" s="91" t="s">
        <v>39</v>
      </c>
      <c r="B91" s="31" t="s">
        <v>50</v>
      </c>
      <c r="C91" s="33">
        <v>4</v>
      </c>
      <c r="D91" s="128">
        <f>Cyto!I91</f>
        <v>407948.27586206899</v>
      </c>
    </row>
    <row r="92" spans="1:4" ht="15.75" thickBot="1" x14ac:dyDescent="0.3">
      <c r="A92" s="92" t="s">
        <v>39</v>
      </c>
      <c r="B92" s="36" t="s">
        <v>50</v>
      </c>
      <c r="C92" s="38">
        <v>5</v>
      </c>
      <c r="D92" s="129">
        <f>Cyto!I92</f>
        <v>173741.37931034481</v>
      </c>
    </row>
    <row r="93" spans="1:4" x14ac:dyDescent="0.25">
      <c r="A93" s="90" t="s">
        <v>39</v>
      </c>
      <c r="B93" s="26" t="s">
        <v>51</v>
      </c>
      <c r="C93" s="29" t="s">
        <v>96</v>
      </c>
      <c r="D93" s="127">
        <f>Cyto!I93</f>
        <v>63724137.931034483</v>
      </c>
    </row>
    <row r="94" spans="1:4" x14ac:dyDescent="0.25">
      <c r="A94" s="91" t="s">
        <v>39</v>
      </c>
      <c r="B94" s="31" t="s">
        <v>51</v>
      </c>
      <c r="C94" s="33">
        <v>1</v>
      </c>
      <c r="D94" s="128">
        <f>Cyto!I94</f>
        <v>12917327.586206898</v>
      </c>
    </row>
    <row r="95" spans="1:4" x14ac:dyDescent="0.25">
      <c r="A95" s="91" t="s">
        <v>39</v>
      </c>
      <c r="B95" s="31" t="s">
        <v>51</v>
      </c>
      <c r="C95" s="33">
        <v>2</v>
      </c>
      <c r="D95" s="128">
        <f>Cyto!I95</f>
        <v>2535775.8620689656</v>
      </c>
    </row>
    <row r="96" spans="1:4" x14ac:dyDescent="0.25">
      <c r="A96" s="91" t="s">
        <v>39</v>
      </c>
      <c r="B96" s="31" t="s">
        <v>51</v>
      </c>
      <c r="C96" s="33">
        <v>3</v>
      </c>
      <c r="D96" s="128">
        <f>Cyto!I96</f>
        <v>559836.20689655177</v>
      </c>
    </row>
    <row r="97" spans="1:4" x14ac:dyDescent="0.25">
      <c r="A97" s="91" t="s">
        <v>39</v>
      </c>
      <c r="B97" s="31" t="s">
        <v>51</v>
      </c>
      <c r="C97" s="33">
        <v>4</v>
      </c>
      <c r="D97" s="128">
        <f>Cyto!I97</f>
        <v>315879.31034482759</v>
      </c>
    </row>
    <row r="98" spans="1:4" ht="15.75" thickBot="1" x14ac:dyDescent="0.3">
      <c r="A98" s="92" t="s">
        <v>39</v>
      </c>
      <c r="B98" s="36" t="s">
        <v>51</v>
      </c>
      <c r="C98" s="38">
        <v>5</v>
      </c>
      <c r="D98" s="129">
        <f>Cyto!I98</f>
        <v>133836.20689655174</v>
      </c>
    </row>
    <row r="99" spans="1:4" x14ac:dyDescent="0.25">
      <c r="A99" s="99" t="s">
        <v>45</v>
      </c>
      <c r="B99" s="26" t="s">
        <v>49</v>
      </c>
      <c r="C99" s="29" t="s">
        <v>96</v>
      </c>
      <c r="D99" s="127">
        <f>Cyto!R99</f>
        <v>3024837.6623376627</v>
      </c>
    </row>
    <row r="100" spans="1:4" x14ac:dyDescent="0.25">
      <c r="A100" s="100" t="s">
        <v>45</v>
      </c>
      <c r="B100" s="31" t="s">
        <v>49</v>
      </c>
      <c r="C100" s="33">
        <v>1</v>
      </c>
      <c r="D100" s="128">
        <f>Cyto!R100</f>
        <v>210262.987012987</v>
      </c>
    </row>
    <row r="101" spans="1:4" x14ac:dyDescent="0.25">
      <c r="A101" s="100" t="s">
        <v>45</v>
      </c>
      <c r="B101" s="31" t="s">
        <v>49</v>
      </c>
      <c r="C101" s="33">
        <v>2</v>
      </c>
      <c r="D101" s="128">
        <f>Cyto!R101</f>
        <v>36701.2987012987</v>
      </c>
    </row>
    <row r="102" spans="1:4" x14ac:dyDescent="0.25">
      <c r="A102" s="100" t="s">
        <v>45</v>
      </c>
      <c r="B102" s="31" t="s">
        <v>49</v>
      </c>
      <c r="C102" s="33">
        <v>3</v>
      </c>
      <c r="D102" s="128">
        <f>Cyto!R102</f>
        <v>20337.662337662336</v>
      </c>
    </row>
    <row r="103" spans="1:4" x14ac:dyDescent="0.25">
      <c r="A103" s="100" t="s">
        <v>45</v>
      </c>
      <c r="B103" s="31" t="s">
        <v>49</v>
      </c>
      <c r="C103" s="33">
        <v>4</v>
      </c>
      <c r="D103" s="128">
        <f>Cyto!R103</f>
        <v>3662.3376623376621</v>
      </c>
    </row>
    <row r="104" spans="1:4" ht="15.75" thickBot="1" x14ac:dyDescent="0.3">
      <c r="A104" s="101" t="s">
        <v>45</v>
      </c>
      <c r="B104" s="36" t="s">
        <v>49</v>
      </c>
      <c r="C104" s="38">
        <v>5</v>
      </c>
      <c r="D104" s="129">
        <f>Cyto!R104</f>
        <v>1792.2077922077922</v>
      </c>
    </row>
    <row r="105" spans="1:4" x14ac:dyDescent="0.25">
      <c r="A105" s="99" t="s">
        <v>45</v>
      </c>
      <c r="B105" s="26" t="s">
        <v>50</v>
      </c>
      <c r="C105" s="29" t="s">
        <v>96</v>
      </c>
      <c r="D105" s="127">
        <f>Cyto!R105</f>
        <v>4380876.6233766237</v>
      </c>
    </row>
    <row r="106" spans="1:4" x14ac:dyDescent="0.25">
      <c r="A106" s="100" t="s">
        <v>45</v>
      </c>
      <c r="B106" s="31" t="s">
        <v>50</v>
      </c>
      <c r="C106" s="33">
        <v>1</v>
      </c>
      <c r="D106" s="128">
        <f>Cyto!R106</f>
        <v>251727.27272727271</v>
      </c>
    </row>
    <row r="107" spans="1:4" x14ac:dyDescent="0.25">
      <c r="A107" s="100" t="s">
        <v>45</v>
      </c>
      <c r="B107" s="31" t="s">
        <v>50</v>
      </c>
      <c r="C107" s="33">
        <v>2</v>
      </c>
      <c r="D107" s="128">
        <f>Cyto!R107</f>
        <v>46597.402597402594</v>
      </c>
    </row>
    <row r="108" spans="1:4" x14ac:dyDescent="0.25">
      <c r="A108" s="100" t="s">
        <v>45</v>
      </c>
      <c r="B108" s="31" t="s">
        <v>50</v>
      </c>
      <c r="C108" s="33">
        <v>3</v>
      </c>
      <c r="D108" s="128">
        <f>Cyto!R108</f>
        <v>26240.259740259738</v>
      </c>
    </row>
    <row r="109" spans="1:4" x14ac:dyDescent="0.25">
      <c r="A109" s="100" t="s">
        <v>45</v>
      </c>
      <c r="B109" s="31" t="s">
        <v>50</v>
      </c>
      <c r="C109" s="33">
        <v>4</v>
      </c>
      <c r="D109" s="128">
        <f>Cyto!R109</f>
        <v>4850.6493506493498</v>
      </c>
    </row>
    <row r="110" spans="1:4" ht="15.75" thickBot="1" x14ac:dyDescent="0.3">
      <c r="A110" s="101" t="s">
        <v>45</v>
      </c>
      <c r="B110" s="36" t="s">
        <v>50</v>
      </c>
      <c r="C110" s="38">
        <v>5</v>
      </c>
      <c r="D110" s="129">
        <f>Cyto!R110</f>
        <v>1451.2987012987014</v>
      </c>
    </row>
    <row r="111" spans="1:4" x14ac:dyDescent="0.25">
      <c r="A111" s="99" t="s">
        <v>45</v>
      </c>
      <c r="B111" s="26" t="s">
        <v>51</v>
      </c>
      <c r="C111" s="29" t="s">
        <v>96</v>
      </c>
      <c r="D111" s="127">
        <f>Cyto!R111</f>
        <v>3547500</v>
      </c>
    </row>
    <row r="112" spans="1:4" x14ac:dyDescent="0.25">
      <c r="A112" s="100" t="s">
        <v>45</v>
      </c>
      <c r="B112" s="31" t="s">
        <v>51</v>
      </c>
      <c r="C112" s="33">
        <v>0</v>
      </c>
      <c r="D112" s="128">
        <f>Cyto!R112</f>
        <v>773961.03896103892</v>
      </c>
    </row>
    <row r="113" spans="1:8" x14ac:dyDescent="0.25">
      <c r="A113" s="100" t="s">
        <v>45</v>
      </c>
      <c r="B113" s="31" t="s">
        <v>51</v>
      </c>
      <c r="C113" s="33">
        <v>1</v>
      </c>
      <c r="D113" s="128">
        <f>Cyto!R113</f>
        <v>156964.28571428568</v>
      </c>
    </row>
    <row r="114" spans="1:8" x14ac:dyDescent="0.25">
      <c r="A114" s="100" t="s">
        <v>45</v>
      </c>
      <c r="B114" s="31" t="s">
        <v>51</v>
      </c>
      <c r="C114" s="33">
        <v>2</v>
      </c>
      <c r="D114" s="128">
        <f>Cyto!R114</f>
        <v>56542.207792207788</v>
      </c>
    </row>
    <row r="115" spans="1:8" x14ac:dyDescent="0.25">
      <c r="A115" s="100" t="s">
        <v>45</v>
      </c>
      <c r="B115" s="31" t="s">
        <v>51</v>
      </c>
      <c r="C115" s="33">
        <v>3</v>
      </c>
      <c r="D115" s="128">
        <f>Cyto!R115</f>
        <v>16003.246753246753</v>
      </c>
    </row>
    <row r="116" spans="1:8" x14ac:dyDescent="0.25">
      <c r="A116" s="100" t="s">
        <v>45</v>
      </c>
      <c r="B116" s="31" t="s">
        <v>51</v>
      </c>
      <c r="C116" s="42">
        <v>4</v>
      </c>
      <c r="D116" s="128">
        <f>Cyto!R116</f>
        <v>3925.3246753246749</v>
      </c>
    </row>
    <row r="117" spans="1:8" ht="15.75" thickBot="1" x14ac:dyDescent="0.3">
      <c r="A117" s="101" t="s">
        <v>45</v>
      </c>
      <c r="B117" s="36" t="s">
        <v>51</v>
      </c>
      <c r="C117" s="38">
        <v>5</v>
      </c>
      <c r="D117" s="129">
        <f>Cyto!R117</f>
        <v>1801.9480519480519</v>
      </c>
    </row>
    <row r="118" spans="1:8" x14ac:dyDescent="0.25">
      <c r="A118" s="90" t="s">
        <v>48</v>
      </c>
      <c r="B118" s="26" t="s">
        <v>49</v>
      </c>
      <c r="C118" s="29" t="s">
        <v>96</v>
      </c>
      <c r="D118" s="127">
        <f>Cyto!R118</f>
        <v>4664.5161290322585</v>
      </c>
    </row>
    <row r="119" spans="1:8" x14ac:dyDescent="0.25">
      <c r="A119" s="91" t="s">
        <v>48</v>
      </c>
      <c r="B119" s="31" t="s">
        <v>49</v>
      </c>
      <c r="C119" s="33">
        <v>1</v>
      </c>
      <c r="D119" s="128">
        <f>Cyto!R119</f>
        <v>285.48387096774195</v>
      </c>
    </row>
    <row r="120" spans="1:8" x14ac:dyDescent="0.25">
      <c r="A120" s="91" t="s">
        <v>48</v>
      </c>
      <c r="B120" s="31" t="s">
        <v>49</v>
      </c>
      <c r="C120" s="33">
        <v>2</v>
      </c>
      <c r="D120" s="128">
        <f>Cyto!R120</f>
        <v>96.774193548387103</v>
      </c>
    </row>
    <row r="121" spans="1:8" x14ac:dyDescent="0.25">
      <c r="A121" s="91" t="s">
        <v>48</v>
      </c>
      <c r="B121" s="31" t="s">
        <v>49</v>
      </c>
      <c r="C121" s="33">
        <v>3</v>
      </c>
      <c r="D121" s="128">
        <f>Cyto!R121</f>
        <v>35.483870967741936</v>
      </c>
    </row>
    <row r="122" spans="1:8" x14ac:dyDescent="0.25">
      <c r="A122" s="91" t="s">
        <v>48</v>
      </c>
      <c r="B122" s="31" t="s">
        <v>49</v>
      </c>
      <c r="C122" s="33">
        <v>4</v>
      </c>
      <c r="D122" s="141">
        <f>Cyto!R122</f>
        <v>3.8709677419354844</v>
      </c>
      <c r="E122" s="152" t="s">
        <v>165</v>
      </c>
      <c r="F122" s="152"/>
      <c r="G122" s="152"/>
      <c r="H122" s="152"/>
    </row>
    <row r="123" spans="1:8" ht="15.75" thickBot="1" x14ac:dyDescent="0.3">
      <c r="A123" s="92" t="s">
        <v>48</v>
      </c>
      <c r="B123" s="36" t="s">
        <v>49</v>
      </c>
      <c r="C123" s="38">
        <v>5</v>
      </c>
      <c r="D123" s="142">
        <f>Cyto!R123</f>
        <v>5.806451612903226</v>
      </c>
      <c r="E123" s="152"/>
      <c r="F123" s="152"/>
      <c r="G123" s="152"/>
      <c r="H123" s="152"/>
    </row>
    <row r="124" spans="1:8" x14ac:dyDescent="0.25">
      <c r="A124" s="90" t="s">
        <v>48</v>
      </c>
      <c r="B124" s="26" t="s">
        <v>50</v>
      </c>
      <c r="C124" s="29" t="s">
        <v>96</v>
      </c>
      <c r="D124" s="127">
        <f>Cyto!R124</f>
        <v>4538.7096774193551</v>
      </c>
    </row>
    <row r="125" spans="1:8" x14ac:dyDescent="0.25">
      <c r="A125" s="91" t="s">
        <v>48</v>
      </c>
      <c r="B125" s="31" t="s">
        <v>50</v>
      </c>
      <c r="C125" s="33">
        <v>0</v>
      </c>
      <c r="D125" s="128">
        <f>Cyto!R125</f>
        <v>929.03225806451621</v>
      </c>
    </row>
    <row r="126" spans="1:8" x14ac:dyDescent="0.25">
      <c r="A126" s="91" t="s">
        <v>48</v>
      </c>
      <c r="B126" s="31" t="s">
        <v>50</v>
      </c>
      <c r="C126" s="33">
        <v>1</v>
      </c>
      <c r="D126" s="128">
        <f>Cyto!R126</f>
        <v>120.96774193548387</v>
      </c>
    </row>
    <row r="127" spans="1:8" x14ac:dyDescent="0.25">
      <c r="A127" s="91" t="s">
        <v>48</v>
      </c>
      <c r="B127" s="31" t="s">
        <v>50</v>
      </c>
      <c r="C127" s="33">
        <v>2</v>
      </c>
      <c r="D127" s="141">
        <f>Cyto!R127</f>
        <v>16.129032258064516</v>
      </c>
    </row>
    <row r="128" spans="1:8" x14ac:dyDescent="0.25">
      <c r="A128" s="91" t="s">
        <v>48</v>
      </c>
      <c r="B128" s="31" t="s">
        <v>50</v>
      </c>
      <c r="C128" s="33">
        <v>3</v>
      </c>
      <c r="D128" s="141">
        <f>Cyto!R128</f>
        <v>3.8709677419354844</v>
      </c>
    </row>
    <row r="129" spans="1:4" ht="15.75" thickBot="1" x14ac:dyDescent="0.3">
      <c r="A129" s="92" t="s">
        <v>48</v>
      </c>
      <c r="B129" s="36" t="s">
        <v>50</v>
      </c>
      <c r="C129" s="38">
        <v>4</v>
      </c>
      <c r="D129" s="129">
        <f>Cyto!R129</f>
        <v>0</v>
      </c>
    </row>
    <row r="130" spans="1:4" x14ac:dyDescent="0.25">
      <c r="A130" s="90" t="s">
        <v>48</v>
      </c>
      <c r="B130" s="26" t="s">
        <v>51</v>
      </c>
      <c r="C130" s="29" t="s">
        <v>96</v>
      </c>
      <c r="D130" s="127">
        <f>Cyto!R130</f>
        <v>5380.6451612903229</v>
      </c>
    </row>
    <row r="131" spans="1:4" x14ac:dyDescent="0.25">
      <c r="A131" s="91" t="s">
        <v>48</v>
      </c>
      <c r="B131" s="31" t="s">
        <v>51</v>
      </c>
      <c r="C131" s="33">
        <v>1</v>
      </c>
      <c r="D131" s="128">
        <f>Cyto!R131</f>
        <v>246.7741935483871</v>
      </c>
    </row>
    <row r="132" spans="1:4" x14ac:dyDescent="0.25">
      <c r="A132" s="91" t="s">
        <v>48</v>
      </c>
      <c r="B132" s="31" t="s">
        <v>51</v>
      </c>
      <c r="C132" s="33">
        <v>2</v>
      </c>
      <c r="D132" s="128">
        <f>Cyto!R132</f>
        <v>48.387096774193552</v>
      </c>
    </row>
    <row r="133" spans="1:4" x14ac:dyDescent="0.25">
      <c r="A133" s="91" t="s">
        <v>48</v>
      </c>
      <c r="B133" s="31" t="s">
        <v>51</v>
      </c>
      <c r="C133" s="33">
        <v>3</v>
      </c>
      <c r="D133" s="141">
        <f>Cyto!R133</f>
        <v>3.225806451612903</v>
      </c>
    </row>
    <row r="134" spans="1:4" x14ac:dyDescent="0.25">
      <c r="A134" s="91" t="s">
        <v>48</v>
      </c>
      <c r="B134" s="31" t="s">
        <v>51</v>
      </c>
      <c r="C134" s="33">
        <v>4</v>
      </c>
      <c r="D134" s="141">
        <f>Cyto!R134</f>
        <v>5.806451612903226</v>
      </c>
    </row>
    <row r="135" spans="1:4" ht="15.75" thickBot="1" x14ac:dyDescent="0.3">
      <c r="A135" s="92" t="s">
        <v>48</v>
      </c>
      <c r="B135" s="36" t="s">
        <v>51</v>
      </c>
      <c r="C135" s="38">
        <v>5</v>
      </c>
      <c r="D135" s="129">
        <f>Cyto!R135</f>
        <v>0</v>
      </c>
    </row>
    <row r="136" spans="1:4" x14ac:dyDescent="0.25">
      <c r="A136" s="99" t="s">
        <v>44</v>
      </c>
      <c r="B136" s="26" t="s">
        <v>49</v>
      </c>
      <c r="C136" s="64" t="s">
        <v>96</v>
      </c>
      <c r="D136" s="127">
        <f>Cyto!I136</f>
        <v>381920.79207920789</v>
      </c>
    </row>
    <row r="137" spans="1:4" x14ac:dyDescent="0.25">
      <c r="A137" s="100" t="s">
        <v>44</v>
      </c>
      <c r="B137" s="31" t="s">
        <v>49</v>
      </c>
      <c r="C137" s="57">
        <v>1</v>
      </c>
      <c r="D137" s="128">
        <f>Cyto!R137</f>
        <v>31837.320574162677</v>
      </c>
    </row>
    <row r="138" spans="1:4" x14ac:dyDescent="0.25">
      <c r="A138" s="100" t="s">
        <v>44</v>
      </c>
      <c r="B138" s="31" t="s">
        <v>49</v>
      </c>
      <c r="C138" s="57">
        <v>2</v>
      </c>
      <c r="D138" s="128">
        <f>Cyto!R138</f>
        <v>5961.7224880382773</v>
      </c>
    </row>
    <row r="139" spans="1:4" x14ac:dyDescent="0.25">
      <c r="A139" s="100" t="s">
        <v>44</v>
      </c>
      <c r="B139" s="31" t="s">
        <v>49</v>
      </c>
      <c r="C139" s="57">
        <v>3</v>
      </c>
      <c r="D139" s="128">
        <f>Cyto!R139</f>
        <v>2287.0813397129186</v>
      </c>
    </row>
    <row r="140" spans="1:4" x14ac:dyDescent="0.25">
      <c r="A140" s="100" t="s">
        <v>44</v>
      </c>
      <c r="B140" s="31" t="s">
        <v>49</v>
      </c>
      <c r="C140" s="57">
        <v>4</v>
      </c>
      <c r="D140" s="128">
        <f>Cyto!R140</f>
        <v>545.45454545454538</v>
      </c>
    </row>
    <row r="141" spans="1:4" ht="15.75" thickBot="1" x14ac:dyDescent="0.3">
      <c r="A141" s="101" t="s">
        <v>44</v>
      </c>
      <c r="B141" s="36" t="s">
        <v>49</v>
      </c>
      <c r="C141" s="73">
        <v>5</v>
      </c>
      <c r="D141" s="129">
        <f>Cyto!R141</f>
        <v>0</v>
      </c>
    </row>
    <row r="142" spans="1:4" x14ac:dyDescent="0.25">
      <c r="A142" s="99" t="s">
        <v>44</v>
      </c>
      <c r="B142" s="26" t="s">
        <v>50</v>
      </c>
      <c r="C142" s="64" t="s">
        <v>96</v>
      </c>
      <c r="D142" s="127">
        <f>Cyto!R142</f>
        <v>230114.83253588516</v>
      </c>
    </row>
    <row r="143" spans="1:4" x14ac:dyDescent="0.25">
      <c r="A143" s="100" t="s">
        <v>44</v>
      </c>
      <c r="B143" s="31" t="s">
        <v>50</v>
      </c>
      <c r="C143" s="57">
        <v>1</v>
      </c>
      <c r="D143" s="128">
        <f>Cyto!R143</f>
        <v>26622.009569377991</v>
      </c>
    </row>
    <row r="144" spans="1:4" x14ac:dyDescent="0.25">
      <c r="A144" s="100" t="s">
        <v>44</v>
      </c>
      <c r="B144" s="31" t="s">
        <v>50</v>
      </c>
      <c r="C144" s="57">
        <v>2</v>
      </c>
      <c r="D144" s="128">
        <f>Cyto!R144</f>
        <v>5263.1578947368425</v>
      </c>
    </row>
    <row r="145" spans="1:4" x14ac:dyDescent="0.25">
      <c r="A145" s="100" t="s">
        <v>44</v>
      </c>
      <c r="B145" s="31" t="s">
        <v>50</v>
      </c>
      <c r="C145" s="57">
        <v>3</v>
      </c>
      <c r="D145" s="128">
        <f>Cyto!R145</f>
        <v>2813.3971291866028</v>
      </c>
    </row>
    <row r="146" spans="1:4" x14ac:dyDescent="0.25">
      <c r="A146" s="100" t="s">
        <v>44</v>
      </c>
      <c r="B146" s="31" t="s">
        <v>50</v>
      </c>
      <c r="C146" s="57">
        <v>4</v>
      </c>
      <c r="D146" s="128">
        <f>Cyto!R146</f>
        <v>1196.1722488038279</v>
      </c>
    </row>
    <row r="147" spans="1:4" ht="15.75" thickBot="1" x14ac:dyDescent="0.3">
      <c r="A147" s="101" t="s">
        <v>44</v>
      </c>
      <c r="B147" s="36" t="s">
        <v>50</v>
      </c>
      <c r="C147" s="73">
        <v>5</v>
      </c>
      <c r="D147" s="129">
        <f>Cyto!R147</f>
        <v>334.9282296650718</v>
      </c>
    </row>
    <row r="148" spans="1:4" x14ac:dyDescent="0.25">
      <c r="A148" s="99" t="s">
        <v>44</v>
      </c>
      <c r="B148" s="26" t="s">
        <v>51</v>
      </c>
      <c r="C148" s="64" t="s">
        <v>96</v>
      </c>
      <c r="D148" s="127">
        <f>Cyto!R148</f>
        <v>275311.00478468899</v>
      </c>
    </row>
    <row r="149" spans="1:4" x14ac:dyDescent="0.25">
      <c r="A149" s="100" t="s">
        <v>44</v>
      </c>
      <c r="B149" s="31" t="s">
        <v>51</v>
      </c>
      <c r="C149" s="57">
        <v>1</v>
      </c>
      <c r="D149" s="128">
        <f>Cyto!R149</f>
        <v>32440.191387559807</v>
      </c>
    </row>
    <row r="150" spans="1:4" x14ac:dyDescent="0.25">
      <c r="A150" s="100" t="s">
        <v>44</v>
      </c>
      <c r="B150" s="31" t="s">
        <v>51</v>
      </c>
      <c r="C150" s="57">
        <v>2</v>
      </c>
      <c r="D150" s="128">
        <f>Cyto!R150</f>
        <v>5617.2248803827752</v>
      </c>
    </row>
    <row r="151" spans="1:4" x14ac:dyDescent="0.25">
      <c r="A151" s="100" t="s">
        <v>44</v>
      </c>
      <c r="B151" s="31" t="s">
        <v>51</v>
      </c>
      <c r="C151" s="57">
        <v>3</v>
      </c>
      <c r="D151" s="128">
        <f>Cyto!R151</f>
        <v>2775.1196172248801</v>
      </c>
    </row>
    <row r="152" spans="1:4" x14ac:dyDescent="0.25">
      <c r="A152" s="100" t="s">
        <v>44</v>
      </c>
      <c r="B152" s="31" t="s">
        <v>51</v>
      </c>
      <c r="C152" s="57">
        <v>4</v>
      </c>
      <c r="D152" s="128">
        <f>Cyto!R152</f>
        <v>1435.4066985645932</v>
      </c>
    </row>
    <row r="153" spans="1:4" ht="15.75" thickBot="1" x14ac:dyDescent="0.3">
      <c r="A153" s="101" t="s">
        <v>44</v>
      </c>
      <c r="B153" s="36" t="s">
        <v>51</v>
      </c>
      <c r="C153" s="73">
        <v>5</v>
      </c>
      <c r="D153" s="129">
        <f>Cyto!R153</f>
        <v>153.11004784688996</v>
      </c>
    </row>
    <row r="154" spans="1:4" x14ac:dyDescent="0.25">
      <c r="A154" s="96" t="s">
        <v>43</v>
      </c>
      <c r="B154" s="26" t="s">
        <v>49</v>
      </c>
      <c r="C154" s="64" t="s">
        <v>96</v>
      </c>
      <c r="D154" s="127">
        <f>Cyto!R154</f>
        <v>41128.37837837838</v>
      </c>
    </row>
    <row r="155" spans="1:4" x14ac:dyDescent="0.25">
      <c r="A155" s="97" t="s">
        <v>43</v>
      </c>
      <c r="B155" s="31" t="s">
        <v>49</v>
      </c>
      <c r="C155" s="57">
        <v>0</v>
      </c>
      <c r="D155" s="128">
        <f>Cyto!R155</f>
        <v>4236.4864864864858</v>
      </c>
    </row>
    <row r="156" spans="1:4" x14ac:dyDescent="0.25">
      <c r="A156" s="97" t="s">
        <v>43</v>
      </c>
      <c r="B156" s="31" t="s">
        <v>49</v>
      </c>
      <c r="C156" s="57">
        <v>1</v>
      </c>
      <c r="D156" s="128">
        <f>Cyto!R156</f>
        <v>1033.7837837837837</v>
      </c>
    </row>
    <row r="157" spans="1:4" x14ac:dyDescent="0.25">
      <c r="A157" s="97" t="s">
        <v>43</v>
      </c>
      <c r="B157" s="31" t="s">
        <v>49</v>
      </c>
      <c r="C157" s="57">
        <v>2</v>
      </c>
      <c r="D157" s="128">
        <f>Cyto!U157</f>
        <v>152.02702702702703</v>
      </c>
    </row>
    <row r="158" spans="1:4" x14ac:dyDescent="0.25">
      <c r="A158" s="97" t="s">
        <v>43</v>
      </c>
      <c r="B158" s="31" t="s">
        <v>49</v>
      </c>
      <c r="C158" s="57">
        <v>3</v>
      </c>
      <c r="D158" s="128">
        <f>Cyto!U158</f>
        <v>121.62162162162161</v>
      </c>
    </row>
    <row r="159" spans="1:4" x14ac:dyDescent="0.25">
      <c r="A159" s="97" t="s">
        <v>43</v>
      </c>
      <c r="B159" s="31" t="s">
        <v>49</v>
      </c>
      <c r="C159" s="57">
        <v>4</v>
      </c>
      <c r="D159" s="128">
        <f>Cyto!U159</f>
        <v>60.810810810810807</v>
      </c>
    </row>
    <row r="160" spans="1:4" ht="15.75" thickBot="1" x14ac:dyDescent="0.3">
      <c r="A160" s="98" t="s">
        <v>43</v>
      </c>
      <c r="B160" s="71" t="s">
        <v>49</v>
      </c>
      <c r="C160" s="73">
        <v>5</v>
      </c>
      <c r="D160" s="129">
        <f>Cyto!U160</f>
        <v>27.027027027027025</v>
      </c>
    </row>
    <row r="161" spans="1:4" x14ac:dyDescent="0.25">
      <c r="A161" s="96" t="s">
        <v>43</v>
      </c>
      <c r="B161" s="54" t="s">
        <v>50</v>
      </c>
      <c r="C161" s="65" t="s">
        <v>96</v>
      </c>
      <c r="D161" s="127">
        <f>Cyto!R161</f>
        <v>38199.32432432432</v>
      </c>
    </row>
    <row r="162" spans="1:4" x14ac:dyDescent="0.25">
      <c r="A162" s="97" t="s">
        <v>43</v>
      </c>
      <c r="B162" s="53" t="s">
        <v>50</v>
      </c>
      <c r="C162" s="57">
        <v>0</v>
      </c>
      <c r="D162" s="128">
        <f>Cyto!R162</f>
        <v>3648.6486486486488</v>
      </c>
    </row>
    <row r="163" spans="1:4" x14ac:dyDescent="0.25">
      <c r="A163" s="97" t="s">
        <v>43</v>
      </c>
      <c r="B163" s="53" t="s">
        <v>50</v>
      </c>
      <c r="C163" s="57">
        <v>1</v>
      </c>
      <c r="D163" s="128">
        <f>Cyto!R163</f>
        <v>1530.4054054054052</v>
      </c>
    </row>
    <row r="164" spans="1:4" x14ac:dyDescent="0.25">
      <c r="A164" s="97" t="s">
        <v>43</v>
      </c>
      <c r="B164" s="53" t="s">
        <v>50</v>
      </c>
      <c r="C164" s="57">
        <v>2</v>
      </c>
      <c r="D164" s="128">
        <f>Cyto!R164</f>
        <v>375</v>
      </c>
    </row>
    <row r="165" spans="1:4" x14ac:dyDescent="0.25">
      <c r="A165" s="97" t="s">
        <v>43</v>
      </c>
      <c r="B165" s="53" t="s">
        <v>50</v>
      </c>
      <c r="C165" s="57">
        <v>3</v>
      </c>
      <c r="D165" s="128">
        <f>Cyto!R165</f>
        <v>172.29729729729729</v>
      </c>
    </row>
    <row r="166" spans="1:4" x14ac:dyDescent="0.25">
      <c r="A166" s="97" t="s">
        <v>43</v>
      </c>
      <c r="B166" s="58" t="s">
        <v>50</v>
      </c>
      <c r="C166" s="57">
        <v>4</v>
      </c>
      <c r="D166" s="128">
        <f>Cyto!U166</f>
        <v>18.243243243243246</v>
      </c>
    </row>
    <row r="167" spans="1:4" ht="15.75" thickBot="1" x14ac:dyDescent="0.3">
      <c r="A167" s="98" t="s">
        <v>43</v>
      </c>
      <c r="B167" s="71" t="s">
        <v>50</v>
      </c>
      <c r="C167" s="73">
        <v>5</v>
      </c>
      <c r="D167" s="133">
        <f>Cyto!U167</f>
        <v>6.0810810810810807</v>
      </c>
    </row>
    <row r="168" spans="1:4" x14ac:dyDescent="0.25">
      <c r="A168" s="96" t="s">
        <v>43</v>
      </c>
      <c r="B168" s="26" t="s">
        <v>51</v>
      </c>
      <c r="C168" s="64" t="s">
        <v>96</v>
      </c>
      <c r="D168" s="127">
        <f>Cyto!R168</f>
        <v>39121.62162162162</v>
      </c>
    </row>
    <row r="169" spans="1:4" x14ac:dyDescent="0.25">
      <c r="A169" s="97" t="s">
        <v>43</v>
      </c>
      <c r="B169" s="31" t="s">
        <v>51</v>
      </c>
      <c r="C169" s="57">
        <v>0</v>
      </c>
      <c r="D169" s="128">
        <f>Cyto!R169</f>
        <v>6942.5675675675675</v>
      </c>
    </row>
    <row r="170" spans="1:4" x14ac:dyDescent="0.25">
      <c r="A170" s="97" t="s">
        <v>43</v>
      </c>
      <c r="B170" s="31" t="s">
        <v>51</v>
      </c>
      <c r="C170" s="57">
        <v>1</v>
      </c>
      <c r="D170" s="128">
        <f>Cyto!R170</f>
        <v>1854.7297297297296</v>
      </c>
    </row>
    <row r="171" spans="1:4" x14ac:dyDescent="0.25">
      <c r="A171" s="97" t="s">
        <v>43</v>
      </c>
      <c r="B171" s="31" t="s">
        <v>51</v>
      </c>
      <c r="C171" s="57">
        <v>2</v>
      </c>
      <c r="D171" s="128">
        <f>Cyto!R171</f>
        <v>354.72972972972974</v>
      </c>
    </row>
    <row r="172" spans="1:4" x14ac:dyDescent="0.25">
      <c r="A172" s="97" t="s">
        <v>43</v>
      </c>
      <c r="B172" s="31" t="s">
        <v>51</v>
      </c>
      <c r="C172" s="57">
        <v>3</v>
      </c>
      <c r="D172" s="128">
        <f>Cyto!R172</f>
        <v>192.56756756756758</v>
      </c>
    </row>
    <row r="173" spans="1:4" x14ac:dyDescent="0.25">
      <c r="A173" s="97" t="s">
        <v>43</v>
      </c>
      <c r="B173" s="58" t="s">
        <v>51</v>
      </c>
      <c r="C173" s="57">
        <v>4</v>
      </c>
      <c r="D173" s="140">
        <f>Cyto!U173</f>
        <v>23.648648648648646</v>
      </c>
    </row>
    <row r="174" spans="1:4" ht="15.75" thickBot="1" x14ac:dyDescent="0.3">
      <c r="A174" s="98" t="s">
        <v>43</v>
      </c>
      <c r="B174" s="71" t="s">
        <v>51</v>
      </c>
      <c r="C174" s="73">
        <v>5</v>
      </c>
      <c r="D174" s="129">
        <f>Cyto!R174</f>
        <v>0</v>
      </c>
    </row>
    <row r="175" spans="1:4" x14ac:dyDescent="0.25">
      <c r="A175" s="57"/>
      <c r="B175" s="58"/>
      <c r="C175" s="57"/>
    </row>
    <row r="176" spans="1:4" x14ac:dyDescent="0.25">
      <c r="A176" s="57"/>
      <c r="B176" s="58"/>
      <c r="C176" s="57"/>
    </row>
    <row r="177" spans="1:3" x14ac:dyDescent="0.25">
      <c r="A177" s="57"/>
      <c r="B177" s="58"/>
      <c r="C177" s="57"/>
    </row>
  </sheetData>
  <mergeCells count="1">
    <mergeCell ref="E122:H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chla_spectro</vt:lpstr>
      <vt:lpstr>dilution_calculation</vt:lpstr>
      <vt:lpstr>PAM</vt:lpstr>
      <vt:lpstr>raw_results</vt:lpstr>
      <vt:lpstr>metainfo</vt:lpstr>
      <vt:lpstr>references PAM</vt:lpstr>
      <vt:lpstr>Tests melanges</vt:lpstr>
      <vt:lpstr>Cyto</vt:lpstr>
      <vt:lpstr>Recap cyto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Flavien PETIT</dc:creator>
  <cp:lastModifiedBy>ldufour</cp:lastModifiedBy>
  <dcterms:created xsi:type="dcterms:W3CDTF">2020-10-26T13:11:24Z</dcterms:created>
  <dcterms:modified xsi:type="dcterms:W3CDTF">2020-12-11T13:08:17Z</dcterms:modified>
</cp:coreProperties>
</file>