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75" windowHeight="5940" tabRatio="886" activeTab="3"/>
  </bookViews>
  <sheets>
    <sheet name="MMGs15Bus_High_Flexibility" sheetId="4" r:id="rId1"/>
    <sheet name="MMGs15Bus_Medium_Flexibility" sheetId="6" r:id="rId2"/>
    <sheet name="MMGs15Bus_Low_Flexibility" sheetId="11" r:id="rId3"/>
    <sheet name="MMGs15Bus_No_Flexibility" sheetId="7" r:id="rId4"/>
    <sheet name="Baseline_RES" sheetId="8" r:id="rId5"/>
    <sheet name="Value_of_Lost_Load" sheetId="9" r:id="rId6"/>
    <sheet name="Balancing Market Prices" sheetId="10" r:id="rId7"/>
  </sheets>
  <calcPr calcId="162913"/>
</workbook>
</file>

<file path=xl/calcChain.xml><?xml version="1.0" encoding="utf-8"?>
<calcChain xmlns="http://schemas.openxmlformats.org/spreadsheetml/2006/main">
  <c r="EF13" i="11" l="1"/>
  <c r="EF14" i="11" s="1"/>
  <c r="EF15" i="11" s="1"/>
  <c r="EF16" i="11" s="1"/>
  <c r="EF12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F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F10" i="11"/>
  <c r="F11" i="11" s="1"/>
  <c r="F12" i="11" s="1"/>
  <c r="F13" i="11" s="1"/>
  <c r="F14" i="11" s="1"/>
  <c r="F15" i="11" s="1"/>
  <c r="F16" i="11" s="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F9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F8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H5" i="11"/>
  <c r="EH7" i="11" s="1"/>
  <c r="EH9" i="11" s="1"/>
  <c r="EH11" i="11" s="1"/>
  <c r="EH13" i="11" s="1"/>
  <c r="EH15" i="11" s="1"/>
  <c r="EG5" i="11"/>
  <c r="EG7" i="11" s="1"/>
  <c r="EG9" i="11" s="1"/>
  <c r="EG11" i="11" s="1"/>
  <c r="EG13" i="11" s="1"/>
  <c r="EG15" i="11" s="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H4" i="11"/>
  <c r="EH6" i="11" s="1"/>
  <c r="EH8" i="11" s="1"/>
  <c r="EH10" i="11" s="1"/>
  <c r="EH12" i="11" s="1"/>
  <c r="EH14" i="11" s="1"/>
  <c r="EH16" i="11" s="1"/>
  <c r="EG4" i="11"/>
  <c r="EG6" i="11" s="1"/>
  <c r="EG8" i="11" s="1"/>
  <c r="EG10" i="11" s="1"/>
  <c r="EG12" i="11" s="1"/>
  <c r="EG14" i="11" s="1"/>
  <c r="EG16" i="11" s="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H4" i="11"/>
  <c r="H6" i="11" s="1"/>
  <c r="H8" i="11" s="1"/>
  <c r="H10" i="11" s="1"/>
  <c r="H12" i="11" s="1"/>
  <c r="H14" i="11" s="1"/>
  <c r="H16" i="11" s="1"/>
  <c r="G4" i="11"/>
  <c r="G6" i="11" s="1"/>
  <c r="G8" i="11" s="1"/>
  <c r="G10" i="11" s="1"/>
  <c r="G12" i="11" s="1"/>
  <c r="G14" i="11" s="1"/>
  <c r="G16" i="11" s="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H3" i="11"/>
  <c r="EG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H3" i="11"/>
  <c r="H5" i="11" s="1"/>
  <c r="H7" i="11" s="1"/>
  <c r="H9" i="11" s="1"/>
  <c r="H11" i="11" s="1"/>
  <c r="H13" i="11" s="1"/>
  <c r="H15" i="11" s="1"/>
  <c r="G3" i="11"/>
  <c r="G5" i="11" s="1"/>
  <c r="G7" i="11" s="1"/>
  <c r="G9" i="11" s="1"/>
  <c r="G11" i="11" s="1"/>
  <c r="G13" i="11" s="1"/>
  <c r="G15" i="11" s="1"/>
  <c r="FT11" i="4" l="1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FT10" i="6"/>
  <c r="FS10" i="6"/>
  <c r="FR10" i="6"/>
  <c r="FQ10" i="6"/>
  <c r="FP10" i="6"/>
  <c r="FO10" i="6"/>
  <c r="FN10" i="6"/>
  <c r="FM10" i="6"/>
  <c r="FL10" i="6"/>
  <c r="FK10" i="6"/>
  <c r="FJ10" i="6"/>
  <c r="FI10" i="6"/>
  <c r="FH10" i="6"/>
  <c r="FG10" i="6"/>
  <c r="FF10" i="6"/>
  <c r="FE10" i="6"/>
  <c r="FD10" i="6"/>
  <c r="FC10" i="6"/>
  <c r="FB10" i="6"/>
  <c r="FA10" i="6"/>
  <c r="EZ10" i="6"/>
  <c r="EY10" i="6"/>
  <c r="EX10" i="6"/>
  <c r="EW10" i="6"/>
  <c r="FT9" i="6"/>
  <c r="FS9" i="6"/>
  <c r="FR9" i="6"/>
  <c r="FQ9" i="6"/>
  <c r="FP9" i="6"/>
  <c r="FO9" i="6"/>
  <c r="FN9" i="6"/>
  <c r="FM9" i="6"/>
  <c r="FL9" i="6"/>
  <c r="FK9" i="6"/>
  <c r="FJ9" i="6"/>
  <c r="FI9" i="6"/>
  <c r="FH9" i="6"/>
  <c r="FG9" i="6"/>
  <c r="FF9" i="6"/>
  <c r="FE9" i="6"/>
  <c r="FD9" i="6"/>
  <c r="FC9" i="6"/>
  <c r="FB9" i="6"/>
  <c r="FA9" i="6"/>
  <c r="EZ9" i="6"/>
  <c r="EY9" i="6"/>
  <c r="EX9" i="6"/>
  <c r="EW9" i="6"/>
  <c r="FT8" i="6"/>
  <c r="FS8" i="6"/>
  <c r="FR8" i="6"/>
  <c r="FQ8" i="6"/>
  <c r="FP8" i="6"/>
  <c r="FO8" i="6"/>
  <c r="FN8" i="6"/>
  <c r="FM8" i="6"/>
  <c r="FL8" i="6"/>
  <c r="FK8" i="6"/>
  <c r="FJ8" i="6"/>
  <c r="FI8" i="6"/>
  <c r="FH8" i="6"/>
  <c r="FG8" i="6"/>
  <c r="FF8" i="6"/>
  <c r="FE8" i="6"/>
  <c r="FD8" i="6"/>
  <c r="FC8" i="6"/>
  <c r="FB8" i="6"/>
  <c r="FA8" i="6"/>
  <c r="EZ8" i="6"/>
  <c r="EY8" i="6"/>
  <c r="EX8" i="6"/>
  <c r="EW8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FT6" i="6"/>
  <c r="FS6" i="6"/>
  <c r="FR6" i="6"/>
  <c r="FQ6" i="6"/>
  <c r="FP6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FT5" i="6"/>
  <c r="FS5" i="6"/>
  <c r="FR5" i="6"/>
  <c r="FQ5" i="6"/>
  <c r="FP5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U3" i="7"/>
  <c r="AU4" i="7"/>
  <c r="AU5" i="7"/>
  <c r="AU6" i="7"/>
  <c r="AU7" i="7"/>
  <c r="AU8" i="7"/>
  <c r="AU9" i="7"/>
  <c r="AU10" i="7"/>
  <c r="AU11" i="7"/>
  <c r="G3" i="6" l="1"/>
  <c r="H3" i="6"/>
  <c r="FU11" i="4" l="1"/>
  <c r="FU10" i="4"/>
  <c r="FU7" i="4"/>
  <c r="FU6" i="4"/>
  <c r="FU5" i="4"/>
  <c r="FU3" i="4"/>
  <c r="AU11" i="4"/>
  <c r="AU10" i="4"/>
  <c r="AU7" i="4"/>
  <c r="AU6" i="4"/>
  <c r="AU5" i="4"/>
  <c r="AU3" i="4"/>
  <c r="F8" i="7" l="1"/>
  <c r="F9" i="7" s="1"/>
  <c r="F10" i="7" s="1"/>
  <c r="F11" i="7" s="1"/>
  <c r="F12" i="7" s="1"/>
  <c r="F13" i="7" s="1"/>
  <c r="F14" i="7" s="1"/>
  <c r="F15" i="7" s="1"/>
  <c r="F16" i="7" s="1"/>
  <c r="G3" i="7"/>
  <c r="H3" i="7"/>
  <c r="AU11" i="6" l="1"/>
  <c r="AU10" i="6"/>
  <c r="AU7" i="6"/>
  <c r="AU6" i="6"/>
  <c r="AU5" i="6"/>
  <c r="AU3" i="6"/>
  <c r="FU11" i="6"/>
  <c r="FU10" i="6"/>
  <c r="FU7" i="6"/>
  <c r="FU6" i="6"/>
  <c r="FU5" i="6"/>
  <c r="FU3" i="6"/>
  <c r="FU3" i="7"/>
  <c r="FU11" i="7"/>
  <c r="FU4" i="7"/>
  <c r="FU5" i="7"/>
  <c r="FU6" i="7"/>
  <c r="FU7" i="7"/>
  <c r="FU8" i="7"/>
  <c r="FU9" i="7"/>
  <c r="FU10" i="7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FY4" i="4"/>
  <c r="FY5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AY4" i="4"/>
  <c r="AY5" i="4"/>
  <c r="AY3" i="4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FY4" i="6"/>
  <c r="FY5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AY4" i="6"/>
  <c r="AY5" i="6"/>
  <c r="AY3" i="6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AY4" i="7"/>
  <c r="AY5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FY4" i="7"/>
  <c r="FY5" i="7"/>
  <c r="EF11" i="7" l="1"/>
  <c r="EF12" i="7" s="1"/>
  <c r="EF13" i="7" s="1"/>
  <c r="EF14" i="7" s="1"/>
  <c r="EF15" i="7" s="1"/>
  <c r="EF16" i="7" s="1"/>
  <c r="EH3" i="7"/>
  <c r="EH5" i="7" s="1"/>
  <c r="EH7" i="7" s="1"/>
  <c r="EH9" i="7" s="1"/>
  <c r="EH11" i="7" s="1"/>
  <c r="EH13" i="7" s="1"/>
  <c r="EH15" i="7" s="1"/>
  <c r="EG3" i="7"/>
  <c r="EG4" i="7" s="1"/>
  <c r="EG6" i="7" s="1"/>
  <c r="EG8" i="7" s="1"/>
  <c r="EG10" i="7" s="1"/>
  <c r="EG12" i="7" s="1"/>
  <c r="EG14" i="7" s="1"/>
  <c r="EG16" i="7" s="1"/>
  <c r="H4" i="7"/>
  <c r="H6" i="7" s="1"/>
  <c r="H8" i="7" s="1"/>
  <c r="H10" i="7" s="1"/>
  <c r="H12" i="7" s="1"/>
  <c r="H14" i="7" s="1"/>
  <c r="H16" i="7" s="1"/>
  <c r="G4" i="7"/>
  <c r="G6" i="7" s="1"/>
  <c r="G8" i="7" s="1"/>
  <c r="G10" i="7" s="1"/>
  <c r="G12" i="7" s="1"/>
  <c r="G14" i="7" s="1"/>
  <c r="G16" i="7" s="1"/>
  <c r="EF11" i="6"/>
  <c r="EF12" i="6" s="1"/>
  <c r="EF13" i="6" s="1"/>
  <c r="EF14" i="6" s="1"/>
  <c r="EF15" i="6" s="1"/>
  <c r="EF16" i="6" s="1"/>
  <c r="F8" i="6"/>
  <c r="F9" i="6" s="1"/>
  <c r="F10" i="6" s="1"/>
  <c r="F11" i="6" s="1"/>
  <c r="F12" i="6" s="1"/>
  <c r="F13" i="6" s="1"/>
  <c r="F14" i="6" s="1"/>
  <c r="F15" i="6" s="1"/>
  <c r="F16" i="6" s="1"/>
  <c r="EH3" i="6"/>
  <c r="EH4" i="6" s="1"/>
  <c r="EH6" i="6" s="1"/>
  <c r="EH8" i="6" s="1"/>
  <c r="EH10" i="6" s="1"/>
  <c r="EH12" i="6" s="1"/>
  <c r="EH14" i="6" s="1"/>
  <c r="EH16" i="6" s="1"/>
  <c r="EG3" i="6"/>
  <c r="EG4" i="6" s="1"/>
  <c r="EG6" i="6" s="1"/>
  <c r="EG8" i="6" s="1"/>
  <c r="EG10" i="6" s="1"/>
  <c r="EG12" i="6" s="1"/>
  <c r="EG14" i="6" s="1"/>
  <c r="EG16" i="6" s="1"/>
  <c r="H4" i="6"/>
  <c r="H6" i="6" s="1"/>
  <c r="H8" i="6" s="1"/>
  <c r="H10" i="6" s="1"/>
  <c r="H12" i="6" s="1"/>
  <c r="H14" i="6" s="1"/>
  <c r="H16" i="6" s="1"/>
  <c r="G5" i="6"/>
  <c r="G7" i="6" s="1"/>
  <c r="G9" i="6" s="1"/>
  <c r="G11" i="6" s="1"/>
  <c r="G13" i="6" s="1"/>
  <c r="G15" i="6" s="1"/>
  <c r="EF12" i="4"/>
  <c r="EF13" i="4" s="1"/>
  <c r="EF14" i="4" s="1"/>
  <c r="EF15" i="4" s="1"/>
  <c r="EF16" i="4" s="1"/>
  <c r="EF11" i="4"/>
  <c r="F8" i="4"/>
  <c r="F9" i="4" s="1"/>
  <c r="F10" i="4" s="1"/>
  <c r="F11" i="4" s="1"/>
  <c r="F12" i="4" s="1"/>
  <c r="F13" i="4" s="1"/>
  <c r="F14" i="4" s="1"/>
  <c r="F15" i="4" s="1"/>
  <c r="F16" i="4" s="1"/>
  <c r="H4" i="4"/>
  <c r="H6" i="4" s="1"/>
  <c r="H8" i="4" s="1"/>
  <c r="H10" i="4" s="1"/>
  <c r="H12" i="4" s="1"/>
  <c r="H14" i="4" s="1"/>
  <c r="H16" i="4" s="1"/>
  <c r="G4" i="4"/>
  <c r="G6" i="4" s="1"/>
  <c r="G8" i="4" s="1"/>
  <c r="G10" i="4" s="1"/>
  <c r="G12" i="4" s="1"/>
  <c r="G14" i="4" s="1"/>
  <c r="G16" i="4" s="1"/>
  <c r="EH3" i="4"/>
  <c r="EH5" i="4" s="1"/>
  <c r="EH7" i="4" s="1"/>
  <c r="EH9" i="4" s="1"/>
  <c r="EH11" i="4" s="1"/>
  <c r="EH13" i="4" s="1"/>
  <c r="EH15" i="4" s="1"/>
  <c r="EG3" i="4"/>
  <c r="EG5" i="4" s="1"/>
  <c r="EG7" i="4" s="1"/>
  <c r="EG9" i="4" s="1"/>
  <c r="EG11" i="4" s="1"/>
  <c r="EG13" i="4" s="1"/>
  <c r="EG15" i="4" s="1"/>
  <c r="H3" i="4"/>
  <c r="H5" i="4" s="1"/>
  <c r="H7" i="4" s="1"/>
  <c r="H9" i="4" s="1"/>
  <c r="H11" i="4" s="1"/>
  <c r="H13" i="4" s="1"/>
  <c r="H15" i="4" s="1"/>
  <c r="G3" i="4"/>
  <c r="G5" i="4" s="1"/>
  <c r="G7" i="4" s="1"/>
  <c r="G9" i="4" s="1"/>
  <c r="G11" i="4" s="1"/>
  <c r="G13" i="4" s="1"/>
  <c r="G15" i="4" s="1"/>
  <c r="EH4" i="7" l="1"/>
  <c r="EH6" i="7" s="1"/>
  <c r="EH8" i="7" s="1"/>
  <c r="EH10" i="7" s="1"/>
  <c r="EH12" i="7" s="1"/>
  <c r="EH14" i="7" s="1"/>
  <c r="EH16" i="7" s="1"/>
  <c r="G5" i="7"/>
  <c r="G7" i="7" s="1"/>
  <c r="G9" i="7" s="1"/>
  <c r="G11" i="7" s="1"/>
  <c r="G13" i="7" s="1"/>
  <c r="G15" i="7" s="1"/>
  <c r="H5" i="7"/>
  <c r="H7" i="7" s="1"/>
  <c r="H9" i="7" s="1"/>
  <c r="H11" i="7" s="1"/>
  <c r="H13" i="7" s="1"/>
  <c r="H15" i="7" s="1"/>
  <c r="EG5" i="7"/>
  <c r="EG7" i="7" s="1"/>
  <c r="EG9" i="7" s="1"/>
  <c r="EG11" i="7" s="1"/>
  <c r="EG13" i="7" s="1"/>
  <c r="EG15" i="7" s="1"/>
  <c r="H5" i="6"/>
  <c r="H7" i="6" s="1"/>
  <c r="H9" i="6" s="1"/>
  <c r="H11" i="6" s="1"/>
  <c r="H13" i="6" s="1"/>
  <c r="H15" i="6" s="1"/>
  <c r="EH5" i="6"/>
  <c r="EH7" i="6" s="1"/>
  <c r="EH9" i="6" s="1"/>
  <c r="EH11" i="6" s="1"/>
  <c r="EH13" i="6" s="1"/>
  <c r="EH15" i="6" s="1"/>
  <c r="G4" i="6"/>
  <c r="G6" i="6" s="1"/>
  <c r="G8" i="6" s="1"/>
  <c r="G10" i="6" s="1"/>
  <c r="G12" i="6" s="1"/>
  <c r="G14" i="6" s="1"/>
  <c r="G16" i="6" s="1"/>
  <c r="EG5" i="6"/>
  <c r="EG7" i="6" s="1"/>
  <c r="EG9" i="6" s="1"/>
  <c r="EG11" i="6" s="1"/>
  <c r="EG13" i="6" s="1"/>
  <c r="EG15" i="6" s="1"/>
  <c r="EH4" i="4"/>
  <c r="EH6" i="4" s="1"/>
  <c r="EH8" i="4" s="1"/>
  <c r="EH10" i="4" s="1"/>
  <c r="EH12" i="4" s="1"/>
  <c r="EH14" i="4" s="1"/>
  <c r="EH16" i="4" s="1"/>
  <c r="EG4" i="4"/>
  <c r="EG6" i="4" s="1"/>
  <c r="EG8" i="4" s="1"/>
  <c r="EG10" i="4" s="1"/>
  <c r="EG12" i="4" s="1"/>
  <c r="EG14" i="4" s="1"/>
  <c r="EG16" i="4" s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U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If the DR available portion of the load is zero, then the load bid equals to the value of lost load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AY3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per timeslot production in MW.</t>
        </r>
      </text>
    </comment>
    <comment ref="CA3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per timeslot price offer for active power generation in euros/MW</t>
        </r>
      </text>
    </comment>
    <comment ref="CY3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per timeslot price offer for reactive power in euros/MW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Add Scenarios to the right
</t>
        </r>
      </text>
    </comment>
  </commentList>
</comments>
</file>

<file path=xl/sharedStrings.xml><?xml version="1.0" encoding="utf-8"?>
<sst xmlns="http://schemas.openxmlformats.org/spreadsheetml/2006/main" count="1163" uniqueCount="176">
  <si>
    <t>Line Data</t>
  </si>
  <si>
    <t>Upper/Lower Bounds</t>
  </si>
  <si>
    <t>Line No.</t>
  </si>
  <si>
    <t>From Bus</t>
  </si>
  <si>
    <t>To Bus</t>
  </si>
  <si>
    <t>r (ohm)</t>
  </si>
  <si>
    <t>x (ohm)</t>
  </si>
  <si>
    <t>Bus</t>
  </si>
  <si>
    <t>Ch_coef</t>
  </si>
  <si>
    <t>Dis_coef</t>
  </si>
  <si>
    <t>Pfi</t>
  </si>
  <si>
    <t>Distributed ESSs</t>
  </si>
  <si>
    <t>DN Demand</t>
  </si>
  <si>
    <t xml:space="preserve">t=1 </t>
  </si>
  <si>
    <t xml:space="preserve">t=2 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</si>
  <si>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</si>
  <si>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</si>
  <si>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</si>
  <si>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</si>
  <si>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</si>
  <si>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</si>
  <si>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</si>
  <si>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</si>
  <si>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</si>
  <si>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</si>
  <si>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</si>
  <si>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</si>
  <si>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</si>
  <si>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</si>
  <si>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</si>
  <si>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</si>
  <si>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</si>
  <si>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</si>
  <si>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</si>
  <si>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</si>
  <si>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</si>
  <si>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</si>
  <si>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RES</t>
  </si>
  <si>
    <t>Active Power Price Bid t=1</t>
  </si>
  <si>
    <t>Active Power Price Bid t=2</t>
  </si>
  <si>
    <t>Active Power Price Bid t=3</t>
  </si>
  <si>
    <t>Active Power Price Bid t=4</t>
  </si>
  <si>
    <t>Active Power Price Bid t=5</t>
  </si>
  <si>
    <t>Active Power Price Bid t=6</t>
  </si>
  <si>
    <t>Active Power Price Bid t=7</t>
  </si>
  <si>
    <t>Active Power Price Bid t=8</t>
  </si>
  <si>
    <t>Active Power Price Bid t=9</t>
  </si>
  <si>
    <t>Active Power Price Bid t=10</t>
  </si>
  <si>
    <t>Active Power Price Bid t=11</t>
  </si>
  <si>
    <t>Active Power Price Bid t=12</t>
  </si>
  <si>
    <t>Active Power Price Bid t=13</t>
  </si>
  <si>
    <t>Active Power Price Bid t=14</t>
  </si>
  <si>
    <t>Active Power Price Bid t=15</t>
  </si>
  <si>
    <t>Active Power Price Bid t=16</t>
  </si>
  <si>
    <t>Active Power Price Bid t=17</t>
  </si>
  <si>
    <t>Active Power Price Bid t=18</t>
  </si>
  <si>
    <t>Active Power Price Bid t=19</t>
  </si>
  <si>
    <t>Active Power Price Bid t=20</t>
  </si>
  <si>
    <t>Active Power Price Bid t=21</t>
  </si>
  <si>
    <t>Active Power Price Bid t=22</t>
  </si>
  <si>
    <t>Active Power Price Bid t=23</t>
  </si>
  <si>
    <t>Active Power Price Bid t=24</t>
  </si>
  <si>
    <t>Reactive Power Price Bid t=1</t>
  </si>
  <si>
    <t>Reactive Power Price Bid t=2</t>
  </si>
  <si>
    <t>Reactive Power Price Bid t=3</t>
  </si>
  <si>
    <t>Reactive Power Price Bid t=4</t>
  </si>
  <si>
    <t>Reactive Power Price Bid t=5</t>
  </si>
  <si>
    <t>Reactive Power Price Bid t=6</t>
  </si>
  <si>
    <t>Reactive Power Price Bid t=7</t>
  </si>
  <si>
    <t>Reactive Power Price Bid t=8</t>
  </si>
  <si>
    <t>Reactive Power Price Bid t=9</t>
  </si>
  <si>
    <t>Reactive Power Price Bid t=10</t>
  </si>
  <si>
    <t>Reactive Power Price Bid t=11</t>
  </si>
  <si>
    <t>Reactive Power Price Bid t=12</t>
  </si>
  <si>
    <t>Reactive Power Price Bid t=13</t>
  </si>
  <si>
    <t>Reactive Power Price Bid t=14</t>
  </si>
  <si>
    <t>Reactive Power Price Bid t=15</t>
  </si>
  <si>
    <t>Reactive Power Price Bid t=16</t>
  </si>
  <si>
    <t>Reactive Power Price Bid t=17</t>
  </si>
  <si>
    <t>Reactive Power Price Bid t=18</t>
  </si>
  <si>
    <t>Reactive Power Price Bid t=19</t>
  </si>
  <si>
    <t>Reactive Power Price Bid t=20</t>
  </si>
  <si>
    <t>Reactive Power Price Bid t=21</t>
  </si>
  <si>
    <t>Reactive Power Price Bid t=22</t>
  </si>
  <si>
    <t>Reactive Power Price Bid t=23</t>
  </si>
  <si>
    <t>Reactive Power Price Bid t=24</t>
  </si>
  <si>
    <t>Conventional DGs</t>
  </si>
  <si>
    <t>SVCs</t>
  </si>
  <si>
    <t>Sflow_bar (MVA)</t>
  </si>
  <si>
    <t>V_upper (p.u.)</t>
  </si>
  <si>
    <t>V_lower (p.u.)</t>
  </si>
  <si>
    <t>E_max (MWh)</t>
  </si>
  <si>
    <t>E_min (MWh)</t>
  </si>
  <si>
    <t>Dis Max (MW)</t>
  </si>
  <si>
    <t>Ch Max (MW)</t>
  </si>
  <si>
    <t>E0 (MWh)</t>
  </si>
  <si>
    <t>S_DESS (MW)</t>
  </si>
  <si>
    <t>Discharge Cost (euro/MW)</t>
  </si>
  <si>
    <t>Charge Cost (euro/MW)</t>
  </si>
  <si>
    <t>Reactive Power Cost (euro/MVAr)</t>
  </si>
  <si>
    <t>Load Bid (euro/MW)</t>
  </si>
  <si>
    <t>Capacity (MW)</t>
  </si>
  <si>
    <t>Minimum (MW)</t>
  </si>
  <si>
    <t>qSVC_min (MVAr)</t>
  </si>
  <si>
    <t>qSVC_max (MVAr)</t>
  </si>
  <si>
    <t>MC (euros/MVAr)</t>
  </si>
  <si>
    <t>t=1</t>
  </si>
  <si>
    <t>t=2</t>
  </si>
  <si>
    <t>RG 1</t>
  </si>
  <si>
    <t>RG 2</t>
  </si>
  <si>
    <t>RG 3</t>
  </si>
  <si>
    <t>RES penetration Level</t>
  </si>
  <si>
    <t>PDA_max t=1 (MW)</t>
  </si>
  <si>
    <t>PDA_max t=2 (MW)</t>
  </si>
  <si>
    <t>PDA_max t=3 (MW)</t>
  </si>
  <si>
    <t>PDA_max t=4 (MW)</t>
  </si>
  <si>
    <t>PDA_max t=5 (MW)</t>
  </si>
  <si>
    <t>PDA_max t=6 (MW)</t>
  </si>
  <si>
    <t>PDA_max t=7 (MW)</t>
  </si>
  <si>
    <t>PDA_max t=8 (MW)</t>
  </si>
  <si>
    <t>PDA_max t=9 (MW)</t>
  </si>
  <si>
    <t>PDA_max t=10 (MW)</t>
  </si>
  <si>
    <t>PDA_max t=11 (MW)</t>
  </si>
  <si>
    <t>PDA_max t=12 (MW)</t>
  </si>
  <si>
    <t>PDA_max t=13 (MW)</t>
  </si>
  <si>
    <t>PDA_max t=14 (MW)</t>
  </si>
  <si>
    <t>PDA_max t=15 (MW)</t>
  </si>
  <si>
    <t>PDA_max t=16 (MW)</t>
  </si>
  <si>
    <t>PDA_max t=17 (MW)</t>
  </si>
  <si>
    <t>PDA_max t=18 (MW)</t>
  </si>
  <si>
    <t>PDA_max t=19 (MW)</t>
  </si>
  <si>
    <t>PDA_max t=20 (MW)</t>
  </si>
  <si>
    <t>PDA_max t=21 (MW)</t>
  </si>
  <si>
    <t>PDA_max t=22 (MW)</t>
  </si>
  <si>
    <t>PDA_max t=23 (MW)</t>
  </si>
  <si>
    <t>PDA_max t=24 (MW)</t>
  </si>
  <si>
    <t>VoLL (euros)/MW</t>
  </si>
  <si>
    <t>DR Availability</t>
  </si>
  <si>
    <t>Hour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</si>
  <si>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</si>
  <si>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</si>
  <si>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</si>
  <si>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</si>
  <si>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</si>
  <si>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</si>
  <si>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</si>
  <si>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</si>
  <si>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</si>
  <si>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</si>
  <si>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</si>
  <si>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</si>
  <si>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</si>
  <si>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</si>
  <si>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</si>
  <si>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</si>
  <si>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</si>
  <si>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</si>
  <si>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</si>
  <si>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</si>
  <si>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</si>
  <si>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</si>
  <si>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</si>
  <si>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</si>
  <si>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</si>
  <si>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</si>
  <si>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</si>
  <si>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</si>
  <si>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</si>
  <si>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</si>
  <si>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</si>
  <si>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</si>
  <si>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</si>
  <si>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</si>
  <si>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</si>
  <si>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23:00 -00:00</t>
  </si>
  <si>
    <t>BM prices (euros/MW)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</si>
</sst>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i/>
      <sz val="11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horizontal="right" wrapText="1"/>
    </xf>
    <xf numFmtId="0" fontId="9" fillId="0" borderId="0" xfId="4" applyFont="1" applyFill="1" applyAlignment="1">
      <alignment horizontal="center" wrapText="1"/>
    </xf>
    <xf numFmtId="0" fontId="9" fillId="0" borderId="0" xfId="0" applyFont="1"/>
    <xf numFmtId="0" fontId="8" fillId="0" borderId="0" xfId="4" applyFont="1" applyFill="1" applyAlignment="1">
      <alignment horizontal="center" wrapText="1"/>
    </xf>
    <xf numFmtId="0" fontId="1" fillId="0" borderId="0" xfId="3" applyFill="1" applyAlignment="1">
      <alignment horizontal="center" wrapText="1"/>
    </xf>
    <xf numFmtId="0" fontId="4" fillId="0" borderId="0" xfId="3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2" fillId="0" borderId="0" xfId="0" applyFont="1"/>
    <xf numFmtId="0" fontId="0" fillId="11" borderId="0" xfId="0" applyFill="1" applyAlignment="1">
      <alignment horizontal="center" wrapText="1"/>
    </xf>
    <xf numFmtId="0" fontId="12" fillId="13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2" fontId="0" fillId="14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3" borderId="3" xfId="2" applyBorder="1" applyAlignment="1">
      <alignment horizontal="center" wrapText="1"/>
    </xf>
    <xf numFmtId="0" fontId="3" fillId="3" borderId="4" xfId="2" applyBorder="1" applyAlignment="1">
      <alignment horizontal="center" wrapText="1"/>
    </xf>
    <xf numFmtId="0" fontId="3" fillId="3" borderId="5" xfId="2" applyBorder="1" applyAlignment="1">
      <alignment horizontal="center" wrapText="1"/>
    </xf>
    <xf numFmtId="0" fontId="6" fillId="2" borderId="2" xfId="1" applyFont="1" applyBorder="1" applyAlignment="1">
      <alignment horizontal="center" wrapText="1"/>
    </xf>
    <xf numFmtId="0" fontId="6" fillId="2" borderId="0" xfId="1" applyFont="1" applyAlignment="1">
      <alignment horizontal="center" wrapText="1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3" borderId="1" xfId="2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5">
    <cellStyle name="40% - Accent2" xfId="3" builtinId="35"/>
    <cellStyle name="Accent6" xfId="4" builtinId="49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opLeftCell="EV1" workbookViewId="0">
      <selection activeCell="EW3" sqref="EW3:FT11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41" t="s">
        <v>0</v>
      </c>
      <c r="B1" s="41"/>
      <c r="C1" s="41"/>
      <c r="D1" s="41"/>
      <c r="E1" s="41"/>
      <c r="F1" s="37" t="s">
        <v>1</v>
      </c>
      <c r="G1" s="37"/>
      <c r="H1" s="37"/>
      <c r="I1" s="38" t="s">
        <v>11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 t="s">
        <v>12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 t="s">
        <v>37</v>
      </c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2" t="s">
        <v>87</v>
      </c>
      <c r="DX1" s="32"/>
      <c r="DY1" s="32"/>
      <c r="DZ1" s="32"/>
      <c r="EA1" s="33" t="s">
        <v>0</v>
      </c>
      <c r="EB1" s="34"/>
      <c r="EC1" s="34"/>
      <c r="ED1" s="34"/>
      <c r="EE1" s="35"/>
      <c r="EF1" s="36" t="s">
        <v>1</v>
      </c>
      <c r="EG1" s="37"/>
      <c r="EH1" s="37"/>
      <c r="EI1" s="38" t="s">
        <v>11</v>
      </c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9" t="s">
        <v>12</v>
      </c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40" t="s">
        <v>37</v>
      </c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2" t="s">
        <v>87</v>
      </c>
      <c r="IX1" s="32"/>
      <c r="IY1" s="32"/>
      <c r="IZ1" s="32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9</v>
      </c>
      <c r="K3">
        <v>0</v>
      </c>
      <c r="L3">
        <v>1.5</v>
      </c>
      <c r="M3">
        <v>1.5</v>
      </c>
      <c r="N3">
        <v>4.5</v>
      </c>
      <c r="O3" s="12">
        <v>0.9</v>
      </c>
      <c r="P3" s="12">
        <v>0.9</v>
      </c>
      <c r="Q3">
        <v>1.5</v>
      </c>
      <c r="R3">
        <v>5.4</v>
      </c>
      <c r="S3">
        <v>5.3</v>
      </c>
      <c r="T3">
        <v>0.5</v>
      </c>
      <c r="U3" s="13">
        <v>1</v>
      </c>
      <c r="V3" s="11">
        <v>0.8</v>
      </c>
      <c r="W3">
        <f>0.496044193664077*(2/1.75)</f>
        <v>0.56690764990180187</v>
      </c>
      <c r="X3">
        <f>0.483868920502092*(2/1.75)</f>
        <v>0.55299305200239079</v>
      </c>
      <c r="Y3">
        <f>0.476249556007173*(2/1.75)</f>
        <v>0.54428520686534032</v>
      </c>
      <c r="Z3">
        <f>0.480255613628213*(2/1.75)</f>
        <v>0.54886355843224299</v>
      </c>
      <c r="AA3">
        <f>0.497379546204423*(2/1.75)</f>
        <v>0.56843376709076943</v>
      </c>
      <c r="AB3">
        <f>0.50672701398685*(2/1.75)</f>
        <v>0.57911658741354277</v>
      </c>
      <c r="AC3">
        <f>0.547808742139869*(2/1.75)</f>
        <v>0.62606713387413537</v>
      </c>
      <c r="AD3">
        <f>0.582606458338314*(2/1.75)</f>
        <v>0.66583595238664495</v>
      </c>
      <c r="AE3">
        <f>0.601301393903168*(2/1.75)</f>
        <v>0.68720159303219208</v>
      </c>
      <c r="AF3">
        <f>0.616697223191871*(2/1.75)</f>
        <v>0.70479682650499542</v>
      </c>
      <c r="AG3">
        <f>0.613947967961745*(2/1.75)</f>
        <v>0.70165482052770878</v>
      </c>
      <c r="AH3">
        <f>0.581271105797968*(2/1.75)</f>
        <v>0.6643098351976775</v>
      </c>
      <c r="AI3">
        <f>0.558020261566049*(2/1.75)</f>
        <v>0.63773744178977043</v>
      </c>
      <c r="AJ3">
        <f>0.540817778840407*(2/1.75)</f>
        <v>0.61807746153189325</v>
      </c>
      <c r="AK3">
        <f>0.538461274357442*(2/1.75)</f>
        <v>0.61538431355136192</v>
      </c>
      <c r="AL3">
        <f>0.554721155289898*(2/1.75)</f>
        <v>0.63396703461702675</v>
      </c>
      <c r="AM3">
        <f>0.608999308547519*(2/1.75)</f>
        <v>0.69599920976859353</v>
      </c>
      <c r="AN3">
        <f>0.657072*(2/1.75)</f>
        <v>0.75093942857142848</v>
      </c>
      <c r="AO3">
        <f>0.632878553974895*(2/1.75)</f>
        <v>0.72328977597130895</v>
      </c>
      <c r="AP3">
        <f>0.606799904363419*(2/1.75)</f>
        <v>0.69348560498676459</v>
      </c>
      <c r="AQ3">
        <f>0.576872297429767*(2/1.75)</f>
        <v>0.65928262563401929</v>
      </c>
      <c r="AR3">
        <f>0.578129099820681*(2/1.75)</f>
        <v>0.66071897122363588</v>
      </c>
      <c r="AS3">
        <f>0.543724134369396*(2/1.75)</f>
        <v>0.62139901070788128</v>
      </c>
      <c r="AT3">
        <f>0.519373588045427*(2/1.75)</f>
        <v>0.5935698149090598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-0.3</v>
      </c>
      <c r="DY3" s="5">
        <v>0.9</v>
      </c>
      <c r="DZ3" s="5">
        <v>3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9</v>
      </c>
      <c r="EK3">
        <v>0</v>
      </c>
      <c r="EL3">
        <v>1.5</v>
      </c>
      <c r="EM3">
        <v>1.5</v>
      </c>
      <c r="EN3">
        <v>4.5</v>
      </c>
      <c r="EO3" s="12">
        <v>0.9</v>
      </c>
      <c r="EP3" s="12">
        <v>0.9</v>
      </c>
      <c r="EQ3">
        <v>1.5</v>
      </c>
      <c r="ER3">
        <v>10</v>
      </c>
      <c r="ES3">
        <v>9.9</v>
      </c>
      <c r="ET3">
        <v>0.5</v>
      </c>
      <c r="EU3" s="13">
        <v>1</v>
      </c>
      <c r="EV3" s="11">
        <v>0.8</v>
      </c>
      <c r="EW3">
        <f>0.496044193664077*(2/1.75)</f>
        <v>0.56690764990180187</v>
      </c>
      <c r="EX3">
        <f>0.483868920502092*(2/1.75)</f>
        <v>0.55299305200239079</v>
      </c>
      <c r="EY3">
        <f>0.476249556007173*(2/1.75)</f>
        <v>0.54428520686534032</v>
      </c>
      <c r="EZ3">
        <f>0.480255613628213*(2/1.75)</f>
        <v>0.54886355843224299</v>
      </c>
      <c r="FA3">
        <f>0.497379546204423*(2/1.75)</f>
        <v>0.56843376709076943</v>
      </c>
      <c r="FB3">
        <f>0.50672701398685*(2/1.75)</f>
        <v>0.57911658741354277</v>
      </c>
      <c r="FC3">
        <f>0.547808742139869*(2/1.75)</f>
        <v>0.62606713387413537</v>
      </c>
      <c r="FD3">
        <f>0.582606458338314*(2/1.75)</f>
        <v>0.66583595238664495</v>
      </c>
      <c r="FE3">
        <f>0.601301393903168*(2/1.75)</f>
        <v>0.68720159303219208</v>
      </c>
      <c r="FF3">
        <f>0.616697223191871*(2/1.75)</f>
        <v>0.70479682650499542</v>
      </c>
      <c r="FG3">
        <f>0.613947967961745*(2/1.75)</f>
        <v>0.70165482052770878</v>
      </c>
      <c r="FH3">
        <f>0.581271105797968*(2/1.75)</f>
        <v>0.6643098351976775</v>
      </c>
      <c r="FI3">
        <f>0.558020261566049*(2/1.75)</f>
        <v>0.63773744178977043</v>
      </c>
      <c r="FJ3">
        <f>0.540817778840407*(2/1.75)</f>
        <v>0.61807746153189325</v>
      </c>
      <c r="FK3">
        <f>0.538461274357442*(2/1.75)</f>
        <v>0.61538431355136192</v>
      </c>
      <c r="FL3">
        <f>0.554721155289898*(2/1.75)</f>
        <v>0.63396703461702675</v>
      </c>
      <c r="FM3">
        <f>0.608999308547519*(2/1.75)</f>
        <v>0.69599920976859353</v>
      </c>
      <c r="FN3">
        <f>0.657072*(2/1.75)</f>
        <v>0.75093942857142848</v>
      </c>
      <c r="FO3">
        <f>0.632878553974895*(2/1.75)</f>
        <v>0.72328977597130895</v>
      </c>
      <c r="FP3">
        <f>0.606799904363419*(2/1.75)</f>
        <v>0.69348560498676459</v>
      </c>
      <c r="FQ3">
        <f>0.576872297429767*(2/1.75)</f>
        <v>0.65928262563401929</v>
      </c>
      <c r="FR3">
        <f>0.578129099820681*(2/1.75)</f>
        <v>0.66071897122363588</v>
      </c>
      <c r="FS3">
        <f>0.543724134369396*(2/1.75)</f>
        <v>0.62139901070788128</v>
      </c>
      <c r="FT3">
        <f>0.519373588045427*(2/1.75)</f>
        <v>0.5935698149090598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-0.3</v>
      </c>
      <c r="IY3" s="5">
        <v>0.9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>
        <v>2</v>
      </c>
      <c r="J4" s="11">
        <v>9</v>
      </c>
      <c r="K4">
        <v>0</v>
      </c>
      <c r="L4">
        <v>1.5</v>
      </c>
      <c r="M4">
        <v>1.5</v>
      </c>
      <c r="N4">
        <v>4.5</v>
      </c>
      <c r="O4" s="12">
        <v>0.9</v>
      </c>
      <c r="P4" s="12">
        <v>0.9</v>
      </c>
      <c r="Q4">
        <v>1.5</v>
      </c>
      <c r="R4">
        <v>5</v>
      </c>
      <c r="S4">
        <v>4.9000000000000004</v>
      </c>
      <c r="T4">
        <v>0.5</v>
      </c>
      <c r="U4" s="13">
        <v>2</v>
      </c>
      <c r="V4" s="11">
        <v>0.8</v>
      </c>
      <c r="W4">
        <f>1.18048978780634*(2/1.75)</f>
        <v>1.349131186064384</v>
      </c>
      <c r="X4">
        <f>1.1515149790795*(2/1.75)</f>
        <v>1.3160171189479977</v>
      </c>
      <c r="Y4">
        <f>1.13338235684399*(2/1.75)</f>
        <v>1.2952941221074203</v>
      </c>
      <c r="Z4">
        <f>1.14291600358637*(2/1.75)</f>
        <v>1.3061897183844247</v>
      </c>
      <c r="AA4">
        <f>1.1836676700538*(2/1.75)</f>
        <v>1.3527630514900519</v>
      </c>
      <c r="AB4">
        <f>1.20591284578601*(2/1.75)</f>
        <v>1.3781861094697292</v>
      </c>
      <c r="AC4">
        <f>1.30367945845786*(2/1.75)</f>
        <v>1.4899193810946976</v>
      </c>
      <c r="AD4">
        <f>1.38649133114166*(2/1.75)</f>
        <v>1.5845615213047559</v>
      </c>
      <c r="AE4">
        <f>1.4309816826061*(2/1.75)</f>
        <v>1.6354076372641106</v>
      </c>
      <c r="AF4">
        <f>1.46762079557681*(2/1.75)</f>
        <v>1.677280909230638</v>
      </c>
      <c r="AG4">
        <f>1.46107809683204*(2/1.75)</f>
        <v>1.6698035392366148</v>
      </c>
      <c r="AH4">
        <f>1.3833134488942*(2/1.75)</f>
        <v>1.580929655879088</v>
      </c>
      <c r="AI4">
        <f>1.32798091093843*(2/1.75)</f>
        <v>1.5176924696439245</v>
      </c>
      <c r="AJ4">
        <f>1.28704231022116*(2/1.75)</f>
        <v>1.4709054973956113</v>
      </c>
      <c r="AK4">
        <f>1.28143428272564*(2/1.75)</f>
        <v>1.4644963231150203</v>
      </c>
      <c r="AL4">
        <f>1.32012967244471*(2/1.75)</f>
        <v>1.5087196256510973</v>
      </c>
      <c r="AM4">
        <f>1.44930123909145*(2/1.75)</f>
        <v>1.6563442732473748</v>
      </c>
      <c r="AN4">
        <f>1.563705*(2/1.75)</f>
        <v>1.7870914285714286</v>
      </c>
      <c r="AO4">
        <f>1.50612925104602*(2/1.75)</f>
        <v>1.7212905726240284</v>
      </c>
      <c r="AP4">
        <f>1.44406708009564*(2/1.75)</f>
        <v>1.6503623772521563</v>
      </c>
      <c r="AQ4">
        <f>1.37284513090257*(2/1.75)</f>
        <v>1.5689658638886517</v>
      </c>
      <c r="AR4">
        <f>1.37583607890018*(2/1.75)</f>
        <v>1.5723840901716339</v>
      </c>
      <c r="AS4">
        <f>1.29395887746563*(2/1.75)</f>
        <v>1.4788101456750065</v>
      </c>
      <c r="AT4">
        <f>1.23600926001195*(2/1.75)</f>
        <v>1.4125820114422341</v>
      </c>
      <c r="AU4" s="1">
        <v>110</v>
      </c>
      <c r="AV4" s="1">
        <v>1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-0.3</v>
      </c>
      <c r="DY4" s="5">
        <v>0.9</v>
      </c>
      <c r="DZ4" s="5">
        <v>3</v>
      </c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>
        <v>2</v>
      </c>
      <c r="EJ4" s="11">
        <v>9</v>
      </c>
      <c r="EK4">
        <v>0</v>
      </c>
      <c r="EL4">
        <v>1.5</v>
      </c>
      <c r="EM4">
        <v>1.5</v>
      </c>
      <c r="EN4">
        <v>4.5</v>
      </c>
      <c r="EO4" s="12">
        <v>0.9</v>
      </c>
      <c r="EP4" s="12">
        <v>0.9</v>
      </c>
      <c r="EQ4">
        <v>1.5</v>
      </c>
      <c r="ER4">
        <v>7.5</v>
      </c>
      <c r="ES4">
        <v>7.4</v>
      </c>
      <c r="ET4">
        <v>0.5</v>
      </c>
      <c r="EU4" s="13">
        <v>2</v>
      </c>
      <c r="EV4" s="11">
        <v>0.8</v>
      </c>
      <c r="EW4">
        <f>1.18048978780634*(2/1.75)</f>
        <v>1.349131186064384</v>
      </c>
      <c r="EX4">
        <f>1.1515149790795*(2/1.75)</f>
        <v>1.3160171189479977</v>
      </c>
      <c r="EY4">
        <f>1.13338235684399*(2/1.75)</f>
        <v>1.2952941221074203</v>
      </c>
      <c r="EZ4">
        <f>1.14291600358637*(2/1.75)</f>
        <v>1.3061897183844247</v>
      </c>
      <c r="FA4">
        <f>1.1836676700538*(2/1.75)</f>
        <v>1.3527630514900519</v>
      </c>
      <c r="FB4">
        <f>1.20591284578601*(2/1.75)</f>
        <v>1.3781861094697292</v>
      </c>
      <c r="FC4">
        <f>1.30367945845786*(2/1.75)</f>
        <v>1.4899193810946976</v>
      </c>
      <c r="FD4">
        <f>1.38649133114166*(2/1.75)</f>
        <v>1.5845615213047559</v>
      </c>
      <c r="FE4">
        <f>1.4309816826061*(2/1.75)</f>
        <v>1.6354076372641106</v>
      </c>
      <c r="FF4">
        <f>1.46762079557681*(2/1.75)</f>
        <v>1.677280909230638</v>
      </c>
      <c r="FG4">
        <f>1.46107809683204*(2/1.75)</f>
        <v>1.6698035392366148</v>
      </c>
      <c r="FH4">
        <f>1.3833134488942*(2/1.75)</f>
        <v>1.580929655879088</v>
      </c>
      <c r="FI4">
        <f>1.32798091093843*(2/1.75)</f>
        <v>1.5176924696439245</v>
      </c>
      <c r="FJ4">
        <f>1.28704231022116*(2/1.75)</f>
        <v>1.4709054973956113</v>
      </c>
      <c r="FK4">
        <f>1.28143428272564*(2/1.75)</f>
        <v>1.4644963231150203</v>
      </c>
      <c r="FL4">
        <f>1.32012967244471*(2/1.75)</f>
        <v>1.5087196256510973</v>
      </c>
      <c r="FM4">
        <f>1.44930123909145*(2/1.75)</f>
        <v>1.6563442732473748</v>
      </c>
      <c r="FN4">
        <f>1.563705*(2/1.75)</f>
        <v>1.7870914285714286</v>
      </c>
      <c r="FO4">
        <f>1.50612925104602*(2/1.75)</f>
        <v>1.7212905726240284</v>
      </c>
      <c r="FP4">
        <f>1.44406708009564*(2/1.75)</f>
        <v>1.6503623772521563</v>
      </c>
      <c r="FQ4">
        <f>1.37284513090257*(2/1.75)</f>
        <v>1.5689658638886517</v>
      </c>
      <c r="FR4">
        <f>1.37583607890018*(2/1.75)</f>
        <v>1.5723840901716339</v>
      </c>
      <c r="FS4">
        <f>1.29395887746563*(2/1.75)</f>
        <v>1.4788101456750065</v>
      </c>
      <c r="FT4">
        <f>1.23600926001195*(2/1.75)</f>
        <v>1.4125820114422341</v>
      </c>
      <c r="FU4" s="1">
        <v>35</v>
      </c>
      <c r="FV4" s="1">
        <v>1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-0.3</v>
      </c>
      <c r="IY4" s="5">
        <v>0.9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>
        <v>5</v>
      </c>
      <c r="J5" s="11">
        <v>9</v>
      </c>
      <c r="K5">
        <v>0</v>
      </c>
      <c r="L5">
        <v>1.5</v>
      </c>
      <c r="M5">
        <v>1.5</v>
      </c>
      <c r="N5">
        <v>4.5</v>
      </c>
      <c r="O5" s="12">
        <v>0.9</v>
      </c>
      <c r="P5" s="12">
        <v>0.9</v>
      </c>
      <c r="Q5">
        <v>1.5</v>
      </c>
      <c r="R5">
        <v>4.7</v>
      </c>
      <c r="S5">
        <v>4.5999999999999996</v>
      </c>
      <c r="T5">
        <v>0.5</v>
      </c>
      <c r="U5" s="13">
        <v>3</v>
      </c>
      <c r="V5" s="11">
        <v>0.8</v>
      </c>
      <c r="W5">
        <f>2.28466508427974*(2/1.75)</f>
        <v>2.6110458106054129</v>
      </c>
      <c r="X5">
        <f>2.22858858577406*(2/1.75)</f>
        <v>2.5469583837417811</v>
      </c>
      <c r="Y5">
        <f>2.19349555122534*(2/1.75)</f>
        <v>2.5068520585432501</v>
      </c>
      <c r="Z5">
        <f>2.21194652815302*(2/1.75)</f>
        <v>2.5279388893177352</v>
      </c>
      <c r="AA5">
        <f>2.2908154099223*(2/1.75)</f>
        <v>2.6180747541969085</v>
      </c>
      <c r="AB5">
        <f>2.3338676894202*(2/1.75)</f>
        <v>2.6672773593373749</v>
      </c>
      <c r="AC5">
        <f>2.5230806488942*(2/1.75)</f>
        <v>2.8835207415933737</v>
      </c>
      <c r="AD5">
        <f>2.68335089946204*(2/1.75)</f>
        <v>3.066686742242335</v>
      </c>
      <c r="AE5">
        <f>2.76945545845786*(2/1.75)</f>
        <v>3.1650919525232672</v>
      </c>
      <c r="AF5">
        <f>2.84036509527794*(2/1.75)</f>
        <v>3.2461315374605069</v>
      </c>
      <c r="AG5">
        <f>2.8277026601315*(2/1.75)</f>
        <v>3.2316601830074281</v>
      </c>
      <c r="AH5">
        <f>2.67720057381949*(2/1.75)</f>
        <v>3.0596577986508406</v>
      </c>
      <c r="AI5">
        <f>2.57011255086671*(2/1.75)</f>
        <v>2.9372714867048071</v>
      </c>
      <c r="AJ5">
        <f>2.4908818852361*(2/1.75)</f>
        <v>2.8467221545555454</v>
      </c>
      <c r="AK5">
        <f>2.48002836939629*(2/1.75)</f>
        <v>2.8343181364529073</v>
      </c>
      <c r="AL5">
        <f>2.55491762869097*(2/1.75)</f>
        <v>2.9199058613611126</v>
      </c>
      <c r="AM5">
        <f>2.8049102768679*(2/1.75)</f>
        <v>3.2056117449918879</v>
      </c>
      <c r="AN5">
        <f>3.026322*(2/1.75)</f>
        <v>3.4586537142857137</v>
      </c>
      <c r="AO5">
        <f>2.9148925707113*(2/1.75)</f>
        <v>3.3313057950986247</v>
      </c>
      <c r="AP5">
        <f>2.79478032875075*(2/1.75)</f>
        <v>3.1940346614294253</v>
      </c>
      <c r="AQ5">
        <f>2.65694067758518*(2/1.75)</f>
        <v>3.0365036315259144</v>
      </c>
      <c r="AR5">
        <f>2.66272921936641*(2/1.75)</f>
        <v>3.0431191078473225</v>
      </c>
      <c r="AS5">
        <f>2.5042678881052*(2/1.75)</f>
        <v>2.8620204435487997</v>
      </c>
      <c r="AT5">
        <f>2.39211489109384*(2/1.75)</f>
        <v>2.7338455898215348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>
        <v>5</v>
      </c>
      <c r="EJ5" s="11">
        <v>9</v>
      </c>
      <c r="EK5">
        <v>0</v>
      </c>
      <c r="EL5">
        <v>1.5</v>
      </c>
      <c r="EM5">
        <v>1.5</v>
      </c>
      <c r="EN5">
        <v>4.5</v>
      </c>
      <c r="EO5" s="12">
        <v>0.9</v>
      </c>
      <c r="EP5" s="12">
        <v>0.9</v>
      </c>
      <c r="EQ5">
        <v>1.5</v>
      </c>
      <c r="ER5">
        <v>5</v>
      </c>
      <c r="ES5">
        <v>4.9000000000000004</v>
      </c>
      <c r="ET5">
        <v>0.5</v>
      </c>
      <c r="EU5" s="13">
        <v>3</v>
      </c>
      <c r="EV5" s="11">
        <v>0.8</v>
      </c>
      <c r="EW5">
        <f>2.28466508427974*(2/1.75)</f>
        <v>2.6110458106054129</v>
      </c>
      <c r="EX5">
        <f>2.22858858577406*(2/1.75)</f>
        <v>2.5469583837417811</v>
      </c>
      <c r="EY5">
        <f>2.19349555122534*(2/1.75)</f>
        <v>2.5068520585432501</v>
      </c>
      <c r="EZ5">
        <f>2.21194652815302*(2/1.75)</f>
        <v>2.5279388893177352</v>
      </c>
      <c r="FA5">
        <f>2.2908154099223*(2/1.75)</f>
        <v>2.6180747541969085</v>
      </c>
      <c r="FB5">
        <f>2.3338676894202*(2/1.75)</f>
        <v>2.6672773593373749</v>
      </c>
      <c r="FC5">
        <f>2.5230806488942*(2/1.75)</f>
        <v>2.8835207415933737</v>
      </c>
      <c r="FD5">
        <f>2.68335089946204*(2/1.75)</f>
        <v>3.066686742242335</v>
      </c>
      <c r="FE5">
        <f>2.76945545845786*(2/1.75)</f>
        <v>3.1650919525232672</v>
      </c>
      <c r="FF5">
        <f>2.84036509527794*(2/1.75)</f>
        <v>3.2461315374605069</v>
      </c>
      <c r="FG5">
        <f>2.8277026601315*(2/1.75)</f>
        <v>3.2316601830074281</v>
      </c>
      <c r="FH5">
        <f>2.67720057381949*(2/1.75)</f>
        <v>3.0596577986508406</v>
      </c>
      <c r="FI5">
        <f>2.57011255086671*(2/1.75)</f>
        <v>2.9372714867048071</v>
      </c>
      <c r="FJ5">
        <f>2.4908818852361*(2/1.75)</f>
        <v>2.8467221545555454</v>
      </c>
      <c r="FK5">
        <f>2.48002836939629*(2/1.75)</f>
        <v>2.8343181364529073</v>
      </c>
      <c r="FL5">
        <f>2.55491762869097*(2/1.75)</f>
        <v>2.9199058613611126</v>
      </c>
      <c r="FM5">
        <f>2.8049102768679*(2/1.75)</f>
        <v>3.2056117449918879</v>
      </c>
      <c r="FN5">
        <f>3.026322*(2/1.75)</f>
        <v>3.4586537142857137</v>
      </c>
      <c r="FO5">
        <f>2.9148925707113*(2/1.75)</f>
        <v>3.3313057950986247</v>
      </c>
      <c r="FP5">
        <f>2.79478032875075*(2/1.75)</f>
        <v>3.1940346614294253</v>
      </c>
      <c r="FQ5">
        <f>2.65694067758518*(2/1.75)</f>
        <v>3.0365036315259144</v>
      </c>
      <c r="FR5">
        <f>2.66272921936641*(2/1.75)</f>
        <v>3.0431191078473225</v>
      </c>
      <c r="FS5">
        <f>2.5042678881052*(2/1.75)</f>
        <v>2.8620204435487997</v>
      </c>
      <c r="FT5">
        <f>2.39211489109384*(2/1.75)</f>
        <v>2.7338455898215348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>
        <v>8</v>
      </c>
      <c r="J6" s="11">
        <v>9</v>
      </c>
      <c r="K6">
        <v>0</v>
      </c>
      <c r="L6">
        <v>1.5</v>
      </c>
      <c r="M6">
        <v>1.5</v>
      </c>
      <c r="N6">
        <v>4.5</v>
      </c>
      <c r="O6" s="12">
        <v>0.9</v>
      </c>
      <c r="P6" s="12">
        <v>0.9</v>
      </c>
      <c r="Q6">
        <v>1.5</v>
      </c>
      <c r="R6">
        <v>4.3</v>
      </c>
      <c r="S6">
        <v>4.2</v>
      </c>
      <c r="T6">
        <v>0.5</v>
      </c>
      <c r="U6" s="13">
        <v>4</v>
      </c>
      <c r="V6" s="11">
        <v>0.8</v>
      </c>
      <c r="W6">
        <f>1.00639735445308*(2/1.75)</f>
        <v>1.1501684050892322</v>
      </c>
      <c r="X6">
        <f>0.98169559832636*(2/1.75)</f>
        <v>1.121937826658697</v>
      </c>
      <c r="Y6">
        <f>0.966237079976091*(2/1.75)</f>
        <v>1.1042709485441038</v>
      </c>
      <c r="Z6">
        <f>0.974364754572624*(2/1.75)</f>
        <v>1.1135597195115698</v>
      </c>
      <c r="AA6">
        <f>1.00910657931859*(2/1.75)</f>
        <v>1.1532646620783875</v>
      </c>
      <c r="AB6">
        <f>1.02807115337717*(2/1.75)</f>
        <v>1.1749384610024765</v>
      </c>
      <c r="AC6">
        <f>1.11141965953377*(2/1.75)</f>
        <v>1.2701938966100248</v>
      </c>
      <c r="AD6">
        <f>1.18201887220562*(2/1.75)</f>
        <v>1.3508787110921354</v>
      </c>
      <c r="AE6">
        <f>1.21994802032277*(2/1.75)</f>
        <v>1.3942263089403122</v>
      </c>
      <c r="AF6">
        <f>1.25118378936043*(2/1.75)</f>
        <v>1.4299243306976346</v>
      </c>
      <c r="AG6">
        <f>1.24560597346085*(2/1.75)</f>
        <v>1.4235496839552557</v>
      </c>
      <c r="AH6">
        <f>1.17930964734011*(2/1.75)</f>
        <v>1.3477824541029801</v>
      </c>
      <c r="AI6">
        <f>1.1321372614465*(2/1.75)</f>
        <v>1.2938711559388612</v>
      </c>
      <c r="AJ6">
        <f>1.09723607053198*(2/1.75)</f>
        <v>1.2539840806079752</v>
      </c>
      <c r="AK6">
        <f>1.09245508547519*(2/1.75)</f>
        <v>1.2485200976859365</v>
      </c>
      <c r="AL6">
        <f>1.12544388236701*(2/1.75)</f>
        <v>1.2862215798480061</v>
      </c>
      <c r="AM6">
        <f>1.2355659048416*(2/1.75)</f>
        <v>1.4120753198189739</v>
      </c>
      <c r="AN6">
        <f>1.333098*(2/1.75)</f>
        <v>1.5235405714285712</v>
      </c>
      <c r="AO6">
        <f>1.28401322008368*(2/1.75)</f>
        <v>1.4674436800956367</v>
      </c>
      <c r="AP6">
        <f>1.23110365212194*(2/1.75)</f>
        <v>1.4069756024250708</v>
      </c>
      <c r="AQ6">
        <f>1.17038514190078*(2/1.75)</f>
        <v>1.3375830193151736</v>
      </c>
      <c r="AR6">
        <f>1.17293500059773*(2/1.75)</f>
        <v>1.3404971435402617</v>
      </c>
      <c r="AS6">
        <f>1.10313261876868*(2/1.75)</f>
        <v>1.2607229928784902</v>
      </c>
      <c r="AT6">
        <f>1.05372910651524*(2/1.75)</f>
        <v>1.2042618360174195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>
        <v>8</v>
      </c>
      <c r="EJ6" s="11">
        <v>9</v>
      </c>
      <c r="EK6">
        <v>0</v>
      </c>
      <c r="EL6">
        <v>1.5</v>
      </c>
      <c r="EM6">
        <v>1.5</v>
      </c>
      <c r="EN6">
        <v>4.5</v>
      </c>
      <c r="EO6" s="12">
        <v>0.9</v>
      </c>
      <c r="EP6" s="12">
        <v>0.9</v>
      </c>
      <c r="EQ6">
        <v>1.5</v>
      </c>
      <c r="ER6">
        <v>4.5999999999999996</v>
      </c>
      <c r="ES6">
        <v>4.5</v>
      </c>
      <c r="ET6">
        <v>0.5</v>
      </c>
      <c r="EU6" s="13">
        <v>4</v>
      </c>
      <c r="EV6" s="11">
        <v>0.8</v>
      </c>
      <c r="EW6">
        <f>1.00639735445308*(2/1.75)</f>
        <v>1.1501684050892322</v>
      </c>
      <c r="EX6">
        <f>0.98169559832636*(2/1.75)</f>
        <v>1.121937826658697</v>
      </c>
      <c r="EY6">
        <f>0.966237079976091*(2/1.75)</f>
        <v>1.1042709485441038</v>
      </c>
      <c r="EZ6">
        <f>0.974364754572624*(2/1.75)</f>
        <v>1.1135597195115698</v>
      </c>
      <c r="FA6">
        <f>1.00910657931859*(2/1.75)</f>
        <v>1.1532646620783875</v>
      </c>
      <c r="FB6">
        <f>1.02807115337717*(2/1.75)</f>
        <v>1.1749384610024765</v>
      </c>
      <c r="FC6">
        <f>1.11141965953377*(2/1.75)</f>
        <v>1.2701938966100248</v>
      </c>
      <c r="FD6">
        <f>1.18201887220562*(2/1.75)</f>
        <v>1.3508787110921354</v>
      </c>
      <c r="FE6">
        <f>1.21994802032277*(2/1.75)</f>
        <v>1.3942263089403122</v>
      </c>
      <c r="FF6">
        <f>1.25118378936043*(2/1.75)</f>
        <v>1.4299243306976346</v>
      </c>
      <c r="FG6">
        <f>1.24560597346085*(2/1.75)</f>
        <v>1.4235496839552557</v>
      </c>
      <c r="FH6">
        <f>1.17930964734011*(2/1.75)</f>
        <v>1.3477824541029801</v>
      </c>
      <c r="FI6">
        <f>1.1321372614465*(2/1.75)</f>
        <v>1.2938711559388612</v>
      </c>
      <c r="FJ6">
        <f>1.09723607053198*(2/1.75)</f>
        <v>1.2539840806079752</v>
      </c>
      <c r="FK6">
        <f>1.09245508547519*(2/1.75)</f>
        <v>1.2485200976859365</v>
      </c>
      <c r="FL6">
        <f>1.12544388236701*(2/1.75)</f>
        <v>1.2862215798480061</v>
      </c>
      <c r="FM6">
        <f>1.2355659048416*(2/1.75)</f>
        <v>1.4120753198189739</v>
      </c>
      <c r="FN6">
        <f>1.333098*(2/1.75)</f>
        <v>1.5235405714285712</v>
      </c>
      <c r="FO6">
        <f>1.28401322008368*(2/1.75)</f>
        <v>1.4674436800956367</v>
      </c>
      <c r="FP6">
        <f>1.23110365212194*(2/1.75)</f>
        <v>1.4069756024250708</v>
      </c>
      <c r="FQ6">
        <f>1.17038514190078*(2/1.75)</f>
        <v>1.3375830193151736</v>
      </c>
      <c r="FR6">
        <f>1.17293500059773*(2/1.75)</f>
        <v>1.3404971435402617</v>
      </c>
      <c r="FS6">
        <f>1.10313261876868*(2/1.75)</f>
        <v>1.2607229928784902</v>
      </c>
      <c r="FT6">
        <f>1.05372910651524*(2/1.75)</f>
        <v>1.2042618360174195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>
        <v>10</v>
      </c>
      <c r="J7" s="11">
        <v>9</v>
      </c>
      <c r="K7">
        <v>0</v>
      </c>
      <c r="L7">
        <v>1.5</v>
      </c>
      <c r="M7">
        <v>1.5</v>
      </c>
      <c r="N7">
        <v>4.5</v>
      </c>
      <c r="O7" s="12">
        <v>0.9</v>
      </c>
      <c r="P7" s="12">
        <v>0.9</v>
      </c>
      <c r="Q7">
        <v>1.5</v>
      </c>
      <c r="R7">
        <v>4.0999999999999996</v>
      </c>
      <c r="S7">
        <v>4</v>
      </c>
      <c r="T7">
        <v>0.5</v>
      </c>
      <c r="U7" s="13">
        <v>6</v>
      </c>
      <c r="V7" s="11">
        <v>0.8</v>
      </c>
      <c r="W7">
        <f>1.52152017095039*(2/1.75)</f>
        <v>1.7388801953718722</v>
      </c>
      <c r="X7">
        <f>1.48417486192469*(2/1.75)</f>
        <v>1.6961998421996412</v>
      </c>
      <c r="Y7">
        <f>1.46080392659892*(2/1.75)</f>
        <v>1.6694902018273416</v>
      </c>
      <c r="Z7">
        <f>1.47309173795577*(2/1.75)</f>
        <v>1.6835334148065917</v>
      </c>
      <c r="AA7">
        <f>1.52561610806934*(2/1.75)</f>
        <v>1.7435612663649558</v>
      </c>
      <c r="AB7">
        <f>1.55428766790197*(2/1.75)</f>
        <v>1.7763287633165397</v>
      </c>
      <c r="AC7">
        <f>1.68029796867902*(2/1.75)</f>
        <v>1.9203405356331658</v>
      </c>
      <c r="AD7">
        <f>1.78703327124925*(2/1.75)</f>
        <v>2.0423237385705746</v>
      </c>
      <c r="AE7">
        <f>1.84437639091452*(2/1.75)</f>
        <v>2.1078587324737423</v>
      </c>
      <c r="AF7">
        <f>1.89160013652122*(2/1.75)</f>
        <v>2.1618287274528218</v>
      </c>
      <c r="AG7">
        <f>1.88316732480574*(2/1.75)</f>
        <v>2.1521912283494142</v>
      </c>
      <c r="AH7">
        <f>1.7829373341303*(2/1.75)</f>
        <v>2.037642667577491</v>
      </c>
      <c r="AI7">
        <f>1.71161984076509*(2/1.75)</f>
        <v>1.9561369608743913</v>
      </c>
      <c r="AJ7">
        <f>1.65885453317394*(2/1.75)</f>
        <v>1.8958337521987874</v>
      </c>
      <c r="AK7">
        <f>1.65162640884638*(2/1.75)</f>
        <v>1.8875730386815817</v>
      </c>
      <c r="AL7">
        <f>1.70150046670652*(2/1.75)</f>
        <v>1.9445719619503032</v>
      </c>
      <c r="AM7">
        <f>1.86798826371787*(2/1.75)</f>
        <v>2.1348437299632828</v>
      </c>
      <c r="AN7">
        <f>2.015442*(2/1.75)</f>
        <v>2.3033622857142855</v>
      </c>
      <c r="AO7">
        <f>1.94123325690377*(2/1.75)</f>
        <v>2.2185522936043029</v>
      </c>
      <c r="AP7">
        <f>1.86124201434549*(2/1.75)</f>
        <v>2.1271337306805567</v>
      </c>
      <c r="AQ7">
        <f>1.76944483538553*(2/1.75)</f>
        <v>2.0222226690120393</v>
      </c>
      <c r="AR7">
        <f>1.7732998350269*(2/1.75)</f>
        <v>2.0266283828878833</v>
      </c>
      <c r="AS7">
        <f>1.66776921984459*(2/1.75)</f>
        <v>1.906021965536675</v>
      </c>
      <c r="AT7">
        <f>1.59307860179319*(2/1.75)</f>
        <v>1.8206612591922122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>
        <v>10</v>
      </c>
      <c r="EJ7" s="11">
        <v>9</v>
      </c>
      <c r="EK7">
        <v>0</v>
      </c>
      <c r="EL7">
        <v>1.5</v>
      </c>
      <c r="EM7">
        <v>1.5</v>
      </c>
      <c r="EN7">
        <v>4.5</v>
      </c>
      <c r="EO7" s="12">
        <v>0.9</v>
      </c>
      <c r="EP7" s="12">
        <v>0.9</v>
      </c>
      <c r="EQ7">
        <v>1.5</v>
      </c>
      <c r="ER7">
        <v>4.3</v>
      </c>
      <c r="ES7">
        <v>4.2</v>
      </c>
      <c r="ET7">
        <v>0.5</v>
      </c>
      <c r="EU7" s="13">
        <v>6</v>
      </c>
      <c r="EV7" s="11">
        <v>0.8</v>
      </c>
      <c r="EW7">
        <f>1.52152017095039*(2/1.75)</f>
        <v>1.7388801953718722</v>
      </c>
      <c r="EX7">
        <f>1.48417486192469*(2/1.75)</f>
        <v>1.6961998421996412</v>
      </c>
      <c r="EY7">
        <f>1.46080392659892*(2/1.75)</f>
        <v>1.6694902018273416</v>
      </c>
      <c r="EZ7">
        <f>1.47309173795577*(2/1.75)</f>
        <v>1.6835334148065917</v>
      </c>
      <c r="FA7">
        <f>1.52561610806934*(2/1.75)</f>
        <v>1.7435612663649558</v>
      </c>
      <c r="FB7">
        <f>1.55428766790197*(2/1.75)</f>
        <v>1.7763287633165397</v>
      </c>
      <c r="FC7">
        <f>1.68029796867902*(2/1.75)</f>
        <v>1.9203405356331658</v>
      </c>
      <c r="FD7">
        <f>1.78703327124925*(2/1.75)</f>
        <v>2.0423237385705746</v>
      </c>
      <c r="FE7">
        <f>1.84437639091452*(2/1.75)</f>
        <v>2.1078587324737423</v>
      </c>
      <c r="FF7">
        <f>1.89160013652122*(2/1.75)</f>
        <v>2.1618287274528218</v>
      </c>
      <c r="FG7">
        <f>1.88316732480574*(2/1.75)</f>
        <v>2.1521912283494142</v>
      </c>
      <c r="FH7">
        <f>1.7829373341303*(2/1.75)</f>
        <v>2.037642667577491</v>
      </c>
      <c r="FI7">
        <f>1.71161984076509*(2/1.75)</f>
        <v>1.9561369608743913</v>
      </c>
      <c r="FJ7">
        <f>1.65885453317394*(2/1.75)</f>
        <v>1.8958337521987874</v>
      </c>
      <c r="FK7">
        <f>1.65162640884638*(2/1.75)</f>
        <v>1.8875730386815817</v>
      </c>
      <c r="FL7">
        <f>1.70150046670652*(2/1.75)</f>
        <v>1.9445719619503032</v>
      </c>
      <c r="FM7">
        <f>1.86798826371787*(2/1.75)</f>
        <v>2.1348437299632828</v>
      </c>
      <c r="FN7">
        <f>2.015442*(2/1.75)</f>
        <v>2.3033622857142855</v>
      </c>
      <c r="FO7">
        <f>1.94123325690377*(2/1.75)</f>
        <v>2.2185522936043029</v>
      </c>
      <c r="FP7">
        <f>1.86124201434549*(2/1.75)</f>
        <v>2.1271337306805567</v>
      </c>
      <c r="FQ7">
        <f>1.76944483538553*(2/1.75)</f>
        <v>2.0222226690120393</v>
      </c>
      <c r="FR7">
        <f>1.7732998350269*(2/1.75)</f>
        <v>2.0266283828878833</v>
      </c>
      <c r="FS7">
        <f>1.66776921984459*(2/1.75)</f>
        <v>1.906021965536675</v>
      </c>
      <c r="FT7">
        <f>1.59307860179319*(2/1.75)</f>
        <v>1.8206612591922122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>
        <v>11</v>
      </c>
      <c r="J8" s="11">
        <v>9</v>
      </c>
      <c r="K8">
        <v>0</v>
      </c>
      <c r="L8">
        <v>1.5</v>
      </c>
      <c r="M8">
        <v>1.5</v>
      </c>
      <c r="N8">
        <v>4.5</v>
      </c>
      <c r="O8" s="12">
        <v>0.9</v>
      </c>
      <c r="P8" s="12">
        <v>0.9</v>
      </c>
      <c r="Q8">
        <v>1.5</v>
      </c>
      <c r="R8">
        <v>3.8</v>
      </c>
      <c r="S8">
        <v>3.7</v>
      </c>
      <c r="T8">
        <v>0.5</v>
      </c>
      <c r="U8" s="13">
        <v>7</v>
      </c>
      <c r="V8" s="11">
        <v>0.8</v>
      </c>
      <c r="W8">
        <f>0.770299396891811*(2/1.75)</f>
        <v>0.88034216787635566</v>
      </c>
      <c r="X8">
        <f>0.75139260251046*(2/1.75)</f>
        <v>0.85873440286909763</v>
      </c>
      <c r="Y8">
        <f>0.739560608607292*(2/1.75)</f>
        <v>0.84521212412261981</v>
      </c>
      <c r="Z8">
        <f>0.74578155385535*(2/1.75)</f>
        <v>0.85232177583468527</v>
      </c>
      <c r="AA8">
        <f>0.77237304530783*(2/1.75)</f>
        <v>0.88271205178037748</v>
      </c>
      <c r="AB8">
        <f>0.786888584219964*(2/1.75)</f>
        <v>0.89930123910853044</v>
      </c>
      <c r="AC8">
        <f>0.8506837678422*(2/1.75)</f>
        <v>0.97221002039108528</v>
      </c>
      <c r="AD8">
        <f>0.904720605977286*(2/1.75)</f>
        <v>1.0339664068311842</v>
      </c>
      <c r="AE8">
        <f>0.933751683801554*(2/1.75)</f>
        <v>1.0671447814874904</v>
      </c>
      <c r="AF8">
        <f>0.957659630245069*(2/1.75)</f>
        <v>1.0944681488515069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0.99033266201007608</v>
      </c>
      <c r="AJ8">
        <f>0.839827608487747*(2/1.75)</f>
        <v>0.95980298112885309</v>
      </c>
      <c r="AK8">
        <f>0.836168228930066*(2/1.75)</f>
        <v>0.95562083306293244</v>
      </c>
      <c r="AL8">
        <f>0.861417947878063*(2/1.75)</f>
        <v>0.98447765471778681</v>
      </c>
      <c r="AM8">
        <f>0.945705657023312*(2/1.75)</f>
        <v>1.0808064651694989</v>
      </c>
      <c r="AN8">
        <f>1.020357*(2/1.75)</f>
        <v>1.1661222857142859</v>
      </c>
      <c r="AO8">
        <f>0.982787369874477*(2/1.75)</f>
        <v>1.1231855655708309</v>
      </c>
      <c r="AP8">
        <f>0.942290236102809*(2/1.75)</f>
        <v>1.0769031269746392</v>
      </c>
      <c r="AQ8">
        <f>0.895816115720263*(2/1.75)</f>
        <v>1.0237898465374433</v>
      </c>
      <c r="AR8">
        <f>0.897767784817693*(2/1.75)</f>
        <v>1.0260203255059344</v>
      </c>
      <c r="AS8">
        <f>0.844340843275553*(2/1.75)</f>
        <v>0.96496096374348905</v>
      </c>
      <c r="AT8">
        <f>0.806527254512851*(2/1.75)</f>
        <v>0.92174543372897255</v>
      </c>
      <c r="AU8" s="1">
        <v>105</v>
      </c>
      <c r="AV8" s="1">
        <v>1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>
        <v>11</v>
      </c>
      <c r="EJ8" s="11">
        <v>9</v>
      </c>
      <c r="EK8">
        <v>0</v>
      </c>
      <c r="EL8">
        <v>1.5</v>
      </c>
      <c r="EM8">
        <v>1.5</v>
      </c>
      <c r="EN8">
        <v>4.5</v>
      </c>
      <c r="EO8" s="12">
        <v>0.9</v>
      </c>
      <c r="EP8" s="12">
        <v>0.9</v>
      </c>
      <c r="EQ8">
        <v>1.5</v>
      </c>
      <c r="ER8">
        <v>4</v>
      </c>
      <c r="ES8">
        <v>3.9</v>
      </c>
      <c r="ET8">
        <v>0.5</v>
      </c>
      <c r="EU8" s="13">
        <v>7</v>
      </c>
      <c r="EV8" s="11">
        <v>0.8</v>
      </c>
      <c r="EW8">
        <f>0.770299396891811*(2/1.75)</f>
        <v>0.88034216787635566</v>
      </c>
      <c r="EX8">
        <f>0.75139260251046*(2/1.75)</f>
        <v>0.85873440286909763</v>
      </c>
      <c r="EY8">
        <f>0.739560608607292*(2/1.75)</f>
        <v>0.84521212412261981</v>
      </c>
      <c r="EZ8">
        <f>0.74578155385535*(2/1.75)</f>
        <v>0.85232177583468527</v>
      </c>
      <c r="FA8">
        <f>0.77237304530783*(2/1.75)</f>
        <v>0.88271205178037748</v>
      </c>
      <c r="FB8">
        <f>0.786888584219964*(2/1.75)</f>
        <v>0.89930123910853044</v>
      </c>
      <c r="FC8">
        <f>0.8506837678422*(2/1.75)</f>
        <v>0.97221002039108528</v>
      </c>
      <c r="FD8">
        <f>0.904720605977286*(2/1.75)</f>
        <v>1.0339664068311842</v>
      </c>
      <c r="FE8">
        <f>0.933751683801554*(2/1.75)</f>
        <v>1.0671447814874904</v>
      </c>
      <c r="FF8">
        <f>0.957659630245069*(2/1.75)</f>
        <v>1.0944681488515069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0.99033266201007608</v>
      </c>
      <c r="FJ8">
        <f>0.839827608487747*(2/1.75)</f>
        <v>0.95980298112885309</v>
      </c>
      <c r="FK8">
        <f>0.836168228930066*(2/1.75)</f>
        <v>0.95562083306293244</v>
      </c>
      <c r="FL8">
        <f>0.861417947878063*(2/1.75)</f>
        <v>0.98447765471778681</v>
      </c>
      <c r="FM8">
        <f>0.945705657023312*(2/1.75)</f>
        <v>1.0808064651694989</v>
      </c>
      <c r="FN8">
        <f>1.020357*(2/1.75)</f>
        <v>1.1661222857142859</v>
      </c>
      <c r="FO8">
        <f>0.982787369874477*(2/1.75)</f>
        <v>1.1231855655708309</v>
      </c>
      <c r="FP8">
        <f>0.942290236102809*(2/1.75)</f>
        <v>1.0769031269746392</v>
      </c>
      <c r="FQ8">
        <f>0.895816115720263*(2/1.75)</f>
        <v>1.0237898465374433</v>
      </c>
      <c r="FR8">
        <f>0.897767784817693*(2/1.75)</f>
        <v>1.0260203255059344</v>
      </c>
      <c r="FS8">
        <f>0.844340843275553*(2/1.75)</f>
        <v>0.96496096374348905</v>
      </c>
      <c r="FT8">
        <f>0.806527254512851*(2/1.75)</f>
        <v>0.92174543372897255</v>
      </c>
      <c r="FU8" s="1">
        <v>30</v>
      </c>
      <c r="FV8" s="1">
        <v>1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>
        <v>13</v>
      </c>
      <c r="J9" s="11">
        <v>9</v>
      </c>
      <c r="K9">
        <v>0</v>
      </c>
      <c r="L9">
        <v>1.5</v>
      </c>
      <c r="M9">
        <v>1.5</v>
      </c>
      <c r="N9">
        <v>4.5</v>
      </c>
      <c r="O9" s="12">
        <v>0.9</v>
      </c>
      <c r="P9" s="12">
        <v>0.9</v>
      </c>
      <c r="Q9">
        <v>1.5</v>
      </c>
      <c r="R9">
        <v>3.5</v>
      </c>
      <c r="S9">
        <v>3.4</v>
      </c>
      <c r="T9">
        <v>0.5</v>
      </c>
      <c r="U9" s="13">
        <v>10</v>
      </c>
      <c r="V9" s="11">
        <v>0.8</v>
      </c>
      <c r="W9">
        <f>0.172502548117155*(2/1.75)</f>
        <v>0.19714576927674834</v>
      </c>
      <c r="X9">
        <f>0.168268518828452*(2/1.75)</f>
        <v>0.19230687866108787</v>
      </c>
      <c r="Y9">
        <f>0.165618835983264*(2/1.75)</f>
        <v>0.18927866969515844</v>
      </c>
      <c r="Z9">
        <f>0.167011968200837*(2/1.75)</f>
        <v>0.19087082080095633</v>
      </c>
      <c r="AA9">
        <f>0.172966925523013*(2/1.75)</f>
        <v>0.19767648631201434</v>
      </c>
      <c r="AB9">
        <f>0.176217567364017*(2/1.75)</f>
        <v>0.20139150555887622</v>
      </c>
      <c r="AC9">
        <f>0.19050400167364*(2/1.75)</f>
        <v>0.21771885905558883</v>
      </c>
      <c r="AD9">
        <f>0.202605130543933*(2/1.75)</f>
        <v>0.23154872062163773</v>
      </c>
      <c r="AE9">
        <f>0.209106414225941*(2/1.75)</f>
        <v>0.23897875911536165</v>
      </c>
      <c r="AF9">
        <f>0.214460412552301*(2/1.75)</f>
        <v>0.24509761434548707</v>
      </c>
      <c r="AG9">
        <f>0.213504341422594*(2/1.75)</f>
        <v>0.24400496162582186</v>
      </c>
      <c r="AH9">
        <f>0.202140753138075*(2/1.75)</f>
        <v>0.23101800358637181</v>
      </c>
      <c r="AI9">
        <f>0.194055123012552*(2/1.75)</f>
        <v>0.22177728344291694</v>
      </c>
      <c r="AJ9">
        <f>0.188072849372385*(2/1.75)</f>
        <v>0.21494039928272562</v>
      </c>
      <c r="AK9">
        <f>0.187253359832636*(2/1.75)</f>
        <v>0.21400383980872686</v>
      </c>
      <c r="AL9">
        <f>0.192907837656904*(2/1.75)</f>
        <v>0.22046610017931861</v>
      </c>
      <c r="AM9">
        <f>0.211783413389121*(2/1.75)</f>
        <v>0.24203818673042435</v>
      </c>
      <c r="AN9">
        <f>0.228501*(2/1.75)</f>
        <v>0.26114399999999993</v>
      </c>
      <c r="AO9">
        <f>0.220087574058577*(2/1.75)</f>
        <v>0.25152865606694552</v>
      </c>
      <c r="AP9">
        <f>0.211018556485356*(2/1.75)</f>
        <v>0.24116406455469214</v>
      </c>
      <c r="AQ9">
        <f>0.200611039330544*(2/1.75)</f>
        <v>0.22926975923490725</v>
      </c>
      <c r="AR9">
        <f>0.20104810041841*(2/1.75)</f>
        <v>0.22976925762104006</v>
      </c>
      <c r="AS9">
        <f>0.189083553138075*(2/1.75)</f>
        <v>0.21609548930065747</v>
      </c>
      <c r="AT9">
        <f>0.180615494560669*(2/1.75)</f>
        <v>0.20641770806933651</v>
      </c>
      <c r="AU9" s="1">
        <v>100</v>
      </c>
      <c r="AV9" s="1">
        <v>1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>
        <v>13</v>
      </c>
      <c r="EJ9" s="11">
        <v>9</v>
      </c>
      <c r="EK9">
        <v>0</v>
      </c>
      <c r="EL9">
        <v>1.5</v>
      </c>
      <c r="EM9">
        <v>1.5</v>
      </c>
      <c r="EN9">
        <v>4.5</v>
      </c>
      <c r="EO9" s="12">
        <v>0.9</v>
      </c>
      <c r="EP9" s="12">
        <v>0.9</v>
      </c>
      <c r="EQ9">
        <v>1.5</v>
      </c>
      <c r="ER9">
        <v>3.5</v>
      </c>
      <c r="ES9">
        <v>3.4</v>
      </c>
      <c r="ET9">
        <v>0.5</v>
      </c>
      <c r="EU9" s="13">
        <v>10</v>
      </c>
      <c r="EV9" s="11">
        <v>0.8</v>
      </c>
      <c r="EW9">
        <f>0.172502548117155*(2/1.75)</f>
        <v>0.19714576927674834</v>
      </c>
      <c r="EX9">
        <f>0.168268518828452*(2/1.75)</f>
        <v>0.19230687866108787</v>
      </c>
      <c r="EY9">
        <f>0.165618835983264*(2/1.75)</f>
        <v>0.18927866969515844</v>
      </c>
      <c r="EZ9">
        <f>0.167011968200837*(2/1.75)</f>
        <v>0.19087082080095633</v>
      </c>
      <c r="FA9">
        <f>0.172966925523013*(2/1.75)</f>
        <v>0.19767648631201434</v>
      </c>
      <c r="FB9">
        <f>0.176217567364017*(2/1.75)</f>
        <v>0.20139150555887622</v>
      </c>
      <c r="FC9">
        <f>0.19050400167364*(2/1.75)</f>
        <v>0.21771885905558883</v>
      </c>
      <c r="FD9">
        <f>0.202605130543933*(2/1.75)</f>
        <v>0.23154872062163773</v>
      </c>
      <c r="FE9">
        <f>0.209106414225941*(2/1.75)</f>
        <v>0.23897875911536165</v>
      </c>
      <c r="FF9">
        <f>0.214460412552301*(2/1.75)</f>
        <v>0.24509761434548707</v>
      </c>
      <c r="FG9">
        <f>0.213504341422594*(2/1.75)</f>
        <v>0.24400496162582186</v>
      </c>
      <c r="FH9">
        <f>0.202140753138075*(2/1.75)</f>
        <v>0.23101800358637181</v>
      </c>
      <c r="FI9">
        <f>0.194055123012552*(2/1.75)</f>
        <v>0.22177728344291694</v>
      </c>
      <c r="FJ9">
        <f>0.188072849372385*(2/1.75)</f>
        <v>0.21494039928272562</v>
      </c>
      <c r="FK9">
        <f>0.187253359832636*(2/1.75)</f>
        <v>0.21400383980872686</v>
      </c>
      <c r="FL9">
        <f>0.192907837656904*(2/1.75)</f>
        <v>0.22046610017931861</v>
      </c>
      <c r="FM9">
        <f>0.211783413389121*(2/1.75)</f>
        <v>0.24203818673042435</v>
      </c>
      <c r="FN9">
        <f>0.228501*(2/1.75)</f>
        <v>0.26114399999999993</v>
      </c>
      <c r="FO9">
        <f>0.220087574058577*(2/1.75)</f>
        <v>0.25152865606694552</v>
      </c>
      <c r="FP9">
        <f>0.211018556485356*(2/1.75)</f>
        <v>0.24116406455469214</v>
      </c>
      <c r="FQ9">
        <f>0.200611039330544*(2/1.75)</f>
        <v>0.22926975923490725</v>
      </c>
      <c r="FR9">
        <f>0.20104810041841*(2/1.75)</f>
        <v>0.22976925762104006</v>
      </c>
      <c r="FS9">
        <f>0.189083553138075*(2/1.75)</f>
        <v>0.21609548930065747</v>
      </c>
      <c r="FT9">
        <f>0.180615494560669*(2/1.75)</f>
        <v>0.20641770806933651</v>
      </c>
      <c r="FU9" s="1">
        <v>30</v>
      </c>
      <c r="FV9" s="1">
        <v>1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0.35976831628383577</v>
      </c>
      <c r="X10">
        <f>0.307070661087866*(2/1.75)</f>
        <v>0.35093789838613271</v>
      </c>
      <c r="Y10">
        <f>0.302235295158398*(2/1.75)</f>
        <v>0.34541176589531219</v>
      </c>
      <c r="Z10">
        <f>0.304777600956366*(2/1.75)</f>
        <v>0.34831725823584664</v>
      </c>
      <c r="AA10">
        <f>0.315644712014346*(2/1.75)</f>
        <v>0.36073681373068056</v>
      </c>
      <c r="AB10">
        <f>0.32157675887627*(2/1.75)</f>
        <v>0.36751629585859452</v>
      </c>
      <c r="AC10">
        <f>0.347647855588763*(2/1.75)</f>
        <v>0.39731183495858607</v>
      </c>
      <c r="AD10">
        <f>0.369731021637776*(2/1.75)</f>
        <v>0.42254973901460163</v>
      </c>
      <c r="AE10">
        <f>0.381595115361626*(2/1.75)</f>
        <v>0.43610870327042961</v>
      </c>
      <c r="AF10">
        <f>0.391365545487149*(2/1.75)</f>
        <v>0.44727490912817014</v>
      </c>
      <c r="AG10">
        <f>0.389620825821877*(2/1.75)</f>
        <v>0.44528094379643074</v>
      </c>
      <c r="AH10">
        <f>0.368883586371787*(2/1.75)</f>
        <v>0.42158124156775689</v>
      </c>
      <c r="AI10">
        <f>0.354128242916916*(2/1.75)</f>
        <v>0.40471799190504648</v>
      </c>
      <c r="AJ10">
        <f>0.343211282725643*(2/1.75)</f>
        <v>0.39224146597216303</v>
      </c>
      <c r="AK10">
        <f>0.341715808726838*(2/1.75)</f>
        <v>0.390532352830672</v>
      </c>
      <c r="AL10">
        <f>0.352034579318589*(2/1.75)</f>
        <v>0.40232523350695915</v>
      </c>
      <c r="AM10">
        <f>0.386480330424387*(2/1.75)</f>
        <v>0.44169180619929982</v>
      </c>
      <c r="AN10">
        <f>0.416988*(2/1.75)</f>
        <v>0.47655771428571431</v>
      </c>
      <c r="AO10">
        <f>0.401634466945607*(2/1.75)</f>
        <v>0.45901081936640759</v>
      </c>
      <c r="AP10">
        <f>0.38508455469217*(2/1.75)</f>
        <v>0.44009663393390835</v>
      </c>
      <c r="AQ10">
        <f>0.366092034907352*(2/1.75)</f>
        <v>0.4183908970369738</v>
      </c>
      <c r="AR10">
        <f>0.366889621040048*(2/1.75)</f>
        <v>0.41930242404576895</v>
      </c>
      <c r="AS10">
        <f>0.345055700657502*(2/1.75)</f>
        <v>0.39434937218000171</v>
      </c>
      <c r="AT10">
        <f>0.329602469336521*(2/1.75)</f>
        <v>0.37668853638459565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0.35976831628383577</v>
      </c>
      <c r="EX10">
        <f>0.307070661087866*(2/1.75)</f>
        <v>0.35093789838613271</v>
      </c>
      <c r="EY10">
        <f>0.302235295158398*(2/1.75)</f>
        <v>0.34541176589531219</v>
      </c>
      <c r="EZ10">
        <f>0.304777600956366*(2/1.75)</f>
        <v>0.34831725823584664</v>
      </c>
      <c r="FA10">
        <f>0.315644712014346*(2/1.75)</f>
        <v>0.36073681373068056</v>
      </c>
      <c r="FB10">
        <f>0.32157675887627*(2/1.75)</f>
        <v>0.36751629585859452</v>
      </c>
      <c r="FC10">
        <f>0.347647855588763*(2/1.75)</f>
        <v>0.39731183495858607</v>
      </c>
      <c r="FD10">
        <f>0.369731021637776*(2/1.75)</f>
        <v>0.42254973901460163</v>
      </c>
      <c r="FE10">
        <f>0.381595115361626*(2/1.75)</f>
        <v>0.43610870327042961</v>
      </c>
      <c r="FF10">
        <f>0.391365545487149*(2/1.75)</f>
        <v>0.44727490912817014</v>
      </c>
      <c r="FG10">
        <f>0.389620825821877*(2/1.75)</f>
        <v>0.44528094379643074</v>
      </c>
      <c r="FH10">
        <f>0.368883586371787*(2/1.75)</f>
        <v>0.42158124156775689</v>
      </c>
      <c r="FI10">
        <f>0.354128242916916*(2/1.75)</f>
        <v>0.40471799190504648</v>
      </c>
      <c r="FJ10">
        <f>0.343211282725643*(2/1.75)</f>
        <v>0.39224146597216303</v>
      </c>
      <c r="FK10">
        <f>0.341715808726838*(2/1.75)</f>
        <v>0.390532352830672</v>
      </c>
      <c r="FL10">
        <f>0.352034579318589*(2/1.75)</f>
        <v>0.40232523350695915</v>
      </c>
      <c r="FM10">
        <f>0.386480330424387*(2/1.75)</f>
        <v>0.44169180619929982</v>
      </c>
      <c r="FN10">
        <f>0.416988*(2/1.75)</f>
        <v>0.47655771428571431</v>
      </c>
      <c r="FO10">
        <f>0.401634466945607*(2/1.75)</f>
        <v>0.45901081936640759</v>
      </c>
      <c r="FP10">
        <f>0.38508455469217*(2/1.75)</f>
        <v>0.44009663393390835</v>
      </c>
      <c r="FQ10">
        <f>0.366092034907352*(2/1.75)</f>
        <v>0.4183908970369738</v>
      </c>
      <c r="FR10">
        <f>0.366889621040048*(2/1.75)</f>
        <v>0.41930242404576895</v>
      </c>
      <c r="FS10">
        <f>0.345055700657502*(2/1.75)</f>
        <v>0.39434937218000171</v>
      </c>
      <c r="FT10">
        <f>0.329602469336521*(2/1.75)</f>
        <v>0.37668853638459565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7.9040008880539664E-2</v>
      </c>
      <c r="X11">
        <f>0.0674624937238494*(2/1.75)</f>
        <v>7.7099992827256394E-2</v>
      </c>
      <c r="Y11">
        <f>0.0664001784817693*(2/1.75)</f>
        <v>7.5885918264879171E-2</v>
      </c>
      <c r="Z11">
        <f>0.0669587153616258*(2/1.75)</f>
        <v>7.652424612757236E-2</v>
      </c>
      <c r="AA11">
        <f>0.0693461867304244*(2/1.75)</f>
        <v>7.9252784834770718E-2</v>
      </c>
      <c r="AB11">
        <f>0.0706494394500897*(2/1.75)</f>
        <v>8.0742216514388176E-2</v>
      </c>
      <c r="AC11">
        <f>0.0763771803945009*(2/1.75)</f>
        <v>8.7288206165143892E-2</v>
      </c>
      <c r="AD11">
        <f>0.0812287850567842*(2/1.75)</f>
        <v>9.2832897207753395E-2</v>
      </c>
      <c r="AE11">
        <f>0.0838352904961148*(2/1.75)</f>
        <v>9.5811760566988285E-2</v>
      </c>
      <c r="AF11">
        <f>0.0859818243873282*(2/1.75)</f>
        <v>9.826494215694645E-2</v>
      </c>
      <c r="AG11">
        <f>0.0855985147638972*(2/1.75)</f>
        <v>9.782687401588247E-2</v>
      </c>
      <c r="AH11">
        <f>0.0810426060968321*(2/1.75)</f>
        <v>9.2620121253522342E-2</v>
      </c>
      <c r="AI11">
        <f>0.0778009018529587*(2/1.75)</f>
        <v>8.8915316403381406E-2</v>
      </c>
      <c r="AJ11">
        <f>0.0754024787806336*(2/1.75)</f>
        <v>8.6174261463581231E-2</v>
      </c>
      <c r="AK11">
        <f>0.0750739276748356*(2/1.75)</f>
        <v>8.5798774485526419E-2</v>
      </c>
      <c r="AL11">
        <f>0.0773409303048416*(2/1.75)</f>
        <v>8.8389634634104694E-2</v>
      </c>
      <c r="AM11">
        <f>0.0849085574417214*(2/1.75)</f>
        <v>9.7038351361967368E-2</v>
      </c>
      <c r="AN11">
        <f>0.091611*(2/1.75)</f>
        <v>0.1046982857142857</v>
      </c>
      <c r="AO11">
        <f>0.0882378753138075*(2/1.75)</f>
        <v>0.10084328607292287</v>
      </c>
      <c r="AP11">
        <f>0.0846019097429767*(2/1.75)</f>
        <v>9.6687896849116203E-2</v>
      </c>
      <c r="AQ11">
        <f>0.0804293106993425*(2/1.75)</f>
        <v>9.1919212227819971E-2</v>
      </c>
      <c r="AR11">
        <f>0.0806045379557681*(2/1.75)</f>
        <v>9.2119471949449222E-2</v>
      </c>
      <c r="AS11">
        <f>0.0758076918111177*(2/1.75)</f>
        <v>8.6637362069848844E-2</v>
      </c>
      <c r="AT11">
        <f>0.0724126637178721*(2/1.75)</f>
        <v>8.2757329963282375E-2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7.9040008880539664E-2</v>
      </c>
      <c r="EX11">
        <f>0.0674624937238494*(2/1.75)</f>
        <v>7.7099992827256394E-2</v>
      </c>
      <c r="EY11">
        <f>0.0664001784817693*(2/1.75)</f>
        <v>7.5885918264879171E-2</v>
      </c>
      <c r="EZ11">
        <f>0.0669587153616258*(2/1.75)</f>
        <v>7.652424612757236E-2</v>
      </c>
      <c r="FA11">
        <f>0.0693461867304244*(2/1.75)</f>
        <v>7.9252784834770718E-2</v>
      </c>
      <c r="FB11">
        <f>0.0706494394500897*(2/1.75)</f>
        <v>8.0742216514388176E-2</v>
      </c>
      <c r="FC11">
        <f>0.0763771803945009*(2/1.75)</f>
        <v>8.7288206165143892E-2</v>
      </c>
      <c r="FD11">
        <f>0.0812287850567842*(2/1.75)</f>
        <v>9.2832897207753395E-2</v>
      </c>
      <c r="FE11">
        <f>0.0838352904961148*(2/1.75)</f>
        <v>9.5811760566988285E-2</v>
      </c>
      <c r="FF11">
        <f>0.0859818243873282*(2/1.75)</f>
        <v>9.826494215694645E-2</v>
      </c>
      <c r="FG11">
        <f>0.0855985147638972*(2/1.75)</f>
        <v>9.782687401588247E-2</v>
      </c>
      <c r="FH11">
        <f>0.0810426060968321*(2/1.75)</f>
        <v>9.2620121253522342E-2</v>
      </c>
      <c r="FI11">
        <f>0.0778009018529587*(2/1.75)</f>
        <v>8.8915316403381406E-2</v>
      </c>
      <c r="FJ11">
        <f>0.0754024787806336*(2/1.75)</f>
        <v>8.6174261463581231E-2</v>
      </c>
      <c r="FK11">
        <f>0.0750739276748356*(2/1.75)</f>
        <v>8.5798774485526419E-2</v>
      </c>
      <c r="FL11">
        <f>0.0773409303048416*(2/1.75)</f>
        <v>8.8389634634104694E-2</v>
      </c>
      <c r="FM11">
        <f>0.0849085574417214*(2/1.75)</f>
        <v>9.7038351361967368E-2</v>
      </c>
      <c r="FN11">
        <f>0.091611*(2/1.75)</f>
        <v>0.1046982857142857</v>
      </c>
      <c r="FO11">
        <f>0.0882378753138075*(2/1.75)</f>
        <v>0.10084328607292287</v>
      </c>
      <c r="FP11">
        <f>0.0846019097429767*(2/1.75)</f>
        <v>9.6687896849116203E-2</v>
      </c>
      <c r="FQ11">
        <f>0.0804293106993425*(2/1.75)</f>
        <v>9.1919212227819971E-2</v>
      </c>
      <c r="FR11">
        <f>0.0806045379557681*(2/1.75)</f>
        <v>9.2119471949449222E-2</v>
      </c>
      <c r="FS11">
        <f>0.0758076918111177*(2/1.75)</f>
        <v>8.6637362069848844E-2</v>
      </c>
      <c r="FT11">
        <f>0.0724126637178721*(2/1.75)</f>
        <v>8.2757329963282375E-2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BW1:DV1"/>
    <mergeCell ref="A1:E1"/>
    <mergeCell ref="F1:H1"/>
    <mergeCell ref="I1:T1"/>
    <mergeCell ref="U1:AV1"/>
    <mergeCell ref="AW1:BV1"/>
    <mergeCell ref="GW1:IV1"/>
    <mergeCell ref="IW1:IZ1"/>
    <mergeCell ref="DW1:DZ1"/>
    <mergeCell ref="EA1:EE1"/>
    <mergeCell ref="EF1:EH1"/>
    <mergeCell ref="EI1:ET1"/>
    <mergeCell ref="EU1:FV1"/>
    <mergeCell ref="FW1:GV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opLeftCell="T1" workbookViewId="0">
      <selection activeCell="W3" sqref="W3:AT11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41" t="s">
        <v>0</v>
      </c>
      <c r="B1" s="41"/>
      <c r="C1" s="41"/>
      <c r="D1" s="41"/>
      <c r="E1" s="41"/>
      <c r="F1" s="37" t="s">
        <v>1</v>
      </c>
      <c r="G1" s="37"/>
      <c r="H1" s="37"/>
      <c r="I1" s="38" t="s">
        <v>11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 t="s">
        <v>12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 t="s">
        <v>37</v>
      </c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2" t="s">
        <v>87</v>
      </c>
      <c r="DX1" s="32"/>
      <c r="DY1" s="32"/>
      <c r="DZ1" s="32"/>
      <c r="EA1" s="33" t="s">
        <v>0</v>
      </c>
      <c r="EB1" s="34"/>
      <c r="EC1" s="34"/>
      <c r="ED1" s="34"/>
      <c r="EE1" s="35"/>
      <c r="EF1" s="36" t="s">
        <v>1</v>
      </c>
      <c r="EG1" s="37"/>
      <c r="EH1" s="37"/>
      <c r="EI1" s="38" t="s">
        <v>11</v>
      </c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9" t="s">
        <v>12</v>
      </c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40" t="s">
        <v>37</v>
      </c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2" t="s">
        <v>87</v>
      </c>
      <c r="IX1" s="32"/>
      <c r="IY1" s="32"/>
      <c r="IZ1" s="32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3</v>
      </c>
      <c r="K3">
        <v>0</v>
      </c>
      <c r="L3">
        <v>0.5</v>
      </c>
      <c r="M3">
        <v>0.5</v>
      </c>
      <c r="N3">
        <v>1.5</v>
      </c>
      <c r="O3" s="12">
        <v>0.9</v>
      </c>
      <c r="P3" s="12">
        <v>0.9</v>
      </c>
      <c r="Q3">
        <v>0.5</v>
      </c>
      <c r="R3">
        <v>5.4</v>
      </c>
      <c r="S3">
        <v>5.3</v>
      </c>
      <c r="T3">
        <v>0.5</v>
      </c>
      <c r="U3" s="13">
        <v>1</v>
      </c>
      <c r="V3" s="11">
        <v>0.8</v>
      </c>
      <c r="W3">
        <f>0.496044193664077*(2/1.75)</f>
        <v>0.56690764990180187</v>
      </c>
      <c r="X3">
        <f>0.483868920502092*(2/1.75)</f>
        <v>0.55299305200239079</v>
      </c>
      <c r="Y3">
        <f>0.476249556007173*(2/1.75)</f>
        <v>0.54428520686534032</v>
      </c>
      <c r="Z3">
        <f>0.480255613628213*(2/1.75)</f>
        <v>0.54886355843224299</v>
      </c>
      <c r="AA3">
        <f>0.497379546204423*(2/1.75)</f>
        <v>0.56843376709076943</v>
      </c>
      <c r="AB3">
        <f>0.50672701398685*(2/1.75)</f>
        <v>0.57911658741354277</v>
      </c>
      <c r="AC3">
        <f>0.547808742139869*(2/1.75)</f>
        <v>0.62606713387413537</v>
      </c>
      <c r="AD3">
        <f>0.582606458338314*(2/1.75)</f>
        <v>0.66583595238664495</v>
      </c>
      <c r="AE3">
        <f>0.601301393903168*(2/1.75)</f>
        <v>0.68720159303219208</v>
      </c>
      <c r="AF3">
        <f>0.616697223191871*(2/1.75)</f>
        <v>0.70479682650499542</v>
      </c>
      <c r="AG3">
        <f>0.613947967961745*(2/1.75)</f>
        <v>0.70165482052770878</v>
      </c>
      <c r="AH3">
        <f>0.581271105797968*(2/1.75)</f>
        <v>0.6643098351976775</v>
      </c>
      <c r="AI3">
        <f>0.558020261566049*(2/1.75)</f>
        <v>0.63773744178977043</v>
      </c>
      <c r="AJ3">
        <f>0.540817778840407*(2/1.75)</f>
        <v>0.61807746153189325</v>
      </c>
      <c r="AK3">
        <f>0.538461274357442*(2/1.75)</f>
        <v>0.61538431355136192</v>
      </c>
      <c r="AL3">
        <f>0.554721155289898*(2/1.75)</f>
        <v>0.63396703461702675</v>
      </c>
      <c r="AM3">
        <f>0.608999308547519*(2/1.75)</f>
        <v>0.69599920976859353</v>
      </c>
      <c r="AN3">
        <f>0.657072*(2/1.75)</f>
        <v>0.75093942857142848</v>
      </c>
      <c r="AO3">
        <f>0.632878553974895*(2/1.75)</f>
        <v>0.72328977597130895</v>
      </c>
      <c r="AP3">
        <f>0.606799904363419*(2/1.75)</f>
        <v>0.69348560498676459</v>
      </c>
      <c r="AQ3">
        <f>0.576872297429767*(2/1.75)</f>
        <v>0.65928262563401929</v>
      </c>
      <c r="AR3">
        <f>0.578129099820681*(2/1.75)</f>
        <v>0.66071897122363588</v>
      </c>
      <c r="AS3">
        <f>0.543724134369396*(2/1.75)</f>
        <v>0.62139901070788128</v>
      </c>
      <c r="AT3">
        <f>0.519373588045427*(2/1.75)</f>
        <v>0.5935698149090598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-0.1</v>
      </c>
      <c r="DY3" s="5">
        <v>0.3</v>
      </c>
      <c r="DZ3" s="5">
        <v>3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3</v>
      </c>
      <c r="EK3">
        <v>0</v>
      </c>
      <c r="EL3">
        <v>0.5</v>
      </c>
      <c r="EM3">
        <v>0.5</v>
      </c>
      <c r="EN3">
        <v>1.5</v>
      </c>
      <c r="EO3" s="12">
        <v>0.9</v>
      </c>
      <c r="EP3" s="12">
        <v>0.9</v>
      </c>
      <c r="EQ3">
        <v>0.5</v>
      </c>
      <c r="ER3">
        <v>10</v>
      </c>
      <c r="ES3">
        <v>9.9</v>
      </c>
      <c r="ET3">
        <v>0.5</v>
      </c>
      <c r="EU3" s="13">
        <v>1</v>
      </c>
      <c r="EV3" s="11">
        <v>0.8</v>
      </c>
      <c r="EW3">
        <f>0.496044193664077*(2/1.75)</f>
        <v>0.56690764990180187</v>
      </c>
      <c r="EX3">
        <f>0.483868920502092*(2/1.75)</f>
        <v>0.55299305200239079</v>
      </c>
      <c r="EY3">
        <f>0.476249556007173*(2/1.75)</f>
        <v>0.54428520686534032</v>
      </c>
      <c r="EZ3">
        <f>0.480255613628213*(2/1.75)</f>
        <v>0.54886355843224299</v>
      </c>
      <c r="FA3">
        <f>0.497379546204423*(2/1.75)</f>
        <v>0.56843376709076943</v>
      </c>
      <c r="FB3">
        <f>0.50672701398685*(2/1.75)</f>
        <v>0.57911658741354277</v>
      </c>
      <c r="FC3">
        <f>0.547808742139869*(2/1.75)</f>
        <v>0.62606713387413537</v>
      </c>
      <c r="FD3">
        <f>0.582606458338314*(2/1.75)</f>
        <v>0.66583595238664495</v>
      </c>
      <c r="FE3">
        <f>0.601301393903168*(2/1.75)</f>
        <v>0.68720159303219208</v>
      </c>
      <c r="FF3">
        <f>0.616697223191871*(2/1.75)</f>
        <v>0.70479682650499542</v>
      </c>
      <c r="FG3">
        <f>0.613947967961745*(2/1.75)</f>
        <v>0.70165482052770878</v>
      </c>
      <c r="FH3">
        <f>0.581271105797968*(2/1.75)</f>
        <v>0.6643098351976775</v>
      </c>
      <c r="FI3">
        <f>0.558020261566049*(2/1.75)</f>
        <v>0.63773744178977043</v>
      </c>
      <c r="FJ3">
        <f>0.540817778840407*(2/1.75)</f>
        <v>0.61807746153189325</v>
      </c>
      <c r="FK3">
        <f>0.538461274357442*(2/1.75)</f>
        <v>0.61538431355136192</v>
      </c>
      <c r="FL3">
        <f>0.554721155289898*(2/1.75)</f>
        <v>0.63396703461702675</v>
      </c>
      <c r="FM3">
        <f>0.608999308547519*(2/1.75)</f>
        <v>0.69599920976859353</v>
      </c>
      <c r="FN3">
        <f>0.657072*(2/1.75)</f>
        <v>0.75093942857142848</v>
      </c>
      <c r="FO3">
        <f>0.632878553974895*(2/1.75)</f>
        <v>0.72328977597130895</v>
      </c>
      <c r="FP3">
        <f>0.606799904363419*(2/1.75)</f>
        <v>0.69348560498676459</v>
      </c>
      <c r="FQ3">
        <f>0.576872297429767*(2/1.75)</f>
        <v>0.65928262563401929</v>
      </c>
      <c r="FR3">
        <f>0.578129099820681*(2/1.75)</f>
        <v>0.66071897122363588</v>
      </c>
      <c r="FS3">
        <f>0.543724134369396*(2/1.75)</f>
        <v>0.62139901070788128</v>
      </c>
      <c r="FT3">
        <f>0.519373588045427*(2/1.75)</f>
        <v>0.5935698149090598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-0.1</v>
      </c>
      <c r="IY3" s="5">
        <v>0.3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>
        <v>2</v>
      </c>
      <c r="J4" s="11">
        <v>3</v>
      </c>
      <c r="K4">
        <v>0</v>
      </c>
      <c r="L4">
        <v>0.5</v>
      </c>
      <c r="M4">
        <v>0.5</v>
      </c>
      <c r="N4">
        <v>1.5</v>
      </c>
      <c r="O4" s="12">
        <v>0.9</v>
      </c>
      <c r="P4" s="12">
        <v>0.9</v>
      </c>
      <c r="Q4">
        <v>0.5</v>
      </c>
      <c r="R4">
        <v>5</v>
      </c>
      <c r="S4">
        <v>4.9000000000000004</v>
      </c>
      <c r="T4">
        <v>0.5</v>
      </c>
      <c r="U4" s="13">
        <v>2</v>
      </c>
      <c r="V4" s="11">
        <v>0.8</v>
      </c>
      <c r="W4">
        <f>1.18048978780634*(2/1.75)</f>
        <v>1.349131186064384</v>
      </c>
      <c r="X4">
        <f>1.1515149790795*(2/1.75)</f>
        <v>1.3160171189479977</v>
      </c>
      <c r="Y4">
        <f>1.13338235684399*(2/1.75)</f>
        <v>1.2952941221074203</v>
      </c>
      <c r="Z4">
        <f>1.14291600358637*(2/1.75)</f>
        <v>1.3061897183844247</v>
      </c>
      <c r="AA4">
        <f>1.1836676700538*(2/1.75)</f>
        <v>1.3527630514900519</v>
      </c>
      <c r="AB4">
        <f>1.20591284578601*(2/1.75)</f>
        <v>1.3781861094697292</v>
      </c>
      <c r="AC4">
        <f>1.30367945845786*(2/1.75)</f>
        <v>1.4899193810946976</v>
      </c>
      <c r="AD4">
        <f>1.38649133114166*(2/1.75)</f>
        <v>1.5845615213047559</v>
      </c>
      <c r="AE4">
        <f>1.4309816826061*(2/1.75)</f>
        <v>1.6354076372641106</v>
      </c>
      <c r="AF4">
        <f>1.46762079557681*(2/1.75)</f>
        <v>1.677280909230638</v>
      </c>
      <c r="AG4">
        <f>1.46107809683204*(2/1.75)</f>
        <v>1.6698035392366148</v>
      </c>
      <c r="AH4">
        <f>1.3833134488942*(2/1.75)</f>
        <v>1.580929655879088</v>
      </c>
      <c r="AI4">
        <f>1.32798091093843*(2/1.75)</f>
        <v>1.5176924696439245</v>
      </c>
      <c r="AJ4">
        <f>1.28704231022116*(2/1.75)</f>
        <v>1.4709054973956113</v>
      </c>
      <c r="AK4">
        <f>1.28143428272564*(2/1.75)</f>
        <v>1.4644963231150203</v>
      </c>
      <c r="AL4">
        <f>1.32012967244471*(2/1.75)</f>
        <v>1.5087196256510973</v>
      </c>
      <c r="AM4">
        <f>1.44930123909145*(2/1.75)</f>
        <v>1.6563442732473748</v>
      </c>
      <c r="AN4">
        <f>1.563705*(2/1.75)</f>
        <v>1.7870914285714286</v>
      </c>
      <c r="AO4">
        <f>1.50612925104602*(2/1.75)</f>
        <v>1.7212905726240284</v>
      </c>
      <c r="AP4">
        <f>1.44406708009564*(2/1.75)</f>
        <v>1.6503623772521563</v>
      </c>
      <c r="AQ4">
        <f>1.37284513090257*(2/1.75)</f>
        <v>1.5689658638886517</v>
      </c>
      <c r="AR4">
        <f>1.37583607890018*(2/1.75)</f>
        <v>1.5723840901716339</v>
      </c>
      <c r="AS4">
        <f>1.29395887746563*(2/1.75)</f>
        <v>1.4788101456750065</v>
      </c>
      <c r="AT4">
        <f>1.23600926001195*(2/1.75)</f>
        <v>1.4125820114422341</v>
      </c>
      <c r="AU4" s="1">
        <v>110</v>
      </c>
      <c r="AV4" s="1">
        <v>1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-0.1</v>
      </c>
      <c r="DY4" s="5">
        <v>0.3</v>
      </c>
      <c r="DZ4" s="5">
        <v>3</v>
      </c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>
        <v>2</v>
      </c>
      <c r="EJ4" s="11">
        <v>3</v>
      </c>
      <c r="EK4">
        <v>0</v>
      </c>
      <c r="EL4">
        <v>0.5</v>
      </c>
      <c r="EM4">
        <v>0.5</v>
      </c>
      <c r="EN4">
        <v>1.5</v>
      </c>
      <c r="EO4" s="12">
        <v>0.9</v>
      </c>
      <c r="EP4" s="12">
        <v>0.9</v>
      </c>
      <c r="EQ4">
        <v>0.5</v>
      </c>
      <c r="ER4">
        <v>7.5</v>
      </c>
      <c r="ES4">
        <v>7.4</v>
      </c>
      <c r="ET4">
        <v>0.5</v>
      </c>
      <c r="EU4" s="13">
        <v>2</v>
      </c>
      <c r="EV4" s="11">
        <v>0.8</v>
      </c>
      <c r="EW4">
        <f>1.18048978780634*(2/1.75)</f>
        <v>1.349131186064384</v>
      </c>
      <c r="EX4">
        <f>1.1515149790795*(2/1.75)</f>
        <v>1.3160171189479977</v>
      </c>
      <c r="EY4">
        <f>1.13338235684399*(2/1.75)</f>
        <v>1.2952941221074203</v>
      </c>
      <c r="EZ4">
        <f>1.14291600358637*(2/1.75)</f>
        <v>1.3061897183844247</v>
      </c>
      <c r="FA4">
        <f>1.1836676700538*(2/1.75)</f>
        <v>1.3527630514900519</v>
      </c>
      <c r="FB4">
        <f>1.20591284578601*(2/1.75)</f>
        <v>1.3781861094697292</v>
      </c>
      <c r="FC4">
        <f>1.30367945845786*(2/1.75)</f>
        <v>1.4899193810946976</v>
      </c>
      <c r="FD4">
        <f>1.38649133114166*(2/1.75)</f>
        <v>1.5845615213047559</v>
      </c>
      <c r="FE4">
        <f>1.4309816826061*(2/1.75)</f>
        <v>1.6354076372641106</v>
      </c>
      <c r="FF4">
        <f>1.46762079557681*(2/1.75)</f>
        <v>1.677280909230638</v>
      </c>
      <c r="FG4">
        <f>1.46107809683204*(2/1.75)</f>
        <v>1.6698035392366148</v>
      </c>
      <c r="FH4">
        <f>1.3833134488942*(2/1.75)</f>
        <v>1.580929655879088</v>
      </c>
      <c r="FI4">
        <f>1.32798091093843*(2/1.75)</f>
        <v>1.5176924696439245</v>
      </c>
      <c r="FJ4">
        <f>1.28704231022116*(2/1.75)</f>
        <v>1.4709054973956113</v>
      </c>
      <c r="FK4">
        <f>1.28143428272564*(2/1.75)</f>
        <v>1.4644963231150203</v>
      </c>
      <c r="FL4">
        <f>1.32012967244471*(2/1.75)</f>
        <v>1.5087196256510973</v>
      </c>
      <c r="FM4">
        <f>1.44930123909145*(2/1.75)</f>
        <v>1.6563442732473748</v>
      </c>
      <c r="FN4">
        <f>1.563705*(2/1.75)</f>
        <v>1.7870914285714286</v>
      </c>
      <c r="FO4">
        <f>1.50612925104602*(2/1.75)</f>
        <v>1.7212905726240284</v>
      </c>
      <c r="FP4">
        <f>1.44406708009564*(2/1.75)</f>
        <v>1.6503623772521563</v>
      </c>
      <c r="FQ4">
        <f>1.37284513090257*(2/1.75)</f>
        <v>1.5689658638886517</v>
      </c>
      <c r="FR4">
        <f>1.37583607890018*(2/1.75)</f>
        <v>1.5723840901716339</v>
      </c>
      <c r="FS4">
        <f>1.29395887746563*(2/1.75)</f>
        <v>1.4788101456750065</v>
      </c>
      <c r="FT4">
        <f>1.23600926001195*(2/1.75)</f>
        <v>1.4125820114422341</v>
      </c>
      <c r="FU4" s="1">
        <v>35</v>
      </c>
      <c r="FV4" s="1">
        <v>1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-0.1</v>
      </c>
      <c r="IY4" s="5">
        <v>0.3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>
        <v>5</v>
      </c>
      <c r="J5" s="11">
        <v>3</v>
      </c>
      <c r="K5">
        <v>0</v>
      </c>
      <c r="L5">
        <v>0.5</v>
      </c>
      <c r="M5">
        <v>0.5</v>
      </c>
      <c r="N5">
        <v>1.5</v>
      </c>
      <c r="O5" s="12">
        <v>0.9</v>
      </c>
      <c r="P5" s="12">
        <v>0.9</v>
      </c>
      <c r="Q5">
        <v>0.5</v>
      </c>
      <c r="R5">
        <v>4.7</v>
      </c>
      <c r="S5">
        <v>4.5999999999999996</v>
      </c>
      <c r="T5">
        <v>0.5</v>
      </c>
      <c r="U5" s="13">
        <v>3</v>
      </c>
      <c r="V5" s="11">
        <v>0.8</v>
      </c>
      <c r="W5">
        <f>2.28466508427974*(2/1.75)</f>
        <v>2.6110458106054129</v>
      </c>
      <c r="X5">
        <f>2.22858858577406*(2/1.75)</f>
        <v>2.5469583837417811</v>
      </c>
      <c r="Y5">
        <f>2.19349555122534*(2/1.75)</f>
        <v>2.5068520585432501</v>
      </c>
      <c r="Z5">
        <f>2.21194652815302*(2/1.75)</f>
        <v>2.5279388893177352</v>
      </c>
      <c r="AA5">
        <f>2.2908154099223*(2/1.75)</f>
        <v>2.6180747541969085</v>
      </c>
      <c r="AB5">
        <f>2.3338676894202*(2/1.75)</f>
        <v>2.6672773593373749</v>
      </c>
      <c r="AC5">
        <f>2.5230806488942*(2/1.75)</f>
        <v>2.8835207415933737</v>
      </c>
      <c r="AD5">
        <f>2.68335089946204*(2/1.75)</f>
        <v>3.066686742242335</v>
      </c>
      <c r="AE5">
        <f>2.76945545845786*(2/1.75)</f>
        <v>3.1650919525232672</v>
      </c>
      <c r="AF5">
        <f>2.84036509527794*(2/1.75)</f>
        <v>3.2461315374605069</v>
      </c>
      <c r="AG5">
        <f>2.8277026601315*(2/1.75)</f>
        <v>3.2316601830074281</v>
      </c>
      <c r="AH5">
        <f>2.67720057381949*(2/1.75)</f>
        <v>3.0596577986508406</v>
      </c>
      <c r="AI5">
        <f>2.57011255086671*(2/1.75)</f>
        <v>2.9372714867048071</v>
      </c>
      <c r="AJ5">
        <f>2.4908818852361*(2/1.75)</f>
        <v>2.8467221545555454</v>
      </c>
      <c r="AK5">
        <f>2.48002836939629*(2/1.75)</f>
        <v>2.8343181364529073</v>
      </c>
      <c r="AL5">
        <f>2.55491762869097*(2/1.75)</f>
        <v>2.9199058613611126</v>
      </c>
      <c r="AM5">
        <f>2.8049102768679*(2/1.75)</f>
        <v>3.2056117449918879</v>
      </c>
      <c r="AN5">
        <f>3.026322*(2/1.75)</f>
        <v>3.4586537142857137</v>
      </c>
      <c r="AO5">
        <f>2.9148925707113*(2/1.75)</f>
        <v>3.3313057950986247</v>
      </c>
      <c r="AP5">
        <f>2.79478032875075*(2/1.75)</f>
        <v>3.1940346614294253</v>
      </c>
      <c r="AQ5">
        <f>2.65694067758518*(2/1.75)</f>
        <v>3.0365036315259144</v>
      </c>
      <c r="AR5">
        <f>2.66272921936641*(2/1.75)</f>
        <v>3.0431191078473225</v>
      </c>
      <c r="AS5">
        <f>2.5042678881052*(2/1.75)</f>
        <v>2.8620204435487997</v>
      </c>
      <c r="AT5">
        <f>2.39211489109384*(2/1.75)</f>
        <v>2.7338455898215348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>
        <v>5</v>
      </c>
      <c r="EJ5" s="11">
        <v>3</v>
      </c>
      <c r="EK5">
        <v>0</v>
      </c>
      <c r="EL5">
        <v>0.5</v>
      </c>
      <c r="EM5">
        <v>0.5</v>
      </c>
      <c r="EN5">
        <v>1.5</v>
      </c>
      <c r="EO5" s="12">
        <v>0.9</v>
      </c>
      <c r="EP5" s="12">
        <v>0.9</v>
      </c>
      <c r="EQ5">
        <v>0.5</v>
      </c>
      <c r="ER5">
        <v>5</v>
      </c>
      <c r="ES5">
        <v>4.9000000000000004</v>
      </c>
      <c r="ET5">
        <v>0.5</v>
      </c>
      <c r="EU5" s="13">
        <v>3</v>
      </c>
      <c r="EV5" s="11">
        <v>0.8</v>
      </c>
      <c r="EW5">
        <f>2.28466508427974*(2/1.75)</f>
        <v>2.6110458106054129</v>
      </c>
      <c r="EX5">
        <f>2.22858858577406*(2/1.75)</f>
        <v>2.5469583837417811</v>
      </c>
      <c r="EY5">
        <f>2.19349555122534*(2/1.75)</f>
        <v>2.5068520585432501</v>
      </c>
      <c r="EZ5">
        <f>2.21194652815302*(2/1.75)</f>
        <v>2.5279388893177352</v>
      </c>
      <c r="FA5">
        <f>2.2908154099223*(2/1.75)</f>
        <v>2.6180747541969085</v>
      </c>
      <c r="FB5">
        <f>2.3338676894202*(2/1.75)</f>
        <v>2.6672773593373749</v>
      </c>
      <c r="FC5">
        <f>2.5230806488942*(2/1.75)</f>
        <v>2.8835207415933737</v>
      </c>
      <c r="FD5">
        <f>2.68335089946204*(2/1.75)</f>
        <v>3.066686742242335</v>
      </c>
      <c r="FE5">
        <f>2.76945545845786*(2/1.75)</f>
        <v>3.1650919525232672</v>
      </c>
      <c r="FF5">
        <f>2.84036509527794*(2/1.75)</f>
        <v>3.2461315374605069</v>
      </c>
      <c r="FG5">
        <f>2.8277026601315*(2/1.75)</f>
        <v>3.2316601830074281</v>
      </c>
      <c r="FH5">
        <f>2.67720057381949*(2/1.75)</f>
        <v>3.0596577986508406</v>
      </c>
      <c r="FI5">
        <f>2.57011255086671*(2/1.75)</f>
        <v>2.9372714867048071</v>
      </c>
      <c r="FJ5">
        <f>2.4908818852361*(2/1.75)</f>
        <v>2.8467221545555454</v>
      </c>
      <c r="FK5">
        <f>2.48002836939629*(2/1.75)</f>
        <v>2.8343181364529073</v>
      </c>
      <c r="FL5">
        <f>2.55491762869097*(2/1.75)</f>
        <v>2.9199058613611126</v>
      </c>
      <c r="FM5">
        <f>2.8049102768679*(2/1.75)</f>
        <v>3.2056117449918879</v>
      </c>
      <c r="FN5">
        <f>3.026322*(2/1.75)</f>
        <v>3.4586537142857137</v>
      </c>
      <c r="FO5">
        <f>2.9148925707113*(2/1.75)</f>
        <v>3.3313057950986247</v>
      </c>
      <c r="FP5">
        <f>2.79478032875075*(2/1.75)</f>
        <v>3.1940346614294253</v>
      </c>
      <c r="FQ5">
        <f>2.65694067758518*(2/1.75)</f>
        <v>3.0365036315259144</v>
      </c>
      <c r="FR5">
        <f>2.66272921936641*(2/1.75)</f>
        <v>3.0431191078473225</v>
      </c>
      <c r="FS5">
        <f>2.5042678881052*(2/1.75)</f>
        <v>2.8620204435487997</v>
      </c>
      <c r="FT5">
        <f>2.39211489109384*(2/1.75)</f>
        <v>2.7338455898215348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>
        <v>8</v>
      </c>
      <c r="J6" s="11">
        <v>3</v>
      </c>
      <c r="K6">
        <v>0</v>
      </c>
      <c r="L6">
        <v>0.5</v>
      </c>
      <c r="M6">
        <v>0.5</v>
      </c>
      <c r="N6">
        <v>1.5</v>
      </c>
      <c r="O6" s="12">
        <v>0.9</v>
      </c>
      <c r="P6" s="12">
        <v>0.9</v>
      </c>
      <c r="Q6">
        <v>0.5</v>
      </c>
      <c r="R6">
        <v>4.3</v>
      </c>
      <c r="S6">
        <v>4.2</v>
      </c>
      <c r="T6">
        <v>0.5</v>
      </c>
      <c r="U6" s="13">
        <v>4</v>
      </c>
      <c r="V6" s="11">
        <v>0.8</v>
      </c>
      <c r="W6">
        <f>1.00639735445308*(2/1.75)</f>
        <v>1.1501684050892322</v>
      </c>
      <c r="X6">
        <f>0.98169559832636*(2/1.75)</f>
        <v>1.121937826658697</v>
      </c>
      <c r="Y6">
        <f>0.966237079976091*(2/1.75)</f>
        <v>1.1042709485441038</v>
      </c>
      <c r="Z6">
        <f>0.974364754572624*(2/1.75)</f>
        <v>1.1135597195115698</v>
      </c>
      <c r="AA6">
        <f>1.00910657931859*(2/1.75)</f>
        <v>1.1532646620783875</v>
      </c>
      <c r="AB6">
        <f>1.02807115337717*(2/1.75)</f>
        <v>1.1749384610024765</v>
      </c>
      <c r="AC6">
        <f>1.11141965953377*(2/1.75)</f>
        <v>1.2701938966100248</v>
      </c>
      <c r="AD6">
        <f>1.18201887220562*(2/1.75)</f>
        <v>1.3508787110921354</v>
      </c>
      <c r="AE6">
        <f>1.21994802032277*(2/1.75)</f>
        <v>1.3942263089403122</v>
      </c>
      <c r="AF6">
        <f>1.25118378936043*(2/1.75)</f>
        <v>1.4299243306976346</v>
      </c>
      <c r="AG6">
        <f>1.24560597346085*(2/1.75)</f>
        <v>1.4235496839552557</v>
      </c>
      <c r="AH6">
        <f>1.17930964734011*(2/1.75)</f>
        <v>1.3477824541029801</v>
      </c>
      <c r="AI6">
        <f>1.1321372614465*(2/1.75)</f>
        <v>1.2938711559388612</v>
      </c>
      <c r="AJ6">
        <f>1.09723607053198*(2/1.75)</f>
        <v>1.2539840806079752</v>
      </c>
      <c r="AK6">
        <f>1.09245508547519*(2/1.75)</f>
        <v>1.2485200976859365</v>
      </c>
      <c r="AL6">
        <f>1.12544388236701*(2/1.75)</f>
        <v>1.2862215798480061</v>
      </c>
      <c r="AM6">
        <f>1.2355659048416*(2/1.75)</f>
        <v>1.4120753198189739</v>
      </c>
      <c r="AN6">
        <f>1.333098*(2/1.75)</f>
        <v>1.5235405714285712</v>
      </c>
      <c r="AO6">
        <f>1.28401322008368*(2/1.75)</f>
        <v>1.4674436800956367</v>
      </c>
      <c r="AP6">
        <f>1.23110365212194*(2/1.75)</f>
        <v>1.4069756024250708</v>
      </c>
      <c r="AQ6">
        <f>1.17038514190078*(2/1.75)</f>
        <v>1.3375830193151736</v>
      </c>
      <c r="AR6">
        <f>1.17293500059773*(2/1.75)</f>
        <v>1.3404971435402617</v>
      </c>
      <c r="AS6">
        <f>1.10313261876868*(2/1.75)</f>
        <v>1.2607229928784902</v>
      </c>
      <c r="AT6">
        <f>1.05372910651524*(2/1.75)</f>
        <v>1.2042618360174195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>
        <v>8</v>
      </c>
      <c r="EJ6" s="11">
        <v>3</v>
      </c>
      <c r="EK6">
        <v>0</v>
      </c>
      <c r="EL6">
        <v>0.5</v>
      </c>
      <c r="EM6">
        <v>0.5</v>
      </c>
      <c r="EN6">
        <v>1.5</v>
      </c>
      <c r="EO6" s="12">
        <v>0.9</v>
      </c>
      <c r="EP6" s="12">
        <v>0.9</v>
      </c>
      <c r="EQ6">
        <v>0.5</v>
      </c>
      <c r="ER6">
        <v>4.5999999999999996</v>
      </c>
      <c r="ES6">
        <v>4.5</v>
      </c>
      <c r="ET6">
        <v>0.5</v>
      </c>
      <c r="EU6" s="13">
        <v>4</v>
      </c>
      <c r="EV6" s="11">
        <v>0.8</v>
      </c>
      <c r="EW6">
        <f>1.00639735445308*(2/1.75)</f>
        <v>1.1501684050892322</v>
      </c>
      <c r="EX6">
        <f>0.98169559832636*(2/1.75)</f>
        <v>1.121937826658697</v>
      </c>
      <c r="EY6">
        <f>0.966237079976091*(2/1.75)</f>
        <v>1.1042709485441038</v>
      </c>
      <c r="EZ6">
        <f>0.974364754572624*(2/1.75)</f>
        <v>1.1135597195115698</v>
      </c>
      <c r="FA6">
        <f>1.00910657931859*(2/1.75)</f>
        <v>1.1532646620783875</v>
      </c>
      <c r="FB6">
        <f>1.02807115337717*(2/1.75)</f>
        <v>1.1749384610024765</v>
      </c>
      <c r="FC6">
        <f>1.11141965953377*(2/1.75)</f>
        <v>1.2701938966100248</v>
      </c>
      <c r="FD6">
        <f>1.18201887220562*(2/1.75)</f>
        <v>1.3508787110921354</v>
      </c>
      <c r="FE6">
        <f>1.21994802032277*(2/1.75)</f>
        <v>1.3942263089403122</v>
      </c>
      <c r="FF6">
        <f>1.25118378936043*(2/1.75)</f>
        <v>1.4299243306976346</v>
      </c>
      <c r="FG6">
        <f>1.24560597346085*(2/1.75)</f>
        <v>1.4235496839552557</v>
      </c>
      <c r="FH6">
        <f>1.17930964734011*(2/1.75)</f>
        <v>1.3477824541029801</v>
      </c>
      <c r="FI6">
        <f>1.1321372614465*(2/1.75)</f>
        <v>1.2938711559388612</v>
      </c>
      <c r="FJ6">
        <f>1.09723607053198*(2/1.75)</f>
        <v>1.2539840806079752</v>
      </c>
      <c r="FK6">
        <f>1.09245508547519*(2/1.75)</f>
        <v>1.2485200976859365</v>
      </c>
      <c r="FL6">
        <f>1.12544388236701*(2/1.75)</f>
        <v>1.2862215798480061</v>
      </c>
      <c r="FM6">
        <f>1.2355659048416*(2/1.75)</f>
        <v>1.4120753198189739</v>
      </c>
      <c r="FN6">
        <f>1.333098*(2/1.75)</f>
        <v>1.5235405714285712</v>
      </c>
      <c r="FO6">
        <f>1.28401322008368*(2/1.75)</f>
        <v>1.4674436800956367</v>
      </c>
      <c r="FP6">
        <f>1.23110365212194*(2/1.75)</f>
        <v>1.4069756024250708</v>
      </c>
      <c r="FQ6">
        <f>1.17038514190078*(2/1.75)</f>
        <v>1.3375830193151736</v>
      </c>
      <c r="FR6">
        <f>1.17293500059773*(2/1.75)</f>
        <v>1.3404971435402617</v>
      </c>
      <c r="FS6">
        <f>1.10313261876868*(2/1.75)</f>
        <v>1.2607229928784902</v>
      </c>
      <c r="FT6">
        <f>1.05372910651524*(2/1.75)</f>
        <v>1.2042618360174195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>
        <v>10</v>
      </c>
      <c r="J7" s="11">
        <v>3</v>
      </c>
      <c r="K7">
        <v>0</v>
      </c>
      <c r="L7">
        <v>0.5</v>
      </c>
      <c r="M7">
        <v>0.5</v>
      </c>
      <c r="N7">
        <v>1.5</v>
      </c>
      <c r="O7" s="12">
        <v>0.9</v>
      </c>
      <c r="P7" s="12">
        <v>0.9</v>
      </c>
      <c r="Q7">
        <v>0.5</v>
      </c>
      <c r="R7">
        <v>4.0999999999999996</v>
      </c>
      <c r="S7">
        <v>4</v>
      </c>
      <c r="T7">
        <v>0.5</v>
      </c>
      <c r="U7" s="13">
        <v>6</v>
      </c>
      <c r="V7" s="11">
        <v>0.8</v>
      </c>
      <c r="W7">
        <f>1.52152017095039*(2/1.75)</f>
        <v>1.7388801953718722</v>
      </c>
      <c r="X7">
        <f>1.48417486192469*(2/1.75)</f>
        <v>1.6961998421996412</v>
      </c>
      <c r="Y7">
        <f>1.46080392659892*(2/1.75)</f>
        <v>1.6694902018273416</v>
      </c>
      <c r="Z7">
        <f>1.47309173795577*(2/1.75)</f>
        <v>1.6835334148065917</v>
      </c>
      <c r="AA7">
        <f>1.52561610806934*(2/1.75)</f>
        <v>1.7435612663649558</v>
      </c>
      <c r="AB7">
        <f>1.55428766790197*(2/1.75)</f>
        <v>1.7763287633165397</v>
      </c>
      <c r="AC7">
        <f>1.68029796867902*(2/1.75)</f>
        <v>1.9203405356331658</v>
      </c>
      <c r="AD7">
        <f>1.78703327124925*(2/1.75)</f>
        <v>2.0423237385705746</v>
      </c>
      <c r="AE7">
        <f>1.84437639091452*(2/1.75)</f>
        <v>2.1078587324737423</v>
      </c>
      <c r="AF7">
        <f>1.89160013652122*(2/1.75)</f>
        <v>2.1618287274528218</v>
      </c>
      <c r="AG7">
        <f>1.88316732480574*(2/1.75)</f>
        <v>2.1521912283494142</v>
      </c>
      <c r="AH7">
        <f>1.7829373341303*(2/1.75)</f>
        <v>2.037642667577491</v>
      </c>
      <c r="AI7">
        <f>1.71161984076509*(2/1.75)</f>
        <v>1.9561369608743913</v>
      </c>
      <c r="AJ7">
        <f>1.65885453317394*(2/1.75)</f>
        <v>1.8958337521987874</v>
      </c>
      <c r="AK7">
        <f>1.65162640884638*(2/1.75)</f>
        <v>1.8875730386815817</v>
      </c>
      <c r="AL7">
        <f>1.70150046670652*(2/1.75)</f>
        <v>1.9445719619503032</v>
      </c>
      <c r="AM7">
        <f>1.86798826371787*(2/1.75)</f>
        <v>2.1348437299632828</v>
      </c>
      <c r="AN7">
        <f>2.015442*(2/1.75)</f>
        <v>2.3033622857142855</v>
      </c>
      <c r="AO7">
        <f>1.94123325690377*(2/1.75)</f>
        <v>2.2185522936043029</v>
      </c>
      <c r="AP7">
        <f>1.86124201434549*(2/1.75)</f>
        <v>2.1271337306805567</v>
      </c>
      <c r="AQ7">
        <f>1.76944483538553*(2/1.75)</f>
        <v>2.0222226690120393</v>
      </c>
      <c r="AR7">
        <f>1.7732998350269*(2/1.75)</f>
        <v>2.0266283828878833</v>
      </c>
      <c r="AS7">
        <f>1.66776921984459*(2/1.75)</f>
        <v>1.906021965536675</v>
      </c>
      <c r="AT7">
        <f>1.59307860179319*(2/1.75)</f>
        <v>1.8206612591922122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>
        <v>10</v>
      </c>
      <c r="EJ7" s="11">
        <v>3</v>
      </c>
      <c r="EK7">
        <v>0</v>
      </c>
      <c r="EL7">
        <v>0.5</v>
      </c>
      <c r="EM7">
        <v>0.5</v>
      </c>
      <c r="EN7">
        <v>1.5</v>
      </c>
      <c r="EO7" s="12">
        <v>0.9</v>
      </c>
      <c r="EP7" s="12">
        <v>0.9</v>
      </c>
      <c r="EQ7">
        <v>0.5</v>
      </c>
      <c r="ER7">
        <v>4.3</v>
      </c>
      <c r="ES7">
        <v>4.2</v>
      </c>
      <c r="ET7">
        <v>0.5</v>
      </c>
      <c r="EU7" s="13">
        <v>6</v>
      </c>
      <c r="EV7" s="11">
        <v>0.8</v>
      </c>
      <c r="EW7">
        <f>1.52152017095039*(2/1.75)</f>
        <v>1.7388801953718722</v>
      </c>
      <c r="EX7">
        <f>1.48417486192469*(2/1.75)</f>
        <v>1.6961998421996412</v>
      </c>
      <c r="EY7">
        <f>1.46080392659892*(2/1.75)</f>
        <v>1.6694902018273416</v>
      </c>
      <c r="EZ7">
        <f>1.47309173795577*(2/1.75)</f>
        <v>1.6835334148065917</v>
      </c>
      <c r="FA7">
        <f>1.52561610806934*(2/1.75)</f>
        <v>1.7435612663649558</v>
      </c>
      <c r="FB7">
        <f>1.55428766790197*(2/1.75)</f>
        <v>1.7763287633165397</v>
      </c>
      <c r="FC7">
        <f>1.68029796867902*(2/1.75)</f>
        <v>1.9203405356331658</v>
      </c>
      <c r="FD7">
        <f>1.78703327124925*(2/1.75)</f>
        <v>2.0423237385705746</v>
      </c>
      <c r="FE7">
        <f>1.84437639091452*(2/1.75)</f>
        <v>2.1078587324737423</v>
      </c>
      <c r="FF7">
        <f>1.89160013652122*(2/1.75)</f>
        <v>2.1618287274528218</v>
      </c>
      <c r="FG7">
        <f>1.88316732480574*(2/1.75)</f>
        <v>2.1521912283494142</v>
      </c>
      <c r="FH7">
        <f>1.7829373341303*(2/1.75)</f>
        <v>2.037642667577491</v>
      </c>
      <c r="FI7">
        <f>1.71161984076509*(2/1.75)</f>
        <v>1.9561369608743913</v>
      </c>
      <c r="FJ7">
        <f>1.65885453317394*(2/1.75)</f>
        <v>1.8958337521987874</v>
      </c>
      <c r="FK7">
        <f>1.65162640884638*(2/1.75)</f>
        <v>1.8875730386815817</v>
      </c>
      <c r="FL7">
        <f>1.70150046670652*(2/1.75)</f>
        <v>1.9445719619503032</v>
      </c>
      <c r="FM7">
        <f>1.86798826371787*(2/1.75)</f>
        <v>2.1348437299632828</v>
      </c>
      <c r="FN7">
        <f>2.015442*(2/1.75)</f>
        <v>2.3033622857142855</v>
      </c>
      <c r="FO7">
        <f>1.94123325690377*(2/1.75)</f>
        <v>2.2185522936043029</v>
      </c>
      <c r="FP7">
        <f>1.86124201434549*(2/1.75)</f>
        <v>2.1271337306805567</v>
      </c>
      <c r="FQ7">
        <f>1.76944483538553*(2/1.75)</f>
        <v>2.0222226690120393</v>
      </c>
      <c r="FR7">
        <f>1.7732998350269*(2/1.75)</f>
        <v>2.0266283828878833</v>
      </c>
      <c r="FS7">
        <f>1.66776921984459*(2/1.75)</f>
        <v>1.906021965536675</v>
      </c>
      <c r="FT7">
        <f>1.59307860179319*(2/1.75)</f>
        <v>1.8206612591922122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>
        <v>11</v>
      </c>
      <c r="J8" s="11">
        <v>3</v>
      </c>
      <c r="K8">
        <v>0</v>
      </c>
      <c r="L8">
        <v>0.5</v>
      </c>
      <c r="M8">
        <v>0.5</v>
      </c>
      <c r="N8">
        <v>1.5</v>
      </c>
      <c r="O8" s="12">
        <v>0.9</v>
      </c>
      <c r="P8" s="12">
        <v>0.9</v>
      </c>
      <c r="Q8">
        <v>0.5</v>
      </c>
      <c r="R8">
        <v>3.8</v>
      </c>
      <c r="S8">
        <v>3.7</v>
      </c>
      <c r="T8">
        <v>0.5</v>
      </c>
      <c r="U8" s="13">
        <v>7</v>
      </c>
      <c r="V8" s="11">
        <v>0.8</v>
      </c>
      <c r="W8">
        <f>0.770299396891811*(2/1.75)</f>
        <v>0.88034216787635566</v>
      </c>
      <c r="X8">
        <f>0.75139260251046*(2/1.75)</f>
        <v>0.85873440286909763</v>
      </c>
      <c r="Y8">
        <f>0.739560608607292*(2/1.75)</f>
        <v>0.84521212412261981</v>
      </c>
      <c r="Z8">
        <f>0.74578155385535*(2/1.75)</f>
        <v>0.85232177583468527</v>
      </c>
      <c r="AA8">
        <f>0.77237304530783*(2/1.75)</f>
        <v>0.88271205178037748</v>
      </c>
      <c r="AB8">
        <f>0.786888584219964*(2/1.75)</f>
        <v>0.89930123910853044</v>
      </c>
      <c r="AC8">
        <f>0.8506837678422*(2/1.75)</f>
        <v>0.97221002039108528</v>
      </c>
      <c r="AD8">
        <f>0.904720605977286*(2/1.75)</f>
        <v>1.0339664068311842</v>
      </c>
      <c r="AE8">
        <f>0.933751683801554*(2/1.75)</f>
        <v>1.0671447814874904</v>
      </c>
      <c r="AF8">
        <f>0.957659630245069*(2/1.75)</f>
        <v>1.0944681488515069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0.99033266201007608</v>
      </c>
      <c r="AJ8">
        <f>0.839827608487747*(2/1.75)</f>
        <v>0.95980298112885309</v>
      </c>
      <c r="AK8">
        <f>0.836168228930066*(2/1.75)</f>
        <v>0.95562083306293244</v>
      </c>
      <c r="AL8">
        <f>0.861417947878063*(2/1.75)</f>
        <v>0.98447765471778681</v>
      </c>
      <c r="AM8">
        <f>0.945705657023312*(2/1.75)</f>
        <v>1.0808064651694989</v>
      </c>
      <c r="AN8">
        <f>1.020357*(2/1.75)</f>
        <v>1.1661222857142859</v>
      </c>
      <c r="AO8">
        <f>0.982787369874477*(2/1.75)</f>
        <v>1.1231855655708309</v>
      </c>
      <c r="AP8">
        <f>0.942290236102809*(2/1.75)</f>
        <v>1.0769031269746392</v>
      </c>
      <c r="AQ8">
        <f>0.895816115720263*(2/1.75)</f>
        <v>1.0237898465374433</v>
      </c>
      <c r="AR8">
        <f>0.897767784817693*(2/1.75)</f>
        <v>1.0260203255059344</v>
      </c>
      <c r="AS8">
        <f>0.844340843275553*(2/1.75)</f>
        <v>0.96496096374348905</v>
      </c>
      <c r="AT8">
        <f>0.806527254512851*(2/1.75)</f>
        <v>0.92174543372897255</v>
      </c>
      <c r="AU8" s="1">
        <v>105</v>
      </c>
      <c r="AV8" s="1">
        <v>1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>
        <v>11</v>
      </c>
      <c r="EJ8" s="11">
        <v>3</v>
      </c>
      <c r="EK8">
        <v>0</v>
      </c>
      <c r="EL8">
        <v>0.5</v>
      </c>
      <c r="EM8">
        <v>0.5</v>
      </c>
      <c r="EN8">
        <v>1.5</v>
      </c>
      <c r="EO8" s="12">
        <v>0.9</v>
      </c>
      <c r="EP8" s="12">
        <v>0.9</v>
      </c>
      <c r="EQ8">
        <v>0.5</v>
      </c>
      <c r="ER8">
        <v>4</v>
      </c>
      <c r="ES8">
        <v>3.9</v>
      </c>
      <c r="ET8">
        <v>0.5</v>
      </c>
      <c r="EU8" s="13">
        <v>7</v>
      </c>
      <c r="EV8" s="11">
        <v>0.8</v>
      </c>
      <c r="EW8">
        <f>0.770299396891811*(2/1.75)</f>
        <v>0.88034216787635566</v>
      </c>
      <c r="EX8">
        <f>0.75139260251046*(2/1.75)</f>
        <v>0.85873440286909763</v>
      </c>
      <c r="EY8">
        <f>0.739560608607292*(2/1.75)</f>
        <v>0.84521212412261981</v>
      </c>
      <c r="EZ8">
        <f>0.74578155385535*(2/1.75)</f>
        <v>0.85232177583468527</v>
      </c>
      <c r="FA8">
        <f>0.77237304530783*(2/1.75)</f>
        <v>0.88271205178037748</v>
      </c>
      <c r="FB8">
        <f>0.786888584219964*(2/1.75)</f>
        <v>0.89930123910853044</v>
      </c>
      <c r="FC8">
        <f>0.8506837678422*(2/1.75)</f>
        <v>0.97221002039108528</v>
      </c>
      <c r="FD8">
        <f>0.904720605977286*(2/1.75)</f>
        <v>1.0339664068311842</v>
      </c>
      <c r="FE8">
        <f>0.933751683801554*(2/1.75)</f>
        <v>1.0671447814874904</v>
      </c>
      <c r="FF8">
        <f>0.957659630245069*(2/1.75)</f>
        <v>1.0944681488515069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0.99033266201007608</v>
      </c>
      <c r="FJ8">
        <f>0.839827608487747*(2/1.75)</f>
        <v>0.95980298112885309</v>
      </c>
      <c r="FK8">
        <f>0.836168228930066*(2/1.75)</f>
        <v>0.95562083306293244</v>
      </c>
      <c r="FL8">
        <f>0.861417947878063*(2/1.75)</f>
        <v>0.98447765471778681</v>
      </c>
      <c r="FM8">
        <f>0.945705657023312*(2/1.75)</f>
        <v>1.0808064651694989</v>
      </c>
      <c r="FN8">
        <f>1.020357*(2/1.75)</f>
        <v>1.1661222857142859</v>
      </c>
      <c r="FO8">
        <f>0.982787369874477*(2/1.75)</f>
        <v>1.1231855655708309</v>
      </c>
      <c r="FP8">
        <f>0.942290236102809*(2/1.75)</f>
        <v>1.0769031269746392</v>
      </c>
      <c r="FQ8">
        <f>0.895816115720263*(2/1.75)</f>
        <v>1.0237898465374433</v>
      </c>
      <c r="FR8">
        <f>0.897767784817693*(2/1.75)</f>
        <v>1.0260203255059344</v>
      </c>
      <c r="FS8">
        <f>0.844340843275553*(2/1.75)</f>
        <v>0.96496096374348905</v>
      </c>
      <c r="FT8">
        <f>0.806527254512851*(2/1.75)</f>
        <v>0.92174543372897255</v>
      </c>
      <c r="FU8" s="1">
        <v>30</v>
      </c>
      <c r="FV8" s="1">
        <v>1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>
        <v>13</v>
      </c>
      <c r="J9" s="11">
        <v>3</v>
      </c>
      <c r="K9">
        <v>0</v>
      </c>
      <c r="L9">
        <v>0.5</v>
      </c>
      <c r="M9">
        <v>0.5</v>
      </c>
      <c r="N9">
        <v>1.5</v>
      </c>
      <c r="O9" s="12">
        <v>0.9</v>
      </c>
      <c r="P9" s="12">
        <v>0.9</v>
      </c>
      <c r="Q9">
        <v>0.5</v>
      </c>
      <c r="R9">
        <v>3.5</v>
      </c>
      <c r="S9">
        <v>3.4</v>
      </c>
      <c r="T9">
        <v>0.5</v>
      </c>
      <c r="U9" s="13">
        <v>10</v>
      </c>
      <c r="V9" s="11">
        <v>0.8</v>
      </c>
      <c r="W9">
        <f>0.172502548117155*(2/1.75)</f>
        <v>0.19714576927674834</v>
      </c>
      <c r="X9">
        <f>0.168268518828452*(2/1.75)</f>
        <v>0.19230687866108787</v>
      </c>
      <c r="Y9">
        <f>0.165618835983264*(2/1.75)</f>
        <v>0.18927866969515844</v>
      </c>
      <c r="Z9">
        <f>0.167011968200837*(2/1.75)</f>
        <v>0.19087082080095633</v>
      </c>
      <c r="AA9">
        <f>0.172966925523013*(2/1.75)</f>
        <v>0.19767648631201434</v>
      </c>
      <c r="AB9">
        <f>0.176217567364017*(2/1.75)</f>
        <v>0.20139150555887622</v>
      </c>
      <c r="AC9">
        <f>0.19050400167364*(2/1.75)</f>
        <v>0.21771885905558883</v>
      </c>
      <c r="AD9">
        <f>0.202605130543933*(2/1.75)</f>
        <v>0.23154872062163773</v>
      </c>
      <c r="AE9">
        <f>0.209106414225941*(2/1.75)</f>
        <v>0.23897875911536165</v>
      </c>
      <c r="AF9">
        <f>0.214460412552301*(2/1.75)</f>
        <v>0.24509761434548707</v>
      </c>
      <c r="AG9">
        <f>0.213504341422594*(2/1.75)</f>
        <v>0.24400496162582186</v>
      </c>
      <c r="AH9">
        <f>0.202140753138075*(2/1.75)</f>
        <v>0.23101800358637181</v>
      </c>
      <c r="AI9">
        <f>0.194055123012552*(2/1.75)</f>
        <v>0.22177728344291694</v>
      </c>
      <c r="AJ9">
        <f>0.188072849372385*(2/1.75)</f>
        <v>0.21494039928272562</v>
      </c>
      <c r="AK9">
        <f>0.187253359832636*(2/1.75)</f>
        <v>0.21400383980872686</v>
      </c>
      <c r="AL9">
        <f>0.192907837656904*(2/1.75)</f>
        <v>0.22046610017931861</v>
      </c>
      <c r="AM9">
        <f>0.211783413389121*(2/1.75)</f>
        <v>0.24203818673042435</v>
      </c>
      <c r="AN9">
        <f>0.228501*(2/1.75)</f>
        <v>0.26114399999999993</v>
      </c>
      <c r="AO9">
        <f>0.220087574058577*(2/1.75)</f>
        <v>0.25152865606694552</v>
      </c>
      <c r="AP9">
        <f>0.211018556485356*(2/1.75)</f>
        <v>0.24116406455469214</v>
      </c>
      <c r="AQ9">
        <f>0.200611039330544*(2/1.75)</f>
        <v>0.22926975923490725</v>
      </c>
      <c r="AR9">
        <f>0.20104810041841*(2/1.75)</f>
        <v>0.22976925762104006</v>
      </c>
      <c r="AS9">
        <f>0.189083553138075*(2/1.75)</f>
        <v>0.21609548930065747</v>
      </c>
      <c r="AT9">
        <f>0.180615494560669*(2/1.75)</f>
        <v>0.20641770806933651</v>
      </c>
      <c r="AU9" s="1">
        <v>100</v>
      </c>
      <c r="AV9" s="1">
        <v>1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>
        <v>13</v>
      </c>
      <c r="EJ9" s="11">
        <v>3</v>
      </c>
      <c r="EK9">
        <v>0</v>
      </c>
      <c r="EL9">
        <v>0.5</v>
      </c>
      <c r="EM9">
        <v>0.5</v>
      </c>
      <c r="EN9">
        <v>1.5</v>
      </c>
      <c r="EO9" s="12">
        <v>0.9</v>
      </c>
      <c r="EP9" s="12">
        <v>0.9</v>
      </c>
      <c r="EQ9">
        <v>0.5</v>
      </c>
      <c r="ER9">
        <v>3.5</v>
      </c>
      <c r="ES9">
        <v>3.4</v>
      </c>
      <c r="ET9">
        <v>0.5</v>
      </c>
      <c r="EU9" s="13">
        <v>10</v>
      </c>
      <c r="EV9" s="11">
        <v>0.8</v>
      </c>
      <c r="EW9">
        <f>0.172502548117155*(2/1.75)</f>
        <v>0.19714576927674834</v>
      </c>
      <c r="EX9">
        <f>0.168268518828452*(2/1.75)</f>
        <v>0.19230687866108787</v>
      </c>
      <c r="EY9">
        <f>0.165618835983264*(2/1.75)</f>
        <v>0.18927866969515844</v>
      </c>
      <c r="EZ9">
        <f>0.167011968200837*(2/1.75)</f>
        <v>0.19087082080095633</v>
      </c>
      <c r="FA9">
        <f>0.172966925523013*(2/1.75)</f>
        <v>0.19767648631201434</v>
      </c>
      <c r="FB9">
        <f>0.176217567364017*(2/1.75)</f>
        <v>0.20139150555887622</v>
      </c>
      <c r="FC9">
        <f>0.19050400167364*(2/1.75)</f>
        <v>0.21771885905558883</v>
      </c>
      <c r="FD9">
        <f>0.202605130543933*(2/1.75)</f>
        <v>0.23154872062163773</v>
      </c>
      <c r="FE9">
        <f>0.209106414225941*(2/1.75)</f>
        <v>0.23897875911536165</v>
      </c>
      <c r="FF9">
        <f>0.214460412552301*(2/1.75)</f>
        <v>0.24509761434548707</v>
      </c>
      <c r="FG9">
        <f>0.213504341422594*(2/1.75)</f>
        <v>0.24400496162582186</v>
      </c>
      <c r="FH9">
        <f>0.202140753138075*(2/1.75)</f>
        <v>0.23101800358637181</v>
      </c>
      <c r="FI9">
        <f>0.194055123012552*(2/1.75)</f>
        <v>0.22177728344291694</v>
      </c>
      <c r="FJ9">
        <f>0.188072849372385*(2/1.75)</f>
        <v>0.21494039928272562</v>
      </c>
      <c r="FK9">
        <f>0.187253359832636*(2/1.75)</f>
        <v>0.21400383980872686</v>
      </c>
      <c r="FL9">
        <f>0.192907837656904*(2/1.75)</f>
        <v>0.22046610017931861</v>
      </c>
      <c r="FM9">
        <f>0.211783413389121*(2/1.75)</f>
        <v>0.24203818673042435</v>
      </c>
      <c r="FN9">
        <f>0.228501*(2/1.75)</f>
        <v>0.26114399999999993</v>
      </c>
      <c r="FO9">
        <f>0.220087574058577*(2/1.75)</f>
        <v>0.25152865606694552</v>
      </c>
      <c r="FP9">
        <f>0.211018556485356*(2/1.75)</f>
        <v>0.24116406455469214</v>
      </c>
      <c r="FQ9">
        <f>0.200611039330544*(2/1.75)</f>
        <v>0.22926975923490725</v>
      </c>
      <c r="FR9">
        <f>0.20104810041841*(2/1.75)</f>
        <v>0.22976925762104006</v>
      </c>
      <c r="FS9">
        <f>0.189083553138075*(2/1.75)</f>
        <v>0.21609548930065747</v>
      </c>
      <c r="FT9">
        <f>0.180615494560669*(2/1.75)</f>
        <v>0.20641770806933651</v>
      </c>
      <c r="FU9" s="1">
        <v>30</v>
      </c>
      <c r="FV9" s="1">
        <v>1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0.35976831628383577</v>
      </c>
      <c r="X10">
        <f>0.307070661087866*(2/1.75)</f>
        <v>0.35093789838613271</v>
      </c>
      <c r="Y10">
        <f>0.302235295158398*(2/1.75)</f>
        <v>0.34541176589531219</v>
      </c>
      <c r="Z10">
        <f>0.304777600956366*(2/1.75)</f>
        <v>0.34831725823584664</v>
      </c>
      <c r="AA10">
        <f>0.315644712014346*(2/1.75)</f>
        <v>0.36073681373068056</v>
      </c>
      <c r="AB10">
        <f>0.32157675887627*(2/1.75)</f>
        <v>0.36751629585859452</v>
      </c>
      <c r="AC10">
        <f>0.347647855588763*(2/1.75)</f>
        <v>0.39731183495858607</v>
      </c>
      <c r="AD10">
        <f>0.369731021637776*(2/1.75)</f>
        <v>0.42254973901460163</v>
      </c>
      <c r="AE10">
        <f>0.381595115361626*(2/1.75)</f>
        <v>0.43610870327042961</v>
      </c>
      <c r="AF10">
        <f>0.391365545487149*(2/1.75)</f>
        <v>0.44727490912817014</v>
      </c>
      <c r="AG10">
        <f>0.389620825821877*(2/1.75)</f>
        <v>0.44528094379643074</v>
      </c>
      <c r="AH10">
        <f>0.368883586371787*(2/1.75)</f>
        <v>0.42158124156775689</v>
      </c>
      <c r="AI10">
        <f>0.354128242916916*(2/1.75)</f>
        <v>0.40471799190504648</v>
      </c>
      <c r="AJ10">
        <f>0.343211282725643*(2/1.75)</f>
        <v>0.39224146597216303</v>
      </c>
      <c r="AK10">
        <f>0.341715808726838*(2/1.75)</f>
        <v>0.390532352830672</v>
      </c>
      <c r="AL10">
        <f>0.352034579318589*(2/1.75)</f>
        <v>0.40232523350695915</v>
      </c>
      <c r="AM10">
        <f>0.386480330424387*(2/1.75)</f>
        <v>0.44169180619929982</v>
      </c>
      <c r="AN10">
        <f>0.416988*(2/1.75)</f>
        <v>0.47655771428571431</v>
      </c>
      <c r="AO10">
        <f>0.401634466945607*(2/1.75)</f>
        <v>0.45901081936640759</v>
      </c>
      <c r="AP10">
        <f>0.38508455469217*(2/1.75)</f>
        <v>0.44009663393390835</v>
      </c>
      <c r="AQ10">
        <f>0.366092034907352*(2/1.75)</f>
        <v>0.4183908970369738</v>
      </c>
      <c r="AR10">
        <f>0.366889621040048*(2/1.75)</f>
        <v>0.41930242404576895</v>
      </c>
      <c r="AS10">
        <f>0.345055700657502*(2/1.75)</f>
        <v>0.39434937218000171</v>
      </c>
      <c r="AT10">
        <f>0.329602469336521*(2/1.75)</f>
        <v>0.37668853638459565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0.35976831628383577</v>
      </c>
      <c r="EX10">
        <f>0.307070661087866*(2/1.75)</f>
        <v>0.35093789838613271</v>
      </c>
      <c r="EY10">
        <f>0.302235295158398*(2/1.75)</f>
        <v>0.34541176589531219</v>
      </c>
      <c r="EZ10">
        <f>0.304777600956366*(2/1.75)</f>
        <v>0.34831725823584664</v>
      </c>
      <c r="FA10">
        <f>0.315644712014346*(2/1.75)</f>
        <v>0.36073681373068056</v>
      </c>
      <c r="FB10">
        <f>0.32157675887627*(2/1.75)</f>
        <v>0.36751629585859452</v>
      </c>
      <c r="FC10">
        <f>0.347647855588763*(2/1.75)</f>
        <v>0.39731183495858607</v>
      </c>
      <c r="FD10">
        <f>0.369731021637776*(2/1.75)</f>
        <v>0.42254973901460163</v>
      </c>
      <c r="FE10">
        <f>0.381595115361626*(2/1.75)</f>
        <v>0.43610870327042961</v>
      </c>
      <c r="FF10">
        <f>0.391365545487149*(2/1.75)</f>
        <v>0.44727490912817014</v>
      </c>
      <c r="FG10">
        <f>0.389620825821877*(2/1.75)</f>
        <v>0.44528094379643074</v>
      </c>
      <c r="FH10">
        <f>0.368883586371787*(2/1.75)</f>
        <v>0.42158124156775689</v>
      </c>
      <c r="FI10">
        <f>0.354128242916916*(2/1.75)</f>
        <v>0.40471799190504648</v>
      </c>
      <c r="FJ10">
        <f>0.343211282725643*(2/1.75)</f>
        <v>0.39224146597216303</v>
      </c>
      <c r="FK10">
        <f>0.341715808726838*(2/1.75)</f>
        <v>0.390532352830672</v>
      </c>
      <c r="FL10">
        <f>0.352034579318589*(2/1.75)</f>
        <v>0.40232523350695915</v>
      </c>
      <c r="FM10">
        <f>0.386480330424387*(2/1.75)</f>
        <v>0.44169180619929982</v>
      </c>
      <c r="FN10">
        <f>0.416988*(2/1.75)</f>
        <v>0.47655771428571431</v>
      </c>
      <c r="FO10">
        <f>0.401634466945607*(2/1.75)</f>
        <v>0.45901081936640759</v>
      </c>
      <c r="FP10">
        <f>0.38508455469217*(2/1.75)</f>
        <v>0.44009663393390835</v>
      </c>
      <c r="FQ10">
        <f>0.366092034907352*(2/1.75)</f>
        <v>0.4183908970369738</v>
      </c>
      <c r="FR10">
        <f>0.366889621040048*(2/1.75)</f>
        <v>0.41930242404576895</v>
      </c>
      <c r="FS10">
        <f>0.345055700657502*(2/1.75)</f>
        <v>0.39434937218000171</v>
      </c>
      <c r="FT10">
        <f>0.329602469336521*(2/1.75)</f>
        <v>0.37668853638459565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7.9040008880539664E-2</v>
      </c>
      <c r="X11">
        <f>0.0674624937238494*(2/1.75)</f>
        <v>7.7099992827256394E-2</v>
      </c>
      <c r="Y11">
        <f>0.0664001784817693*(2/1.75)</f>
        <v>7.5885918264879171E-2</v>
      </c>
      <c r="Z11">
        <f>0.0669587153616258*(2/1.75)</f>
        <v>7.652424612757236E-2</v>
      </c>
      <c r="AA11">
        <f>0.0693461867304244*(2/1.75)</f>
        <v>7.9252784834770718E-2</v>
      </c>
      <c r="AB11">
        <f>0.0706494394500897*(2/1.75)</f>
        <v>8.0742216514388176E-2</v>
      </c>
      <c r="AC11">
        <f>0.0763771803945009*(2/1.75)</f>
        <v>8.7288206165143892E-2</v>
      </c>
      <c r="AD11">
        <f>0.0812287850567842*(2/1.75)</f>
        <v>9.2832897207753395E-2</v>
      </c>
      <c r="AE11">
        <f>0.0838352904961148*(2/1.75)</f>
        <v>9.5811760566988285E-2</v>
      </c>
      <c r="AF11">
        <f>0.0859818243873282*(2/1.75)</f>
        <v>9.826494215694645E-2</v>
      </c>
      <c r="AG11">
        <f>0.0855985147638972*(2/1.75)</f>
        <v>9.782687401588247E-2</v>
      </c>
      <c r="AH11">
        <f>0.0810426060968321*(2/1.75)</f>
        <v>9.2620121253522342E-2</v>
      </c>
      <c r="AI11">
        <f>0.0778009018529587*(2/1.75)</f>
        <v>8.8915316403381406E-2</v>
      </c>
      <c r="AJ11">
        <f>0.0754024787806336*(2/1.75)</f>
        <v>8.6174261463581231E-2</v>
      </c>
      <c r="AK11">
        <f>0.0750739276748356*(2/1.75)</f>
        <v>8.5798774485526419E-2</v>
      </c>
      <c r="AL11">
        <f>0.0773409303048416*(2/1.75)</f>
        <v>8.8389634634104694E-2</v>
      </c>
      <c r="AM11">
        <f>0.0849085574417214*(2/1.75)</f>
        <v>9.7038351361967368E-2</v>
      </c>
      <c r="AN11">
        <f>0.091611*(2/1.75)</f>
        <v>0.1046982857142857</v>
      </c>
      <c r="AO11">
        <f>0.0882378753138075*(2/1.75)</f>
        <v>0.10084328607292287</v>
      </c>
      <c r="AP11">
        <f>0.0846019097429767*(2/1.75)</f>
        <v>9.6687896849116203E-2</v>
      </c>
      <c r="AQ11">
        <f>0.0804293106993425*(2/1.75)</f>
        <v>9.1919212227819971E-2</v>
      </c>
      <c r="AR11">
        <f>0.0806045379557681*(2/1.75)</f>
        <v>9.2119471949449222E-2</v>
      </c>
      <c r="AS11">
        <f>0.0758076918111177*(2/1.75)</f>
        <v>8.6637362069848844E-2</v>
      </c>
      <c r="AT11">
        <f>0.0724126637178721*(2/1.75)</f>
        <v>8.2757329963282375E-2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7.9040008880539664E-2</v>
      </c>
      <c r="EX11">
        <f>0.0674624937238494*(2/1.75)</f>
        <v>7.7099992827256394E-2</v>
      </c>
      <c r="EY11">
        <f>0.0664001784817693*(2/1.75)</f>
        <v>7.5885918264879171E-2</v>
      </c>
      <c r="EZ11">
        <f>0.0669587153616258*(2/1.75)</f>
        <v>7.652424612757236E-2</v>
      </c>
      <c r="FA11">
        <f>0.0693461867304244*(2/1.75)</f>
        <v>7.9252784834770718E-2</v>
      </c>
      <c r="FB11">
        <f>0.0706494394500897*(2/1.75)</f>
        <v>8.0742216514388176E-2</v>
      </c>
      <c r="FC11">
        <f>0.0763771803945009*(2/1.75)</f>
        <v>8.7288206165143892E-2</v>
      </c>
      <c r="FD11">
        <f>0.0812287850567842*(2/1.75)</f>
        <v>9.2832897207753395E-2</v>
      </c>
      <c r="FE11">
        <f>0.0838352904961148*(2/1.75)</f>
        <v>9.5811760566988285E-2</v>
      </c>
      <c r="FF11">
        <f>0.0859818243873282*(2/1.75)</f>
        <v>9.826494215694645E-2</v>
      </c>
      <c r="FG11">
        <f>0.0855985147638972*(2/1.75)</f>
        <v>9.782687401588247E-2</v>
      </c>
      <c r="FH11">
        <f>0.0810426060968321*(2/1.75)</f>
        <v>9.2620121253522342E-2</v>
      </c>
      <c r="FI11">
        <f>0.0778009018529587*(2/1.75)</f>
        <v>8.8915316403381406E-2</v>
      </c>
      <c r="FJ11">
        <f>0.0754024787806336*(2/1.75)</f>
        <v>8.6174261463581231E-2</v>
      </c>
      <c r="FK11">
        <f>0.0750739276748356*(2/1.75)</f>
        <v>8.5798774485526419E-2</v>
      </c>
      <c r="FL11">
        <f>0.0773409303048416*(2/1.75)</f>
        <v>8.8389634634104694E-2</v>
      </c>
      <c r="FM11">
        <f>0.0849085574417214*(2/1.75)</f>
        <v>9.7038351361967368E-2</v>
      </c>
      <c r="FN11">
        <f>0.091611*(2/1.75)</f>
        <v>0.1046982857142857</v>
      </c>
      <c r="FO11">
        <f>0.0882378753138075*(2/1.75)</f>
        <v>0.10084328607292287</v>
      </c>
      <c r="FP11">
        <f>0.0846019097429767*(2/1.75)</f>
        <v>9.6687896849116203E-2</v>
      </c>
      <c r="FQ11">
        <f>0.0804293106993425*(2/1.75)</f>
        <v>9.1919212227819971E-2</v>
      </c>
      <c r="FR11">
        <f>0.0806045379557681*(2/1.75)</f>
        <v>9.2119471949449222E-2</v>
      </c>
      <c r="FS11">
        <f>0.0758076918111177*(2/1.75)</f>
        <v>8.6637362069848844E-2</v>
      </c>
      <c r="FT11">
        <f>0.0724126637178721*(2/1.75)</f>
        <v>8.2757329963282375E-2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BW1:DV1"/>
    <mergeCell ref="A1:E1"/>
    <mergeCell ref="F1:H1"/>
    <mergeCell ref="I1:T1"/>
    <mergeCell ref="U1:AV1"/>
    <mergeCell ref="AW1:BV1"/>
    <mergeCell ref="GW1:IV1"/>
    <mergeCell ref="IW1:IZ1"/>
    <mergeCell ref="DW1:DZ1"/>
    <mergeCell ref="EA1:EE1"/>
    <mergeCell ref="EF1:EH1"/>
    <mergeCell ref="EI1:ET1"/>
    <mergeCell ref="EU1:FV1"/>
    <mergeCell ref="FW1:G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opLeftCell="L1" workbookViewId="0">
      <selection activeCell="U31" sqref="U31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41" t="s">
        <v>0</v>
      </c>
      <c r="B1" s="41"/>
      <c r="C1" s="41"/>
      <c r="D1" s="41"/>
      <c r="E1" s="41"/>
      <c r="F1" s="37" t="s">
        <v>1</v>
      </c>
      <c r="G1" s="37"/>
      <c r="H1" s="37"/>
      <c r="I1" s="38" t="s">
        <v>11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 t="s">
        <v>12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 t="s">
        <v>37</v>
      </c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2" t="s">
        <v>87</v>
      </c>
      <c r="DX1" s="32"/>
      <c r="DY1" s="32"/>
      <c r="DZ1" s="32"/>
      <c r="EA1" s="33" t="s">
        <v>0</v>
      </c>
      <c r="EB1" s="34"/>
      <c r="EC1" s="34"/>
      <c r="ED1" s="34"/>
      <c r="EE1" s="35"/>
      <c r="EF1" s="36" t="s">
        <v>1</v>
      </c>
      <c r="EG1" s="37"/>
      <c r="EH1" s="37"/>
      <c r="EI1" s="38" t="s">
        <v>11</v>
      </c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9" t="s">
        <v>12</v>
      </c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40" t="s">
        <v>37</v>
      </c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2" t="s">
        <v>87</v>
      </c>
      <c r="IX1" s="32"/>
      <c r="IY1" s="32"/>
      <c r="IZ1" s="32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6</v>
      </c>
      <c r="K3">
        <v>0</v>
      </c>
      <c r="L3">
        <v>1</v>
      </c>
      <c r="M3">
        <v>1</v>
      </c>
      <c r="N3">
        <v>3</v>
      </c>
      <c r="O3" s="12">
        <v>0.9</v>
      </c>
      <c r="P3" s="12">
        <v>0.9</v>
      </c>
      <c r="Q3">
        <v>1</v>
      </c>
      <c r="R3">
        <v>5.4</v>
      </c>
      <c r="S3">
        <v>5.3</v>
      </c>
      <c r="T3">
        <v>0.5</v>
      </c>
      <c r="U3" s="13">
        <v>1</v>
      </c>
      <c r="V3" s="11">
        <v>0.8</v>
      </c>
      <c r="W3">
        <f>0.496044193664077*(2/1.75)</f>
        <v>0.5669076499018022</v>
      </c>
      <c r="X3">
        <f>0.483868920502092*(2/1.75)</f>
        <v>0.55299305200239079</v>
      </c>
      <c r="Y3">
        <f>0.476249556007173*(2/1.75)</f>
        <v>0.54428520686534054</v>
      </c>
      <c r="Z3">
        <f>0.480255613628213*(2/1.75)</f>
        <v>0.54886355843224344</v>
      </c>
      <c r="AA3">
        <f>0.497379546204423*(2/1.75)</f>
        <v>0.56843376709076909</v>
      </c>
      <c r="AB3">
        <f>0.50672701398685*(2/1.75)</f>
        <v>0.57911658741354288</v>
      </c>
      <c r="AC3">
        <f>0.547808742139869*(2/1.75)</f>
        <v>0.62606713387413593</v>
      </c>
      <c r="AD3">
        <f>0.582606458338314*(2/1.75)</f>
        <v>0.66583595238664461</v>
      </c>
      <c r="AE3">
        <f>0.601301393903168*(2/1.75)</f>
        <v>0.68720159303219186</v>
      </c>
      <c r="AF3">
        <f>0.616697223191871*(2/1.75)</f>
        <v>0.70479682650499542</v>
      </c>
      <c r="AG3">
        <f>0.613947967961745*(2/1.75)</f>
        <v>0.70165482052770856</v>
      </c>
      <c r="AH3">
        <f>0.581271105797968*(2/1.75)</f>
        <v>0.66430983519767772</v>
      </c>
      <c r="AI3">
        <f>0.558020261566049*(2/1.75)</f>
        <v>0.63773744178977021</v>
      </c>
      <c r="AJ3">
        <f>0.540817778840407*(2/1.75)</f>
        <v>0.61807746153189369</v>
      </c>
      <c r="AK3">
        <f>0.538461274357442*(2/1.75)</f>
        <v>0.61538431355136225</v>
      </c>
      <c r="AL3">
        <f>0.554721155289898*(2/1.75)</f>
        <v>0.63396703461702619</v>
      </c>
      <c r="AM3">
        <f>0.608999308547519*(2/1.75)</f>
        <v>0.6959992097685932</v>
      </c>
      <c r="AN3">
        <f>0.657072*(2/1.75)</f>
        <v>0.75093942857142848</v>
      </c>
      <c r="AO3">
        <f>0.632878553974895*(2/1.75)</f>
        <v>0.7232897759713085</v>
      </c>
      <c r="AP3">
        <f>0.606799904363419*(2/1.75)</f>
        <v>0.69348560498676459</v>
      </c>
      <c r="AQ3">
        <f>0.576872297429767*(2/1.75)</f>
        <v>0.6592826256340194</v>
      </c>
      <c r="AR3">
        <f>0.578129099820681*(2/1.75)</f>
        <v>0.66071897122363532</v>
      </c>
      <c r="AS3">
        <f>0.543724134369396*(2/1.75)</f>
        <v>0.62139901070788117</v>
      </c>
      <c r="AT3">
        <f>0.519373588045427*(2/1.75)</f>
        <v>0.59356981490905936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-0.2</v>
      </c>
      <c r="DY3" s="5">
        <v>0.6</v>
      </c>
      <c r="DZ3" s="5">
        <v>3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6</v>
      </c>
      <c r="EK3">
        <v>0</v>
      </c>
      <c r="EL3">
        <v>1</v>
      </c>
      <c r="EM3">
        <v>1</v>
      </c>
      <c r="EN3">
        <v>3</v>
      </c>
      <c r="EO3" s="12">
        <v>0.9</v>
      </c>
      <c r="EP3" s="12">
        <v>0.9</v>
      </c>
      <c r="EQ3">
        <v>1</v>
      </c>
      <c r="ER3">
        <v>10</v>
      </c>
      <c r="ES3">
        <v>9.9</v>
      </c>
      <c r="ET3">
        <v>0.5</v>
      </c>
      <c r="EU3" s="13">
        <v>1</v>
      </c>
      <c r="EV3" s="11">
        <v>0.8</v>
      </c>
      <c r="EW3">
        <f>0.496044193664077*(2/1.75)</f>
        <v>0.5669076499018022</v>
      </c>
      <c r="EX3">
        <f>0.483868920502092*(2/1.75)</f>
        <v>0.55299305200239079</v>
      </c>
      <c r="EY3">
        <f>0.476249556007173*(2/1.75)</f>
        <v>0.54428520686534054</v>
      </c>
      <c r="EZ3">
        <f>0.480255613628213*(2/1.75)</f>
        <v>0.54886355843224344</v>
      </c>
      <c r="FA3">
        <f>0.497379546204423*(2/1.75)</f>
        <v>0.56843376709076909</v>
      </c>
      <c r="FB3">
        <f>0.50672701398685*(2/1.75)</f>
        <v>0.57911658741354288</v>
      </c>
      <c r="FC3">
        <f>0.547808742139869*(2/1.75)</f>
        <v>0.62606713387413593</v>
      </c>
      <c r="FD3">
        <f>0.582606458338314*(2/1.75)</f>
        <v>0.66583595238664461</v>
      </c>
      <c r="FE3">
        <f>0.601301393903168*(2/1.75)</f>
        <v>0.68720159303219186</v>
      </c>
      <c r="FF3">
        <f>0.616697223191871*(2/1.75)</f>
        <v>0.70479682650499542</v>
      </c>
      <c r="FG3">
        <f>0.613947967961745*(2/1.75)</f>
        <v>0.70165482052770856</v>
      </c>
      <c r="FH3">
        <f>0.581271105797968*(2/1.75)</f>
        <v>0.66430983519767772</v>
      </c>
      <c r="FI3">
        <f>0.558020261566049*(2/1.75)</f>
        <v>0.63773744178977021</v>
      </c>
      <c r="FJ3">
        <f>0.540817778840407*(2/1.75)</f>
        <v>0.61807746153189369</v>
      </c>
      <c r="FK3">
        <f>0.538461274357442*(2/1.75)</f>
        <v>0.61538431355136225</v>
      </c>
      <c r="FL3">
        <f>0.554721155289898*(2/1.75)</f>
        <v>0.63396703461702619</v>
      </c>
      <c r="FM3">
        <f>0.608999308547519*(2/1.75)</f>
        <v>0.6959992097685932</v>
      </c>
      <c r="FN3">
        <f>0.657072*(2/1.75)</f>
        <v>0.75093942857142848</v>
      </c>
      <c r="FO3">
        <f>0.632878553974895*(2/1.75)</f>
        <v>0.7232897759713085</v>
      </c>
      <c r="FP3">
        <f>0.606799904363419*(2/1.75)</f>
        <v>0.69348560498676459</v>
      </c>
      <c r="FQ3">
        <f>0.576872297429767*(2/1.75)</f>
        <v>0.6592826256340194</v>
      </c>
      <c r="FR3">
        <f>0.578129099820681*(2/1.75)</f>
        <v>0.66071897122363532</v>
      </c>
      <c r="FS3">
        <f>0.543724134369396*(2/1.75)</f>
        <v>0.62139901070788117</v>
      </c>
      <c r="FT3">
        <f>0.519373588045427*(2/1.75)</f>
        <v>0.59356981490905936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-0.2</v>
      </c>
      <c r="IY3" s="5">
        <v>0.6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>
        <v>2</v>
      </c>
      <c r="J4" s="11">
        <v>6</v>
      </c>
      <c r="K4">
        <v>0</v>
      </c>
      <c r="L4">
        <v>1</v>
      </c>
      <c r="M4">
        <v>1</v>
      </c>
      <c r="N4">
        <v>3</v>
      </c>
      <c r="O4" s="12">
        <v>0.9</v>
      </c>
      <c r="P4" s="12">
        <v>0.9</v>
      </c>
      <c r="Q4">
        <v>1</v>
      </c>
      <c r="R4">
        <v>5</v>
      </c>
      <c r="S4">
        <v>4.9000000000000004</v>
      </c>
      <c r="T4">
        <v>0.5</v>
      </c>
      <c r="U4" s="13">
        <v>2</v>
      </c>
      <c r="V4" s="11">
        <v>0.8</v>
      </c>
      <c r="W4">
        <f>1.18048978780634*(2/1.75)</f>
        <v>1.3491311860643886</v>
      </c>
      <c r="X4">
        <f>1.1515149790795*(2/1.75)</f>
        <v>1.3160171189480001</v>
      </c>
      <c r="Y4">
        <f>1.13338235684399*(2/1.75)</f>
        <v>1.295294122107417</v>
      </c>
      <c r="Z4">
        <f>1.14291600358637*(2/1.75)</f>
        <v>1.3061897183844227</v>
      </c>
      <c r="AA4">
        <f>1.1836676700538*(2/1.75)</f>
        <v>1.352763051490057</v>
      </c>
      <c r="AB4">
        <f>1.20591284578601*(2/1.75)</f>
        <v>1.3781861094697256</v>
      </c>
      <c r="AC4">
        <f>1.30367945845786*(2/1.75)</f>
        <v>1.4899193810946969</v>
      </c>
      <c r="AD4">
        <f>1.38649133114166*(2/1.75)</f>
        <v>1.5845615213047541</v>
      </c>
      <c r="AE4">
        <f>1.4309816826061*(2/1.75)</f>
        <v>1.6354076372641142</v>
      </c>
      <c r="AF4">
        <f>1.46762079557681*(2/1.75)</f>
        <v>1.6772809092306398</v>
      </c>
      <c r="AG4">
        <f>1.46107809683204*(2/1.75)</f>
        <v>1.6698035392366171</v>
      </c>
      <c r="AH4">
        <f>1.3833134488942*(2/1.75)</f>
        <v>1.5809296558790857</v>
      </c>
      <c r="AI4">
        <f>1.32798091093843*(2/1.75)</f>
        <v>1.5176924696439198</v>
      </c>
      <c r="AJ4">
        <f>1.28704231022116*(2/1.75)</f>
        <v>1.4709054973956113</v>
      </c>
      <c r="AK4">
        <f>1.28143428272564*(2/1.75)</f>
        <v>1.464496323115017</v>
      </c>
      <c r="AL4">
        <f>1.32012967244471*(2/1.75)</f>
        <v>1.5087196256510971</v>
      </c>
      <c r="AM4">
        <f>1.44930123909145*(2/1.75)</f>
        <v>1.6563442732473712</v>
      </c>
      <c r="AN4">
        <f>1.563705*(2/1.75)</f>
        <v>1.7870914285714283</v>
      </c>
      <c r="AO4">
        <f>1.50612925104602*(2/1.75)</f>
        <v>1.7212905726240229</v>
      </c>
      <c r="AP4">
        <f>1.44406708009564*(2/1.75)</f>
        <v>1.6503623772521601</v>
      </c>
      <c r="AQ4">
        <f>1.37284513090257*(2/1.75)</f>
        <v>1.5689658638886512</v>
      </c>
      <c r="AR4">
        <f>1.37583607890018*(2/1.75)</f>
        <v>1.5723840901716342</v>
      </c>
      <c r="AS4">
        <f>1.29395887746563*(2/1.75)</f>
        <v>1.4788101456750058</v>
      </c>
      <c r="AT4">
        <f>1.23600926001195*(2/1.75)</f>
        <v>1.4125820114422287</v>
      </c>
      <c r="AU4" s="1">
        <v>110</v>
      </c>
      <c r="AV4" s="1">
        <v>1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-0.2</v>
      </c>
      <c r="DY4" s="5">
        <v>0.6</v>
      </c>
      <c r="DZ4" s="5">
        <v>3</v>
      </c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>
        <v>2</v>
      </c>
      <c r="EJ4" s="11">
        <v>6</v>
      </c>
      <c r="EK4">
        <v>0</v>
      </c>
      <c r="EL4">
        <v>1</v>
      </c>
      <c r="EM4">
        <v>1</v>
      </c>
      <c r="EN4">
        <v>3</v>
      </c>
      <c r="EO4" s="12">
        <v>0.9</v>
      </c>
      <c r="EP4" s="12">
        <v>0.9</v>
      </c>
      <c r="EQ4">
        <v>1</v>
      </c>
      <c r="ER4">
        <v>7.5</v>
      </c>
      <c r="ES4">
        <v>7.4</v>
      </c>
      <c r="ET4">
        <v>0.5</v>
      </c>
      <c r="EU4" s="13">
        <v>2</v>
      </c>
      <c r="EV4" s="11">
        <v>0.8</v>
      </c>
      <c r="EW4">
        <f>1.18048978780634*(2/1.75)</f>
        <v>1.3491311860643886</v>
      </c>
      <c r="EX4">
        <f>1.1515149790795*(2/1.75)</f>
        <v>1.3160171189480001</v>
      </c>
      <c r="EY4">
        <f>1.13338235684399*(2/1.75)</f>
        <v>1.295294122107417</v>
      </c>
      <c r="EZ4">
        <f>1.14291600358637*(2/1.75)</f>
        <v>1.3061897183844227</v>
      </c>
      <c r="FA4">
        <f>1.1836676700538*(2/1.75)</f>
        <v>1.352763051490057</v>
      </c>
      <c r="FB4">
        <f>1.20591284578601*(2/1.75)</f>
        <v>1.3781861094697256</v>
      </c>
      <c r="FC4">
        <f>1.30367945845786*(2/1.75)</f>
        <v>1.4899193810946969</v>
      </c>
      <c r="FD4">
        <f>1.38649133114166*(2/1.75)</f>
        <v>1.5845615213047541</v>
      </c>
      <c r="FE4">
        <f>1.4309816826061*(2/1.75)</f>
        <v>1.6354076372641142</v>
      </c>
      <c r="FF4">
        <f>1.46762079557681*(2/1.75)</f>
        <v>1.6772809092306398</v>
      </c>
      <c r="FG4">
        <f>1.46107809683204*(2/1.75)</f>
        <v>1.6698035392366171</v>
      </c>
      <c r="FH4">
        <f>1.3833134488942*(2/1.75)</f>
        <v>1.5809296558790857</v>
      </c>
      <c r="FI4">
        <f>1.32798091093843*(2/1.75)</f>
        <v>1.5176924696439198</v>
      </c>
      <c r="FJ4">
        <f>1.28704231022116*(2/1.75)</f>
        <v>1.4709054973956113</v>
      </c>
      <c r="FK4">
        <f>1.28143428272564*(2/1.75)</f>
        <v>1.464496323115017</v>
      </c>
      <c r="FL4">
        <f>1.32012967244471*(2/1.75)</f>
        <v>1.5087196256510971</v>
      </c>
      <c r="FM4">
        <f>1.44930123909145*(2/1.75)</f>
        <v>1.6563442732473712</v>
      </c>
      <c r="FN4">
        <f>1.563705*(2/1.75)</f>
        <v>1.7870914285714283</v>
      </c>
      <c r="FO4">
        <f>1.50612925104602*(2/1.75)</f>
        <v>1.7212905726240229</v>
      </c>
      <c r="FP4">
        <f>1.44406708009564*(2/1.75)</f>
        <v>1.6503623772521601</v>
      </c>
      <c r="FQ4">
        <f>1.37284513090257*(2/1.75)</f>
        <v>1.5689658638886512</v>
      </c>
      <c r="FR4">
        <f>1.37583607890018*(2/1.75)</f>
        <v>1.5723840901716342</v>
      </c>
      <c r="FS4">
        <f>1.29395887746563*(2/1.75)</f>
        <v>1.4788101456750058</v>
      </c>
      <c r="FT4">
        <f>1.23600926001195*(2/1.75)</f>
        <v>1.4125820114422287</v>
      </c>
      <c r="FU4" s="1">
        <v>35</v>
      </c>
      <c r="FV4" s="1">
        <v>1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-0.2</v>
      </c>
      <c r="IY4" s="5">
        <v>0.6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>
        <v>5</v>
      </c>
      <c r="J5" s="11">
        <v>6</v>
      </c>
      <c r="K5">
        <v>0</v>
      </c>
      <c r="L5">
        <v>1</v>
      </c>
      <c r="M5">
        <v>1</v>
      </c>
      <c r="N5">
        <v>3</v>
      </c>
      <c r="O5" s="12">
        <v>0.9</v>
      </c>
      <c r="P5" s="12">
        <v>0.9</v>
      </c>
      <c r="Q5">
        <v>1</v>
      </c>
      <c r="R5">
        <v>4.7</v>
      </c>
      <c r="S5">
        <v>4.5999999999999996</v>
      </c>
      <c r="T5">
        <v>0.5</v>
      </c>
      <c r="U5" s="13">
        <v>3</v>
      </c>
      <c r="V5" s="11">
        <v>0.8</v>
      </c>
      <c r="W5">
        <f>2.28466508427974*(2/1.75)</f>
        <v>2.6110458106054169</v>
      </c>
      <c r="X5">
        <f>2.22858858577406*(2/1.75)</f>
        <v>2.5469583837417828</v>
      </c>
      <c r="Y5">
        <f>2.19349555122534*(2/1.75)</f>
        <v>2.5068520585432457</v>
      </c>
      <c r="Z5">
        <f>2.21194652815302*(2/1.75)</f>
        <v>2.527938889317737</v>
      </c>
      <c r="AA5">
        <f>2.2908154099223*(2/1.75)</f>
        <v>2.6180747541969143</v>
      </c>
      <c r="AB5">
        <f>2.3338676894202*(2/1.75)</f>
        <v>2.6672773593373713</v>
      </c>
      <c r="AC5">
        <f>2.5230806488942*(2/1.75)</f>
        <v>2.883520741593371</v>
      </c>
      <c r="AD5">
        <f>2.68335089946204*(2/1.75)</f>
        <v>3.066686742242331</v>
      </c>
      <c r="AE5">
        <f>2.76945545845786*(2/1.75)</f>
        <v>3.1650919525232681</v>
      </c>
      <c r="AF5">
        <f>2.84036509527794*(2/1.75)</f>
        <v>3.2461315374605029</v>
      </c>
      <c r="AG5">
        <f>2.8277026601315*(2/1.75)</f>
        <v>3.2316601830074285</v>
      </c>
      <c r="AH5">
        <f>2.67720057381949*(2/1.75)</f>
        <v>3.0596577986508455</v>
      </c>
      <c r="AI5">
        <f>2.57011255086671*(2/1.75)</f>
        <v>2.9372714867048111</v>
      </c>
      <c r="AJ5">
        <f>2.4908818852361*(2/1.75)</f>
        <v>2.8467221545555428</v>
      </c>
      <c r="AK5">
        <f>2.48002836939629*(2/1.75)</f>
        <v>2.8343181364529024</v>
      </c>
      <c r="AL5">
        <f>2.55491762869097*(2/1.75)</f>
        <v>2.9199058613611086</v>
      </c>
      <c r="AM5">
        <f>2.8049102768679*(2/1.75)</f>
        <v>3.2056117449918857</v>
      </c>
      <c r="AN5">
        <f>3.026322*(2/1.75)</f>
        <v>3.4586537142857141</v>
      </c>
      <c r="AO5">
        <f>2.9148925707113*(2/1.75)</f>
        <v>3.3313057950986282</v>
      </c>
      <c r="AP5">
        <f>2.79478032875075*(2/1.75)</f>
        <v>3.1940346614294284</v>
      </c>
      <c r="AQ5">
        <f>2.65694067758518*(2/1.75)</f>
        <v>3.0365036315259197</v>
      </c>
      <c r="AR5">
        <f>2.66272921936641*(2/1.75)</f>
        <v>3.0431191078473256</v>
      </c>
      <c r="AS5">
        <f>2.5042678881052*(2/1.75)</f>
        <v>2.8620204435487997</v>
      </c>
      <c r="AT5">
        <f>2.39211489109384*(2/1.75)</f>
        <v>2.7338455898215313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>
        <v>5</v>
      </c>
      <c r="EJ5" s="11">
        <v>6</v>
      </c>
      <c r="EK5">
        <v>0</v>
      </c>
      <c r="EL5">
        <v>1</v>
      </c>
      <c r="EM5">
        <v>1</v>
      </c>
      <c r="EN5">
        <v>3</v>
      </c>
      <c r="EO5" s="12">
        <v>0.9</v>
      </c>
      <c r="EP5" s="12">
        <v>0.9</v>
      </c>
      <c r="EQ5">
        <v>1</v>
      </c>
      <c r="ER5">
        <v>5</v>
      </c>
      <c r="ES5">
        <v>4.9000000000000004</v>
      </c>
      <c r="ET5">
        <v>0.5</v>
      </c>
      <c r="EU5" s="13">
        <v>3</v>
      </c>
      <c r="EV5" s="11">
        <v>0.8</v>
      </c>
      <c r="EW5">
        <f>2.28466508427974*(2/1.75)</f>
        <v>2.6110458106054169</v>
      </c>
      <c r="EX5">
        <f>2.22858858577406*(2/1.75)</f>
        <v>2.5469583837417828</v>
      </c>
      <c r="EY5">
        <f>2.19349555122534*(2/1.75)</f>
        <v>2.5068520585432457</v>
      </c>
      <c r="EZ5">
        <f>2.21194652815302*(2/1.75)</f>
        <v>2.527938889317737</v>
      </c>
      <c r="FA5">
        <f>2.2908154099223*(2/1.75)</f>
        <v>2.6180747541969143</v>
      </c>
      <c r="FB5">
        <f>2.3338676894202*(2/1.75)</f>
        <v>2.6672773593373713</v>
      </c>
      <c r="FC5">
        <f>2.5230806488942*(2/1.75)</f>
        <v>2.883520741593371</v>
      </c>
      <c r="FD5">
        <f>2.68335089946204*(2/1.75)</f>
        <v>3.066686742242331</v>
      </c>
      <c r="FE5">
        <f>2.76945545845786*(2/1.75)</f>
        <v>3.1650919525232681</v>
      </c>
      <c r="FF5">
        <f>2.84036509527794*(2/1.75)</f>
        <v>3.2461315374605029</v>
      </c>
      <c r="FG5">
        <f>2.8277026601315*(2/1.75)</f>
        <v>3.2316601830074285</v>
      </c>
      <c r="FH5">
        <f>2.67720057381949*(2/1.75)</f>
        <v>3.0596577986508455</v>
      </c>
      <c r="FI5">
        <f>2.57011255086671*(2/1.75)</f>
        <v>2.9372714867048111</v>
      </c>
      <c r="FJ5">
        <f>2.4908818852361*(2/1.75)</f>
        <v>2.8467221545555428</v>
      </c>
      <c r="FK5">
        <f>2.48002836939629*(2/1.75)</f>
        <v>2.8343181364529024</v>
      </c>
      <c r="FL5">
        <f>2.55491762869097*(2/1.75)</f>
        <v>2.9199058613611086</v>
      </c>
      <c r="FM5">
        <f>2.8049102768679*(2/1.75)</f>
        <v>3.2056117449918857</v>
      </c>
      <c r="FN5">
        <f>3.026322*(2/1.75)</f>
        <v>3.4586537142857141</v>
      </c>
      <c r="FO5">
        <f>2.9148925707113*(2/1.75)</f>
        <v>3.3313057950986282</v>
      </c>
      <c r="FP5">
        <f>2.79478032875075*(2/1.75)</f>
        <v>3.1940346614294284</v>
      </c>
      <c r="FQ5">
        <f>2.65694067758518*(2/1.75)</f>
        <v>3.0365036315259197</v>
      </c>
      <c r="FR5">
        <f>2.66272921936641*(2/1.75)</f>
        <v>3.0431191078473256</v>
      </c>
      <c r="FS5">
        <f>2.5042678881052*(2/1.75)</f>
        <v>2.8620204435487997</v>
      </c>
      <c r="FT5">
        <f>2.39211489109384*(2/1.75)</f>
        <v>2.7338455898215313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>
        <v>8</v>
      </c>
      <c r="J6" s="11">
        <v>6</v>
      </c>
      <c r="K6">
        <v>0</v>
      </c>
      <c r="L6">
        <v>1</v>
      </c>
      <c r="M6">
        <v>1</v>
      </c>
      <c r="N6">
        <v>3</v>
      </c>
      <c r="O6" s="12">
        <v>0.9</v>
      </c>
      <c r="P6" s="12">
        <v>0.9</v>
      </c>
      <c r="Q6">
        <v>1</v>
      </c>
      <c r="R6">
        <v>4.3</v>
      </c>
      <c r="S6">
        <v>4.2</v>
      </c>
      <c r="T6">
        <v>0.5</v>
      </c>
      <c r="U6" s="13">
        <v>4</v>
      </c>
      <c r="V6" s="11">
        <v>0.8</v>
      </c>
      <c r="W6">
        <f>1.00639735445308*(2/1.75)</f>
        <v>1.1501684050892342</v>
      </c>
      <c r="X6">
        <f>0.98169559832636*(2/1.75)</f>
        <v>1.121937826658697</v>
      </c>
      <c r="Y6">
        <f>0.966237079976091*(2/1.75)</f>
        <v>1.104270948544104</v>
      </c>
      <c r="Z6">
        <f>0.974364754572624*(2/1.75)</f>
        <v>1.1135597195115701</v>
      </c>
      <c r="AA6">
        <f>1.00910657931859*(2/1.75)</f>
        <v>1.1532646620783886</v>
      </c>
      <c r="AB6">
        <f>1.02807115337717*(2/1.75)</f>
        <v>1.17493846100248</v>
      </c>
      <c r="AC6">
        <f>1.11141965953377*(2/1.75)</f>
        <v>1.2701938966100228</v>
      </c>
      <c r="AD6">
        <f>1.18201887220562*(2/1.75)</f>
        <v>1.350878711092137</v>
      </c>
      <c r="AE6">
        <f>1.21994802032277*(2/1.75)</f>
        <v>1.3942263089403084</v>
      </c>
      <c r="AF6">
        <f>1.25118378936043*(2/1.75)</f>
        <v>1.4299243306976344</v>
      </c>
      <c r="AG6">
        <f>1.24560597346085*(2/1.75)</f>
        <v>1.4235496839552571</v>
      </c>
      <c r="AH6">
        <f>1.17930964734011*(2/1.75)</f>
        <v>1.3477824541029826</v>
      </c>
      <c r="AI6">
        <f>1.1321372614465*(2/1.75)</f>
        <v>1.2938711559388569</v>
      </c>
      <c r="AJ6">
        <f>1.09723607053198*(2/1.75)</f>
        <v>1.2539840806079769</v>
      </c>
      <c r="AK6">
        <f>1.09245508547519*(2/1.75)</f>
        <v>1.2485200976859314</v>
      </c>
      <c r="AL6">
        <f>1.12544388236701*(2/1.75)</f>
        <v>1.2862215798480114</v>
      </c>
      <c r="AM6">
        <f>1.2355659048416*(2/1.75)</f>
        <v>1.4120753198189713</v>
      </c>
      <c r="AN6">
        <f>1.333098*(2/1.75)</f>
        <v>1.5235405714285712</v>
      </c>
      <c r="AO6">
        <f>1.28401322008368*(2/1.75)</f>
        <v>1.4674436800956343</v>
      </c>
      <c r="AP6">
        <f>1.23110365212194*(2/1.75)</f>
        <v>1.4069756024250744</v>
      </c>
      <c r="AQ6">
        <f>1.17038514190078*(2/1.75)</f>
        <v>1.3375830193151772</v>
      </c>
      <c r="AR6">
        <f>1.17293500059773*(2/1.75)</f>
        <v>1.3404971435402626</v>
      </c>
      <c r="AS6">
        <f>1.10313261876868*(2/1.75)</f>
        <v>1.2607229928784915</v>
      </c>
      <c r="AT6">
        <f>1.05372910651524*(2/1.75)</f>
        <v>1.2042618360174171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>
        <v>8</v>
      </c>
      <c r="EJ6" s="11">
        <v>6</v>
      </c>
      <c r="EK6">
        <v>0</v>
      </c>
      <c r="EL6">
        <v>1</v>
      </c>
      <c r="EM6">
        <v>1</v>
      </c>
      <c r="EN6">
        <v>3</v>
      </c>
      <c r="EO6" s="12">
        <v>0.9</v>
      </c>
      <c r="EP6" s="12">
        <v>0.9</v>
      </c>
      <c r="EQ6">
        <v>1</v>
      </c>
      <c r="ER6">
        <v>4.5999999999999996</v>
      </c>
      <c r="ES6">
        <v>4.5</v>
      </c>
      <c r="ET6">
        <v>0.5</v>
      </c>
      <c r="EU6" s="13">
        <v>4</v>
      </c>
      <c r="EV6" s="11">
        <v>0.8</v>
      </c>
      <c r="EW6">
        <f>1.00639735445308*(2/1.75)</f>
        <v>1.1501684050892342</v>
      </c>
      <c r="EX6">
        <f>0.98169559832636*(2/1.75)</f>
        <v>1.121937826658697</v>
      </c>
      <c r="EY6">
        <f>0.966237079976091*(2/1.75)</f>
        <v>1.104270948544104</v>
      </c>
      <c r="EZ6">
        <f>0.974364754572624*(2/1.75)</f>
        <v>1.1135597195115701</v>
      </c>
      <c r="FA6">
        <f>1.00910657931859*(2/1.75)</f>
        <v>1.1532646620783886</v>
      </c>
      <c r="FB6">
        <f>1.02807115337717*(2/1.75)</f>
        <v>1.17493846100248</v>
      </c>
      <c r="FC6">
        <f>1.11141965953377*(2/1.75)</f>
        <v>1.2701938966100228</v>
      </c>
      <c r="FD6">
        <f>1.18201887220562*(2/1.75)</f>
        <v>1.350878711092137</v>
      </c>
      <c r="FE6">
        <f>1.21994802032277*(2/1.75)</f>
        <v>1.3942263089403084</v>
      </c>
      <c r="FF6">
        <f>1.25118378936043*(2/1.75)</f>
        <v>1.4299243306976344</v>
      </c>
      <c r="FG6">
        <f>1.24560597346085*(2/1.75)</f>
        <v>1.4235496839552571</v>
      </c>
      <c r="FH6">
        <f>1.17930964734011*(2/1.75)</f>
        <v>1.3477824541029826</v>
      </c>
      <c r="FI6">
        <f>1.1321372614465*(2/1.75)</f>
        <v>1.2938711559388569</v>
      </c>
      <c r="FJ6">
        <f>1.09723607053198*(2/1.75)</f>
        <v>1.2539840806079769</v>
      </c>
      <c r="FK6">
        <f>1.09245508547519*(2/1.75)</f>
        <v>1.2485200976859314</v>
      </c>
      <c r="FL6">
        <f>1.12544388236701*(2/1.75)</f>
        <v>1.2862215798480114</v>
      </c>
      <c r="FM6">
        <f>1.2355659048416*(2/1.75)</f>
        <v>1.4120753198189713</v>
      </c>
      <c r="FN6">
        <f>1.333098*(2/1.75)</f>
        <v>1.5235405714285712</v>
      </c>
      <c r="FO6">
        <f>1.28401322008368*(2/1.75)</f>
        <v>1.4674436800956343</v>
      </c>
      <c r="FP6">
        <f>1.23110365212194*(2/1.75)</f>
        <v>1.4069756024250744</v>
      </c>
      <c r="FQ6">
        <f>1.17038514190078*(2/1.75)</f>
        <v>1.3375830193151772</v>
      </c>
      <c r="FR6">
        <f>1.17293500059773*(2/1.75)</f>
        <v>1.3404971435402626</v>
      </c>
      <c r="FS6">
        <f>1.10313261876868*(2/1.75)</f>
        <v>1.2607229928784915</v>
      </c>
      <c r="FT6">
        <f>1.05372910651524*(2/1.75)</f>
        <v>1.2042618360174171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>
        <v>10</v>
      </c>
      <c r="J7" s="11">
        <v>6</v>
      </c>
      <c r="K7">
        <v>0</v>
      </c>
      <c r="L7">
        <v>1</v>
      </c>
      <c r="M7">
        <v>1</v>
      </c>
      <c r="N7">
        <v>3</v>
      </c>
      <c r="O7" s="12">
        <v>0.9</v>
      </c>
      <c r="P7" s="12">
        <v>0.9</v>
      </c>
      <c r="Q7">
        <v>1</v>
      </c>
      <c r="R7">
        <v>4.0999999999999996</v>
      </c>
      <c r="S7">
        <v>4</v>
      </c>
      <c r="T7">
        <v>0.5</v>
      </c>
      <c r="U7" s="13">
        <v>6</v>
      </c>
      <c r="V7" s="11">
        <v>0.8</v>
      </c>
      <c r="W7">
        <f>1.52152017095039*(2/1.75)</f>
        <v>1.7388801953718742</v>
      </c>
      <c r="X7">
        <f>1.48417486192469*(2/1.75)</f>
        <v>1.6961998421996456</v>
      </c>
      <c r="Y7">
        <f>1.46080392659892*(2/1.75)</f>
        <v>1.6694902018273372</v>
      </c>
      <c r="Z7">
        <f>1.47309173795577*(2/1.75)</f>
        <v>1.6835334148065941</v>
      </c>
      <c r="AA7">
        <f>1.52561610806934*(2/1.75)</f>
        <v>1.74356126636496</v>
      </c>
      <c r="AB7">
        <f>1.55428766790197*(2/1.75)</f>
        <v>1.776328763316537</v>
      </c>
      <c r="AC7">
        <f>1.68029796867902*(2/1.75)</f>
        <v>1.9203405356331658</v>
      </c>
      <c r="AD7">
        <f>1.78703327124925*(2/1.75)</f>
        <v>2.0423237385705715</v>
      </c>
      <c r="AE7">
        <f>1.84437639091452*(2/1.75)</f>
        <v>2.107858732473737</v>
      </c>
      <c r="AF7">
        <f>1.89160013652122*(2/1.75)</f>
        <v>2.1618287274528227</v>
      </c>
      <c r="AG7">
        <f>1.88316732480574*(2/1.75)</f>
        <v>2.1521912283494169</v>
      </c>
      <c r="AH7">
        <f>1.7829373341303*(2/1.75)</f>
        <v>2.0376426675774857</v>
      </c>
      <c r="AI7">
        <f>1.71161984076509*(2/1.75)</f>
        <v>1.9561369608743884</v>
      </c>
      <c r="AJ7">
        <f>1.65885453317394*(2/1.75)</f>
        <v>1.8958337521987885</v>
      </c>
      <c r="AK7">
        <f>1.65162640884638*(2/1.75)</f>
        <v>1.887573038681577</v>
      </c>
      <c r="AL7">
        <f>1.70150046670652*(2/1.75)</f>
        <v>1.9445719619503086</v>
      </c>
      <c r="AM7">
        <f>1.86798826371787*(2/1.75)</f>
        <v>2.1348437299632796</v>
      </c>
      <c r="AN7">
        <f>2.015442*(2/1.75)</f>
        <v>2.3033622857142859</v>
      </c>
      <c r="AO7">
        <f>1.94123325690377*(2/1.75)</f>
        <v>2.2185522936043083</v>
      </c>
      <c r="AP7">
        <f>1.86124201434549*(2/1.75)</f>
        <v>2.1271337306805598</v>
      </c>
      <c r="AQ7">
        <f>1.76944483538553*(2/1.75)</f>
        <v>2.0222226690120344</v>
      </c>
      <c r="AR7">
        <f>1.7732998350269*(2/1.75)</f>
        <v>2.0266283828878855</v>
      </c>
      <c r="AS7">
        <f>1.66776921984459*(2/1.75)</f>
        <v>1.9060219655366741</v>
      </c>
      <c r="AT7">
        <f>1.59307860179319*(2/1.75)</f>
        <v>1.8206612591922169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>
        <v>10</v>
      </c>
      <c r="EJ7" s="11">
        <v>6</v>
      </c>
      <c r="EK7">
        <v>0</v>
      </c>
      <c r="EL7">
        <v>1</v>
      </c>
      <c r="EM7">
        <v>1</v>
      </c>
      <c r="EN7">
        <v>3</v>
      </c>
      <c r="EO7" s="12">
        <v>0.9</v>
      </c>
      <c r="EP7" s="12">
        <v>0.9</v>
      </c>
      <c r="EQ7">
        <v>1</v>
      </c>
      <c r="ER7">
        <v>4.3</v>
      </c>
      <c r="ES7">
        <v>4.2</v>
      </c>
      <c r="ET7">
        <v>0.5</v>
      </c>
      <c r="EU7" s="13">
        <v>6</v>
      </c>
      <c r="EV7" s="11">
        <v>0.8</v>
      </c>
      <c r="EW7">
        <f>1.52152017095039*(2/1.75)</f>
        <v>1.7388801953718742</v>
      </c>
      <c r="EX7">
        <f>1.48417486192469*(2/1.75)</f>
        <v>1.6961998421996456</v>
      </c>
      <c r="EY7">
        <f>1.46080392659892*(2/1.75)</f>
        <v>1.6694902018273372</v>
      </c>
      <c r="EZ7">
        <f>1.47309173795577*(2/1.75)</f>
        <v>1.6835334148065941</v>
      </c>
      <c r="FA7">
        <f>1.52561610806934*(2/1.75)</f>
        <v>1.74356126636496</v>
      </c>
      <c r="FB7">
        <f>1.55428766790197*(2/1.75)</f>
        <v>1.776328763316537</v>
      </c>
      <c r="FC7">
        <f>1.68029796867902*(2/1.75)</f>
        <v>1.9203405356331658</v>
      </c>
      <c r="FD7">
        <f>1.78703327124925*(2/1.75)</f>
        <v>2.0423237385705715</v>
      </c>
      <c r="FE7">
        <f>1.84437639091452*(2/1.75)</f>
        <v>2.107858732473737</v>
      </c>
      <c r="FF7">
        <f>1.89160013652122*(2/1.75)</f>
        <v>2.1618287274528227</v>
      </c>
      <c r="FG7">
        <f>1.88316732480574*(2/1.75)</f>
        <v>2.1521912283494169</v>
      </c>
      <c r="FH7">
        <f>1.7829373341303*(2/1.75)</f>
        <v>2.0376426675774857</v>
      </c>
      <c r="FI7">
        <f>1.71161984076509*(2/1.75)</f>
        <v>1.9561369608743884</v>
      </c>
      <c r="FJ7">
        <f>1.65885453317394*(2/1.75)</f>
        <v>1.8958337521987885</v>
      </c>
      <c r="FK7">
        <f>1.65162640884638*(2/1.75)</f>
        <v>1.887573038681577</v>
      </c>
      <c r="FL7">
        <f>1.70150046670652*(2/1.75)</f>
        <v>1.9445719619503086</v>
      </c>
      <c r="FM7">
        <f>1.86798826371787*(2/1.75)</f>
        <v>2.1348437299632796</v>
      </c>
      <c r="FN7">
        <f>2.015442*(2/1.75)</f>
        <v>2.3033622857142859</v>
      </c>
      <c r="FO7">
        <f>1.94123325690377*(2/1.75)</f>
        <v>2.2185522936043083</v>
      </c>
      <c r="FP7">
        <f>1.86124201434549*(2/1.75)</f>
        <v>2.1271337306805598</v>
      </c>
      <c r="FQ7">
        <f>1.76944483538553*(2/1.75)</f>
        <v>2.0222226690120344</v>
      </c>
      <c r="FR7">
        <f>1.7732998350269*(2/1.75)</f>
        <v>2.0266283828878855</v>
      </c>
      <c r="FS7">
        <f>1.66776921984459*(2/1.75)</f>
        <v>1.9060219655366741</v>
      </c>
      <c r="FT7">
        <f>1.59307860179319*(2/1.75)</f>
        <v>1.8206612591922169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>
        <v>11</v>
      </c>
      <c r="J8" s="11">
        <v>6</v>
      </c>
      <c r="K8">
        <v>0</v>
      </c>
      <c r="L8">
        <v>1</v>
      </c>
      <c r="M8">
        <v>1</v>
      </c>
      <c r="N8">
        <v>3</v>
      </c>
      <c r="O8" s="12">
        <v>0.9</v>
      </c>
      <c r="P8" s="12">
        <v>0.9</v>
      </c>
      <c r="Q8">
        <v>1</v>
      </c>
      <c r="R8">
        <v>3.8</v>
      </c>
      <c r="S8">
        <v>3.7</v>
      </c>
      <c r="T8">
        <v>0.5</v>
      </c>
      <c r="U8" s="13">
        <v>7</v>
      </c>
      <c r="V8" s="11">
        <v>0.8</v>
      </c>
      <c r="W8">
        <f>0.770299396891811*(2/1.75)</f>
        <v>0.88034216787635544</v>
      </c>
      <c r="X8">
        <f>0.75139260251046*(2/1.75)</f>
        <v>0.85873440286909708</v>
      </c>
      <c r="Y8">
        <f>0.739560608607292*(2/1.75)</f>
        <v>0.84521212412261937</v>
      </c>
      <c r="Z8">
        <f>0.74578155385535*(2/1.75)</f>
        <v>0.85232177583468571</v>
      </c>
      <c r="AA8">
        <f>0.77237304530783*(2/1.75)</f>
        <v>0.88271205178037715</v>
      </c>
      <c r="AB8">
        <f>0.786888584219964*(2/1.75)</f>
        <v>0.89930123910853021</v>
      </c>
      <c r="AC8">
        <f>0.8506837678422*(2/1.75)</f>
        <v>0.97221002039108573</v>
      </c>
      <c r="AD8">
        <f>0.904720605977286*(2/1.75)</f>
        <v>1.033966406831184</v>
      </c>
      <c r="AE8">
        <f>0.933751683801554*(2/1.75)</f>
        <v>1.0671447814874904</v>
      </c>
      <c r="AF8">
        <f>0.957659630245069*(2/1.75)</f>
        <v>1.0944681488515073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0.99033266201007653</v>
      </c>
      <c r="AJ8">
        <f>0.839827608487747*(2/1.75)</f>
        <v>0.95980298112885365</v>
      </c>
      <c r="AK8">
        <f>0.836168228930066*(2/1.75)</f>
        <v>0.95562083306293255</v>
      </c>
      <c r="AL8">
        <f>0.861417947878063*(2/1.75)</f>
        <v>0.98447765471778625</v>
      </c>
      <c r="AM8">
        <f>0.945705657023312*(2/1.75)</f>
        <v>1.0808064651694993</v>
      </c>
      <c r="AN8">
        <f>1.020357*(2/1.75)</f>
        <v>1.1661222857142857</v>
      </c>
      <c r="AO8">
        <f>0.982787369874477*(2/1.75)</f>
        <v>1.1231855655708307</v>
      </c>
      <c r="AP8">
        <f>0.942290236102809*(2/1.75)</f>
        <v>1.0769031269746387</v>
      </c>
      <c r="AQ8">
        <f>0.895816115720263*(2/1.75)</f>
        <v>1.0237898465374433</v>
      </c>
      <c r="AR8">
        <f>0.897767784817693*(2/1.75)</f>
        <v>1.0260203255059348</v>
      </c>
      <c r="AS8">
        <f>0.844340843275553*(2/1.75)</f>
        <v>0.96496096374348916</v>
      </c>
      <c r="AT8">
        <f>0.806527254512851*(2/1.75)</f>
        <v>0.92174543372897255</v>
      </c>
      <c r="AU8" s="1">
        <v>105</v>
      </c>
      <c r="AV8" s="1">
        <v>1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>
        <v>11</v>
      </c>
      <c r="EJ8" s="11">
        <v>6</v>
      </c>
      <c r="EK8">
        <v>0</v>
      </c>
      <c r="EL8">
        <v>1</v>
      </c>
      <c r="EM8">
        <v>1</v>
      </c>
      <c r="EN8">
        <v>3</v>
      </c>
      <c r="EO8" s="12">
        <v>0.9</v>
      </c>
      <c r="EP8" s="12">
        <v>0.9</v>
      </c>
      <c r="EQ8">
        <v>1</v>
      </c>
      <c r="ER8">
        <v>4</v>
      </c>
      <c r="ES8">
        <v>3.9</v>
      </c>
      <c r="ET8">
        <v>0.5</v>
      </c>
      <c r="EU8" s="13">
        <v>7</v>
      </c>
      <c r="EV8" s="11">
        <v>0.8</v>
      </c>
      <c r="EW8">
        <f>0.770299396891811*(2/1.75)</f>
        <v>0.88034216787635544</v>
      </c>
      <c r="EX8">
        <f>0.75139260251046*(2/1.75)</f>
        <v>0.85873440286909708</v>
      </c>
      <c r="EY8">
        <f>0.739560608607292*(2/1.75)</f>
        <v>0.84521212412261937</v>
      </c>
      <c r="EZ8">
        <f>0.74578155385535*(2/1.75)</f>
        <v>0.85232177583468571</v>
      </c>
      <c r="FA8">
        <f>0.77237304530783*(2/1.75)</f>
        <v>0.88271205178037715</v>
      </c>
      <c r="FB8">
        <f>0.786888584219964*(2/1.75)</f>
        <v>0.89930123910853021</v>
      </c>
      <c r="FC8">
        <f>0.8506837678422*(2/1.75)</f>
        <v>0.97221002039108573</v>
      </c>
      <c r="FD8">
        <f>0.904720605977286*(2/1.75)</f>
        <v>1.033966406831184</v>
      </c>
      <c r="FE8">
        <f>0.933751683801554*(2/1.75)</f>
        <v>1.0671447814874904</v>
      </c>
      <c r="FF8">
        <f>0.957659630245069*(2/1.75)</f>
        <v>1.0944681488515073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0.99033266201007653</v>
      </c>
      <c r="FJ8">
        <f>0.839827608487747*(2/1.75)</f>
        <v>0.95980298112885365</v>
      </c>
      <c r="FK8">
        <f>0.836168228930066*(2/1.75)</f>
        <v>0.95562083306293255</v>
      </c>
      <c r="FL8">
        <f>0.861417947878063*(2/1.75)</f>
        <v>0.98447765471778625</v>
      </c>
      <c r="FM8">
        <f>0.945705657023312*(2/1.75)</f>
        <v>1.0808064651694993</v>
      </c>
      <c r="FN8">
        <f>1.020357*(2/1.75)</f>
        <v>1.1661222857142857</v>
      </c>
      <c r="FO8">
        <f>0.982787369874477*(2/1.75)</f>
        <v>1.1231855655708307</v>
      </c>
      <c r="FP8">
        <f>0.942290236102809*(2/1.75)</f>
        <v>1.0769031269746387</v>
      </c>
      <c r="FQ8">
        <f>0.895816115720263*(2/1.75)</f>
        <v>1.0237898465374433</v>
      </c>
      <c r="FR8">
        <f>0.897767784817693*(2/1.75)</f>
        <v>1.0260203255059348</v>
      </c>
      <c r="FS8">
        <f>0.844340843275553*(2/1.75)</f>
        <v>0.96496096374348916</v>
      </c>
      <c r="FT8">
        <f>0.806527254512851*(2/1.75)</f>
        <v>0.92174543372897255</v>
      </c>
      <c r="FU8" s="1">
        <v>30</v>
      </c>
      <c r="FV8" s="1">
        <v>1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>
        <v>13</v>
      </c>
      <c r="J9" s="11">
        <v>6</v>
      </c>
      <c r="K9">
        <v>0</v>
      </c>
      <c r="L9">
        <v>1</v>
      </c>
      <c r="M9">
        <v>1</v>
      </c>
      <c r="N9">
        <v>3</v>
      </c>
      <c r="O9" s="12">
        <v>0.9</v>
      </c>
      <c r="P9" s="12">
        <v>0.9</v>
      </c>
      <c r="Q9">
        <v>1</v>
      </c>
      <c r="R9">
        <v>3.5</v>
      </c>
      <c r="S9">
        <v>3.4</v>
      </c>
      <c r="T9">
        <v>0.5</v>
      </c>
      <c r="U9" s="13">
        <v>10</v>
      </c>
      <c r="V9" s="11">
        <v>0.8</v>
      </c>
      <c r="W9">
        <f>0.172502548117155*(2/1.75)</f>
        <v>0.19714576927674857</v>
      </c>
      <c r="X9">
        <f>0.168268518828452*(2/1.75)</f>
        <v>0.192306878661088</v>
      </c>
      <c r="Y9">
        <f>0.165618835983264*(2/1.75)</f>
        <v>0.18927866969515883</v>
      </c>
      <c r="Z9">
        <f>0.167011968200837*(2/1.75)</f>
        <v>0.19087082080095655</v>
      </c>
      <c r="AA9">
        <f>0.172966925523013*(2/1.75)</f>
        <v>0.19767648631201484</v>
      </c>
      <c r="AB9">
        <f>0.176217567364017*(2/1.75)</f>
        <v>0.20139150555887655</v>
      </c>
      <c r="AC9">
        <f>0.19050400167364*(2/1.75)</f>
        <v>0.21771885905558858</v>
      </c>
      <c r="AD9">
        <f>0.202605130543933*(2/1.75)</f>
        <v>0.2315487206216377</v>
      </c>
      <c r="AE9">
        <f>0.209106414225941*(2/1.75)</f>
        <v>0.23897875911536115</v>
      </c>
      <c r="AF9">
        <f>0.214460412552301*(2/1.75)</f>
        <v>0.24509761434548685</v>
      </c>
      <c r="AG9">
        <f>0.213504341422594*(2/1.75)</f>
        <v>0.24400496162582169</v>
      </c>
      <c r="AH9">
        <f>0.202140753138075*(2/1.75)</f>
        <v>0.23101800358637142</v>
      </c>
      <c r="AI9">
        <f>0.194055123012552*(2/1.75)</f>
        <v>0.22177728344291658</v>
      </c>
      <c r="AJ9">
        <f>0.188072849372385*(2/1.75)</f>
        <v>0.21494039928272571</v>
      </c>
      <c r="AK9">
        <f>0.187253359832636*(2/1.75)</f>
        <v>0.21400383980872684</v>
      </c>
      <c r="AL9">
        <f>0.192907837656904*(2/1.75)</f>
        <v>0.22046610017931884</v>
      </c>
      <c r="AM9">
        <f>0.211783413389121*(2/1.75)</f>
        <v>0.24203818673042399</v>
      </c>
      <c r="AN9">
        <f>0.228501*(2/1.75)</f>
        <v>0.26114399999999999</v>
      </c>
      <c r="AO9">
        <f>0.220087574058577*(2/1.75)</f>
        <v>0.25152865606694513</v>
      </c>
      <c r="AP9">
        <f>0.211018556485356*(2/1.75)</f>
        <v>0.24116406455469255</v>
      </c>
      <c r="AQ9">
        <f>0.200611039330544*(2/1.75)</f>
        <v>0.22926975923490742</v>
      </c>
      <c r="AR9">
        <f>0.20104810041841*(2/1.75)</f>
        <v>0.22976925762104</v>
      </c>
      <c r="AS9">
        <f>0.189083553138075*(2/1.75)</f>
        <v>0.21609548930065714</v>
      </c>
      <c r="AT9">
        <f>0.180615494560669*(2/1.75)</f>
        <v>0.20641770806933599</v>
      </c>
      <c r="AU9" s="1">
        <v>100</v>
      </c>
      <c r="AV9" s="1">
        <v>1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>
        <v>13</v>
      </c>
      <c r="EJ9" s="11">
        <v>6</v>
      </c>
      <c r="EK9">
        <v>0</v>
      </c>
      <c r="EL9">
        <v>1</v>
      </c>
      <c r="EM9">
        <v>1</v>
      </c>
      <c r="EN9">
        <v>3</v>
      </c>
      <c r="EO9" s="12">
        <v>0.9</v>
      </c>
      <c r="EP9" s="12">
        <v>0.9</v>
      </c>
      <c r="EQ9">
        <v>1</v>
      </c>
      <c r="ER9">
        <v>3.5</v>
      </c>
      <c r="ES9">
        <v>3.4</v>
      </c>
      <c r="ET9">
        <v>0.5</v>
      </c>
      <c r="EU9" s="13">
        <v>10</v>
      </c>
      <c r="EV9" s="11">
        <v>0.8</v>
      </c>
      <c r="EW9">
        <f>0.172502548117155*(2/1.75)</f>
        <v>0.19714576927674857</v>
      </c>
      <c r="EX9">
        <f>0.168268518828452*(2/1.75)</f>
        <v>0.192306878661088</v>
      </c>
      <c r="EY9">
        <f>0.165618835983264*(2/1.75)</f>
        <v>0.18927866969515883</v>
      </c>
      <c r="EZ9">
        <f>0.167011968200837*(2/1.75)</f>
        <v>0.19087082080095655</v>
      </c>
      <c r="FA9">
        <f>0.172966925523013*(2/1.75)</f>
        <v>0.19767648631201484</v>
      </c>
      <c r="FB9">
        <f>0.176217567364017*(2/1.75)</f>
        <v>0.20139150555887655</v>
      </c>
      <c r="FC9">
        <f>0.19050400167364*(2/1.75)</f>
        <v>0.21771885905558858</v>
      </c>
      <c r="FD9">
        <f>0.202605130543933*(2/1.75)</f>
        <v>0.2315487206216377</v>
      </c>
      <c r="FE9">
        <f>0.209106414225941*(2/1.75)</f>
        <v>0.23897875911536115</v>
      </c>
      <c r="FF9">
        <f>0.214460412552301*(2/1.75)</f>
        <v>0.24509761434548685</v>
      </c>
      <c r="FG9">
        <f>0.213504341422594*(2/1.75)</f>
        <v>0.24400496162582169</v>
      </c>
      <c r="FH9">
        <f>0.202140753138075*(2/1.75)</f>
        <v>0.23101800358637142</v>
      </c>
      <c r="FI9">
        <f>0.194055123012552*(2/1.75)</f>
        <v>0.22177728344291658</v>
      </c>
      <c r="FJ9">
        <f>0.188072849372385*(2/1.75)</f>
        <v>0.21494039928272571</v>
      </c>
      <c r="FK9">
        <f>0.187253359832636*(2/1.75)</f>
        <v>0.21400383980872684</v>
      </c>
      <c r="FL9">
        <f>0.192907837656904*(2/1.75)</f>
        <v>0.22046610017931884</v>
      </c>
      <c r="FM9">
        <f>0.211783413389121*(2/1.75)</f>
        <v>0.24203818673042399</v>
      </c>
      <c r="FN9">
        <f>0.228501*(2/1.75)</f>
        <v>0.26114399999999999</v>
      </c>
      <c r="FO9">
        <f>0.220087574058577*(2/1.75)</f>
        <v>0.25152865606694513</v>
      </c>
      <c r="FP9">
        <f>0.211018556485356*(2/1.75)</f>
        <v>0.24116406455469255</v>
      </c>
      <c r="FQ9">
        <f>0.200611039330544*(2/1.75)</f>
        <v>0.22926975923490742</v>
      </c>
      <c r="FR9">
        <f>0.20104810041841*(2/1.75)</f>
        <v>0.22976925762104</v>
      </c>
      <c r="FS9">
        <f>0.189083553138075*(2/1.75)</f>
        <v>0.21609548930065714</v>
      </c>
      <c r="FT9">
        <f>0.180615494560669*(2/1.75)</f>
        <v>0.20641770806933599</v>
      </c>
      <c r="FU9" s="1">
        <v>30</v>
      </c>
      <c r="FV9" s="1">
        <v>1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0.35976831628383543</v>
      </c>
      <c r="X10">
        <f>0.307070661087866*(2/1.75)</f>
        <v>0.3509378983861326</v>
      </c>
      <c r="Y10">
        <f>0.302235295158398*(2/1.75)</f>
        <v>0.34541176589531197</v>
      </c>
      <c r="Z10">
        <f>0.304777600956366*(2/1.75)</f>
        <v>0.34831725823584686</v>
      </c>
      <c r="AA10">
        <f>0.315644712014346*(2/1.75)</f>
        <v>0.36073681373068112</v>
      </c>
      <c r="AB10">
        <f>0.32157675887627*(2/1.75)</f>
        <v>0.3675162958585943</v>
      </c>
      <c r="AC10">
        <f>0.347647855588763*(2/1.75)</f>
        <v>0.39731183495858624</v>
      </c>
      <c r="AD10">
        <f>0.369731021637776*(2/1.75)</f>
        <v>0.42254973901460113</v>
      </c>
      <c r="AE10">
        <f>0.381595115361626*(2/1.75)</f>
        <v>0.43610870327042967</v>
      </c>
      <c r="AF10">
        <f>0.391365545487149*(2/1.75)</f>
        <v>0.44727490912817031</v>
      </c>
      <c r="AG10">
        <f>0.389620825821877*(2/1.75)</f>
        <v>0.44528094379643085</v>
      </c>
      <c r="AH10">
        <f>0.368883586371787*(2/1.75)</f>
        <v>0.4215812415677565</v>
      </c>
      <c r="AI10">
        <f>0.354128242916916*(2/1.75)</f>
        <v>0.40471799190504687</v>
      </c>
      <c r="AJ10">
        <f>0.343211282725643*(2/1.75)</f>
        <v>0.39224146597216342</v>
      </c>
      <c r="AK10">
        <f>0.341715808726838*(2/1.75)</f>
        <v>0.39053235283067195</v>
      </c>
      <c r="AL10">
        <f>0.352034579318589*(2/1.75)</f>
        <v>0.40232523350695881</v>
      </c>
      <c r="AM10">
        <f>0.386480330424387*(2/1.75)</f>
        <v>0.44169180619929943</v>
      </c>
      <c r="AN10">
        <f>0.416988*(2/1.75)</f>
        <v>0.47655771428571431</v>
      </c>
      <c r="AO10">
        <f>0.401634466945607*(2/1.75)</f>
        <v>0.45901081936640797</v>
      </c>
      <c r="AP10">
        <f>0.38508455469217*(2/1.75)</f>
        <v>0.44009663393390858</v>
      </c>
      <c r="AQ10">
        <f>0.366092034907352*(2/1.75)</f>
        <v>0.41839089703697369</v>
      </c>
      <c r="AR10">
        <f>0.366889621040048*(2/1.75)</f>
        <v>0.41930242404576912</v>
      </c>
      <c r="AS10">
        <f>0.345055700657502*(2/1.75)</f>
        <v>0.39434937218000227</v>
      </c>
      <c r="AT10">
        <f>0.329602469336521*(2/1.75)</f>
        <v>0.37668853638459537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0.35976831628383543</v>
      </c>
      <c r="EX10">
        <f>0.307070661087866*(2/1.75)</f>
        <v>0.3509378983861326</v>
      </c>
      <c r="EY10">
        <f>0.302235295158398*(2/1.75)</f>
        <v>0.34541176589531197</v>
      </c>
      <c r="EZ10">
        <f>0.304777600956366*(2/1.75)</f>
        <v>0.34831725823584686</v>
      </c>
      <c r="FA10">
        <f>0.315644712014346*(2/1.75)</f>
        <v>0.36073681373068112</v>
      </c>
      <c r="FB10">
        <f>0.32157675887627*(2/1.75)</f>
        <v>0.3675162958585943</v>
      </c>
      <c r="FC10">
        <f>0.347647855588763*(2/1.75)</f>
        <v>0.39731183495858624</v>
      </c>
      <c r="FD10">
        <f>0.369731021637776*(2/1.75)</f>
        <v>0.42254973901460113</v>
      </c>
      <c r="FE10">
        <f>0.381595115361626*(2/1.75)</f>
        <v>0.43610870327042967</v>
      </c>
      <c r="FF10">
        <f>0.391365545487149*(2/1.75)</f>
        <v>0.44727490912817031</v>
      </c>
      <c r="FG10">
        <f>0.389620825821877*(2/1.75)</f>
        <v>0.44528094379643085</v>
      </c>
      <c r="FH10">
        <f>0.368883586371787*(2/1.75)</f>
        <v>0.4215812415677565</v>
      </c>
      <c r="FI10">
        <f>0.354128242916916*(2/1.75)</f>
        <v>0.40471799190504687</v>
      </c>
      <c r="FJ10">
        <f>0.343211282725643*(2/1.75)</f>
        <v>0.39224146597216342</v>
      </c>
      <c r="FK10">
        <f>0.341715808726838*(2/1.75)</f>
        <v>0.39053235283067195</v>
      </c>
      <c r="FL10">
        <f>0.352034579318589*(2/1.75)</f>
        <v>0.40232523350695881</v>
      </c>
      <c r="FM10">
        <f>0.386480330424387*(2/1.75)</f>
        <v>0.44169180619929943</v>
      </c>
      <c r="FN10">
        <f>0.416988*(2/1.75)</f>
        <v>0.47655771428571431</v>
      </c>
      <c r="FO10">
        <f>0.401634466945607*(2/1.75)</f>
        <v>0.45901081936640797</v>
      </c>
      <c r="FP10">
        <f>0.38508455469217*(2/1.75)</f>
        <v>0.44009663393390858</v>
      </c>
      <c r="FQ10">
        <f>0.366092034907352*(2/1.75)</f>
        <v>0.41839089703697369</v>
      </c>
      <c r="FR10">
        <f>0.366889621040048*(2/1.75)</f>
        <v>0.41930242404576912</v>
      </c>
      <c r="FS10">
        <f>0.345055700657502*(2/1.75)</f>
        <v>0.39434937218000227</v>
      </c>
      <c r="FT10">
        <f>0.329602469336521*(2/1.75)</f>
        <v>0.37668853638459537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7.904000888053965E-2</v>
      </c>
      <c r="X11">
        <f>0.0674624937238494*(2/1.75)</f>
        <v>7.709999282725645E-2</v>
      </c>
      <c r="Y11">
        <f>0.0664001784817693*(2/1.75)</f>
        <v>7.5885918264879185E-2</v>
      </c>
      <c r="Z11">
        <f>0.0669587153616258*(2/1.75)</f>
        <v>7.6524246127572346E-2</v>
      </c>
      <c r="AA11">
        <f>0.0693461867304244*(2/1.75)</f>
        <v>7.9252784834770745E-2</v>
      </c>
      <c r="AB11">
        <f>0.0706494394500897*(2/1.75)</f>
        <v>8.0742216514388218E-2</v>
      </c>
      <c r="AC11">
        <f>0.0763771803945009*(2/1.75)</f>
        <v>8.7288206165143878E-2</v>
      </c>
      <c r="AD11">
        <f>0.0812287850567842*(2/1.75)</f>
        <v>9.2832897207753368E-2</v>
      </c>
      <c r="AE11">
        <f>0.0838352904961148*(2/1.75)</f>
        <v>9.5811760566988327E-2</v>
      </c>
      <c r="AF11">
        <f>0.0859818243873282*(2/1.75)</f>
        <v>9.8264942156946505E-2</v>
      </c>
      <c r="AG11">
        <f>0.0855985147638972*(2/1.75)</f>
        <v>9.7826874015882498E-2</v>
      </c>
      <c r="AH11">
        <f>0.0810426060968321*(2/1.75)</f>
        <v>9.2620121253522397E-2</v>
      </c>
      <c r="AI11">
        <f>0.0778009018529587*(2/1.75)</f>
        <v>8.8915316403381364E-2</v>
      </c>
      <c r="AJ11">
        <f>0.0754024787806336*(2/1.75)</f>
        <v>8.6174261463581245E-2</v>
      </c>
      <c r="AK11">
        <f>0.0750739276748356*(2/1.75)</f>
        <v>8.5798774485526405E-2</v>
      </c>
      <c r="AL11">
        <f>0.0773409303048416*(2/1.75)</f>
        <v>8.838963463410468E-2</v>
      </c>
      <c r="AM11">
        <f>0.0849085574417214*(2/1.75)</f>
        <v>9.7038351361967312E-2</v>
      </c>
      <c r="AN11">
        <f>0.091611*(2/1.75)</f>
        <v>0.1046982857142857</v>
      </c>
      <c r="AO11">
        <f>0.0882378753138075*(2/1.75)</f>
        <v>0.10084328607292285</v>
      </c>
      <c r="AP11">
        <f>0.0846019097429767*(2/1.75)</f>
        <v>9.6687896849116217E-2</v>
      </c>
      <c r="AQ11">
        <f>0.0804293106993425*(2/1.75)</f>
        <v>9.1919212227819999E-2</v>
      </c>
      <c r="AR11">
        <f>0.0806045379557681*(2/1.75)</f>
        <v>9.211947194944925E-2</v>
      </c>
      <c r="AS11">
        <f>0.0758076918111177*(2/1.75)</f>
        <v>8.6637362069848789E-2</v>
      </c>
      <c r="AT11">
        <f>0.0724126637178721*(2/1.75)</f>
        <v>8.2757329963282389E-2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7.904000888053965E-2</v>
      </c>
      <c r="EX11">
        <f>0.0674624937238494*(2/1.75)</f>
        <v>7.709999282725645E-2</v>
      </c>
      <c r="EY11">
        <f>0.0664001784817693*(2/1.75)</f>
        <v>7.5885918264879185E-2</v>
      </c>
      <c r="EZ11">
        <f>0.0669587153616258*(2/1.75)</f>
        <v>7.6524246127572346E-2</v>
      </c>
      <c r="FA11">
        <f>0.0693461867304244*(2/1.75)</f>
        <v>7.9252784834770745E-2</v>
      </c>
      <c r="FB11">
        <f>0.0706494394500897*(2/1.75)</f>
        <v>8.0742216514388218E-2</v>
      </c>
      <c r="FC11">
        <f>0.0763771803945009*(2/1.75)</f>
        <v>8.7288206165143878E-2</v>
      </c>
      <c r="FD11">
        <f>0.0812287850567842*(2/1.75)</f>
        <v>9.2832897207753368E-2</v>
      </c>
      <c r="FE11">
        <f>0.0838352904961148*(2/1.75)</f>
        <v>9.5811760566988327E-2</v>
      </c>
      <c r="FF11">
        <f>0.0859818243873282*(2/1.75)</f>
        <v>9.8264942156946505E-2</v>
      </c>
      <c r="FG11">
        <f>0.0855985147638972*(2/1.75)</f>
        <v>9.7826874015882498E-2</v>
      </c>
      <c r="FH11">
        <f>0.0810426060968321*(2/1.75)</f>
        <v>9.2620121253522397E-2</v>
      </c>
      <c r="FI11">
        <f>0.0778009018529587*(2/1.75)</f>
        <v>8.8915316403381364E-2</v>
      </c>
      <c r="FJ11">
        <f>0.0754024787806336*(2/1.75)</f>
        <v>8.6174261463581245E-2</v>
      </c>
      <c r="FK11">
        <f>0.0750739276748356*(2/1.75)</f>
        <v>8.5798774485526405E-2</v>
      </c>
      <c r="FL11">
        <f>0.0773409303048416*(2/1.75)</f>
        <v>8.838963463410468E-2</v>
      </c>
      <c r="FM11">
        <f>0.0849085574417214*(2/1.75)</f>
        <v>9.7038351361967312E-2</v>
      </c>
      <c r="FN11">
        <f>0.091611*(2/1.75)</f>
        <v>0.1046982857142857</v>
      </c>
      <c r="FO11">
        <f>0.0882378753138075*(2/1.75)</f>
        <v>0.10084328607292285</v>
      </c>
      <c r="FP11">
        <f>0.0846019097429767*(2/1.75)</f>
        <v>9.6687896849116217E-2</v>
      </c>
      <c r="FQ11">
        <f>0.0804293106993425*(2/1.75)</f>
        <v>9.1919212227819999E-2</v>
      </c>
      <c r="FR11">
        <f>0.0806045379557681*(2/1.75)</f>
        <v>9.211947194944925E-2</v>
      </c>
      <c r="FS11">
        <f>0.0758076918111177*(2/1.75)</f>
        <v>8.6637362069848789E-2</v>
      </c>
      <c r="FT11">
        <f>0.0724126637178721*(2/1.75)</f>
        <v>8.2757329963282389E-2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BW1:DV1"/>
    <mergeCell ref="A1:E1"/>
    <mergeCell ref="F1:H1"/>
    <mergeCell ref="I1:T1"/>
    <mergeCell ref="U1:AV1"/>
    <mergeCell ref="AW1:BV1"/>
    <mergeCell ref="GW1:IV1"/>
    <mergeCell ref="IW1:IZ1"/>
    <mergeCell ref="DW1:DZ1"/>
    <mergeCell ref="EA1:EE1"/>
    <mergeCell ref="EF1:EH1"/>
    <mergeCell ref="EI1:ET1"/>
    <mergeCell ref="EU1:FV1"/>
    <mergeCell ref="FW1:GV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abSelected="1" topLeftCell="EU1" zoomScale="80" zoomScaleNormal="80" workbookViewId="0">
      <selection activeCell="FM34" sqref="FM34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41" t="s">
        <v>0</v>
      </c>
      <c r="B1" s="41"/>
      <c r="C1" s="41"/>
      <c r="D1" s="41"/>
      <c r="E1" s="41"/>
      <c r="F1" s="37" t="s">
        <v>1</v>
      </c>
      <c r="G1" s="37"/>
      <c r="H1" s="37"/>
      <c r="I1" s="38" t="s">
        <v>11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 t="s">
        <v>12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 t="s">
        <v>37</v>
      </c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31" t="s">
        <v>86</v>
      </c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2" t="s">
        <v>87</v>
      </c>
      <c r="DX1" s="32"/>
      <c r="DY1" s="32"/>
      <c r="DZ1" s="32"/>
      <c r="EA1" s="41" t="s">
        <v>0</v>
      </c>
      <c r="EB1" s="41"/>
      <c r="EC1" s="41"/>
      <c r="ED1" s="41"/>
      <c r="EE1" s="41"/>
      <c r="EF1" s="37" t="s">
        <v>1</v>
      </c>
      <c r="EG1" s="37"/>
      <c r="EH1" s="37"/>
      <c r="EI1" s="38" t="s">
        <v>11</v>
      </c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9" t="s">
        <v>12</v>
      </c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40" t="s">
        <v>37</v>
      </c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31" t="s">
        <v>86</v>
      </c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2" t="s">
        <v>87</v>
      </c>
      <c r="IX1" s="32"/>
      <c r="IY1" s="32"/>
      <c r="IZ1" s="32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131.25" customHeight="1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v>1.2704999999999999E-2</v>
      </c>
      <c r="E3" s="4">
        <v>0.30333489999999996</v>
      </c>
      <c r="F3" s="9">
        <v>20</v>
      </c>
      <c r="G3" s="5">
        <f>1.05^2</f>
        <v>1.1025</v>
      </c>
      <c r="H3" s="5">
        <f>0.95^2</f>
        <v>0.90249999999999997</v>
      </c>
      <c r="I3" s="4">
        <v>1</v>
      </c>
      <c r="J3" s="11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13">
        <v>1</v>
      </c>
      <c r="V3" s="11">
        <v>0.8</v>
      </c>
      <c r="W3">
        <f>0.496044193664077*(2/1.75)</f>
        <v>0.56690764990180187</v>
      </c>
      <c r="X3">
        <f>0.483868920502092*(2/1.75)</f>
        <v>0.55299305200239079</v>
      </c>
      <c r="Y3">
        <f>0.476249556007173*(2/1.75)</f>
        <v>0.54428520686534032</v>
      </c>
      <c r="Z3">
        <f>0.480255613628213*(2/1.75)</f>
        <v>0.54886355843224299</v>
      </c>
      <c r="AA3">
        <f>0.497379546204423*(2/1.75)</f>
        <v>0.56843376709076943</v>
      </c>
      <c r="AB3">
        <f>0.50672701398685*(2/1.75)</f>
        <v>0.57911658741354277</v>
      </c>
      <c r="AC3">
        <f>0.547808742139869*(2/1.75)</f>
        <v>0.62606713387413537</v>
      </c>
      <c r="AD3">
        <f>0.582606458338314*(2/1.75)</f>
        <v>0.66583595238664495</v>
      </c>
      <c r="AE3">
        <f>0.601301393903168*(2/1.75)</f>
        <v>0.68720159303219208</v>
      </c>
      <c r="AF3">
        <f>0.616697223191871*(2/1.75)</f>
        <v>0.70479682650499542</v>
      </c>
      <c r="AG3">
        <f>0.613947967961745*(2/1.75)</f>
        <v>0.70165482052770878</v>
      </c>
      <c r="AH3">
        <f>0.581271105797968*(2/1.75)</f>
        <v>0.6643098351976775</v>
      </c>
      <c r="AI3">
        <f>0.558020261566049*(2/1.75)</f>
        <v>0.63773744178977043</v>
      </c>
      <c r="AJ3">
        <f>0.540817778840407*(2/1.75)</f>
        <v>0.61807746153189325</v>
      </c>
      <c r="AK3">
        <f>0.538461274357442*(2/1.75)</f>
        <v>0.61538431355136192</v>
      </c>
      <c r="AL3">
        <f>0.554721155289898*(2/1.75)</f>
        <v>0.63396703461702675</v>
      </c>
      <c r="AM3">
        <f>0.608999308547519*(2/1.75)</f>
        <v>0.69599920976859353</v>
      </c>
      <c r="AN3">
        <f>0.657072*(2/1.75)</f>
        <v>0.75093942857142848</v>
      </c>
      <c r="AO3">
        <f>0.632878553974895*(2/1.75)</f>
        <v>0.72328977597130895</v>
      </c>
      <c r="AP3">
        <f>0.606799904363419*(2/1.75)</f>
        <v>0.69348560498676459</v>
      </c>
      <c r="AQ3">
        <f>0.576872297429767*(2/1.75)</f>
        <v>0.65928262563401929</v>
      </c>
      <c r="AR3">
        <f>0.578129099820681*(2/1.75)</f>
        <v>0.66071897122363588</v>
      </c>
      <c r="AS3">
        <f>0.543724134369396*(2/1.75)</f>
        <v>0.62139901070788128</v>
      </c>
      <c r="AT3">
        <f>0.519373588045427*(2/1.75)</f>
        <v>0.5935698149090598</v>
      </c>
      <c r="AU3" s="1">
        <f>Value_of_Lost_Load!$A$2</f>
        <v>200</v>
      </c>
      <c r="AV3" s="1">
        <v>0</v>
      </c>
      <c r="AW3" s="14">
        <v>8</v>
      </c>
      <c r="AX3" s="1">
        <v>0.9</v>
      </c>
      <c r="AY3" s="5">
        <f>Baseline_RES!B2*Baseline_RES!$Z$2</f>
        <v>0</v>
      </c>
      <c r="AZ3" s="5">
        <f>Baseline_RES!C2*Baseline_RES!$Z$2</f>
        <v>0</v>
      </c>
      <c r="BA3" s="5">
        <f>Baseline_RES!D2*Baseline_RES!$Z$2</f>
        <v>0</v>
      </c>
      <c r="BB3" s="5">
        <f>Baseline_RES!E2*Baseline_RES!$Z$2</f>
        <v>0</v>
      </c>
      <c r="BC3" s="5">
        <f>Baseline_RES!F2*Baseline_RES!$Z$2</f>
        <v>0</v>
      </c>
      <c r="BD3" s="5">
        <f>Baseline_RES!G2*Baseline_RES!$Z$2</f>
        <v>0</v>
      </c>
      <c r="BE3" s="5">
        <f>Baseline_RES!H2*Baseline_RES!$Z$2</f>
        <v>0</v>
      </c>
      <c r="BF3" s="5">
        <f>Baseline_RES!I2*Baseline_RES!$Z$2</f>
        <v>0</v>
      </c>
      <c r="BG3" s="5">
        <f>Baseline_RES!J2*Baseline_RES!$Z$2</f>
        <v>0.77235734639031439</v>
      </c>
      <c r="BH3" s="5">
        <f>Baseline_RES!K2*Baseline_RES!$Z$2</f>
        <v>3.4860453201941297</v>
      </c>
      <c r="BI3" s="5">
        <f>Baseline_RES!L2*Baseline_RES!$Z$2</f>
        <v>6.1579842482471037</v>
      </c>
      <c r="BJ3" s="5">
        <f>Baseline_RES!M2*Baseline_RES!$Z$2</f>
        <v>7.4000183593342612</v>
      </c>
      <c r="BK3" s="5">
        <f>Baseline_RES!N2*Baseline_RES!$Z$2</f>
        <v>9.7588394442560009</v>
      </c>
      <c r="BL3" s="5">
        <f>Baseline_RES!O2*Baseline_RES!$Z$2</f>
        <v>10.197204424639716</v>
      </c>
      <c r="BM3" s="5">
        <f>Baseline_RES!P2*Baseline_RES!$Z$2</f>
        <v>6.314543169812687</v>
      </c>
      <c r="BN3" s="5">
        <f>Baseline_RES!Q2*Baseline_RES!$Z$2</f>
        <v>2.8180605881808845</v>
      </c>
      <c r="BO3" s="5">
        <f>Baseline_RES!R2*Baseline_RES!$Z$2</f>
        <v>0.98110257514445931</v>
      </c>
      <c r="BP3" s="5">
        <f>Baseline_RES!S2*Baseline_RES!$Z$2</f>
        <v>0</v>
      </c>
      <c r="BQ3" s="5">
        <f>Baseline_RES!T2*Baseline_RES!$Z$2</f>
        <v>0</v>
      </c>
      <c r="BR3" s="5">
        <f>Baseline_RES!U2*Baseline_RES!$Z$2</f>
        <v>0</v>
      </c>
      <c r="BS3" s="5">
        <f>Baseline_RES!V2*Baseline_RES!$Z$2</f>
        <v>0</v>
      </c>
      <c r="BT3" s="5">
        <f>Baseline_RES!W2*Baseline_RES!$Z$2</f>
        <v>0</v>
      </c>
      <c r="BU3" s="5">
        <f>Baseline_RES!X2*Baseline_RES!$Z$2</f>
        <v>0</v>
      </c>
      <c r="BV3" s="5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0</v>
      </c>
      <c r="DY3" s="5">
        <v>0</v>
      </c>
      <c r="DZ3" s="5">
        <v>0</v>
      </c>
      <c r="EA3" s="8">
        <v>1</v>
      </c>
      <c r="EB3" s="4">
        <v>0</v>
      </c>
      <c r="EC3" s="4">
        <v>1</v>
      </c>
      <c r="ED3" s="4">
        <v>1.2704999999999999E-2</v>
      </c>
      <c r="EE3" s="4">
        <v>0.30333489999999996</v>
      </c>
      <c r="EF3" s="9">
        <v>20</v>
      </c>
      <c r="EG3" s="5">
        <f>1.05^2</f>
        <v>1.1025</v>
      </c>
      <c r="EH3" s="5">
        <f>0.95^2</f>
        <v>0.90249999999999997</v>
      </c>
      <c r="EI3" s="4">
        <v>1</v>
      </c>
      <c r="EJ3" s="11">
        <v>0</v>
      </c>
      <c r="EK3">
        <v>0</v>
      </c>
      <c r="EL3">
        <v>0</v>
      </c>
      <c r="EM3">
        <v>0</v>
      </c>
      <c r="EN3">
        <v>0</v>
      </c>
      <c r="EO3" s="12">
        <v>1</v>
      </c>
      <c r="EP3" s="12">
        <v>1</v>
      </c>
      <c r="EQ3">
        <v>0</v>
      </c>
      <c r="ER3">
        <v>0</v>
      </c>
      <c r="ES3">
        <v>0</v>
      </c>
      <c r="ET3">
        <v>0</v>
      </c>
      <c r="EU3" s="13">
        <v>1</v>
      </c>
      <c r="EV3" s="11">
        <v>0.8</v>
      </c>
      <c r="EW3">
        <f>0.496044193664077*(2/1.75)</f>
        <v>0.56690764990180187</v>
      </c>
      <c r="EX3">
        <f>0.483868920502092*(2/1.75)</f>
        <v>0.55299305200239079</v>
      </c>
      <c r="EY3">
        <f>0.476249556007173*(2/1.75)</f>
        <v>0.54428520686534032</v>
      </c>
      <c r="EZ3">
        <f>0.480255613628213*(2/1.75)</f>
        <v>0.54886355843224299</v>
      </c>
      <c r="FA3">
        <f>0.497379546204423*(2/1.75)</f>
        <v>0.56843376709076943</v>
      </c>
      <c r="FB3">
        <f>0.50672701398685*(2/1.75)</f>
        <v>0.57911658741354277</v>
      </c>
      <c r="FC3">
        <f>0.547808742139869*(2/1.75)</f>
        <v>0.62606713387413537</v>
      </c>
      <c r="FD3">
        <f>0.582606458338314*(2/1.75)</f>
        <v>0.66583595238664495</v>
      </c>
      <c r="FE3">
        <f>0.601301393903168*(2/1.75)</f>
        <v>0.68720159303219208</v>
      </c>
      <c r="FF3">
        <f>0.616697223191871*(2/1.75)</f>
        <v>0.70479682650499542</v>
      </c>
      <c r="FG3">
        <f>0.613947967961745*(2/1.75)</f>
        <v>0.70165482052770878</v>
      </c>
      <c r="FH3">
        <f>0.581271105797968*(2/1.75)</f>
        <v>0.6643098351976775</v>
      </c>
      <c r="FI3">
        <f>0.558020261566049*(2/1.75)</f>
        <v>0.63773744178977043</v>
      </c>
      <c r="FJ3">
        <f>0.540817778840407*(2/1.75)</f>
        <v>0.61807746153189325</v>
      </c>
      <c r="FK3">
        <f>0.538461274357442*(2/1.75)</f>
        <v>0.61538431355136192</v>
      </c>
      <c r="FL3">
        <f>0.554721155289898*(2/1.75)</f>
        <v>0.63396703461702675</v>
      </c>
      <c r="FM3">
        <f>0.608999308547519*(2/1.75)</f>
        <v>0.69599920976859353</v>
      </c>
      <c r="FN3">
        <f>0.657072*(2/1.75)</f>
        <v>0.75093942857142848</v>
      </c>
      <c r="FO3">
        <f>0.632878553974895*(2/1.75)</f>
        <v>0.72328977597130895</v>
      </c>
      <c r="FP3">
        <f>0.606799904363419*(2/1.75)</f>
        <v>0.69348560498676459</v>
      </c>
      <c r="FQ3">
        <f>0.576872297429767*(2/1.75)</f>
        <v>0.65928262563401929</v>
      </c>
      <c r="FR3">
        <f>0.578129099820681*(2/1.75)</f>
        <v>0.66071897122363588</v>
      </c>
      <c r="FS3">
        <f>0.543724134369396*(2/1.75)</f>
        <v>0.62139901070788128</v>
      </c>
      <c r="FT3">
        <f>0.519373588045427*(2/1.75)</f>
        <v>0.5935698149090598</v>
      </c>
      <c r="FU3" s="1">
        <f>Value_of_Lost_Load!$A$2</f>
        <v>200</v>
      </c>
      <c r="FV3" s="1">
        <v>0</v>
      </c>
      <c r="FW3" s="14">
        <v>8</v>
      </c>
      <c r="FX3" s="1">
        <v>0.9</v>
      </c>
      <c r="FY3" s="5">
        <f>Baseline_RES!B2*Baseline_RES!$Z$2</f>
        <v>0</v>
      </c>
      <c r="FZ3" s="5">
        <f>Baseline_RES!C2*Baseline_RES!$Z$2</f>
        <v>0</v>
      </c>
      <c r="GA3" s="5">
        <f>Baseline_RES!D2*Baseline_RES!$Z$2</f>
        <v>0</v>
      </c>
      <c r="GB3" s="5">
        <f>Baseline_RES!E2*Baseline_RES!$Z$2</f>
        <v>0</v>
      </c>
      <c r="GC3" s="5">
        <f>Baseline_RES!F2*Baseline_RES!$Z$2</f>
        <v>0</v>
      </c>
      <c r="GD3" s="5">
        <f>Baseline_RES!G2*Baseline_RES!$Z$2</f>
        <v>0</v>
      </c>
      <c r="GE3" s="5">
        <f>Baseline_RES!H2*Baseline_RES!$Z$2</f>
        <v>0</v>
      </c>
      <c r="GF3" s="5">
        <f>Baseline_RES!I2*Baseline_RES!$Z$2</f>
        <v>0</v>
      </c>
      <c r="GG3" s="5">
        <f>Baseline_RES!J2*Baseline_RES!$Z$2</f>
        <v>0.77235734639031439</v>
      </c>
      <c r="GH3" s="5">
        <f>Baseline_RES!K2*Baseline_RES!$Z$2</f>
        <v>3.4860453201941297</v>
      </c>
      <c r="GI3" s="5">
        <f>Baseline_RES!L2*Baseline_RES!$Z$2</f>
        <v>6.1579842482471037</v>
      </c>
      <c r="GJ3" s="5">
        <f>Baseline_RES!M2*Baseline_RES!$Z$2</f>
        <v>7.4000183593342612</v>
      </c>
      <c r="GK3" s="5">
        <f>Baseline_RES!N2*Baseline_RES!$Z$2</f>
        <v>9.7588394442560009</v>
      </c>
      <c r="GL3" s="5">
        <f>Baseline_RES!O2*Baseline_RES!$Z$2</f>
        <v>10.197204424639716</v>
      </c>
      <c r="GM3" s="5">
        <f>Baseline_RES!P2*Baseline_RES!$Z$2</f>
        <v>6.314543169812687</v>
      </c>
      <c r="GN3" s="5">
        <f>Baseline_RES!Q2*Baseline_RES!$Z$2</f>
        <v>2.8180605881808845</v>
      </c>
      <c r="GO3" s="5">
        <f>Baseline_RES!R2*Baseline_RES!$Z$2</f>
        <v>0.98110257514445931</v>
      </c>
      <c r="GP3" s="5">
        <f>Baseline_RES!S2*Baseline_RES!$Z$2</f>
        <v>0</v>
      </c>
      <c r="GQ3" s="5">
        <f>Baseline_RES!T2*Baseline_RES!$Z$2</f>
        <v>0</v>
      </c>
      <c r="GR3" s="5">
        <f>Baseline_RES!U2*Baseline_RES!$Z$2</f>
        <v>0</v>
      </c>
      <c r="GS3" s="5">
        <f>Baseline_RES!V2*Baseline_RES!$Z$2</f>
        <v>0</v>
      </c>
      <c r="GT3" s="5">
        <f>Baseline_RES!W2*Baseline_RES!$Z$2</f>
        <v>0</v>
      </c>
      <c r="GU3" s="5">
        <f>Baseline_RES!X2*Baseline_RES!$Z$2</f>
        <v>0</v>
      </c>
      <c r="GV3" s="5">
        <f>Baseline_RES!Y2*Baseline_RES!$Z$2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0</v>
      </c>
      <c r="IY3" s="5">
        <v>0</v>
      </c>
      <c r="IZ3" s="5">
        <v>0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v>1.3309999999999999E-3</v>
      </c>
      <c r="E4" s="4">
        <v>7.4576333333333297E-3</v>
      </c>
      <c r="F4" s="6">
        <v>7</v>
      </c>
      <c r="G4" s="5">
        <f>G3</f>
        <v>1.1025</v>
      </c>
      <c r="H4" s="5">
        <f>H3</f>
        <v>0.90249999999999997</v>
      </c>
      <c r="I4" s="4"/>
      <c r="J4" s="11"/>
      <c r="U4" s="13">
        <v>2</v>
      </c>
      <c r="V4" s="11">
        <v>0.8</v>
      </c>
      <c r="W4">
        <f>1.18048978780634*(2/1.75)</f>
        <v>1.349131186064384</v>
      </c>
      <c r="X4">
        <f>1.1515149790795*(2/1.75)</f>
        <v>1.3160171189479977</v>
      </c>
      <c r="Y4">
        <f>1.13338235684399*(2/1.75)</f>
        <v>1.2952941221074203</v>
      </c>
      <c r="Z4">
        <f>1.14291600358637*(2/1.75)</f>
        <v>1.3061897183844247</v>
      </c>
      <c r="AA4">
        <f>1.1836676700538*(2/1.75)</f>
        <v>1.3527630514900519</v>
      </c>
      <c r="AB4">
        <f>1.20591284578601*(2/1.75)</f>
        <v>1.3781861094697292</v>
      </c>
      <c r="AC4">
        <f>1.30367945845786*(2/1.75)</f>
        <v>1.4899193810946976</v>
      </c>
      <c r="AD4">
        <f>1.38649133114166*(2/1.75)</f>
        <v>1.5845615213047559</v>
      </c>
      <c r="AE4">
        <f>1.4309816826061*(2/1.75)</f>
        <v>1.6354076372641106</v>
      </c>
      <c r="AF4">
        <f>1.46762079557681*(2/1.75)</f>
        <v>1.677280909230638</v>
      </c>
      <c r="AG4">
        <f>1.46107809683204*(2/1.75)</f>
        <v>1.6698035392366148</v>
      </c>
      <c r="AH4">
        <f>1.3833134488942*(2/1.75)</f>
        <v>1.580929655879088</v>
      </c>
      <c r="AI4">
        <f>1.32798091093843*(2/1.75)</f>
        <v>1.5176924696439245</v>
      </c>
      <c r="AJ4">
        <f>1.28704231022116*(2/1.75)</f>
        <v>1.4709054973956113</v>
      </c>
      <c r="AK4">
        <f>1.28143428272564*(2/1.75)</f>
        <v>1.4644963231150203</v>
      </c>
      <c r="AL4">
        <f>1.32012967244471*(2/1.75)</f>
        <v>1.5087196256510973</v>
      </c>
      <c r="AM4">
        <f>1.44930123909145*(2/1.75)</f>
        <v>1.6563442732473748</v>
      </c>
      <c r="AN4">
        <f>1.563705*(2/1.75)</f>
        <v>1.7870914285714286</v>
      </c>
      <c r="AO4">
        <f>1.50612925104602*(2/1.75)</f>
        <v>1.7212905726240284</v>
      </c>
      <c r="AP4">
        <f>1.44406708009564*(2/1.75)</f>
        <v>1.6503623772521563</v>
      </c>
      <c r="AQ4">
        <f>1.37284513090257*(2/1.75)</f>
        <v>1.5689658638886517</v>
      </c>
      <c r="AR4">
        <f>1.37583607890018*(2/1.75)</f>
        <v>1.5723840901716339</v>
      </c>
      <c r="AS4">
        <f>1.29395887746563*(2/1.75)</f>
        <v>1.4788101456750065</v>
      </c>
      <c r="AT4">
        <f>1.23600926001195*(2/1.75)</f>
        <v>1.4125820114422341</v>
      </c>
      <c r="AU4" s="1">
        <f>Value_of_Lost_Load!$A$2</f>
        <v>200</v>
      </c>
      <c r="AV4" s="1">
        <v>0</v>
      </c>
      <c r="AW4" s="14">
        <v>11</v>
      </c>
      <c r="AX4" s="1">
        <v>0.9</v>
      </c>
      <c r="AY4" s="5">
        <f>Baseline_RES!B3*Baseline_RES!$Z$2</f>
        <v>26.912121143788639</v>
      </c>
      <c r="AZ4" s="5">
        <f>Baseline_RES!C3*Baseline_RES!$Z$2</f>
        <v>22.133024820977013</v>
      </c>
      <c r="BA4" s="5">
        <f>Baseline_RES!D3*Baseline_RES!$Z$2</f>
        <v>16.02713518202572</v>
      </c>
      <c r="BB4" s="5">
        <f>Baseline_RES!E3*Baseline_RES!$Z$2</f>
        <v>19.281409335542449</v>
      </c>
      <c r="BC4" s="5">
        <f>Baseline_RES!F3*Baseline_RES!$Z$2</f>
        <v>23.14957293384024</v>
      </c>
      <c r="BD4" s="5">
        <f>Baseline_RES!G3*Baseline_RES!$Z$2</f>
        <v>28.067289453860518</v>
      </c>
      <c r="BE4" s="5">
        <f>Baseline_RES!H3*Baseline_RES!$Z$2</f>
        <v>25.829563413207019</v>
      </c>
      <c r="BF4" s="5">
        <f>Baseline_RES!I3*Baseline_RES!$Z$2</f>
        <v>25.82296245143516</v>
      </c>
      <c r="BG4" s="5">
        <f>Baseline_RES!J3*Baseline_RES!$Z$2</f>
        <v>21.360712293671849</v>
      </c>
      <c r="BH4" s="5">
        <f>Baseline_RES!K3*Baseline_RES!$Z$2</f>
        <v>22.278245979957461</v>
      </c>
      <c r="BI4" s="5">
        <f>Baseline_RES!L3*Baseline_RES!$Z$2</f>
        <v>27.8164529065306</v>
      </c>
      <c r="BJ4" s="5">
        <f>Baseline_RES!M3*Baseline_RES!$Z$2</f>
        <v>29.189452955073207</v>
      </c>
      <c r="BK4" s="5">
        <f>Baseline_RES!N3*Baseline_RES!$Z$2</f>
        <v>25.882371107381701</v>
      </c>
      <c r="BL4" s="5">
        <f>Baseline_RES!O3*Baseline_RES!$Z$2</f>
        <v>26.291630737235756</v>
      </c>
      <c r="BM4" s="5">
        <f>Baseline_RES!P3*Baseline_RES!$Z$2</f>
        <v>28.034284645001279</v>
      </c>
      <c r="BN4" s="5">
        <f>Baseline_RES!Q3*Baseline_RES!$Z$2</f>
        <v>24.951635497552367</v>
      </c>
      <c r="BO4" s="5">
        <f>Baseline_RES!R3*Baseline_RES!$Z$2</f>
        <v>25.420303783352967</v>
      </c>
      <c r="BP4" s="5">
        <f>Baseline_RES!S3*Baseline_RES!$Z$2</f>
        <v>26.628279787599567</v>
      </c>
      <c r="BQ4" s="5">
        <f>Baseline_RES!T3*Baseline_RES!$Z$2</f>
        <v>30.311616456285861</v>
      </c>
      <c r="BR4" s="5">
        <f>Baseline_RES!U3*Baseline_RES!$Z$2</f>
        <v>27.684433671093821</v>
      </c>
      <c r="BS4" s="5">
        <f>Baseline_RES!V3*Baseline_RES!$Z$2</f>
        <v>24.608385485416761</v>
      </c>
      <c r="BT4" s="5">
        <f>Baseline_RES!W3*Baseline_RES!$Z$2</f>
        <v>27.955073103739245</v>
      </c>
      <c r="BU4" s="5">
        <f>Baseline_RES!X3*Baseline_RES!$Z$2</f>
        <v>28.694380822185252</v>
      </c>
      <c r="BV4" s="5">
        <f>Baseline_RES!Y3*Baseline_RES!$Z$2</f>
        <v>25.605130712964485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/>
      <c r="DX4" s="5"/>
      <c r="DY4" s="5"/>
      <c r="DZ4" s="5"/>
      <c r="EA4" s="8">
        <v>2</v>
      </c>
      <c r="EB4" s="4">
        <v>1</v>
      </c>
      <c r="EC4" s="4">
        <v>2</v>
      </c>
      <c r="ED4" s="4">
        <v>1.3309999999999999E-3</v>
      </c>
      <c r="EE4" s="4">
        <v>7.4576333333333297E-3</v>
      </c>
      <c r="EF4" s="6">
        <v>7</v>
      </c>
      <c r="EG4" s="5">
        <f>EG3</f>
        <v>1.1025</v>
      </c>
      <c r="EH4" s="5">
        <f>EH3</f>
        <v>0.90249999999999997</v>
      </c>
      <c r="EI4" s="4"/>
      <c r="EJ4" s="11"/>
      <c r="EO4" s="12"/>
      <c r="EP4" s="12"/>
      <c r="EU4" s="13">
        <v>2</v>
      </c>
      <c r="EV4" s="11">
        <v>0.8</v>
      </c>
      <c r="EW4">
        <f>1.18048978780634*(2/1.75)</f>
        <v>1.349131186064384</v>
      </c>
      <c r="EX4">
        <f>1.1515149790795*(2/1.75)</f>
        <v>1.3160171189479977</v>
      </c>
      <c r="EY4">
        <f>1.13338235684399*(2/1.75)</f>
        <v>1.2952941221074203</v>
      </c>
      <c r="EZ4">
        <f>1.14291600358637*(2/1.75)</f>
        <v>1.3061897183844247</v>
      </c>
      <c r="FA4">
        <f>1.1836676700538*(2/1.75)</f>
        <v>1.3527630514900519</v>
      </c>
      <c r="FB4">
        <f>1.20591284578601*(2/1.75)</f>
        <v>1.3781861094697292</v>
      </c>
      <c r="FC4">
        <f>1.30367945845786*(2/1.75)</f>
        <v>1.4899193810946976</v>
      </c>
      <c r="FD4">
        <f>1.38649133114166*(2/1.75)</f>
        <v>1.5845615213047559</v>
      </c>
      <c r="FE4">
        <f>1.4309816826061*(2/1.75)</f>
        <v>1.6354076372641106</v>
      </c>
      <c r="FF4">
        <f>1.46762079557681*(2/1.75)</f>
        <v>1.677280909230638</v>
      </c>
      <c r="FG4">
        <f>1.46107809683204*(2/1.75)</f>
        <v>1.6698035392366148</v>
      </c>
      <c r="FH4">
        <f>1.3833134488942*(2/1.75)</f>
        <v>1.580929655879088</v>
      </c>
      <c r="FI4">
        <f>1.32798091093843*(2/1.75)</f>
        <v>1.5176924696439245</v>
      </c>
      <c r="FJ4">
        <f>1.28704231022116*(2/1.75)</f>
        <v>1.4709054973956113</v>
      </c>
      <c r="FK4">
        <f>1.28143428272564*(2/1.75)</f>
        <v>1.4644963231150203</v>
      </c>
      <c r="FL4">
        <f>1.32012967244471*(2/1.75)</f>
        <v>1.5087196256510973</v>
      </c>
      <c r="FM4">
        <f>1.44930123909145*(2/1.75)</f>
        <v>1.6563442732473748</v>
      </c>
      <c r="FN4">
        <f>1.563705*(2/1.75)</f>
        <v>1.7870914285714286</v>
      </c>
      <c r="FO4">
        <f>1.50612925104602*(2/1.75)</f>
        <v>1.7212905726240284</v>
      </c>
      <c r="FP4">
        <f>1.44406708009564*(2/1.75)</f>
        <v>1.6503623772521563</v>
      </c>
      <c r="FQ4">
        <f>1.37284513090257*(2/1.75)</f>
        <v>1.5689658638886517</v>
      </c>
      <c r="FR4">
        <f>1.37583607890018*(2/1.75)</f>
        <v>1.5723840901716339</v>
      </c>
      <c r="FS4">
        <f>1.29395887746563*(2/1.75)</f>
        <v>1.4788101456750065</v>
      </c>
      <c r="FT4">
        <f>1.23600926001195*(2/1.75)</f>
        <v>1.4125820114422341</v>
      </c>
      <c r="FU4" s="1">
        <f>Value_of_Lost_Load!$A$2</f>
        <v>200</v>
      </c>
      <c r="FV4" s="1">
        <v>0</v>
      </c>
      <c r="FW4" s="14">
        <v>11</v>
      </c>
      <c r="FX4" s="1">
        <v>0.9</v>
      </c>
      <c r="FY4" s="5">
        <f>Baseline_RES!B3*Baseline_RES!$Z$2</f>
        <v>26.912121143788639</v>
      </c>
      <c r="FZ4" s="5">
        <f>Baseline_RES!C3*Baseline_RES!$Z$2</f>
        <v>22.133024820977013</v>
      </c>
      <c r="GA4" s="5">
        <f>Baseline_RES!D3*Baseline_RES!$Z$2</f>
        <v>16.02713518202572</v>
      </c>
      <c r="GB4" s="5">
        <f>Baseline_RES!E3*Baseline_RES!$Z$2</f>
        <v>19.281409335542449</v>
      </c>
      <c r="GC4" s="5">
        <f>Baseline_RES!F3*Baseline_RES!$Z$2</f>
        <v>23.14957293384024</v>
      </c>
      <c r="GD4" s="5">
        <f>Baseline_RES!G3*Baseline_RES!$Z$2</f>
        <v>28.067289453860518</v>
      </c>
      <c r="GE4" s="5">
        <f>Baseline_RES!H3*Baseline_RES!$Z$2</f>
        <v>25.829563413207019</v>
      </c>
      <c r="GF4" s="5">
        <f>Baseline_RES!I3*Baseline_RES!$Z$2</f>
        <v>25.82296245143516</v>
      </c>
      <c r="GG4" s="5">
        <f>Baseline_RES!J3*Baseline_RES!$Z$2</f>
        <v>21.360712293671849</v>
      </c>
      <c r="GH4" s="5">
        <f>Baseline_RES!K3*Baseline_RES!$Z$2</f>
        <v>22.278245979957461</v>
      </c>
      <c r="GI4" s="5">
        <f>Baseline_RES!L3*Baseline_RES!$Z$2</f>
        <v>27.8164529065306</v>
      </c>
      <c r="GJ4" s="5">
        <f>Baseline_RES!M3*Baseline_RES!$Z$2</f>
        <v>29.189452955073207</v>
      </c>
      <c r="GK4" s="5">
        <f>Baseline_RES!N3*Baseline_RES!$Z$2</f>
        <v>25.882371107381701</v>
      </c>
      <c r="GL4" s="5">
        <f>Baseline_RES!O3*Baseline_RES!$Z$2</f>
        <v>26.291630737235756</v>
      </c>
      <c r="GM4" s="5">
        <f>Baseline_RES!P3*Baseline_RES!$Z$2</f>
        <v>28.034284645001279</v>
      </c>
      <c r="GN4" s="5">
        <f>Baseline_RES!Q3*Baseline_RES!$Z$2</f>
        <v>24.951635497552367</v>
      </c>
      <c r="GO4" s="5">
        <f>Baseline_RES!R3*Baseline_RES!$Z$2</f>
        <v>25.420303783352967</v>
      </c>
      <c r="GP4" s="5">
        <f>Baseline_RES!S3*Baseline_RES!$Z$2</f>
        <v>26.628279787599567</v>
      </c>
      <c r="GQ4" s="5">
        <f>Baseline_RES!T3*Baseline_RES!$Z$2</f>
        <v>30.311616456285861</v>
      </c>
      <c r="GR4" s="5">
        <f>Baseline_RES!U3*Baseline_RES!$Z$2</f>
        <v>27.684433671093821</v>
      </c>
      <c r="GS4" s="5">
        <f>Baseline_RES!V3*Baseline_RES!$Z$2</f>
        <v>24.608385485416761</v>
      </c>
      <c r="GT4" s="5">
        <f>Baseline_RES!W3*Baseline_RES!$Z$2</f>
        <v>27.955073103739245</v>
      </c>
      <c r="GU4" s="5">
        <f>Baseline_RES!X3*Baseline_RES!$Z$2</f>
        <v>28.694380822185252</v>
      </c>
      <c r="GV4" s="5">
        <f>Baseline_RES!Y3*Baseline_RES!$Z$2</f>
        <v>25.605130712964485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/>
      <c r="IX4" s="5"/>
      <c r="IY4" s="5"/>
      <c r="IZ4" s="5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v>2.690233333333333E-2</v>
      </c>
      <c r="E5" s="4">
        <v>0.12425893333333332</v>
      </c>
      <c r="F5" s="6">
        <v>7</v>
      </c>
      <c r="G5" s="5">
        <f>G3</f>
        <v>1.1025</v>
      </c>
      <c r="H5" s="5">
        <f>H3</f>
        <v>0.90249999999999997</v>
      </c>
      <c r="I5" s="4"/>
      <c r="J5" s="11"/>
      <c r="U5" s="13">
        <v>3</v>
      </c>
      <c r="V5" s="11">
        <v>0.8</v>
      </c>
      <c r="W5">
        <f>2.28466508427974*(2/1.75)</f>
        <v>2.6110458106054129</v>
      </c>
      <c r="X5">
        <f>2.22858858577406*(2/1.75)</f>
        <v>2.5469583837417811</v>
      </c>
      <c r="Y5">
        <f>2.19349555122534*(2/1.75)</f>
        <v>2.5068520585432501</v>
      </c>
      <c r="Z5">
        <f>2.21194652815302*(2/1.75)</f>
        <v>2.5279388893177352</v>
      </c>
      <c r="AA5">
        <f>2.2908154099223*(2/1.75)</f>
        <v>2.6180747541969085</v>
      </c>
      <c r="AB5">
        <f>2.3338676894202*(2/1.75)</f>
        <v>2.6672773593373749</v>
      </c>
      <c r="AC5">
        <f>2.5230806488942*(2/1.75)</f>
        <v>2.8835207415933737</v>
      </c>
      <c r="AD5">
        <f>2.68335089946204*(2/1.75)</f>
        <v>3.066686742242335</v>
      </c>
      <c r="AE5">
        <f>2.76945545845786*(2/1.75)</f>
        <v>3.1650919525232672</v>
      </c>
      <c r="AF5">
        <f>2.84036509527794*(2/1.75)</f>
        <v>3.2461315374605069</v>
      </c>
      <c r="AG5">
        <f>2.8277026601315*(2/1.75)</f>
        <v>3.2316601830074281</v>
      </c>
      <c r="AH5">
        <f>2.67720057381949*(2/1.75)</f>
        <v>3.0596577986508406</v>
      </c>
      <c r="AI5">
        <f>2.57011255086671*(2/1.75)</f>
        <v>2.9372714867048071</v>
      </c>
      <c r="AJ5">
        <f>2.4908818852361*(2/1.75)</f>
        <v>2.8467221545555454</v>
      </c>
      <c r="AK5">
        <f>2.48002836939629*(2/1.75)</f>
        <v>2.8343181364529073</v>
      </c>
      <c r="AL5">
        <f>2.55491762869097*(2/1.75)</f>
        <v>2.9199058613611126</v>
      </c>
      <c r="AM5">
        <f>2.8049102768679*(2/1.75)</f>
        <v>3.2056117449918879</v>
      </c>
      <c r="AN5">
        <f>3.026322*(2/1.75)</f>
        <v>3.4586537142857137</v>
      </c>
      <c r="AO5">
        <f>2.9148925707113*(2/1.75)</f>
        <v>3.3313057950986247</v>
      </c>
      <c r="AP5">
        <f>2.79478032875075*(2/1.75)</f>
        <v>3.1940346614294253</v>
      </c>
      <c r="AQ5">
        <f>2.65694067758518*(2/1.75)</f>
        <v>3.0365036315259144</v>
      </c>
      <c r="AR5">
        <f>2.66272921936641*(2/1.75)</f>
        <v>3.0431191078473225</v>
      </c>
      <c r="AS5">
        <f>2.5042678881052*(2/1.75)</f>
        <v>2.8620204435487997</v>
      </c>
      <c r="AT5">
        <f>2.39211489109384*(2/1.75)</f>
        <v>2.7338455898215348</v>
      </c>
      <c r="AU5" s="1">
        <f>Value_of_Lost_Load!$A$2</f>
        <v>200</v>
      </c>
      <c r="AV5" s="1">
        <v>0</v>
      </c>
      <c r="AW5" s="14">
        <v>13</v>
      </c>
      <c r="AX5" s="1">
        <v>0.9</v>
      </c>
      <c r="AY5" s="5">
        <f>Baseline_RES!B4*Baseline_RES!$Z$2</f>
        <v>0</v>
      </c>
      <c r="AZ5" s="5">
        <f>Baseline_RES!C4*Baseline_RES!$Z$2</f>
        <v>0</v>
      </c>
      <c r="BA5" s="5">
        <f>Baseline_RES!D4*Baseline_RES!$Z$2</f>
        <v>0</v>
      </c>
      <c r="BB5" s="5">
        <f>Baseline_RES!E4*Baseline_RES!$Z$2</f>
        <v>0</v>
      </c>
      <c r="BC5" s="5">
        <f>Baseline_RES!F4*Baseline_RES!$Z$2</f>
        <v>0</v>
      </c>
      <c r="BD5" s="5">
        <f>Baseline_RES!G4*Baseline_RES!$Z$2</f>
        <v>0</v>
      </c>
      <c r="BE5" s="5">
        <f>Baseline_RES!H4*Baseline_RES!$Z$2</f>
        <v>0</v>
      </c>
      <c r="BF5" s="5">
        <f>Baseline_RES!I4*Baseline_RES!$Z$2</f>
        <v>0</v>
      </c>
      <c r="BG5" s="5">
        <f>Baseline_RES!J4*Baseline_RES!$Z$2</f>
        <v>1.0657152402946699</v>
      </c>
      <c r="BH5" s="5">
        <f>Baseline_RES!K4*Baseline_RES!$Z$2</f>
        <v>4.8101201386273047</v>
      </c>
      <c r="BI5" s="5">
        <f>Baseline_RES!L4*Baseline_RES!$Z$2</f>
        <v>8.4969188077548026</v>
      </c>
      <c r="BJ5" s="5">
        <f>Baseline_RES!M4*Baseline_RES!$Z$2</f>
        <v>10.210704126607084</v>
      </c>
      <c r="BK5" s="5">
        <f>Baseline_RES!N4*Baseline_RES!$Z$2</f>
        <v>13.465456076696167</v>
      </c>
      <c r="BL5" s="5">
        <f>Baseline_RES!O4*Baseline_RES!$Z$2</f>
        <v>14.070321483349932</v>
      </c>
      <c r="BM5" s="5">
        <f>Baseline_RES!P4*Baseline_RES!$Z$2</f>
        <v>8.7129421672739653</v>
      </c>
      <c r="BN5" s="5">
        <f>Baseline_RES!Q4*Baseline_RES!$Z$2</f>
        <v>3.8884204713454267</v>
      </c>
      <c r="BO5" s="5">
        <f>Baseline_RES!R4*Baseline_RES!$Z$2</f>
        <v>1.3537463863202646</v>
      </c>
      <c r="BP5" s="5">
        <f>Baseline_RES!S4*Baseline_RES!$Z$2</f>
        <v>0</v>
      </c>
      <c r="BQ5" s="5">
        <f>Baseline_RES!T4*Baseline_RES!$Z$2</f>
        <v>0</v>
      </c>
      <c r="BR5" s="5">
        <f>Baseline_RES!U4*Baseline_RES!$Z$2</f>
        <v>0</v>
      </c>
      <c r="BS5" s="5">
        <f>Baseline_RES!V4*Baseline_RES!$Z$2</f>
        <v>0</v>
      </c>
      <c r="BT5" s="5">
        <f>Baseline_RES!W4*Baseline_RES!$Z$2</f>
        <v>0</v>
      </c>
      <c r="BU5" s="5">
        <f>Baseline_RES!X4*Baseline_RES!$Z$2</f>
        <v>0</v>
      </c>
      <c r="BV5" s="5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v>2.690233333333333E-2</v>
      </c>
      <c r="EE5" s="4">
        <v>0.12425893333333332</v>
      </c>
      <c r="EF5" s="6">
        <v>7</v>
      </c>
      <c r="EG5" s="5">
        <f>EG3</f>
        <v>1.1025</v>
      </c>
      <c r="EH5" s="5">
        <f>EH3</f>
        <v>0.90249999999999997</v>
      </c>
      <c r="EI5" s="4"/>
      <c r="EJ5" s="11"/>
      <c r="EO5" s="12"/>
      <c r="EP5" s="12"/>
      <c r="EU5" s="13">
        <v>3</v>
      </c>
      <c r="EV5" s="11">
        <v>0.8</v>
      </c>
      <c r="EW5">
        <f>2.28466508427974*(2/1.75)</f>
        <v>2.6110458106054129</v>
      </c>
      <c r="EX5">
        <f>2.22858858577406*(2/1.75)</f>
        <v>2.5469583837417811</v>
      </c>
      <c r="EY5">
        <f>2.19349555122534*(2/1.75)</f>
        <v>2.5068520585432501</v>
      </c>
      <c r="EZ5">
        <f>2.21194652815302*(2/1.75)</f>
        <v>2.5279388893177352</v>
      </c>
      <c r="FA5">
        <f>2.2908154099223*(2/1.75)</f>
        <v>2.6180747541969085</v>
      </c>
      <c r="FB5">
        <f>2.3338676894202*(2/1.75)</f>
        <v>2.6672773593373749</v>
      </c>
      <c r="FC5">
        <f>2.5230806488942*(2/1.75)</f>
        <v>2.8835207415933737</v>
      </c>
      <c r="FD5">
        <f>2.68335089946204*(2/1.75)</f>
        <v>3.066686742242335</v>
      </c>
      <c r="FE5">
        <f>2.76945545845786*(2/1.75)</f>
        <v>3.1650919525232672</v>
      </c>
      <c r="FF5">
        <f>2.84036509527794*(2/1.75)</f>
        <v>3.2461315374605069</v>
      </c>
      <c r="FG5">
        <f>2.8277026601315*(2/1.75)</f>
        <v>3.2316601830074281</v>
      </c>
      <c r="FH5">
        <f>2.67720057381949*(2/1.75)</f>
        <v>3.0596577986508406</v>
      </c>
      <c r="FI5">
        <f>2.57011255086671*(2/1.75)</f>
        <v>2.9372714867048071</v>
      </c>
      <c r="FJ5">
        <f>2.4908818852361*(2/1.75)</f>
        <v>2.8467221545555454</v>
      </c>
      <c r="FK5">
        <f>2.48002836939629*(2/1.75)</f>
        <v>2.8343181364529073</v>
      </c>
      <c r="FL5">
        <f>2.55491762869097*(2/1.75)</f>
        <v>2.9199058613611126</v>
      </c>
      <c r="FM5">
        <f>2.8049102768679*(2/1.75)</f>
        <v>3.2056117449918879</v>
      </c>
      <c r="FN5">
        <f>3.026322*(2/1.75)</f>
        <v>3.4586537142857137</v>
      </c>
      <c r="FO5">
        <f>2.9148925707113*(2/1.75)</f>
        <v>3.3313057950986247</v>
      </c>
      <c r="FP5">
        <f>2.79478032875075*(2/1.75)</f>
        <v>3.1940346614294253</v>
      </c>
      <c r="FQ5">
        <f>2.65694067758518*(2/1.75)</f>
        <v>3.0365036315259144</v>
      </c>
      <c r="FR5">
        <f>2.66272921936641*(2/1.75)</f>
        <v>3.0431191078473225</v>
      </c>
      <c r="FS5">
        <f>2.5042678881052*(2/1.75)</f>
        <v>2.8620204435487997</v>
      </c>
      <c r="FT5">
        <f>2.39211489109384*(2/1.75)</f>
        <v>2.7338455898215348</v>
      </c>
      <c r="FU5" s="1">
        <f>Value_of_Lost_Load!$A$2</f>
        <v>200</v>
      </c>
      <c r="FV5" s="1">
        <v>0</v>
      </c>
      <c r="FW5" s="14">
        <v>13</v>
      </c>
      <c r="FX5" s="1">
        <v>0.9</v>
      </c>
      <c r="FY5" s="5">
        <f>Baseline_RES!B4*Baseline_RES!$Z$2</f>
        <v>0</v>
      </c>
      <c r="FZ5" s="5">
        <f>Baseline_RES!C4*Baseline_RES!$Z$2</f>
        <v>0</v>
      </c>
      <c r="GA5" s="5">
        <f>Baseline_RES!D4*Baseline_RES!$Z$2</f>
        <v>0</v>
      </c>
      <c r="GB5" s="5">
        <f>Baseline_RES!E4*Baseline_RES!$Z$2</f>
        <v>0</v>
      </c>
      <c r="GC5" s="5">
        <f>Baseline_RES!F4*Baseline_RES!$Z$2</f>
        <v>0</v>
      </c>
      <c r="GD5" s="5">
        <f>Baseline_RES!G4*Baseline_RES!$Z$2</f>
        <v>0</v>
      </c>
      <c r="GE5" s="5">
        <f>Baseline_RES!H4*Baseline_RES!$Z$2</f>
        <v>0</v>
      </c>
      <c r="GF5" s="5">
        <f>Baseline_RES!I4*Baseline_RES!$Z$2</f>
        <v>0</v>
      </c>
      <c r="GG5" s="5">
        <f>Baseline_RES!J4*Baseline_RES!$Z$2</f>
        <v>1.0657152402946699</v>
      </c>
      <c r="GH5" s="5">
        <f>Baseline_RES!K4*Baseline_RES!$Z$2</f>
        <v>4.8101201386273047</v>
      </c>
      <c r="GI5" s="5">
        <f>Baseline_RES!L4*Baseline_RES!$Z$2</f>
        <v>8.4969188077548026</v>
      </c>
      <c r="GJ5" s="5">
        <f>Baseline_RES!M4*Baseline_RES!$Z$2</f>
        <v>10.210704126607084</v>
      </c>
      <c r="GK5" s="5">
        <f>Baseline_RES!N4*Baseline_RES!$Z$2</f>
        <v>13.465456076696167</v>
      </c>
      <c r="GL5" s="5">
        <f>Baseline_RES!O4*Baseline_RES!$Z$2</f>
        <v>14.070321483349932</v>
      </c>
      <c r="GM5" s="5">
        <f>Baseline_RES!P4*Baseline_RES!$Z$2</f>
        <v>8.7129421672739653</v>
      </c>
      <c r="GN5" s="5">
        <f>Baseline_RES!Q4*Baseline_RES!$Z$2</f>
        <v>3.8884204713454267</v>
      </c>
      <c r="GO5" s="5">
        <f>Baseline_RES!R4*Baseline_RES!$Z$2</f>
        <v>1.3537463863202646</v>
      </c>
      <c r="GP5" s="5">
        <f>Baseline_RES!S4*Baseline_RES!$Z$2</f>
        <v>0</v>
      </c>
      <c r="GQ5" s="5">
        <f>Baseline_RES!T4*Baseline_RES!$Z$2</f>
        <v>0</v>
      </c>
      <c r="GR5" s="5">
        <f>Baseline_RES!U4*Baseline_RES!$Z$2</f>
        <v>0</v>
      </c>
      <c r="GS5" s="5">
        <f>Baseline_RES!V4*Baseline_RES!$Z$2</f>
        <v>0</v>
      </c>
      <c r="GT5" s="5">
        <f>Baseline_RES!W4*Baseline_RES!$Z$2</f>
        <v>0</v>
      </c>
      <c r="GU5" s="5">
        <f>Baseline_RES!X4*Baseline_RES!$Z$2</f>
        <v>0</v>
      </c>
      <c r="GV5" s="5">
        <f>Baseline_RES!Y4*Baseline_RES!$Z$2</f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v>2.3352999999999999E-2</v>
      </c>
      <c r="E6" s="4">
        <v>6.0294300000000002E-2</v>
      </c>
      <c r="F6" s="6">
        <v>7</v>
      </c>
      <c r="G6" s="5">
        <f t="shared" ref="G6:H16" si="0">G4</f>
        <v>1.1025</v>
      </c>
      <c r="H6" s="5">
        <f t="shared" si="0"/>
        <v>0.90249999999999997</v>
      </c>
      <c r="I6" s="4"/>
      <c r="J6" s="11"/>
      <c r="U6" s="13">
        <v>4</v>
      </c>
      <c r="V6" s="11">
        <v>0.8</v>
      </c>
      <c r="W6">
        <f>1.00639735445308*(2/1.75)</f>
        <v>1.1501684050892322</v>
      </c>
      <c r="X6">
        <f>0.98169559832636*(2/1.75)</f>
        <v>1.121937826658697</v>
      </c>
      <c r="Y6">
        <f>0.966237079976091*(2/1.75)</f>
        <v>1.1042709485441038</v>
      </c>
      <c r="Z6">
        <f>0.974364754572624*(2/1.75)</f>
        <v>1.1135597195115698</v>
      </c>
      <c r="AA6">
        <f>1.00910657931859*(2/1.75)</f>
        <v>1.1532646620783875</v>
      </c>
      <c r="AB6">
        <f>1.02807115337717*(2/1.75)</f>
        <v>1.1749384610024765</v>
      </c>
      <c r="AC6">
        <f>1.11141965953377*(2/1.75)</f>
        <v>1.2701938966100248</v>
      </c>
      <c r="AD6">
        <f>1.18201887220562*(2/1.75)</f>
        <v>1.3508787110921354</v>
      </c>
      <c r="AE6">
        <f>1.21994802032277*(2/1.75)</f>
        <v>1.3942263089403122</v>
      </c>
      <c r="AF6">
        <f>1.25118378936043*(2/1.75)</f>
        <v>1.4299243306976346</v>
      </c>
      <c r="AG6">
        <f>1.24560597346085*(2/1.75)</f>
        <v>1.4235496839552557</v>
      </c>
      <c r="AH6">
        <f>1.17930964734011*(2/1.75)</f>
        <v>1.3477824541029801</v>
      </c>
      <c r="AI6">
        <f>1.1321372614465*(2/1.75)</f>
        <v>1.2938711559388612</v>
      </c>
      <c r="AJ6">
        <f>1.09723607053198*(2/1.75)</f>
        <v>1.2539840806079752</v>
      </c>
      <c r="AK6">
        <f>1.09245508547519*(2/1.75)</f>
        <v>1.2485200976859365</v>
      </c>
      <c r="AL6">
        <f>1.12544388236701*(2/1.75)</f>
        <v>1.2862215798480061</v>
      </c>
      <c r="AM6">
        <f>1.2355659048416*(2/1.75)</f>
        <v>1.4120753198189739</v>
      </c>
      <c r="AN6">
        <f>1.333098*(2/1.75)</f>
        <v>1.5235405714285712</v>
      </c>
      <c r="AO6">
        <f>1.28401322008368*(2/1.75)</f>
        <v>1.4674436800956367</v>
      </c>
      <c r="AP6">
        <f>1.23110365212194*(2/1.75)</f>
        <v>1.4069756024250708</v>
      </c>
      <c r="AQ6">
        <f>1.17038514190078*(2/1.75)</f>
        <v>1.3375830193151736</v>
      </c>
      <c r="AR6">
        <f>1.17293500059773*(2/1.75)</f>
        <v>1.3404971435402617</v>
      </c>
      <c r="AS6">
        <f>1.10313261876868*(2/1.75)</f>
        <v>1.2607229928784902</v>
      </c>
      <c r="AT6">
        <f>1.05372910651524*(2/1.75)</f>
        <v>1.2042618360174195</v>
      </c>
      <c r="AU6" s="1">
        <f>Value_of_Lost_Load!$A$2</f>
        <v>200</v>
      </c>
      <c r="AV6" s="1">
        <v>0</v>
      </c>
      <c r="BW6" s="14"/>
      <c r="BX6" s="1"/>
      <c r="EA6" s="8">
        <v>4</v>
      </c>
      <c r="EB6" s="4">
        <v>3</v>
      </c>
      <c r="EC6" s="4">
        <v>4</v>
      </c>
      <c r="ED6" s="4">
        <v>2.3352999999999999E-2</v>
      </c>
      <c r="EE6" s="4">
        <v>6.0294300000000002E-2</v>
      </c>
      <c r="EF6" s="6">
        <v>7</v>
      </c>
      <c r="EG6" s="5">
        <f t="shared" ref="EG6:EH16" si="1">EG4</f>
        <v>1.1025</v>
      </c>
      <c r="EH6" s="5">
        <f t="shared" si="1"/>
        <v>0.90249999999999997</v>
      </c>
      <c r="EI6" s="4"/>
      <c r="EJ6" s="11"/>
      <c r="EO6" s="12"/>
      <c r="EP6" s="12"/>
      <c r="EU6" s="13">
        <v>4</v>
      </c>
      <c r="EV6" s="11">
        <v>0.8</v>
      </c>
      <c r="EW6">
        <f>1.00639735445308*(2/1.75)</f>
        <v>1.1501684050892322</v>
      </c>
      <c r="EX6">
        <f>0.98169559832636*(2/1.75)</f>
        <v>1.121937826658697</v>
      </c>
      <c r="EY6">
        <f>0.966237079976091*(2/1.75)</f>
        <v>1.1042709485441038</v>
      </c>
      <c r="EZ6">
        <f>0.974364754572624*(2/1.75)</f>
        <v>1.1135597195115698</v>
      </c>
      <c r="FA6">
        <f>1.00910657931859*(2/1.75)</f>
        <v>1.1532646620783875</v>
      </c>
      <c r="FB6">
        <f>1.02807115337717*(2/1.75)</f>
        <v>1.1749384610024765</v>
      </c>
      <c r="FC6">
        <f>1.11141965953377*(2/1.75)</f>
        <v>1.2701938966100248</v>
      </c>
      <c r="FD6">
        <f>1.18201887220562*(2/1.75)</f>
        <v>1.3508787110921354</v>
      </c>
      <c r="FE6">
        <f>1.21994802032277*(2/1.75)</f>
        <v>1.3942263089403122</v>
      </c>
      <c r="FF6">
        <f>1.25118378936043*(2/1.75)</f>
        <v>1.4299243306976346</v>
      </c>
      <c r="FG6">
        <f>1.24560597346085*(2/1.75)</f>
        <v>1.4235496839552557</v>
      </c>
      <c r="FH6">
        <f>1.17930964734011*(2/1.75)</f>
        <v>1.3477824541029801</v>
      </c>
      <c r="FI6">
        <f>1.1321372614465*(2/1.75)</f>
        <v>1.2938711559388612</v>
      </c>
      <c r="FJ6">
        <f>1.09723607053198*(2/1.75)</f>
        <v>1.2539840806079752</v>
      </c>
      <c r="FK6">
        <f>1.09245508547519*(2/1.75)</f>
        <v>1.2485200976859365</v>
      </c>
      <c r="FL6">
        <f>1.12544388236701*(2/1.75)</f>
        <v>1.2862215798480061</v>
      </c>
      <c r="FM6">
        <f>1.2355659048416*(2/1.75)</f>
        <v>1.4120753198189739</v>
      </c>
      <c r="FN6">
        <f>1.333098*(2/1.75)</f>
        <v>1.5235405714285712</v>
      </c>
      <c r="FO6">
        <f>1.28401322008368*(2/1.75)</f>
        <v>1.4674436800956367</v>
      </c>
      <c r="FP6">
        <f>1.23110365212194*(2/1.75)</f>
        <v>1.4069756024250708</v>
      </c>
      <c r="FQ6">
        <f>1.17038514190078*(2/1.75)</f>
        <v>1.3375830193151736</v>
      </c>
      <c r="FR6">
        <f>1.17293500059773*(2/1.75)</f>
        <v>1.3404971435402617</v>
      </c>
      <c r="FS6">
        <f>1.10313261876868*(2/1.75)</f>
        <v>1.2607229928784902</v>
      </c>
      <c r="FT6">
        <f>1.05372910651524*(2/1.75)</f>
        <v>1.2042618360174195</v>
      </c>
      <c r="FU6" s="1">
        <f>Value_of_Lost_Load!$A$2</f>
        <v>200</v>
      </c>
      <c r="FV6" s="1"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v>5.703133333333333E-2</v>
      </c>
      <c r="E7" s="4">
        <v>0.1474143</v>
      </c>
      <c r="F7" s="6">
        <v>7</v>
      </c>
      <c r="G7" s="5">
        <f t="shared" si="0"/>
        <v>1.1025</v>
      </c>
      <c r="H7" s="5">
        <f t="shared" si="0"/>
        <v>0.90249999999999997</v>
      </c>
      <c r="I7" s="4"/>
      <c r="J7" s="11"/>
      <c r="U7" s="13">
        <v>6</v>
      </c>
      <c r="V7" s="11">
        <v>0.8</v>
      </c>
      <c r="W7">
        <f>1.52152017095039*(2/1.75)</f>
        <v>1.7388801953718722</v>
      </c>
      <c r="X7">
        <f>1.48417486192469*(2/1.75)</f>
        <v>1.6961998421996412</v>
      </c>
      <c r="Y7">
        <f>1.46080392659892*(2/1.75)</f>
        <v>1.6694902018273416</v>
      </c>
      <c r="Z7">
        <f>1.47309173795577*(2/1.75)</f>
        <v>1.6835334148065917</v>
      </c>
      <c r="AA7">
        <f>1.52561610806934*(2/1.75)</f>
        <v>1.7435612663649558</v>
      </c>
      <c r="AB7">
        <f>1.55428766790197*(2/1.75)</f>
        <v>1.7763287633165397</v>
      </c>
      <c r="AC7">
        <f>1.68029796867902*(2/1.75)</f>
        <v>1.9203405356331658</v>
      </c>
      <c r="AD7">
        <f>1.78703327124925*(2/1.75)</f>
        <v>2.0423237385705746</v>
      </c>
      <c r="AE7">
        <f>1.84437639091452*(2/1.75)</f>
        <v>2.1078587324737423</v>
      </c>
      <c r="AF7">
        <f>1.89160013652122*(2/1.75)</f>
        <v>2.1618287274528218</v>
      </c>
      <c r="AG7">
        <f>1.88316732480574*(2/1.75)</f>
        <v>2.1521912283494142</v>
      </c>
      <c r="AH7">
        <f>1.7829373341303*(2/1.75)</f>
        <v>2.037642667577491</v>
      </c>
      <c r="AI7">
        <f>1.71161984076509*(2/1.75)</f>
        <v>1.9561369608743913</v>
      </c>
      <c r="AJ7">
        <f>1.65885453317394*(2/1.75)</f>
        <v>1.8958337521987874</v>
      </c>
      <c r="AK7">
        <f>1.65162640884638*(2/1.75)</f>
        <v>1.8875730386815817</v>
      </c>
      <c r="AL7">
        <f>1.70150046670652*(2/1.75)</f>
        <v>1.9445719619503032</v>
      </c>
      <c r="AM7">
        <f>1.86798826371787*(2/1.75)</f>
        <v>2.1348437299632828</v>
      </c>
      <c r="AN7">
        <f>2.015442*(2/1.75)</f>
        <v>2.3033622857142855</v>
      </c>
      <c r="AO7">
        <f>1.94123325690377*(2/1.75)</f>
        <v>2.2185522936043029</v>
      </c>
      <c r="AP7">
        <f>1.86124201434549*(2/1.75)</f>
        <v>2.1271337306805567</v>
      </c>
      <c r="AQ7">
        <f>1.76944483538553*(2/1.75)</f>
        <v>2.0222226690120393</v>
      </c>
      <c r="AR7">
        <f>1.7732998350269*(2/1.75)</f>
        <v>2.0266283828878833</v>
      </c>
      <c r="AS7">
        <f>1.66776921984459*(2/1.75)</f>
        <v>1.906021965536675</v>
      </c>
      <c r="AT7">
        <f>1.59307860179319*(2/1.75)</f>
        <v>1.8206612591922122</v>
      </c>
      <c r="AU7" s="1">
        <f>Value_of_Lost_Load!$A$2</f>
        <v>200</v>
      </c>
      <c r="AV7" s="1">
        <v>0</v>
      </c>
      <c r="AW7" s="14"/>
      <c r="AX7" s="1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4"/>
      <c r="BX7" s="1"/>
      <c r="EA7" s="8">
        <v>5</v>
      </c>
      <c r="EB7" s="4">
        <v>4</v>
      </c>
      <c r="EC7" s="4">
        <v>5</v>
      </c>
      <c r="ED7" s="4">
        <v>5.703133333333333E-2</v>
      </c>
      <c r="EE7" s="4">
        <v>0.1474143</v>
      </c>
      <c r="EF7" s="6">
        <v>7</v>
      </c>
      <c r="EG7" s="5">
        <f t="shared" si="1"/>
        <v>1.1025</v>
      </c>
      <c r="EH7" s="5">
        <f t="shared" si="1"/>
        <v>0.90249999999999997</v>
      </c>
      <c r="EI7" s="4"/>
      <c r="EJ7" s="11"/>
      <c r="EO7" s="12"/>
      <c r="EP7" s="12"/>
      <c r="EU7" s="13">
        <v>6</v>
      </c>
      <c r="EV7" s="11">
        <v>0.8</v>
      </c>
      <c r="EW7">
        <f>1.52152017095039*(2/1.75)</f>
        <v>1.7388801953718722</v>
      </c>
      <c r="EX7">
        <f>1.48417486192469*(2/1.75)</f>
        <v>1.6961998421996412</v>
      </c>
      <c r="EY7">
        <f>1.46080392659892*(2/1.75)</f>
        <v>1.6694902018273416</v>
      </c>
      <c r="EZ7">
        <f>1.47309173795577*(2/1.75)</f>
        <v>1.6835334148065917</v>
      </c>
      <c r="FA7">
        <f>1.52561610806934*(2/1.75)</f>
        <v>1.7435612663649558</v>
      </c>
      <c r="FB7">
        <f>1.55428766790197*(2/1.75)</f>
        <v>1.7763287633165397</v>
      </c>
      <c r="FC7">
        <f>1.68029796867902*(2/1.75)</f>
        <v>1.9203405356331658</v>
      </c>
      <c r="FD7">
        <f>1.78703327124925*(2/1.75)</f>
        <v>2.0423237385705746</v>
      </c>
      <c r="FE7">
        <f>1.84437639091452*(2/1.75)</f>
        <v>2.1078587324737423</v>
      </c>
      <c r="FF7">
        <f>1.89160013652122*(2/1.75)</f>
        <v>2.1618287274528218</v>
      </c>
      <c r="FG7">
        <f>1.88316732480574*(2/1.75)</f>
        <v>2.1521912283494142</v>
      </c>
      <c r="FH7">
        <f>1.7829373341303*(2/1.75)</f>
        <v>2.037642667577491</v>
      </c>
      <c r="FI7">
        <f>1.71161984076509*(2/1.75)</f>
        <v>1.9561369608743913</v>
      </c>
      <c r="FJ7">
        <f>1.65885453317394*(2/1.75)</f>
        <v>1.8958337521987874</v>
      </c>
      <c r="FK7">
        <f>1.65162640884638*(2/1.75)</f>
        <v>1.8875730386815817</v>
      </c>
      <c r="FL7">
        <f>1.70150046670652*(2/1.75)</f>
        <v>1.9445719619503032</v>
      </c>
      <c r="FM7">
        <f>1.86798826371787*(2/1.75)</f>
        <v>2.1348437299632828</v>
      </c>
      <c r="FN7">
        <f>2.015442*(2/1.75)</f>
        <v>2.3033622857142855</v>
      </c>
      <c r="FO7">
        <f>1.94123325690377*(2/1.75)</f>
        <v>2.2185522936043029</v>
      </c>
      <c r="FP7">
        <f>1.86124201434549*(2/1.75)</f>
        <v>2.1271337306805567</v>
      </c>
      <c r="FQ7">
        <f>1.76944483538553*(2/1.75)</f>
        <v>2.0222226690120393</v>
      </c>
      <c r="FR7">
        <f>1.7732998350269*(2/1.75)</f>
        <v>2.0266283828878833</v>
      </c>
      <c r="FS7">
        <f>1.66776921984459*(2/1.75)</f>
        <v>1.906021965536675</v>
      </c>
      <c r="FT7">
        <f>1.59307860179319*(2/1.75)</f>
        <v>1.8206612591922122</v>
      </c>
      <c r="FU7" s="1">
        <f>Value_of_Lost_Load!$A$2</f>
        <v>200</v>
      </c>
      <c r="FV7" s="1">
        <v>0</v>
      </c>
      <c r="FW7" s="14"/>
      <c r="FX7" s="1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v>3.2266666666666666E-2</v>
      </c>
      <c r="E8" s="4">
        <v>0.14907603333333333</v>
      </c>
      <c r="F8" s="6">
        <f t="shared" ref="F8:F15" si="2">F7</f>
        <v>7</v>
      </c>
      <c r="G8" s="5">
        <f t="shared" si="0"/>
        <v>1.1025</v>
      </c>
      <c r="H8" s="5">
        <f t="shared" si="0"/>
        <v>0.90249999999999997</v>
      </c>
      <c r="I8" s="4"/>
      <c r="J8" s="11"/>
      <c r="U8" s="13">
        <v>7</v>
      </c>
      <c r="V8" s="11">
        <v>0.8</v>
      </c>
      <c r="W8">
        <f>0.770299396891811*(2/1.75)</f>
        <v>0.88034216787635566</v>
      </c>
      <c r="X8">
        <f>0.75139260251046*(2/1.75)</f>
        <v>0.85873440286909763</v>
      </c>
      <c r="Y8">
        <f>0.739560608607292*(2/1.75)</f>
        <v>0.84521212412261981</v>
      </c>
      <c r="Z8">
        <f>0.74578155385535*(2/1.75)</f>
        <v>0.85232177583468527</v>
      </c>
      <c r="AA8">
        <f>0.77237304530783*(2/1.75)</f>
        <v>0.88271205178037748</v>
      </c>
      <c r="AB8">
        <f>0.786888584219964*(2/1.75)</f>
        <v>0.89930123910853044</v>
      </c>
      <c r="AC8">
        <f>0.8506837678422*(2/1.75)</f>
        <v>0.97221002039108528</v>
      </c>
      <c r="AD8">
        <f>0.904720605977286*(2/1.75)</f>
        <v>1.0339664068311842</v>
      </c>
      <c r="AE8">
        <f>0.933751683801554*(2/1.75)</f>
        <v>1.0671447814874904</v>
      </c>
      <c r="AF8">
        <f>0.957659630245069*(2/1.75)</f>
        <v>1.0944681488515069</v>
      </c>
      <c r="AG8">
        <f>0.953390354094441*(2/1.75)</f>
        <v>1.0895889761079325</v>
      </c>
      <c r="AH8">
        <f>0.902646957561267*(2/1.75)</f>
        <v>1.0315965229271622</v>
      </c>
      <c r="AI8">
        <f>0.866541079258817*(2/1.75)</f>
        <v>0.99033266201007608</v>
      </c>
      <c r="AJ8">
        <f>0.839827608487747*(2/1.75)</f>
        <v>0.95980298112885309</v>
      </c>
      <c r="AK8">
        <f>0.836168228930066*(2/1.75)</f>
        <v>0.95562083306293244</v>
      </c>
      <c r="AL8">
        <f>0.861417947878063*(2/1.75)</f>
        <v>0.98447765471778681</v>
      </c>
      <c r="AM8">
        <f>0.945705657023312*(2/1.75)</f>
        <v>1.0808064651694989</v>
      </c>
      <c r="AN8">
        <f>1.020357*(2/1.75)</f>
        <v>1.1661222857142859</v>
      </c>
      <c r="AO8">
        <f>0.982787369874477*(2/1.75)</f>
        <v>1.1231855655708309</v>
      </c>
      <c r="AP8">
        <f>0.942290236102809*(2/1.75)</f>
        <v>1.0769031269746392</v>
      </c>
      <c r="AQ8">
        <f>0.895816115720263*(2/1.75)</f>
        <v>1.0237898465374433</v>
      </c>
      <c r="AR8">
        <f>0.897767784817693*(2/1.75)</f>
        <v>1.0260203255059344</v>
      </c>
      <c r="AS8">
        <f>0.844340843275553*(2/1.75)</f>
        <v>0.96496096374348905</v>
      </c>
      <c r="AT8">
        <f>0.806527254512851*(2/1.75)</f>
        <v>0.92174543372897255</v>
      </c>
      <c r="AU8" s="1">
        <f>Value_of_Lost_Load!$A$2</f>
        <v>200</v>
      </c>
      <c r="AV8" s="1">
        <v>0</v>
      </c>
      <c r="AW8" s="14"/>
      <c r="AX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4"/>
      <c r="BX8" s="1"/>
      <c r="EA8" s="8">
        <v>6</v>
      </c>
      <c r="EB8" s="4">
        <v>3</v>
      </c>
      <c r="EC8" s="4">
        <v>6</v>
      </c>
      <c r="ED8" s="4">
        <v>3.2266666666666666E-2</v>
      </c>
      <c r="EE8" s="4">
        <v>0.14907603333333333</v>
      </c>
      <c r="EF8" s="6">
        <v>7</v>
      </c>
      <c r="EG8" s="5">
        <f t="shared" si="1"/>
        <v>1.1025</v>
      </c>
      <c r="EH8" s="5">
        <f t="shared" si="1"/>
        <v>0.90249999999999997</v>
      </c>
      <c r="EI8" s="4"/>
      <c r="EJ8" s="11"/>
      <c r="EO8" s="12"/>
      <c r="EP8" s="12"/>
      <c r="EU8" s="13">
        <v>7</v>
      </c>
      <c r="EV8" s="11">
        <v>0.8</v>
      </c>
      <c r="EW8">
        <f>0.770299396891811*(2/1.75)</f>
        <v>0.88034216787635566</v>
      </c>
      <c r="EX8">
        <f>0.75139260251046*(2/1.75)</f>
        <v>0.85873440286909763</v>
      </c>
      <c r="EY8">
        <f>0.739560608607292*(2/1.75)</f>
        <v>0.84521212412261981</v>
      </c>
      <c r="EZ8">
        <f>0.74578155385535*(2/1.75)</f>
        <v>0.85232177583468527</v>
      </c>
      <c r="FA8">
        <f>0.77237304530783*(2/1.75)</f>
        <v>0.88271205178037748</v>
      </c>
      <c r="FB8">
        <f>0.786888584219964*(2/1.75)</f>
        <v>0.89930123910853044</v>
      </c>
      <c r="FC8">
        <f>0.8506837678422*(2/1.75)</f>
        <v>0.97221002039108528</v>
      </c>
      <c r="FD8">
        <f>0.904720605977286*(2/1.75)</f>
        <v>1.0339664068311842</v>
      </c>
      <c r="FE8">
        <f>0.933751683801554*(2/1.75)</f>
        <v>1.0671447814874904</v>
      </c>
      <c r="FF8">
        <f>0.957659630245069*(2/1.75)</f>
        <v>1.0944681488515069</v>
      </c>
      <c r="FG8">
        <f>0.953390354094441*(2/1.75)</f>
        <v>1.0895889761079325</v>
      </c>
      <c r="FH8">
        <f>0.902646957561267*(2/1.75)</f>
        <v>1.0315965229271622</v>
      </c>
      <c r="FI8">
        <f>0.866541079258817*(2/1.75)</f>
        <v>0.99033266201007608</v>
      </c>
      <c r="FJ8">
        <f>0.839827608487747*(2/1.75)</f>
        <v>0.95980298112885309</v>
      </c>
      <c r="FK8">
        <f>0.836168228930066*(2/1.75)</f>
        <v>0.95562083306293244</v>
      </c>
      <c r="FL8">
        <f>0.861417947878063*(2/1.75)</f>
        <v>0.98447765471778681</v>
      </c>
      <c r="FM8">
        <f>0.945705657023312*(2/1.75)</f>
        <v>1.0808064651694989</v>
      </c>
      <c r="FN8">
        <f>1.020357*(2/1.75)</f>
        <v>1.1661222857142859</v>
      </c>
      <c r="FO8">
        <f>0.982787369874477*(2/1.75)</f>
        <v>1.1231855655708309</v>
      </c>
      <c r="FP8">
        <f>0.942290236102809*(2/1.75)</f>
        <v>1.0769031269746392</v>
      </c>
      <c r="FQ8">
        <f>0.895816115720263*(2/1.75)</f>
        <v>1.0237898465374433</v>
      </c>
      <c r="FR8">
        <f>0.897767784817693*(2/1.75)</f>
        <v>1.0260203255059344</v>
      </c>
      <c r="FS8">
        <f>0.844340843275553*(2/1.75)</f>
        <v>0.96496096374348905</v>
      </c>
      <c r="FT8">
        <f>0.806527254512851*(2/1.75)</f>
        <v>0.92174543372897255</v>
      </c>
      <c r="FU8" s="1">
        <f>Value_of_Lost_Load!$A$2</f>
        <v>200</v>
      </c>
      <c r="FV8" s="1">
        <v>0</v>
      </c>
      <c r="FW8" s="14"/>
      <c r="FX8" s="1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v>3.6299999999999999E-2</v>
      </c>
      <c r="E9" s="4">
        <v>0.16768583333333334</v>
      </c>
      <c r="F9" s="6">
        <f t="shared" si="2"/>
        <v>7</v>
      </c>
      <c r="G9" s="5">
        <f t="shared" si="0"/>
        <v>1.1025</v>
      </c>
      <c r="H9" s="5">
        <f t="shared" si="0"/>
        <v>0.90249999999999997</v>
      </c>
      <c r="I9" s="4"/>
      <c r="J9" s="11"/>
      <c r="U9" s="13">
        <v>10</v>
      </c>
      <c r="V9" s="11">
        <v>0.8</v>
      </c>
      <c r="W9">
        <f>0.172502548117155*(2/1.75)</f>
        <v>0.19714576927674834</v>
      </c>
      <c r="X9">
        <f>0.168268518828452*(2/1.75)</f>
        <v>0.19230687866108787</v>
      </c>
      <c r="Y9">
        <f>0.165618835983264*(2/1.75)</f>
        <v>0.18927866969515844</v>
      </c>
      <c r="Z9">
        <f>0.167011968200837*(2/1.75)</f>
        <v>0.19087082080095633</v>
      </c>
      <c r="AA9">
        <f>0.172966925523013*(2/1.75)</f>
        <v>0.19767648631201434</v>
      </c>
      <c r="AB9">
        <f>0.176217567364017*(2/1.75)</f>
        <v>0.20139150555887622</v>
      </c>
      <c r="AC9">
        <f>0.19050400167364*(2/1.75)</f>
        <v>0.21771885905558883</v>
      </c>
      <c r="AD9">
        <f>0.202605130543933*(2/1.75)</f>
        <v>0.23154872062163773</v>
      </c>
      <c r="AE9">
        <f>0.209106414225941*(2/1.75)</f>
        <v>0.23897875911536165</v>
      </c>
      <c r="AF9">
        <f>0.214460412552301*(2/1.75)</f>
        <v>0.24509761434548707</v>
      </c>
      <c r="AG9">
        <f>0.213504341422594*(2/1.75)</f>
        <v>0.24400496162582186</v>
      </c>
      <c r="AH9">
        <f>0.202140753138075*(2/1.75)</f>
        <v>0.23101800358637181</v>
      </c>
      <c r="AI9">
        <f>0.194055123012552*(2/1.75)</f>
        <v>0.22177728344291694</v>
      </c>
      <c r="AJ9">
        <f>0.188072849372385*(2/1.75)</f>
        <v>0.21494039928272562</v>
      </c>
      <c r="AK9">
        <f>0.187253359832636*(2/1.75)</f>
        <v>0.21400383980872686</v>
      </c>
      <c r="AL9">
        <f>0.192907837656904*(2/1.75)</f>
        <v>0.22046610017931861</v>
      </c>
      <c r="AM9">
        <f>0.211783413389121*(2/1.75)</f>
        <v>0.24203818673042435</v>
      </c>
      <c r="AN9">
        <f>0.228501*(2/1.75)</f>
        <v>0.26114399999999993</v>
      </c>
      <c r="AO9">
        <f>0.220087574058577*(2/1.75)</f>
        <v>0.25152865606694552</v>
      </c>
      <c r="AP9">
        <f>0.211018556485356*(2/1.75)</f>
        <v>0.24116406455469214</v>
      </c>
      <c r="AQ9">
        <f>0.200611039330544*(2/1.75)</f>
        <v>0.22926975923490725</v>
      </c>
      <c r="AR9">
        <f>0.20104810041841*(2/1.75)</f>
        <v>0.22976925762104006</v>
      </c>
      <c r="AS9">
        <f>0.189083553138075*(2/1.75)</f>
        <v>0.21609548930065747</v>
      </c>
      <c r="AT9">
        <f>0.180615494560669*(2/1.75)</f>
        <v>0.20641770806933651</v>
      </c>
      <c r="AU9" s="1">
        <f>Value_of_Lost_Load!$A$2</f>
        <v>200</v>
      </c>
      <c r="AV9" s="1">
        <v>0</v>
      </c>
      <c r="AW9" s="15"/>
      <c r="EA9" s="8">
        <v>7</v>
      </c>
      <c r="EB9" s="4">
        <v>6</v>
      </c>
      <c r="EC9" s="4">
        <v>7</v>
      </c>
      <c r="ED9" s="4">
        <v>3.6299999999999999E-2</v>
      </c>
      <c r="EE9" s="4">
        <v>0.16768583333333334</v>
      </c>
      <c r="EF9" s="6">
        <v>7</v>
      </c>
      <c r="EG9" s="5">
        <f t="shared" si="1"/>
        <v>1.1025</v>
      </c>
      <c r="EH9" s="5">
        <f t="shared" si="1"/>
        <v>0.90249999999999997</v>
      </c>
      <c r="EI9" s="4"/>
      <c r="EJ9" s="11"/>
      <c r="EO9" s="12"/>
      <c r="EP9" s="12"/>
      <c r="EU9" s="13">
        <v>10</v>
      </c>
      <c r="EV9" s="11">
        <v>0.8</v>
      </c>
      <c r="EW9">
        <f>0.172502548117155*(2/1.75)</f>
        <v>0.19714576927674834</v>
      </c>
      <c r="EX9">
        <f>0.168268518828452*(2/1.75)</f>
        <v>0.19230687866108787</v>
      </c>
      <c r="EY9">
        <f>0.165618835983264*(2/1.75)</f>
        <v>0.18927866969515844</v>
      </c>
      <c r="EZ9">
        <f>0.167011968200837*(2/1.75)</f>
        <v>0.19087082080095633</v>
      </c>
      <c r="FA9">
        <f>0.172966925523013*(2/1.75)</f>
        <v>0.19767648631201434</v>
      </c>
      <c r="FB9">
        <f>0.176217567364017*(2/1.75)</f>
        <v>0.20139150555887622</v>
      </c>
      <c r="FC9">
        <f>0.19050400167364*(2/1.75)</f>
        <v>0.21771885905558883</v>
      </c>
      <c r="FD9">
        <f>0.202605130543933*(2/1.75)</f>
        <v>0.23154872062163773</v>
      </c>
      <c r="FE9">
        <f>0.209106414225941*(2/1.75)</f>
        <v>0.23897875911536165</v>
      </c>
      <c r="FF9">
        <f>0.214460412552301*(2/1.75)</f>
        <v>0.24509761434548707</v>
      </c>
      <c r="FG9">
        <f>0.213504341422594*(2/1.75)</f>
        <v>0.24400496162582186</v>
      </c>
      <c r="FH9">
        <f>0.202140753138075*(2/1.75)</f>
        <v>0.23101800358637181</v>
      </c>
      <c r="FI9">
        <f>0.194055123012552*(2/1.75)</f>
        <v>0.22177728344291694</v>
      </c>
      <c r="FJ9">
        <f>0.188072849372385*(2/1.75)</f>
        <v>0.21494039928272562</v>
      </c>
      <c r="FK9">
        <f>0.187253359832636*(2/1.75)</f>
        <v>0.21400383980872686</v>
      </c>
      <c r="FL9">
        <f>0.192907837656904*(2/1.75)</f>
        <v>0.22046610017931861</v>
      </c>
      <c r="FM9">
        <f>0.211783413389121*(2/1.75)</f>
        <v>0.24203818673042435</v>
      </c>
      <c r="FN9">
        <f>0.228501*(2/1.75)</f>
        <v>0.26114399999999993</v>
      </c>
      <c r="FO9">
        <f>0.220087574058577*(2/1.75)</f>
        <v>0.25152865606694552</v>
      </c>
      <c r="FP9">
        <f>0.211018556485356*(2/1.75)</f>
        <v>0.24116406455469214</v>
      </c>
      <c r="FQ9">
        <f>0.200611039330544*(2/1.75)</f>
        <v>0.22926975923490725</v>
      </c>
      <c r="FR9">
        <f>0.20104810041841*(2/1.75)</f>
        <v>0.22976925762104006</v>
      </c>
      <c r="FS9">
        <f>0.189083553138075*(2/1.75)</f>
        <v>0.21609548930065747</v>
      </c>
      <c r="FT9">
        <f>0.180615494560669*(2/1.75)</f>
        <v>0.20641770806933651</v>
      </c>
      <c r="FU9" s="1">
        <f>Value_of_Lost_Load!$A$2</f>
        <v>200</v>
      </c>
      <c r="FV9" s="1">
        <v>0</v>
      </c>
      <c r="FW9" s="15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v>2.8233333333333333E-2</v>
      </c>
      <c r="E10" s="4">
        <v>0.1304622</v>
      </c>
      <c r="F10" s="6">
        <f t="shared" si="2"/>
        <v>7</v>
      </c>
      <c r="G10" s="5">
        <f t="shared" si="0"/>
        <v>1.1025</v>
      </c>
      <c r="H10" s="5">
        <f t="shared" si="0"/>
        <v>0.90249999999999997</v>
      </c>
      <c r="U10" s="13">
        <v>11</v>
      </c>
      <c r="V10" s="11">
        <v>0.8</v>
      </c>
      <c r="W10">
        <f>0.314797276748356*(2/1.75)</f>
        <v>0.35976831628383577</v>
      </c>
      <c r="X10">
        <f>0.307070661087866*(2/1.75)</f>
        <v>0.35093789838613271</v>
      </c>
      <c r="Y10">
        <f>0.302235295158398*(2/1.75)</f>
        <v>0.34541176589531219</v>
      </c>
      <c r="Z10">
        <f>0.304777600956366*(2/1.75)</f>
        <v>0.34831725823584664</v>
      </c>
      <c r="AA10">
        <f>0.315644712014346*(2/1.75)</f>
        <v>0.36073681373068056</v>
      </c>
      <c r="AB10">
        <f>0.32157675887627*(2/1.75)</f>
        <v>0.36751629585859452</v>
      </c>
      <c r="AC10">
        <f>0.347647855588763*(2/1.75)</f>
        <v>0.39731183495858607</v>
      </c>
      <c r="AD10">
        <f>0.369731021637776*(2/1.75)</f>
        <v>0.42254973901460163</v>
      </c>
      <c r="AE10">
        <f>0.381595115361626*(2/1.75)</f>
        <v>0.43610870327042961</v>
      </c>
      <c r="AF10">
        <f>0.391365545487149*(2/1.75)</f>
        <v>0.44727490912817014</v>
      </c>
      <c r="AG10">
        <f>0.389620825821877*(2/1.75)</f>
        <v>0.44528094379643074</v>
      </c>
      <c r="AH10">
        <f>0.368883586371787*(2/1.75)</f>
        <v>0.42158124156775689</v>
      </c>
      <c r="AI10">
        <f>0.354128242916916*(2/1.75)</f>
        <v>0.40471799190504648</v>
      </c>
      <c r="AJ10">
        <f>0.343211282725643*(2/1.75)</f>
        <v>0.39224146597216303</v>
      </c>
      <c r="AK10">
        <f>0.341715808726838*(2/1.75)</f>
        <v>0.390532352830672</v>
      </c>
      <c r="AL10">
        <f>0.352034579318589*(2/1.75)</f>
        <v>0.40232523350695915</v>
      </c>
      <c r="AM10">
        <f>0.386480330424387*(2/1.75)</f>
        <v>0.44169180619929982</v>
      </c>
      <c r="AN10">
        <f>0.416988*(2/1.75)</f>
        <v>0.47655771428571431</v>
      </c>
      <c r="AO10">
        <f>0.401634466945607*(2/1.75)</f>
        <v>0.45901081936640759</v>
      </c>
      <c r="AP10">
        <f>0.38508455469217*(2/1.75)</f>
        <v>0.44009663393390835</v>
      </c>
      <c r="AQ10">
        <f>0.366092034907352*(2/1.75)</f>
        <v>0.4183908970369738</v>
      </c>
      <c r="AR10">
        <f>0.366889621040048*(2/1.75)</f>
        <v>0.41930242404576895</v>
      </c>
      <c r="AS10">
        <f>0.345055700657502*(2/1.75)</f>
        <v>0.39434937218000171</v>
      </c>
      <c r="AT10">
        <f>0.329602469336521*(2/1.75)</f>
        <v>0.37668853638459565</v>
      </c>
      <c r="AU10" s="1">
        <f>Value_of_Lost_Load!$A$2</f>
        <v>200</v>
      </c>
      <c r="AV10" s="1">
        <v>0</v>
      </c>
      <c r="AW10" s="15"/>
      <c r="EA10" s="8">
        <v>8</v>
      </c>
      <c r="EB10" s="4">
        <v>7</v>
      </c>
      <c r="EC10" s="4">
        <v>8</v>
      </c>
      <c r="ED10" s="4">
        <v>2.8233333333333333E-2</v>
      </c>
      <c r="EE10" s="4">
        <v>0.1304622</v>
      </c>
      <c r="EF10" s="6">
        <v>7</v>
      </c>
      <c r="EG10" s="5">
        <f t="shared" si="1"/>
        <v>1.1025</v>
      </c>
      <c r="EH10" s="5">
        <f t="shared" si="1"/>
        <v>0.90249999999999997</v>
      </c>
      <c r="EU10" s="13">
        <v>11</v>
      </c>
      <c r="EV10" s="11">
        <v>0.8</v>
      </c>
      <c r="EW10">
        <f>0.314797276748356*(2/1.75)</f>
        <v>0.35976831628383577</v>
      </c>
      <c r="EX10">
        <f>0.307070661087866*(2/1.75)</f>
        <v>0.35093789838613271</v>
      </c>
      <c r="EY10">
        <f>0.302235295158398*(2/1.75)</f>
        <v>0.34541176589531219</v>
      </c>
      <c r="EZ10">
        <f>0.304777600956366*(2/1.75)</f>
        <v>0.34831725823584664</v>
      </c>
      <c r="FA10">
        <f>0.315644712014346*(2/1.75)</f>
        <v>0.36073681373068056</v>
      </c>
      <c r="FB10">
        <f>0.32157675887627*(2/1.75)</f>
        <v>0.36751629585859452</v>
      </c>
      <c r="FC10">
        <f>0.347647855588763*(2/1.75)</f>
        <v>0.39731183495858607</v>
      </c>
      <c r="FD10">
        <f>0.369731021637776*(2/1.75)</f>
        <v>0.42254973901460163</v>
      </c>
      <c r="FE10">
        <f>0.381595115361626*(2/1.75)</f>
        <v>0.43610870327042961</v>
      </c>
      <c r="FF10">
        <f>0.391365545487149*(2/1.75)</f>
        <v>0.44727490912817014</v>
      </c>
      <c r="FG10">
        <f>0.389620825821877*(2/1.75)</f>
        <v>0.44528094379643074</v>
      </c>
      <c r="FH10">
        <f>0.368883586371787*(2/1.75)</f>
        <v>0.42158124156775689</v>
      </c>
      <c r="FI10">
        <f>0.354128242916916*(2/1.75)</f>
        <v>0.40471799190504648</v>
      </c>
      <c r="FJ10">
        <f>0.343211282725643*(2/1.75)</f>
        <v>0.39224146597216303</v>
      </c>
      <c r="FK10">
        <f>0.341715808726838*(2/1.75)</f>
        <v>0.390532352830672</v>
      </c>
      <c r="FL10">
        <f>0.352034579318589*(2/1.75)</f>
        <v>0.40232523350695915</v>
      </c>
      <c r="FM10">
        <f>0.386480330424387*(2/1.75)</f>
        <v>0.44169180619929982</v>
      </c>
      <c r="FN10">
        <f>0.416988*(2/1.75)</f>
        <v>0.47655771428571431</v>
      </c>
      <c r="FO10">
        <f>0.401634466945607*(2/1.75)</f>
        <v>0.45901081936640759</v>
      </c>
      <c r="FP10">
        <f>0.38508455469217*(2/1.75)</f>
        <v>0.44009663393390835</v>
      </c>
      <c r="FQ10">
        <f>0.366092034907352*(2/1.75)</f>
        <v>0.4183908970369738</v>
      </c>
      <c r="FR10">
        <f>0.366889621040048*(2/1.75)</f>
        <v>0.41930242404576895</v>
      </c>
      <c r="FS10">
        <f>0.345055700657502*(2/1.75)</f>
        <v>0.39434937218000171</v>
      </c>
      <c r="FT10">
        <f>0.329602469336521*(2/1.75)</f>
        <v>0.37668853638459565</v>
      </c>
      <c r="FU10" s="1">
        <f>Value_of_Lost_Load!$A$2</f>
        <v>200</v>
      </c>
      <c r="FV10" s="1">
        <v>0</v>
      </c>
      <c r="FW10" s="15"/>
    </row>
    <row r="11" spans="1:312" ht="15.75" x14ac:dyDescent="0.25">
      <c r="A11" s="8">
        <v>9</v>
      </c>
      <c r="B11" s="4">
        <v>8</v>
      </c>
      <c r="C11" s="4">
        <v>9</v>
      </c>
      <c r="D11" s="4">
        <v>1.4802333333333334E-2</v>
      </c>
      <c r="E11" s="4">
        <v>6.8324666666666659E-2</v>
      </c>
      <c r="F11" s="6">
        <f t="shared" si="2"/>
        <v>7</v>
      </c>
      <c r="G11" s="5">
        <f t="shared" si="0"/>
        <v>1.1025</v>
      </c>
      <c r="H11" s="5">
        <f t="shared" si="0"/>
        <v>0.90249999999999997</v>
      </c>
      <c r="U11" s="13">
        <v>12</v>
      </c>
      <c r="V11" s="11">
        <v>0.8</v>
      </c>
      <c r="W11">
        <f>0.0691600077704722*(2/1.75)</f>
        <v>7.9040008880539664E-2</v>
      </c>
      <c r="X11">
        <f>0.0674624937238494*(2/1.75)</f>
        <v>7.7099992827256394E-2</v>
      </c>
      <c r="Y11">
        <f>0.0664001784817693*(2/1.75)</f>
        <v>7.5885918264879171E-2</v>
      </c>
      <c r="Z11">
        <f>0.0669587153616258*(2/1.75)</f>
        <v>7.652424612757236E-2</v>
      </c>
      <c r="AA11">
        <f>0.0693461867304244*(2/1.75)</f>
        <v>7.9252784834770718E-2</v>
      </c>
      <c r="AB11">
        <f>0.0706494394500897*(2/1.75)</f>
        <v>8.0742216514388176E-2</v>
      </c>
      <c r="AC11">
        <f>0.0763771803945009*(2/1.75)</f>
        <v>8.7288206165143892E-2</v>
      </c>
      <c r="AD11">
        <f>0.0812287850567842*(2/1.75)</f>
        <v>9.2832897207753395E-2</v>
      </c>
      <c r="AE11">
        <f>0.0838352904961148*(2/1.75)</f>
        <v>9.5811760566988285E-2</v>
      </c>
      <c r="AF11">
        <f>0.0859818243873282*(2/1.75)</f>
        <v>9.826494215694645E-2</v>
      </c>
      <c r="AG11">
        <f>0.0855985147638972*(2/1.75)</f>
        <v>9.782687401588247E-2</v>
      </c>
      <c r="AH11">
        <f>0.0810426060968321*(2/1.75)</f>
        <v>9.2620121253522342E-2</v>
      </c>
      <c r="AI11">
        <f>0.0778009018529587*(2/1.75)</f>
        <v>8.8915316403381406E-2</v>
      </c>
      <c r="AJ11">
        <f>0.0754024787806336*(2/1.75)</f>
        <v>8.6174261463581231E-2</v>
      </c>
      <c r="AK11">
        <f>0.0750739276748356*(2/1.75)</f>
        <v>8.5798774485526419E-2</v>
      </c>
      <c r="AL11">
        <f>0.0773409303048416*(2/1.75)</f>
        <v>8.8389634634104694E-2</v>
      </c>
      <c r="AM11">
        <f>0.0849085574417214*(2/1.75)</f>
        <v>9.7038351361967368E-2</v>
      </c>
      <c r="AN11">
        <f>0.091611*(2/1.75)</f>
        <v>0.1046982857142857</v>
      </c>
      <c r="AO11">
        <f>0.0882378753138075*(2/1.75)</f>
        <v>0.10084328607292287</v>
      </c>
      <c r="AP11">
        <f>0.0846019097429767*(2/1.75)</f>
        <v>9.6687896849116203E-2</v>
      </c>
      <c r="AQ11">
        <f>0.0804293106993425*(2/1.75)</f>
        <v>9.1919212227819971E-2</v>
      </c>
      <c r="AR11">
        <f>0.0806045379557681*(2/1.75)</f>
        <v>9.2119471949449222E-2</v>
      </c>
      <c r="AS11">
        <f>0.0758076918111177*(2/1.75)</f>
        <v>8.6637362069848844E-2</v>
      </c>
      <c r="AT11">
        <f>0.0724126637178721*(2/1.75)</f>
        <v>8.2757329963282375E-2</v>
      </c>
      <c r="AU11" s="1">
        <f>Value_of_Lost_Load!$A$2</f>
        <v>200</v>
      </c>
      <c r="AV11" s="1">
        <v>0</v>
      </c>
      <c r="AW11" s="15"/>
      <c r="EA11" s="8">
        <v>9</v>
      </c>
      <c r="EB11" s="4">
        <v>8</v>
      </c>
      <c r="EC11" s="4">
        <v>9</v>
      </c>
      <c r="ED11" s="4">
        <v>1.4802333333333334E-2</v>
      </c>
      <c r="EE11" s="4">
        <v>6.8324666666666659E-2</v>
      </c>
      <c r="EF11" s="6">
        <f t="shared" ref="EF11:EF15" si="3">EF10</f>
        <v>7</v>
      </c>
      <c r="EG11" s="5">
        <f t="shared" si="1"/>
        <v>1.1025</v>
      </c>
      <c r="EH11" s="5">
        <f t="shared" si="1"/>
        <v>0.90249999999999997</v>
      </c>
      <c r="EU11" s="13">
        <v>12</v>
      </c>
      <c r="EV11" s="11">
        <v>0.8</v>
      </c>
      <c r="EW11">
        <f>0.0691600077704722*(2/1.75)</f>
        <v>7.9040008880539664E-2</v>
      </c>
      <c r="EX11">
        <f>0.0674624937238494*(2/1.75)</f>
        <v>7.7099992827256394E-2</v>
      </c>
      <c r="EY11">
        <f>0.0664001784817693*(2/1.75)</f>
        <v>7.5885918264879171E-2</v>
      </c>
      <c r="EZ11">
        <f>0.0669587153616258*(2/1.75)</f>
        <v>7.652424612757236E-2</v>
      </c>
      <c r="FA11">
        <f>0.0693461867304244*(2/1.75)</f>
        <v>7.9252784834770718E-2</v>
      </c>
      <c r="FB11">
        <f>0.0706494394500897*(2/1.75)</f>
        <v>8.0742216514388176E-2</v>
      </c>
      <c r="FC11">
        <f>0.0763771803945009*(2/1.75)</f>
        <v>8.7288206165143892E-2</v>
      </c>
      <c r="FD11">
        <f>0.0812287850567842*(2/1.75)</f>
        <v>9.2832897207753395E-2</v>
      </c>
      <c r="FE11">
        <f>0.0838352904961148*(2/1.75)</f>
        <v>9.5811760566988285E-2</v>
      </c>
      <c r="FF11">
        <f>0.0859818243873282*(2/1.75)</f>
        <v>9.826494215694645E-2</v>
      </c>
      <c r="FG11">
        <f>0.0855985147638972*(2/1.75)</f>
        <v>9.782687401588247E-2</v>
      </c>
      <c r="FH11">
        <f>0.0810426060968321*(2/1.75)</f>
        <v>9.2620121253522342E-2</v>
      </c>
      <c r="FI11">
        <f>0.0778009018529587*(2/1.75)</f>
        <v>8.8915316403381406E-2</v>
      </c>
      <c r="FJ11">
        <f>0.0754024787806336*(2/1.75)</f>
        <v>8.6174261463581231E-2</v>
      </c>
      <c r="FK11">
        <f>0.0750739276748356*(2/1.75)</f>
        <v>8.5798774485526419E-2</v>
      </c>
      <c r="FL11">
        <f>0.0773409303048416*(2/1.75)</f>
        <v>8.8389634634104694E-2</v>
      </c>
      <c r="FM11">
        <f>0.0849085574417214*(2/1.75)</f>
        <v>9.7038351361967368E-2</v>
      </c>
      <c r="FN11">
        <f>0.091611*(2/1.75)</f>
        <v>0.1046982857142857</v>
      </c>
      <c r="FO11">
        <f>0.0882378753138075*(2/1.75)</f>
        <v>0.10084328607292287</v>
      </c>
      <c r="FP11">
        <f>0.0846019097429767*(2/1.75)</f>
        <v>9.6687896849116203E-2</v>
      </c>
      <c r="FQ11">
        <f>0.0804293106993425*(2/1.75)</f>
        <v>9.1919212227819971E-2</v>
      </c>
      <c r="FR11">
        <f>0.0806045379557681*(2/1.75)</f>
        <v>9.2119471949449222E-2</v>
      </c>
      <c r="FS11">
        <f>0.0758076918111177*(2/1.75)</f>
        <v>8.6637362069848844E-2</v>
      </c>
      <c r="FT11">
        <f>0.0724126637178721*(2/1.75)</f>
        <v>8.2757329963282375E-2</v>
      </c>
      <c r="FU11" s="1">
        <f>Value_of_Lost_Load!$A$2</f>
        <v>200</v>
      </c>
      <c r="FV11" s="1">
        <v>0</v>
      </c>
      <c r="FW11" s="15"/>
    </row>
    <row r="12" spans="1:312" ht="15.75" x14ac:dyDescent="0.25">
      <c r="A12" s="8">
        <v>10</v>
      </c>
      <c r="B12" s="4">
        <v>9</v>
      </c>
      <c r="C12" s="4">
        <v>10</v>
      </c>
      <c r="D12" s="4">
        <v>3.6299999999999999E-2</v>
      </c>
      <c r="E12" s="4">
        <v>0.16768744666666666</v>
      </c>
      <c r="F12" s="6">
        <f t="shared" si="2"/>
        <v>7</v>
      </c>
      <c r="G12" s="5">
        <f t="shared" si="0"/>
        <v>1.1025</v>
      </c>
      <c r="H12" s="5">
        <f t="shared" si="0"/>
        <v>0.90249999999999997</v>
      </c>
      <c r="AW12" s="15"/>
      <c r="EA12" s="8">
        <v>10</v>
      </c>
      <c r="EB12" s="4">
        <v>9</v>
      </c>
      <c r="EC12" s="4">
        <v>10</v>
      </c>
      <c r="ED12" s="4">
        <v>3.6299999999999999E-2</v>
      </c>
      <c r="EE12" s="4">
        <v>0.16768744666666666</v>
      </c>
      <c r="EF12" s="6">
        <f t="shared" si="3"/>
        <v>7</v>
      </c>
      <c r="EG12" s="5">
        <f t="shared" si="1"/>
        <v>1.1025</v>
      </c>
      <c r="EH12" s="5">
        <f t="shared" si="1"/>
        <v>0.90249999999999997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v>0.11091666666666666</v>
      </c>
      <c r="E13" s="4">
        <v>0.51240676666666662</v>
      </c>
      <c r="F13" s="6">
        <f t="shared" si="2"/>
        <v>7</v>
      </c>
      <c r="G13" s="5">
        <f t="shared" si="0"/>
        <v>1.1025</v>
      </c>
      <c r="H13" s="5">
        <f t="shared" si="0"/>
        <v>0.90249999999999997</v>
      </c>
      <c r="EA13" s="8">
        <v>11</v>
      </c>
      <c r="EB13" s="4">
        <v>2</v>
      </c>
      <c r="EC13" s="4">
        <v>11</v>
      </c>
      <c r="ED13" s="4">
        <v>0.11091666666666666</v>
      </c>
      <c r="EE13" s="4">
        <v>0.51240676666666662</v>
      </c>
      <c r="EF13" s="6">
        <f t="shared" si="3"/>
        <v>7</v>
      </c>
      <c r="EG13" s="5">
        <f t="shared" si="1"/>
        <v>1.1025</v>
      </c>
      <c r="EH13" s="5">
        <f t="shared" si="1"/>
        <v>0.90249999999999997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v>0.12705</v>
      </c>
      <c r="E14" s="4">
        <v>0.3283335</v>
      </c>
      <c r="F14" s="6">
        <f t="shared" si="2"/>
        <v>7</v>
      </c>
      <c r="G14" s="5">
        <f t="shared" si="0"/>
        <v>1.1025</v>
      </c>
      <c r="H14" s="5">
        <f t="shared" si="0"/>
        <v>0.90249999999999997</v>
      </c>
      <c r="W14" s="1"/>
      <c r="EA14" s="8">
        <v>12</v>
      </c>
      <c r="EB14" s="4">
        <v>11</v>
      </c>
      <c r="EC14" s="4">
        <v>12</v>
      </c>
      <c r="ED14" s="4">
        <v>0.12705</v>
      </c>
      <c r="EE14" s="4">
        <v>0.3283335</v>
      </c>
      <c r="EF14" s="6">
        <f t="shared" si="3"/>
        <v>7</v>
      </c>
      <c r="EG14" s="5">
        <f t="shared" si="1"/>
        <v>1.1025</v>
      </c>
      <c r="EH14" s="5">
        <f t="shared" si="1"/>
        <v>0.90249999999999997</v>
      </c>
      <c r="EW14" s="1"/>
    </row>
    <row r="15" spans="1:312" ht="15.75" x14ac:dyDescent="0.25">
      <c r="A15" s="8">
        <v>13</v>
      </c>
      <c r="B15" s="4">
        <v>12</v>
      </c>
      <c r="C15" s="4">
        <v>13</v>
      </c>
      <c r="D15" s="4">
        <v>0.15992166666666666</v>
      </c>
      <c r="E15" s="4">
        <v>0.41536880000000004</v>
      </c>
      <c r="F15" s="6">
        <f t="shared" si="2"/>
        <v>7</v>
      </c>
      <c r="G15" s="5">
        <f t="shared" si="0"/>
        <v>1.1025</v>
      </c>
      <c r="H15" s="5">
        <f t="shared" si="0"/>
        <v>0.90249999999999997</v>
      </c>
      <c r="EA15" s="8">
        <v>13</v>
      </c>
      <c r="EB15" s="4">
        <v>12</v>
      </c>
      <c r="EC15" s="4">
        <v>13</v>
      </c>
      <c r="ED15" s="4">
        <v>0.15992166666666666</v>
      </c>
      <c r="EE15" s="4">
        <v>0.41536880000000004</v>
      </c>
      <c r="EF15" s="6">
        <f t="shared" si="3"/>
        <v>7</v>
      </c>
      <c r="EG15" s="5">
        <f t="shared" si="1"/>
        <v>1.1025</v>
      </c>
      <c r="EH15" s="5">
        <f t="shared" si="1"/>
        <v>0.90249999999999997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v>4.2793666666666667E-2</v>
      </c>
      <c r="E16" s="4">
        <v>1.6750433333333332E-2</v>
      </c>
      <c r="F16" s="6">
        <f>F15</f>
        <v>7</v>
      </c>
      <c r="G16" s="5">
        <f t="shared" si="0"/>
        <v>1.1025</v>
      </c>
      <c r="H16" s="5">
        <f t="shared" si="0"/>
        <v>0.90249999999999997</v>
      </c>
      <c r="EA16" s="8">
        <v>14</v>
      </c>
      <c r="EB16" s="4">
        <v>13</v>
      </c>
      <c r="EC16" s="4">
        <v>14</v>
      </c>
      <c r="ED16" s="4">
        <v>4.2793666666666667E-2</v>
      </c>
      <c r="EE16" s="4">
        <v>1.6750433333333332E-2</v>
      </c>
      <c r="EF16" s="6">
        <f>EF15</f>
        <v>7</v>
      </c>
      <c r="EG16" s="5">
        <f t="shared" si="1"/>
        <v>1.1025</v>
      </c>
      <c r="EH16" s="5">
        <f t="shared" si="1"/>
        <v>0.90249999999999997</v>
      </c>
    </row>
  </sheetData>
  <mergeCells count="14">
    <mergeCell ref="BW1:DV1"/>
    <mergeCell ref="A1:E1"/>
    <mergeCell ref="F1:H1"/>
    <mergeCell ref="I1:T1"/>
    <mergeCell ref="U1:AV1"/>
    <mergeCell ref="AW1:BV1"/>
    <mergeCell ref="GW1:IV1"/>
    <mergeCell ref="IW1:IZ1"/>
    <mergeCell ref="DW1:DZ1"/>
    <mergeCell ref="EA1:EE1"/>
    <mergeCell ref="EF1:EH1"/>
    <mergeCell ref="EI1:ET1"/>
    <mergeCell ref="EU1:FV1"/>
    <mergeCell ref="FW1:GV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W1" workbookViewId="0">
      <selection activeCell="Z2" sqref="Z2"/>
    </sheetView>
  </sheetViews>
  <sheetFormatPr defaultRowHeight="15" x14ac:dyDescent="0.25"/>
  <cols>
    <col min="26" max="26" width="30" customWidth="1"/>
  </cols>
  <sheetData>
    <row r="1" spans="1:26" x14ac:dyDescent="0.25">
      <c r="B1" s="21" t="s">
        <v>106</v>
      </c>
      <c r="C1" s="21" t="s">
        <v>107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3" t="s">
        <v>111</v>
      </c>
    </row>
    <row r="2" spans="1:26" x14ac:dyDescent="0.25">
      <c r="A2" s="21" t="s">
        <v>108</v>
      </c>
      <c r="B2">
        <f t="shared" ref="B2:I2" si="0">0*(2/1.75)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>0.225270892697175*(2/1.75)</f>
        <v>0.25745244879677148</v>
      </c>
      <c r="K2">
        <f>1.01676321838995*(2/1.75)</f>
        <v>1.1620151067313766</v>
      </c>
      <c r="L2">
        <f>1.79607873907207*(2/1.75)</f>
        <v>2.0526614160823677</v>
      </c>
      <c r="M2">
        <f>2.15833868813916*(2/1.75)</f>
        <v>2.4666727864447537</v>
      </c>
      <c r="N2">
        <f>2.84632817124133*(2/1.75)</f>
        <v>3.2529464814186668</v>
      </c>
      <c r="O2">
        <f>2.97418462385325*(2/1.75)</f>
        <v>3.399068141546572</v>
      </c>
      <c r="P2">
        <f>1.84174175786203*(2/1.75)</f>
        <v>2.1048477232708955</v>
      </c>
      <c r="Q2">
        <f>0.821934338219425*(2/1.75)</f>
        <v>0.93935352939362815</v>
      </c>
      <c r="R2">
        <f>0.286154917750467*(2/1.75)</f>
        <v>0.32703419171481979</v>
      </c>
      <c r="S2">
        <f t="shared" ref="S2:Y2" si="1">0*(2/1.75)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s="22">
        <v>3</v>
      </c>
    </row>
    <row r="3" spans="1:26" x14ac:dyDescent="0.25">
      <c r="A3" s="21" t="s">
        <v>109</v>
      </c>
      <c r="B3">
        <f>7.84936866693835*(2/1.75)</f>
        <v>8.9707070479295457</v>
      </c>
      <c r="C3">
        <f>6.45546557278496*(2/1.75)</f>
        <v>7.3776749403256714</v>
      </c>
      <c r="D3">
        <f>4.6745810947575*(2/1.75)</f>
        <v>5.3423783940085734</v>
      </c>
      <c r="E3">
        <f>5.62374438953321*(2/1.75)</f>
        <v>6.4271364451808157</v>
      </c>
      <c r="F3">
        <f>6.75195877237007*(2/1.75)</f>
        <v>7.7165243112800805</v>
      </c>
      <c r="G3">
        <f>8.18629275737598*(2/1.75)</f>
        <v>9.3557631512868387</v>
      </c>
      <c r="H3">
        <f>7.53362266218538*(2/1.75)</f>
        <v>8.6098544710690064</v>
      </c>
      <c r="I3">
        <f>7.53169738166859*(2/1.75)</f>
        <v>8.6076541504783872</v>
      </c>
      <c r="J3">
        <f>6.23020775232096*(2/1.75)</f>
        <v>7.1202374312239494</v>
      </c>
      <c r="K3">
        <f>6.49782174415426*(2/1.75)</f>
        <v>7.4260819933191531</v>
      </c>
      <c r="L3">
        <f>8.11313209773809*(2/1.75)</f>
        <v>9.2721509688435333</v>
      </c>
      <c r="M3">
        <f>8.51359044522969*(2/1.75)</f>
        <v>9.7298176516910697</v>
      </c>
      <c r="N3">
        <f>7.54902490631966*(2/1.75)</f>
        <v>8.6274570357939009</v>
      </c>
      <c r="O3">
        <f>7.66839229836043*(2/1.75)</f>
        <v>8.7638769124119182</v>
      </c>
      <c r="P3">
        <f>8.17666635479204*(2/1.75)</f>
        <v>9.3447615483337589</v>
      </c>
      <c r="Q3">
        <f>7.27756035345277*(2/1.75)</f>
        <v>8.3172118325174562</v>
      </c>
      <c r="R3">
        <f>7.41425527014462*(2/1.75)</f>
        <v>8.473434594450989</v>
      </c>
      <c r="S3">
        <f>7.76658160471654*(2/1.75)</f>
        <v>8.876093262533189</v>
      </c>
      <c r="T3">
        <f>8.84088813308338*(2/1.75)</f>
        <v>10.103872152095287</v>
      </c>
      <c r="U3">
        <f>8.07462648740236*(2/1.75)</f>
        <v>9.228144557031273</v>
      </c>
      <c r="V3">
        <f>7.17744576657989*(2/1.75)</f>
        <v>8.2027951618055877</v>
      </c>
      <c r="W3">
        <f>8.15356298859061*(2/1.75)</f>
        <v>9.3183577012464145</v>
      </c>
      <c r="X3">
        <f>8.3691944064707*(2/1.75)</f>
        <v>9.5647936073950834</v>
      </c>
      <c r="Y3">
        <f>7.46816312461464*(2/1.75)</f>
        <v>8.5350435709881616</v>
      </c>
    </row>
    <row r="4" spans="1:26" x14ac:dyDescent="0.25">
      <c r="A4" s="21" t="s">
        <v>110</v>
      </c>
      <c r="B4">
        <f t="shared" ref="B4:I4" si="2">0*(2/1.75)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>0.310833611752612*(2/1.75)</f>
        <v>0.3552384134315566</v>
      </c>
      <c r="K4">
        <f>1.40295170709963*(2/1.75)</f>
        <v>1.6033733795424348</v>
      </c>
      <c r="L4">
        <f>2.47826798559515*(2/1.75)</f>
        <v>2.8323062692516006</v>
      </c>
      <c r="M4">
        <f>2.97812203692707*(2/1.75)</f>
        <v>3.4035680422023611</v>
      </c>
      <c r="N4">
        <f>3.92742468903638*(2/1.75)</f>
        <v>4.4884853588987221</v>
      </c>
      <c r="O4">
        <f>4.10384376597706*(2/1.75)</f>
        <v>4.6901071611166438</v>
      </c>
      <c r="P4">
        <f>2.54127479878824*(2/1.75)</f>
        <v>2.9043140557579883</v>
      </c>
      <c r="Q4">
        <f>1.13412263747575*(2/1.75)</f>
        <v>1.2961401571151423</v>
      </c>
      <c r="R4">
        <f>0.394842696010077*(2/1.75)</f>
        <v>0.45124879544008817</v>
      </c>
      <c r="S4">
        <f t="shared" ref="S4:Y4" si="3">0*(2/1.75)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27.140625" customWidth="1"/>
  </cols>
  <sheetData>
    <row r="1" spans="1:16" x14ac:dyDescent="0.25">
      <c r="A1" s="42" t="s">
        <v>138</v>
      </c>
      <c r="B1" s="44" t="s">
        <v>175</v>
      </c>
    </row>
    <row r="2" spans="1:16" ht="15.75" thickBot="1" x14ac:dyDescent="0.3">
      <c r="A2" s="43"/>
      <c r="B2" s="45"/>
      <c r="E2" s="24" t="s">
        <v>139</v>
      </c>
      <c r="F2" s="25" t="s">
        <v>140</v>
      </c>
      <c r="G2" s="25" t="s">
        <v>141</v>
      </c>
      <c r="H2" s="25" t="s">
        <v>142</v>
      </c>
      <c r="I2" s="24" t="s">
        <v>143</v>
      </c>
      <c r="J2" s="25" t="s">
        <v>144</v>
      </c>
      <c r="K2" s="25" t="s">
        <v>145</v>
      </c>
      <c r="L2" s="25" t="s">
        <v>146</v>
      </c>
      <c r="M2" s="24" t="s">
        <v>147</v>
      </c>
      <c r="N2" s="25" t="s">
        <v>148</v>
      </c>
      <c r="O2" s="25" t="s">
        <v>149</v>
      </c>
      <c r="P2" s="25" t="s">
        <v>150</v>
      </c>
    </row>
    <row r="3" spans="1:16" x14ac:dyDescent="0.25">
      <c r="A3" s="26" t="s">
        <v>151</v>
      </c>
      <c r="B3" s="30">
        <v>152.2204183901836</v>
      </c>
      <c r="E3" s="27">
        <v>-6.1835471613186233</v>
      </c>
      <c r="F3" s="27">
        <v>4.7976809445552879</v>
      </c>
      <c r="G3" s="27">
        <v>-1.9728596824650726</v>
      </c>
      <c r="H3" s="27">
        <v>-0.7556801952036617</v>
      </c>
      <c r="I3" s="27">
        <v>2.2305022648456143</v>
      </c>
      <c r="J3" s="27">
        <v>26.363508786210041</v>
      </c>
      <c r="K3" s="27">
        <v>16.107983551888452</v>
      </c>
      <c r="L3" s="27">
        <v>11.529505586368579</v>
      </c>
      <c r="M3" s="27">
        <v>8.714100527829526</v>
      </c>
      <c r="N3" s="27">
        <v>152.2204183901836</v>
      </c>
      <c r="O3" s="27">
        <v>135.23572675389264</v>
      </c>
      <c r="P3" s="27">
        <v>11.645926058735036</v>
      </c>
    </row>
    <row r="4" spans="1:16" x14ac:dyDescent="0.25">
      <c r="A4" s="28" t="s">
        <v>152</v>
      </c>
      <c r="B4" s="30">
        <v>150.05050777330857</v>
      </c>
      <c r="E4" s="27">
        <v>-4.2178689629040553</v>
      </c>
      <c r="F4" s="27">
        <v>-1.3694251783372204</v>
      </c>
      <c r="G4" s="27">
        <v>0.81440367535645364</v>
      </c>
      <c r="H4" s="27">
        <v>-3.1534970848588877</v>
      </c>
      <c r="I4" s="27">
        <v>-4.3624241934315275</v>
      </c>
      <c r="J4" s="27">
        <v>30.936367249601318</v>
      </c>
      <c r="K4" s="27">
        <v>102.58198389644998</v>
      </c>
      <c r="L4" s="27">
        <v>15.580814611422499</v>
      </c>
      <c r="M4" s="27">
        <v>8.196507492486111</v>
      </c>
      <c r="N4" s="27">
        <v>150.05050777330857</v>
      </c>
      <c r="O4" s="27">
        <v>122.54583503152482</v>
      </c>
      <c r="P4" s="27">
        <v>10.029900364206325</v>
      </c>
    </row>
    <row r="5" spans="1:16" x14ac:dyDescent="0.25">
      <c r="A5" s="28" t="s">
        <v>153</v>
      </c>
      <c r="B5" s="30">
        <v>166.06362854986918</v>
      </c>
      <c r="E5" s="27">
        <v>-2.2591946442403312</v>
      </c>
      <c r="F5" s="27">
        <v>-3.1813311243549358</v>
      </c>
      <c r="G5" s="27">
        <v>-5.6619975351970062</v>
      </c>
      <c r="H5" s="27">
        <v>-6.0718169566635698</v>
      </c>
      <c r="I5" s="27">
        <v>-5.6113321400828449</v>
      </c>
      <c r="J5" s="27">
        <v>47.692199864934949</v>
      </c>
      <c r="K5" s="27">
        <v>207.73817598783361</v>
      </c>
      <c r="L5" s="27">
        <v>3.4734266287041056</v>
      </c>
      <c r="M5" s="27">
        <v>5.9322595884088871</v>
      </c>
      <c r="N5" s="27">
        <v>166.06362854986918</v>
      </c>
      <c r="O5" s="27">
        <v>94.471945647449047</v>
      </c>
      <c r="P5" s="27">
        <v>6.9360142577494175</v>
      </c>
    </row>
    <row r="6" spans="1:16" x14ac:dyDescent="0.25">
      <c r="A6" s="28" t="s">
        <v>154</v>
      </c>
      <c r="B6" s="30">
        <v>157.35852284925164</v>
      </c>
      <c r="E6" s="27">
        <v>-0.76339750981742949</v>
      </c>
      <c r="F6" s="27">
        <v>-4.1541947714224658</v>
      </c>
      <c r="G6" s="27">
        <v>-6.235182946792186</v>
      </c>
      <c r="H6" s="27">
        <v>-7.2610584690949995</v>
      </c>
      <c r="I6" s="27">
        <v>-6.1097617547892096</v>
      </c>
      <c r="J6" s="27">
        <v>-6.1064400307707789</v>
      </c>
      <c r="K6" s="27">
        <v>111.88577882138132</v>
      </c>
      <c r="L6" s="27">
        <v>0.58005688898502228</v>
      </c>
      <c r="M6" s="27">
        <v>6.5326014065905085</v>
      </c>
      <c r="N6" s="27">
        <v>157.35852284925164</v>
      </c>
      <c r="O6" s="27">
        <v>163.6682432194861</v>
      </c>
      <c r="P6" s="27">
        <v>7.795311429373962</v>
      </c>
    </row>
    <row r="7" spans="1:16" x14ac:dyDescent="0.25">
      <c r="A7" s="28" t="s">
        <v>155</v>
      </c>
      <c r="B7" s="30">
        <v>173.37804464772213</v>
      </c>
      <c r="E7" s="27">
        <v>-1.8517608223696127</v>
      </c>
      <c r="F7" s="27">
        <v>3.81706087770712</v>
      </c>
      <c r="G7" s="27">
        <v>5.0649753653260916</v>
      </c>
      <c r="H7" s="27">
        <v>-3.6705838168974014</v>
      </c>
      <c r="I7" s="27">
        <v>10.647243482219535</v>
      </c>
      <c r="J7" s="27">
        <v>20.623532524182231</v>
      </c>
      <c r="K7" s="27">
        <v>161.61397981696987</v>
      </c>
      <c r="L7" s="27">
        <v>2.0297136492793162</v>
      </c>
      <c r="M7" s="27">
        <v>11.432471944334742</v>
      </c>
      <c r="N7" s="27">
        <v>173.37804464772213</v>
      </c>
      <c r="O7" s="27">
        <v>120.21060168520172</v>
      </c>
      <c r="P7" s="27">
        <v>13.728388749131577</v>
      </c>
    </row>
    <row r="8" spans="1:16" x14ac:dyDescent="0.25">
      <c r="A8" s="28" t="s">
        <v>156</v>
      </c>
      <c r="B8" s="30">
        <v>193.66680269380748</v>
      </c>
      <c r="E8" s="27">
        <v>-2.9577042894733134</v>
      </c>
      <c r="F8" s="27">
        <v>22.20805521403528</v>
      </c>
      <c r="G8" s="27">
        <v>2.4097240854322828</v>
      </c>
      <c r="H8" s="27">
        <v>-3.1840831407715373</v>
      </c>
      <c r="I8" s="27">
        <v>15.692162831689821</v>
      </c>
      <c r="J8" s="27">
        <v>65.947363836652059</v>
      </c>
      <c r="K8" s="27">
        <v>192.06502806377532</v>
      </c>
      <c r="L8" s="27">
        <v>16.031248869510957</v>
      </c>
      <c r="M8" s="27">
        <v>55.743892097217348</v>
      </c>
      <c r="N8" s="27">
        <v>193.66680269380748</v>
      </c>
      <c r="O8" s="27">
        <v>98.269562169840626</v>
      </c>
      <c r="P8" s="27">
        <v>35.018367862415587</v>
      </c>
    </row>
    <row r="9" spans="1:16" x14ac:dyDescent="0.25">
      <c r="A9" s="28" t="s">
        <v>157</v>
      </c>
      <c r="B9" s="30">
        <v>261.78035729163827</v>
      </c>
      <c r="E9" s="27">
        <v>19.259509376635545</v>
      </c>
      <c r="F9" s="27">
        <v>20.525149652052406</v>
      </c>
      <c r="G9" s="27">
        <v>14.304519264874566</v>
      </c>
      <c r="H9" s="27">
        <v>9.2448102075370873</v>
      </c>
      <c r="I9" s="27">
        <v>43.127979259085052</v>
      </c>
      <c r="J9" s="27">
        <v>372.70365578649222</v>
      </c>
      <c r="K9" s="27">
        <v>274.46570727904594</v>
      </c>
      <c r="L9" s="27">
        <v>9.3012693733271572</v>
      </c>
      <c r="M9" s="27">
        <v>127.00610114182058</v>
      </c>
      <c r="N9" s="27">
        <v>261.78035729163827</v>
      </c>
      <c r="O9" s="27">
        <v>154.2749064015207</v>
      </c>
      <c r="P9" s="27">
        <v>95.448020670792133</v>
      </c>
    </row>
    <row r="10" spans="1:16" x14ac:dyDescent="0.25">
      <c r="A10" s="28" t="s">
        <v>158</v>
      </c>
      <c r="B10" s="30">
        <v>299.83136331505506</v>
      </c>
      <c r="E10" s="27">
        <v>-1.2636599802445792</v>
      </c>
      <c r="F10" s="27">
        <v>-3.8714381748620759</v>
      </c>
      <c r="G10" s="27">
        <v>-0.53159076029586505</v>
      </c>
      <c r="H10" s="27">
        <v>13.5442054085176</v>
      </c>
      <c r="I10" s="27">
        <v>46.857584635546232</v>
      </c>
      <c r="J10" s="27">
        <v>180.96884252262822</v>
      </c>
      <c r="K10" s="27">
        <v>221.67561087824654</v>
      </c>
      <c r="L10" s="27">
        <v>12.563610232820912</v>
      </c>
      <c r="M10" s="27">
        <v>10.568948210760622</v>
      </c>
      <c r="N10" s="27">
        <v>299.83136331505506</v>
      </c>
      <c r="O10" s="27">
        <v>22.472955452855718</v>
      </c>
      <c r="P10" s="27">
        <v>-5.5397223765681867</v>
      </c>
    </row>
    <row r="11" spans="1:16" x14ac:dyDescent="0.25">
      <c r="A11" s="28" t="s">
        <v>159</v>
      </c>
      <c r="B11" s="30">
        <v>319.60583266479654</v>
      </c>
      <c r="E11" s="27">
        <v>7.9379192871988842</v>
      </c>
      <c r="F11" s="27">
        <v>-6.4419484914800398</v>
      </c>
      <c r="G11" s="27">
        <v>86.211857928538578</v>
      </c>
      <c r="H11" s="27">
        <v>100.30030172452578</v>
      </c>
      <c r="I11" s="27">
        <v>-6.2119998676067167</v>
      </c>
      <c r="J11" s="27">
        <v>133.11315444785649</v>
      </c>
      <c r="K11" s="27">
        <v>18.591007814151556</v>
      </c>
      <c r="L11" s="27">
        <v>6.234576999675645</v>
      </c>
      <c r="M11" s="27">
        <v>6.3587915250390337</v>
      </c>
      <c r="N11" s="27">
        <v>319.60583266479654</v>
      </c>
      <c r="O11" s="27">
        <v>9.6100483688570932</v>
      </c>
      <c r="P11" s="27">
        <v>-8.360930970205791</v>
      </c>
    </row>
    <row r="12" spans="1:16" x14ac:dyDescent="0.25">
      <c r="A12" s="28" t="s">
        <v>160</v>
      </c>
      <c r="B12" s="30">
        <v>313.48183283489487</v>
      </c>
      <c r="E12" s="27">
        <v>37.839892322866646</v>
      </c>
      <c r="F12" s="27">
        <v>4.4415169968756816</v>
      </c>
      <c r="G12" s="27">
        <v>130.46858091092523</v>
      </c>
      <c r="H12" s="27">
        <v>97.600066720361042</v>
      </c>
      <c r="I12" s="27">
        <v>-6.5478193018049611</v>
      </c>
      <c r="J12" s="27">
        <v>239.29631053397154</v>
      </c>
      <c r="K12" s="27">
        <v>-3.2484526350965499</v>
      </c>
      <c r="L12" s="27">
        <v>5.9502904691176957</v>
      </c>
      <c r="M12" s="27">
        <v>6.1181964127213524</v>
      </c>
      <c r="N12" s="27">
        <v>313.48183283489487</v>
      </c>
      <c r="O12" s="27">
        <v>5.6940952504349367</v>
      </c>
      <c r="P12" s="27">
        <v>86.605150884946497</v>
      </c>
    </row>
    <row r="13" spans="1:16" x14ac:dyDescent="0.25">
      <c r="A13" s="28" t="s">
        <v>161</v>
      </c>
      <c r="B13" s="30">
        <v>321.52905085829804</v>
      </c>
      <c r="E13" s="27">
        <v>-10.749907728571886</v>
      </c>
      <c r="F13" s="27">
        <v>105.29691133618432</v>
      </c>
      <c r="G13" s="27">
        <v>112.61549282672019</v>
      </c>
      <c r="H13" s="27">
        <v>-7.3807058842149074</v>
      </c>
      <c r="I13" s="27">
        <v>-7.2241585292883608</v>
      </c>
      <c r="J13" s="27">
        <v>132.86659063121161</v>
      </c>
      <c r="K13" s="27">
        <v>-7.6927986292829935</v>
      </c>
      <c r="L13" s="27">
        <v>3.8999889172749884</v>
      </c>
      <c r="M13" s="27">
        <v>122.8103522181412</v>
      </c>
      <c r="N13" s="27">
        <v>321.52905085829804</v>
      </c>
      <c r="O13" s="27">
        <v>10.297973113359879</v>
      </c>
      <c r="P13" s="27">
        <v>-0.63991113061636473</v>
      </c>
    </row>
    <row r="14" spans="1:16" x14ac:dyDescent="0.25">
      <c r="A14" s="28" t="s">
        <v>162</v>
      </c>
      <c r="B14" s="30">
        <v>317.71681298078374</v>
      </c>
      <c r="E14" s="27">
        <v>-5.9072052350458399</v>
      </c>
      <c r="F14" s="27">
        <v>134.59787612173179</v>
      </c>
      <c r="G14" s="27">
        <v>139.45061307498636</v>
      </c>
      <c r="H14" s="27">
        <v>-7.5780901600980775</v>
      </c>
      <c r="I14" s="27">
        <v>-7.3828918409066659</v>
      </c>
      <c r="J14" s="27">
        <v>14.672458154629515</v>
      </c>
      <c r="K14" s="27">
        <v>-7.6596574353667393</v>
      </c>
      <c r="L14" s="27">
        <v>9.141790753547598</v>
      </c>
      <c r="M14" s="27">
        <v>264.14718191408519</v>
      </c>
      <c r="N14" s="27">
        <v>317.71681298078374</v>
      </c>
      <c r="O14" s="27">
        <v>9.8536207594272103</v>
      </c>
      <c r="P14" s="27">
        <v>114.29385256741932</v>
      </c>
    </row>
    <row r="15" spans="1:16" x14ac:dyDescent="0.25">
      <c r="A15" s="28" t="s">
        <v>163</v>
      </c>
      <c r="B15" s="30">
        <v>327.08913530230956</v>
      </c>
      <c r="E15" s="27">
        <v>-3.0586515638106491</v>
      </c>
      <c r="F15" s="27">
        <v>188.9392398372089</v>
      </c>
      <c r="G15" s="27">
        <v>115.3199727920175</v>
      </c>
      <c r="H15" s="27">
        <v>-9.4660465839948014</v>
      </c>
      <c r="I15" s="27">
        <v>-7.2744340114113575</v>
      </c>
      <c r="J15" s="27">
        <v>4.2294253493388734</v>
      </c>
      <c r="K15" s="27">
        <v>-7.2482250081582116</v>
      </c>
      <c r="L15" s="27">
        <v>8.0119983407517079</v>
      </c>
      <c r="M15" s="27">
        <v>307.01057177942886</v>
      </c>
      <c r="N15" s="27">
        <v>327.08913530230956</v>
      </c>
      <c r="O15" s="27">
        <v>10.07260125277776</v>
      </c>
      <c r="P15" s="27">
        <v>169.07181527929174</v>
      </c>
    </row>
    <row r="16" spans="1:16" x14ac:dyDescent="0.25">
      <c r="A16" s="28" t="s">
        <v>164</v>
      </c>
      <c r="B16" s="30">
        <v>326.52236226422156</v>
      </c>
      <c r="E16" s="27">
        <v>7.4245738573276618</v>
      </c>
      <c r="F16" s="27">
        <v>163.55881502432726</v>
      </c>
      <c r="G16" s="27">
        <v>139.89187115484958</v>
      </c>
      <c r="H16" s="27">
        <v>-7.8503060788440067</v>
      </c>
      <c r="I16" s="27">
        <v>-4.8099269639783575</v>
      </c>
      <c r="J16" s="27">
        <v>109.67148197718139</v>
      </c>
      <c r="K16" s="27">
        <v>-6.9591702454239091</v>
      </c>
      <c r="L16" s="27">
        <v>3.580791403684966</v>
      </c>
      <c r="M16" s="27">
        <v>315.7468926249303</v>
      </c>
      <c r="N16" s="27">
        <v>326.52236226422156</v>
      </c>
      <c r="O16" s="27">
        <v>24.723349427573144</v>
      </c>
      <c r="P16" s="27">
        <v>154.6931372580255</v>
      </c>
    </row>
    <row r="17" spans="1:16" x14ac:dyDescent="0.25">
      <c r="A17" s="28" t="s">
        <v>165</v>
      </c>
      <c r="B17" s="30">
        <v>302.1849321845761</v>
      </c>
      <c r="E17" s="27">
        <v>2.2548903140652867</v>
      </c>
      <c r="F17" s="27">
        <v>140.98445166824214</v>
      </c>
      <c r="G17" s="27">
        <v>52.129482344505398</v>
      </c>
      <c r="H17" s="27">
        <v>-10.432169903279105</v>
      </c>
      <c r="I17" s="27">
        <v>-2.7403083890841407</v>
      </c>
      <c r="J17" s="27">
        <v>36.81095477419489</v>
      </c>
      <c r="K17" s="27">
        <v>-5.8237663329066605</v>
      </c>
      <c r="L17" s="27">
        <v>14.790303210986711</v>
      </c>
      <c r="M17" s="27">
        <v>176.21919742226649</v>
      </c>
      <c r="N17" s="27">
        <v>302.1849321845761</v>
      </c>
      <c r="O17" s="27">
        <v>17.661973185059477</v>
      </c>
      <c r="P17" s="27">
        <v>7.0221019964615765</v>
      </c>
    </row>
    <row r="18" spans="1:16" x14ac:dyDescent="0.25">
      <c r="A18" s="28" t="s">
        <v>166</v>
      </c>
      <c r="B18" s="30">
        <v>290.43249124668921</v>
      </c>
      <c r="E18" s="27">
        <v>-8.1951244696670464</v>
      </c>
      <c r="F18" s="27">
        <v>210.79690967312578</v>
      </c>
      <c r="G18" s="27">
        <v>130.24138387829544</v>
      </c>
      <c r="H18" s="27">
        <v>68.831189593709411</v>
      </c>
      <c r="I18" s="27">
        <v>-5.4499481023964433</v>
      </c>
      <c r="J18" s="27">
        <v>99.109630766695943</v>
      </c>
      <c r="K18" s="27">
        <v>-5.3838605228460867</v>
      </c>
      <c r="L18" s="27">
        <v>60.160265499679497</v>
      </c>
      <c r="M18" s="27">
        <v>8.3258888778296782</v>
      </c>
      <c r="N18" s="27">
        <v>290.43249124668921</v>
      </c>
      <c r="O18" s="27">
        <v>13.67303859971728</v>
      </c>
      <c r="P18" s="27">
        <v>6.0068200065670396</v>
      </c>
    </row>
    <row r="19" spans="1:16" x14ac:dyDescent="0.25">
      <c r="A19" s="28" t="s">
        <v>167</v>
      </c>
      <c r="B19" s="30">
        <v>298.4599905847611</v>
      </c>
      <c r="E19" s="27">
        <v>-11.387480610426525</v>
      </c>
      <c r="F19" s="27">
        <v>159.42907089540367</v>
      </c>
      <c r="G19" s="27">
        <v>20.748219836818127</v>
      </c>
      <c r="H19" s="27">
        <v>83.821138394075973</v>
      </c>
      <c r="I19" s="27">
        <v>-4.2609363379846066</v>
      </c>
      <c r="J19" s="27">
        <v>115.2311302998628</v>
      </c>
      <c r="K19" s="27">
        <v>-6.7057285685023853</v>
      </c>
      <c r="L19" s="27">
        <v>126.87570447965982</v>
      </c>
      <c r="M19" s="27">
        <v>10.141173871396608</v>
      </c>
      <c r="N19" s="27">
        <v>298.4599905847611</v>
      </c>
      <c r="O19" s="27">
        <v>11.37398690326868</v>
      </c>
      <c r="P19" s="27">
        <v>4.0463893428421027</v>
      </c>
    </row>
    <row r="20" spans="1:16" x14ac:dyDescent="0.25">
      <c r="A20" s="28" t="s">
        <v>168</v>
      </c>
      <c r="B20" s="30">
        <v>267.73674006843908</v>
      </c>
      <c r="E20" s="27">
        <v>-8.9386124902384179</v>
      </c>
      <c r="F20" s="27">
        <v>175.84354024762638</v>
      </c>
      <c r="G20" s="27">
        <v>-2.1233749252954714</v>
      </c>
      <c r="H20" s="27">
        <v>-8.0431680805675043</v>
      </c>
      <c r="I20" s="27">
        <v>-3.2452853753465805</v>
      </c>
      <c r="J20" s="27">
        <v>37.984568784801183</v>
      </c>
      <c r="K20" s="27">
        <v>-7.8784111038215983</v>
      </c>
      <c r="L20" s="27">
        <v>137.33347643731321</v>
      </c>
      <c r="M20" s="27">
        <v>8.4668381867823221</v>
      </c>
      <c r="N20" s="27">
        <v>267.73674006843908</v>
      </c>
      <c r="O20" s="27">
        <v>8.7943187414577899</v>
      </c>
      <c r="P20" s="27">
        <v>4.4140083644039381</v>
      </c>
    </row>
    <row r="21" spans="1:16" x14ac:dyDescent="0.25">
      <c r="A21" s="28" t="s">
        <v>169</v>
      </c>
      <c r="B21" s="30">
        <v>256.48805003044811</v>
      </c>
      <c r="E21" s="27">
        <v>-14.30909611896182</v>
      </c>
      <c r="F21" s="27">
        <v>181.51079195052225</v>
      </c>
      <c r="G21" s="27">
        <v>-5.2112667547996283</v>
      </c>
      <c r="H21" s="27">
        <v>-3.9546297851811008</v>
      </c>
      <c r="I21" s="27">
        <v>-2.0508264728678296</v>
      </c>
      <c r="J21" s="27">
        <v>68.567550053056024</v>
      </c>
      <c r="K21" s="27">
        <v>-6.7056132917392821</v>
      </c>
      <c r="L21" s="27">
        <v>42.565949752489026</v>
      </c>
      <c r="M21" s="27">
        <v>7.3024006659849476</v>
      </c>
      <c r="N21" s="27">
        <v>256.48805003044811</v>
      </c>
      <c r="O21" s="27">
        <v>43.754735942738044</v>
      </c>
      <c r="P21" s="27">
        <v>0.67710335580899605</v>
      </c>
    </row>
    <row r="22" spans="1:16" x14ac:dyDescent="0.25">
      <c r="A22" s="28" t="s">
        <v>170</v>
      </c>
      <c r="B22" s="30">
        <v>232.76194153463234</v>
      </c>
      <c r="E22" s="27">
        <v>-14.981536520896835</v>
      </c>
      <c r="F22" s="27">
        <v>151.2972298868338</v>
      </c>
      <c r="G22" s="27">
        <v>5.1473743676844004</v>
      </c>
      <c r="H22" s="27">
        <v>-10.423522283815878</v>
      </c>
      <c r="I22" s="27">
        <v>26.978842865599571</v>
      </c>
      <c r="J22" s="27">
        <v>133.92718561583649</v>
      </c>
      <c r="K22" s="27">
        <v>26.168389920975063</v>
      </c>
      <c r="L22" s="27">
        <v>13.916937178270009</v>
      </c>
      <c r="M22" s="27">
        <v>10.431007784747498</v>
      </c>
      <c r="N22" s="27">
        <v>232.76194153463234</v>
      </c>
      <c r="O22" s="27">
        <v>131.69611212075603</v>
      </c>
      <c r="P22" s="27">
        <v>-1.7205986384410699</v>
      </c>
    </row>
    <row r="23" spans="1:16" x14ac:dyDescent="0.25">
      <c r="A23" s="28" t="s">
        <v>171</v>
      </c>
      <c r="B23" s="30">
        <v>215.09333232137158</v>
      </c>
      <c r="E23" s="27">
        <v>-7.3050047062793579</v>
      </c>
      <c r="F23" s="27">
        <v>121.97474553190236</v>
      </c>
      <c r="G23" s="27">
        <v>25.018292561306563</v>
      </c>
      <c r="H23" s="27">
        <v>-5.4500794107285291</v>
      </c>
      <c r="I23" s="27">
        <v>48.403724427282775</v>
      </c>
      <c r="J23" s="27">
        <v>168.90137386305159</v>
      </c>
      <c r="K23" s="27">
        <v>165.30492348397337</v>
      </c>
      <c r="L23" s="27">
        <v>14.592955815408695</v>
      </c>
      <c r="M23" s="27">
        <v>40.435590980713627</v>
      </c>
      <c r="N23" s="27">
        <v>215.09333232137158</v>
      </c>
      <c r="O23" s="27">
        <v>58.255252147655384</v>
      </c>
      <c r="P23" s="27">
        <v>-2.8829306360040419</v>
      </c>
    </row>
    <row r="24" spans="1:16" x14ac:dyDescent="0.25">
      <c r="A24" s="28" t="s">
        <v>172</v>
      </c>
      <c r="B24" s="30">
        <v>220.09423363741638</v>
      </c>
      <c r="E24" s="27">
        <v>28.290068880164107</v>
      </c>
      <c r="F24" s="27">
        <v>84.679711813500617</v>
      </c>
      <c r="G24" s="27">
        <v>33.801462730083919</v>
      </c>
      <c r="H24" s="27">
        <v>25.269407808428795</v>
      </c>
      <c r="I24" s="27">
        <v>188.7993009403491</v>
      </c>
      <c r="J24" s="27">
        <v>71.226417497807944</v>
      </c>
      <c r="K24" s="27">
        <v>232.18751600952206</v>
      </c>
      <c r="L24" s="27">
        <v>28.730043055175138</v>
      </c>
      <c r="M24" s="27">
        <v>110.44050463964186</v>
      </c>
      <c r="N24" s="27">
        <v>220.09423363741638</v>
      </c>
      <c r="O24" s="27">
        <v>108.46753561993245</v>
      </c>
      <c r="P24" s="27">
        <v>75.511284102241021</v>
      </c>
    </row>
    <row r="25" spans="1:16" x14ac:dyDescent="0.25">
      <c r="A25" s="28" t="s">
        <v>173</v>
      </c>
      <c r="B25" s="30">
        <v>189.07012634918857</v>
      </c>
      <c r="E25" s="27">
        <v>74.717031949399725</v>
      </c>
      <c r="F25" s="27">
        <v>53.590316197166217</v>
      </c>
      <c r="G25" s="27">
        <v>5.2987623920459335</v>
      </c>
      <c r="H25" s="27">
        <v>-3.2945098074812988</v>
      </c>
      <c r="I25" s="27">
        <v>112.68935495696287</v>
      </c>
      <c r="J25" s="27">
        <v>-5.0865255105925016</v>
      </c>
      <c r="K25" s="27">
        <v>189.66520872700571</v>
      </c>
      <c r="L25" s="27">
        <v>10.252537616698101</v>
      </c>
      <c r="M25" s="27">
        <v>9.234040442392379</v>
      </c>
      <c r="N25" s="27">
        <v>189.07012634918857</v>
      </c>
      <c r="O25" s="27">
        <v>41.461718101471945</v>
      </c>
      <c r="P25" s="27">
        <v>2.4124087556115463</v>
      </c>
    </row>
    <row r="26" spans="1:16" ht="15.75" thickBot="1" x14ac:dyDescent="0.3">
      <c r="A26" s="29" t="s">
        <v>174</v>
      </c>
      <c r="B26" s="30">
        <v>105.61329024844777</v>
      </c>
      <c r="E26" s="27">
        <v>51.159681775777464</v>
      </c>
      <c r="F26" s="27">
        <v>43.193711125770008</v>
      </c>
      <c r="G26" s="27">
        <v>17.042061926773343</v>
      </c>
      <c r="H26" s="27">
        <v>11.93276814461678</v>
      </c>
      <c r="I26" s="27">
        <v>136.80946881889864</v>
      </c>
      <c r="J26" s="27">
        <v>-5.2867472680464687</v>
      </c>
      <c r="K26" s="27">
        <v>97.018397718299624</v>
      </c>
      <c r="L26" s="27">
        <v>13.019764259706079</v>
      </c>
      <c r="M26" s="27">
        <v>8.4055499949878243</v>
      </c>
      <c r="N26" s="27">
        <v>105.61329024844777</v>
      </c>
      <c r="O26" s="27">
        <v>57.506228559259249</v>
      </c>
      <c r="P26" s="27">
        <v>3.7242466526868143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MMGs15Bus_High_Flexibility</vt:lpstr>
      <vt:lpstr>MMGs15Bus_Medium_Flexibility</vt:lpstr>
      <vt:lpstr>MMGs15Bus_Low_Flexibility</vt:lpstr>
      <vt:lpstr>MMGs15Bus_No_Flexibility</vt:lpstr>
      <vt:lpstr>Baseline_RES</vt:lpstr>
      <vt:lpstr>Value_of_Lost_Load</vt:lpstr>
      <vt:lpstr>Balancing Market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2022-04-14T07:45:05Z</dcterms:modified>
</cp:coreProperties>
</file>