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_Barth\Desktop\Arbeit\Masterarbeit\PAPER Masterarbeit\Correlations\"/>
    </mc:Choice>
  </mc:AlternateContent>
  <xr:revisionPtr revIDLastSave="0" documentId="13_ncr:1_{1EFDB661-960B-42A6-A6EF-068417307DCE}" xr6:coauthVersionLast="36" xr6:coauthVersionMax="36" xr10:uidLastSave="{00000000-0000-0000-0000-000000000000}"/>
  <bookViews>
    <workbookView xWindow="120" yWindow="132" windowWidth="28512" windowHeight="13116" xr2:uid="{00000000-000D-0000-FFFF-FFFF00000000}"/>
  </bookViews>
  <sheets>
    <sheet name="Calibration_Factor" sheetId="1" r:id="rId1"/>
    <sheet name="Calibration_Function" sheetId="2" r:id="rId2"/>
  </sheets>
  <calcPr calcId="191029"/>
</workbook>
</file>

<file path=xl/calcChain.xml><?xml version="1.0" encoding="utf-8"?>
<calcChain xmlns="http://schemas.openxmlformats.org/spreadsheetml/2006/main">
  <c r="H130" i="1" l="1"/>
  <c r="AC27" i="1" l="1"/>
  <c r="AC26" i="1"/>
  <c r="AC24" i="1"/>
  <c r="AC23" i="1"/>
  <c r="AC31" i="1" s="1"/>
  <c r="AC20" i="1"/>
  <c r="AC19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X20" i="1" l="1"/>
  <c r="X19" i="1"/>
  <c r="D3" i="2" l="1"/>
  <c r="I3" i="2" s="1"/>
  <c r="D4" i="2"/>
  <c r="I4" i="2" s="1"/>
  <c r="D5" i="2"/>
  <c r="I5" i="2" s="1"/>
  <c r="D6" i="2"/>
  <c r="I6" i="2" s="1"/>
  <c r="D7" i="2"/>
  <c r="I7" i="2" s="1"/>
  <c r="D8" i="2"/>
  <c r="I8" i="2" s="1"/>
  <c r="D9" i="2"/>
  <c r="I9" i="2" s="1"/>
  <c r="D10" i="2"/>
  <c r="I10" i="2" s="1"/>
  <c r="D11" i="2"/>
  <c r="I11" i="2" s="1"/>
  <c r="D12" i="2"/>
  <c r="I12" i="2" s="1"/>
  <c r="D13" i="2"/>
  <c r="I13" i="2" s="1"/>
  <c r="D14" i="2"/>
  <c r="I14" i="2" s="1"/>
  <c r="D15" i="2"/>
  <c r="I15" i="2" s="1"/>
  <c r="D16" i="2"/>
  <c r="I16" i="2" s="1"/>
  <c r="D17" i="2"/>
  <c r="I17" i="2" s="1"/>
  <c r="D18" i="2"/>
  <c r="I18" i="2" s="1"/>
  <c r="D19" i="2"/>
  <c r="I19" i="2" s="1"/>
  <c r="D20" i="2"/>
  <c r="I20" i="2" s="1"/>
  <c r="D21" i="2"/>
  <c r="I21" i="2" s="1"/>
  <c r="D22" i="2"/>
  <c r="I22" i="2" s="1"/>
  <c r="D23" i="2"/>
  <c r="I23" i="2" s="1"/>
  <c r="D24" i="2"/>
  <c r="I24" i="2" s="1"/>
  <c r="D25" i="2"/>
  <c r="I25" i="2" s="1"/>
  <c r="D26" i="2"/>
  <c r="I26" i="2" s="1"/>
  <c r="D27" i="2"/>
  <c r="I27" i="2" s="1"/>
  <c r="D28" i="2"/>
  <c r="I28" i="2" s="1"/>
  <c r="D29" i="2"/>
  <c r="I29" i="2" s="1"/>
  <c r="D30" i="2"/>
  <c r="I30" i="2" s="1"/>
  <c r="D31" i="2"/>
  <c r="I31" i="2" s="1"/>
  <c r="D32" i="2"/>
  <c r="I32" i="2" s="1"/>
  <c r="D33" i="2"/>
  <c r="I33" i="2" s="1"/>
  <c r="D34" i="2"/>
  <c r="I34" i="2" s="1"/>
  <c r="D35" i="2"/>
  <c r="I35" i="2" s="1"/>
  <c r="D36" i="2"/>
  <c r="I36" i="2" s="1"/>
  <c r="D37" i="2"/>
  <c r="I37" i="2" s="1"/>
  <c r="D38" i="2"/>
  <c r="I38" i="2" s="1"/>
  <c r="D39" i="2"/>
  <c r="I39" i="2" s="1"/>
  <c r="D40" i="2"/>
  <c r="I40" i="2" s="1"/>
  <c r="D41" i="2"/>
  <c r="I41" i="2" s="1"/>
  <c r="D42" i="2"/>
  <c r="I42" i="2" s="1"/>
  <c r="D43" i="2"/>
  <c r="I43" i="2" s="1"/>
  <c r="D44" i="2"/>
  <c r="I44" i="2" s="1"/>
  <c r="D45" i="2"/>
  <c r="I45" i="2" s="1"/>
  <c r="D46" i="2"/>
  <c r="I46" i="2" s="1"/>
  <c r="D47" i="2"/>
  <c r="I47" i="2" s="1"/>
  <c r="D48" i="2"/>
  <c r="I48" i="2" s="1"/>
  <c r="D49" i="2"/>
  <c r="I49" i="2" s="1"/>
  <c r="D50" i="2"/>
  <c r="I50" i="2" s="1"/>
  <c r="D51" i="2"/>
  <c r="I51" i="2" s="1"/>
  <c r="D52" i="2"/>
  <c r="I52" i="2" s="1"/>
  <c r="D53" i="2"/>
  <c r="I53" i="2" s="1"/>
  <c r="D54" i="2"/>
  <c r="I54" i="2" s="1"/>
  <c r="D55" i="2"/>
  <c r="I55" i="2" s="1"/>
  <c r="D56" i="2"/>
  <c r="I56" i="2" s="1"/>
  <c r="D57" i="2"/>
  <c r="I57" i="2" s="1"/>
  <c r="D58" i="2"/>
  <c r="I58" i="2" s="1"/>
  <c r="D59" i="2"/>
  <c r="I59" i="2" s="1"/>
  <c r="D60" i="2"/>
  <c r="I60" i="2" s="1"/>
  <c r="D61" i="2"/>
  <c r="I61" i="2" s="1"/>
  <c r="D62" i="2"/>
  <c r="I62" i="2" s="1"/>
  <c r="D63" i="2"/>
  <c r="I63" i="2" s="1"/>
  <c r="D64" i="2"/>
  <c r="I64" i="2" s="1"/>
  <c r="D65" i="2"/>
  <c r="I65" i="2" s="1"/>
  <c r="D66" i="2"/>
  <c r="I66" i="2" s="1"/>
  <c r="D67" i="2"/>
  <c r="I67" i="2" s="1"/>
  <c r="D68" i="2"/>
  <c r="I68" i="2" s="1"/>
  <c r="D69" i="2"/>
  <c r="I69" i="2" s="1"/>
  <c r="D70" i="2"/>
  <c r="I70" i="2" s="1"/>
  <c r="D71" i="2"/>
  <c r="I71" i="2" s="1"/>
  <c r="D72" i="2"/>
  <c r="I72" i="2" s="1"/>
  <c r="D73" i="2"/>
  <c r="I73" i="2" s="1"/>
  <c r="D74" i="2"/>
  <c r="I74" i="2" s="1"/>
  <c r="D75" i="2"/>
  <c r="I75" i="2" s="1"/>
  <c r="D76" i="2"/>
  <c r="I76" i="2" s="1"/>
  <c r="D77" i="2"/>
  <c r="I77" i="2" s="1"/>
  <c r="D78" i="2"/>
  <c r="D79" i="2"/>
  <c r="I79" i="2" s="1"/>
  <c r="D80" i="2"/>
  <c r="I80" i="2" s="1"/>
  <c r="D81" i="2"/>
  <c r="I81" i="2" s="1"/>
  <c r="D82" i="2"/>
  <c r="I82" i="2" s="1"/>
  <c r="D83" i="2"/>
  <c r="I83" i="2" s="1"/>
  <c r="D84" i="2"/>
  <c r="I84" i="2" s="1"/>
  <c r="D85" i="2"/>
  <c r="I85" i="2" s="1"/>
  <c r="D86" i="2"/>
  <c r="I86" i="2" s="1"/>
  <c r="D87" i="2"/>
  <c r="I87" i="2" s="1"/>
  <c r="D88" i="2"/>
  <c r="I88" i="2" s="1"/>
  <c r="D89" i="2"/>
  <c r="I89" i="2" s="1"/>
  <c r="D90" i="2"/>
  <c r="I90" i="2" s="1"/>
  <c r="D91" i="2"/>
  <c r="I91" i="2" s="1"/>
  <c r="D92" i="2"/>
  <c r="I92" i="2" s="1"/>
  <c r="D93" i="2"/>
  <c r="I93" i="2" s="1"/>
  <c r="D94" i="2"/>
  <c r="I94" i="2" s="1"/>
  <c r="D95" i="2"/>
  <c r="I95" i="2" s="1"/>
  <c r="D96" i="2"/>
  <c r="I96" i="2" s="1"/>
  <c r="D97" i="2"/>
  <c r="I97" i="2" s="1"/>
  <c r="D98" i="2"/>
  <c r="I98" i="2" s="1"/>
  <c r="D99" i="2"/>
  <c r="I99" i="2" s="1"/>
  <c r="D100" i="2"/>
  <c r="I100" i="2" s="1"/>
  <c r="D101" i="2"/>
  <c r="I101" i="2" s="1"/>
  <c r="D102" i="2"/>
  <c r="I102" i="2" s="1"/>
  <c r="D103" i="2"/>
  <c r="I103" i="2" s="1"/>
  <c r="D104" i="2"/>
  <c r="I104" i="2" s="1"/>
  <c r="D105" i="2"/>
  <c r="I105" i="2" s="1"/>
  <c r="D106" i="2"/>
  <c r="I106" i="2" s="1"/>
  <c r="D107" i="2"/>
  <c r="I107" i="2" s="1"/>
  <c r="D108" i="2"/>
  <c r="I108" i="2" s="1"/>
  <c r="D109" i="2"/>
  <c r="I109" i="2" s="1"/>
  <c r="D110" i="2"/>
  <c r="I110" i="2" s="1"/>
  <c r="D111" i="2"/>
  <c r="D112" i="2"/>
  <c r="I112" i="2" s="1"/>
  <c r="D113" i="2"/>
  <c r="I113" i="2" s="1"/>
  <c r="D114" i="2"/>
  <c r="I114" i="2" s="1"/>
  <c r="D115" i="2"/>
  <c r="I115" i="2" s="1"/>
  <c r="D116" i="2"/>
  <c r="I116" i="2" s="1"/>
  <c r="D117" i="2"/>
  <c r="I117" i="2" s="1"/>
  <c r="D118" i="2"/>
  <c r="I118" i="2" s="1"/>
  <c r="D119" i="2"/>
  <c r="I119" i="2" s="1"/>
  <c r="D120" i="2"/>
  <c r="I120" i="2" s="1"/>
  <c r="D121" i="2"/>
  <c r="D122" i="2"/>
  <c r="I122" i="2" s="1"/>
  <c r="D123" i="2"/>
  <c r="I123" i="2" s="1"/>
  <c r="D124" i="2"/>
  <c r="I124" i="2" s="1"/>
  <c r="D125" i="2"/>
  <c r="I125" i="2" s="1"/>
  <c r="G125" i="2"/>
  <c r="J125" i="2" s="1"/>
  <c r="G124" i="2"/>
  <c r="J124" i="2" s="1"/>
  <c r="G123" i="2"/>
  <c r="J123" i="2" s="1"/>
  <c r="G122" i="2"/>
  <c r="J122" i="2" s="1"/>
  <c r="G121" i="2"/>
  <c r="J121" i="2" s="1"/>
  <c r="G120" i="2"/>
  <c r="J120" i="2" s="1"/>
  <c r="G119" i="2"/>
  <c r="J119" i="2" s="1"/>
  <c r="G118" i="2"/>
  <c r="J118" i="2" s="1"/>
  <c r="G117" i="2"/>
  <c r="J117" i="2" s="1"/>
  <c r="G116" i="2"/>
  <c r="J116" i="2" s="1"/>
  <c r="G115" i="2"/>
  <c r="J115" i="2" s="1"/>
  <c r="G114" i="2"/>
  <c r="J114" i="2" s="1"/>
  <c r="G113" i="2"/>
  <c r="J113" i="2" s="1"/>
  <c r="G112" i="2"/>
  <c r="J112" i="2" s="1"/>
  <c r="G111" i="2"/>
  <c r="J111" i="2" s="1"/>
  <c r="G110" i="2"/>
  <c r="J110" i="2" s="1"/>
  <c r="G109" i="2"/>
  <c r="J109" i="2" s="1"/>
  <c r="G108" i="2"/>
  <c r="J108" i="2" s="1"/>
  <c r="G107" i="2"/>
  <c r="J107" i="2" s="1"/>
  <c r="G106" i="2"/>
  <c r="J106" i="2" s="1"/>
  <c r="G105" i="2"/>
  <c r="J105" i="2" s="1"/>
  <c r="G104" i="2"/>
  <c r="J104" i="2" s="1"/>
  <c r="G103" i="2"/>
  <c r="J103" i="2" s="1"/>
  <c r="G102" i="2"/>
  <c r="J102" i="2" s="1"/>
  <c r="G101" i="2"/>
  <c r="J101" i="2" s="1"/>
  <c r="G100" i="2"/>
  <c r="J100" i="2" s="1"/>
  <c r="G99" i="2"/>
  <c r="J99" i="2" s="1"/>
  <c r="G98" i="2"/>
  <c r="J98" i="2" s="1"/>
  <c r="G97" i="2"/>
  <c r="J97" i="2" s="1"/>
  <c r="G96" i="2"/>
  <c r="J96" i="2" s="1"/>
  <c r="G95" i="2"/>
  <c r="J95" i="2" s="1"/>
  <c r="G94" i="2"/>
  <c r="J94" i="2" s="1"/>
  <c r="G93" i="2"/>
  <c r="J93" i="2" s="1"/>
  <c r="G92" i="2"/>
  <c r="J92" i="2" s="1"/>
  <c r="G91" i="2"/>
  <c r="J91" i="2" s="1"/>
  <c r="G90" i="2"/>
  <c r="J90" i="2" s="1"/>
  <c r="G89" i="2"/>
  <c r="J89" i="2" s="1"/>
  <c r="G88" i="2"/>
  <c r="J88" i="2" s="1"/>
  <c r="G87" i="2"/>
  <c r="J87" i="2" s="1"/>
  <c r="G86" i="2"/>
  <c r="J86" i="2" s="1"/>
  <c r="G85" i="2"/>
  <c r="J85" i="2" s="1"/>
  <c r="G84" i="2"/>
  <c r="J84" i="2" s="1"/>
  <c r="G83" i="2"/>
  <c r="J83" i="2" s="1"/>
  <c r="G82" i="2"/>
  <c r="J82" i="2" s="1"/>
  <c r="G81" i="2"/>
  <c r="J81" i="2" s="1"/>
  <c r="G80" i="2"/>
  <c r="J80" i="2" s="1"/>
  <c r="G79" i="2"/>
  <c r="J79" i="2" s="1"/>
  <c r="G78" i="2"/>
  <c r="J78" i="2" s="1"/>
  <c r="G77" i="2"/>
  <c r="J77" i="2" s="1"/>
  <c r="G76" i="2"/>
  <c r="J76" i="2" s="1"/>
  <c r="G75" i="2"/>
  <c r="J75" i="2" s="1"/>
  <c r="G74" i="2"/>
  <c r="J74" i="2" s="1"/>
  <c r="G73" i="2"/>
  <c r="J73" i="2" s="1"/>
  <c r="G72" i="2"/>
  <c r="J72" i="2" s="1"/>
  <c r="G71" i="2"/>
  <c r="J71" i="2" s="1"/>
  <c r="G70" i="2"/>
  <c r="J70" i="2" s="1"/>
  <c r="G69" i="2"/>
  <c r="J69" i="2" s="1"/>
  <c r="G68" i="2"/>
  <c r="J68" i="2" s="1"/>
  <c r="G67" i="2"/>
  <c r="J67" i="2" s="1"/>
  <c r="G66" i="2"/>
  <c r="J66" i="2" s="1"/>
  <c r="G65" i="2"/>
  <c r="J65" i="2" s="1"/>
  <c r="G64" i="2"/>
  <c r="J64" i="2" s="1"/>
  <c r="G63" i="2"/>
  <c r="G62" i="2"/>
  <c r="J62" i="2" s="1"/>
  <c r="G61" i="2"/>
  <c r="J61" i="2" s="1"/>
  <c r="G60" i="2"/>
  <c r="J60" i="2" s="1"/>
  <c r="G59" i="2"/>
  <c r="J59" i="2" s="1"/>
  <c r="G58" i="2"/>
  <c r="J58" i="2" s="1"/>
  <c r="G57" i="2"/>
  <c r="J57" i="2" s="1"/>
  <c r="G56" i="2"/>
  <c r="J56" i="2" s="1"/>
  <c r="G55" i="2"/>
  <c r="J55" i="2" s="1"/>
  <c r="G54" i="2"/>
  <c r="J54" i="2" s="1"/>
  <c r="G53" i="2"/>
  <c r="J53" i="2" s="1"/>
  <c r="G52" i="2"/>
  <c r="J52" i="2" s="1"/>
  <c r="G51" i="2"/>
  <c r="J51" i="2" s="1"/>
  <c r="G50" i="2"/>
  <c r="J50" i="2" s="1"/>
  <c r="G49" i="2"/>
  <c r="J49" i="2" s="1"/>
  <c r="G48" i="2"/>
  <c r="J48" i="2" s="1"/>
  <c r="G47" i="2"/>
  <c r="J47" i="2" s="1"/>
  <c r="G46" i="2"/>
  <c r="J46" i="2" s="1"/>
  <c r="G45" i="2"/>
  <c r="J45" i="2" s="1"/>
  <c r="G44" i="2"/>
  <c r="J44" i="2" s="1"/>
  <c r="G43" i="2"/>
  <c r="J43" i="2" s="1"/>
  <c r="G42" i="2"/>
  <c r="J42" i="2" s="1"/>
  <c r="G41" i="2"/>
  <c r="J41" i="2" s="1"/>
  <c r="G40" i="2"/>
  <c r="J40" i="2" s="1"/>
  <c r="G39" i="2"/>
  <c r="J39" i="2" s="1"/>
  <c r="G38" i="2"/>
  <c r="J38" i="2" s="1"/>
  <c r="G37" i="2"/>
  <c r="J37" i="2" s="1"/>
  <c r="G36" i="2"/>
  <c r="J36" i="2" s="1"/>
  <c r="G35" i="2"/>
  <c r="J35" i="2" s="1"/>
  <c r="G34" i="2"/>
  <c r="J34" i="2" s="1"/>
  <c r="G33" i="2"/>
  <c r="J33" i="2" s="1"/>
  <c r="G32" i="2"/>
  <c r="J32" i="2" s="1"/>
  <c r="G31" i="2"/>
  <c r="J31" i="2" s="1"/>
  <c r="G30" i="2"/>
  <c r="J30" i="2" s="1"/>
  <c r="G29" i="2"/>
  <c r="J29" i="2" s="1"/>
  <c r="G28" i="2"/>
  <c r="J28" i="2" s="1"/>
  <c r="G27" i="2"/>
  <c r="J27" i="2" s="1"/>
  <c r="G26" i="2"/>
  <c r="J26" i="2" s="1"/>
  <c r="G25" i="2"/>
  <c r="J25" i="2" s="1"/>
  <c r="G24" i="2"/>
  <c r="J24" i="2" s="1"/>
  <c r="G23" i="2"/>
  <c r="J23" i="2" s="1"/>
  <c r="G22" i="2"/>
  <c r="J22" i="2" s="1"/>
  <c r="G21" i="2"/>
  <c r="J21" i="2" s="1"/>
  <c r="G20" i="2"/>
  <c r="J20" i="2" s="1"/>
  <c r="G19" i="2"/>
  <c r="J19" i="2" s="1"/>
  <c r="G18" i="2"/>
  <c r="J18" i="2" s="1"/>
  <c r="G17" i="2"/>
  <c r="J17" i="2" s="1"/>
  <c r="G16" i="2"/>
  <c r="J16" i="2" s="1"/>
  <c r="G15" i="2"/>
  <c r="J15" i="2" s="1"/>
  <c r="G14" i="2"/>
  <c r="J14" i="2" s="1"/>
  <c r="G13" i="2"/>
  <c r="J13" i="2" s="1"/>
  <c r="G12" i="2"/>
  <c r="J12" i="2" s="1"/>
  <c r="G11" i="2"/>
  <c r="J11" i="2" s="1"/>
  <c r="G10" i="2"/>
  <c r="J10" i="2" s="1"/>
  <c r="G9" i="2"/>
  <c r="J9" i="2" s="1"/>
  <c r="G8" i="2"/>
  <c r="J8" i="2" s="1"/>
  <c r="G7" i="2"/>
  <c r="J7" i="2" s="1"/>
  <c r="G6" i="2"/>
  <c r="J6" i="2" s="1"/>
  <c r="G5" i="2"/>
  <c r="J5" i="2" s="1"/>
  <c r="G4" i="2"/>
  <c r="J4" i="2" s="1"/>
  <c r="G3" i="2"/>
  <c r="J3" i="2" s="1"/>
  <c r="J63" i="2" l="1"/>
  <c r="K63" i="2" s="1"/>
  <c r="H121" i="2"/>
  <c r="I121" i="2"/>
  <c r="I78" i="2"/>
  <c r="K78" i="2" s="1"/>
  <c r="I111" i="2"/>
  <c r="K111" i="2" s="1"/>
  <c r="H105" i="2"/>
  <c r="H97" i="2"/>
  <c r="H81" i="2"/>
  <c r="K73" i="2"/>
  <c r="H33" i="2"/>
  <c r="K17" i="2"/>
  <c r="H112" i="2"/>
  <c r="H104" i="2"/>
  <c r="K55" i="2"/>
  <c r="K110" i="2"/>
  <c r="K46" i="2"/>
  <c r="K14" i="2"/>
  <c r="H124" i="2"/>
  <c r="H116" i="2"/>
  <c r="H108" i="2"/>
  <c r="H100" i="2"/>
  <c r="H92" i="2"/>
  <c r="H84" i="2"/>
  <c r="H76" i="2"/>
  <c r="H28" i="2"/>
  <c r="H52" i="2"/>
  <c r="H20" i="2"/>
  <c r="H123" i="2"/>
  <c r="H115" i="2"/>
  <c r="H91" i="2"/>
  <c r="H83" i="2"/>
  <c r="H51" i="2"/>
  <c r="K114" i="2"/>
  <c r="K98" i="2"/>
  <c r="H90" i="2"/>
  <c r="K82" i="2"/>
  <c r="K74" i="2"/>
  <c r="K34" i="2"/>
  <c r="K26" i="2"/>
  <c r="K18" i="2"/>
  <c r="K10" i="2"/>
  <c r="H72" i="2"/>
  <c r="H64" i="2"/>
  <c r="K56" i="2"/>
  <c r="K48" i="2"/>
  <c r="K39" i="2"/>
  <c r="K7" i="2"/>
  <c r="K23" i="2"/>
  <c r="K62" i="2"/>
  <c r="H118" i="2"/>
  <c r="H70" i="2"/>
  <c r="K29" i="2"/>
  <c r="K38" i="2"/>
  <c r="K54" i="2"/>
  <c r="K94" i="2"/>
  <c r="K50" i="2"/>
  <c r="H96" i="2"/>
  <c r="H80" i="2"/>
  <c r="H32" i="2"/>
  <c r="K77" i="2"/>
  <c r="H119" i="2"/>
  <c r="H111" i="2"/>
  <c r="H103" i="2"/>
  <c r="H95" i="2"/>
  <c r="H87" i="2"/>
  <c r="H79" i="2"/>
  <c r="H71" i="2"/>
  <c r="H63" i="2"/>
  <c r="H55" i="2"/>
  <c r="H47" i="2"/>
  <c r="H39" i="2"/>
  <c r="H31" i="2"/>
  <c r="H23" i="2"/>
  <c r="H15" i="2"/>
  <c r="H7" i="2"/>
  <c r="K90" i="2"/>
  <c r="K71" i="2"/>
  <c r="H110" i="2"/>
  <c r="H102" i="2"/>
  <c r="H94" i="2"/>
  <c r="H86" i="2"/>
  <c r="H78" i="2"/>
  <c r="H62" i="2"/>
  <c r="H54" i="2"/>
  <c r="H46" i="2"/>
  <c r="H38" i="2"/>
  <c r="H30" i="2"/>
  <c r="H22" i="2"/>
  <c r="H14" i="2"/>
  <c r="H6" i="2"/>
  <c r="K97" i="2"/>
  <c r="K81" i="2"/>
  <c r="K33" i="2"/>
  <c r="T7" i="2" a="1"/>
  <c r="K58" i="2"/>
  <c r="H125" i="2"/>
  <c r="H117" i="2"/>
  <c r="H109" i="2"/>
  <c r="H101" i="2"/>
  <c r="H93" i="2"/>
  <c r="H85" i="2"/>
  <c r="H77" i="2"/>
  <c r="H69" i="2"/>
  <c r="H61" i="2"/>
  <c r="H53" i="2"/>
  <c r="H45" i="2"/>
  <c r="H37" i="2"/>
  <c r="H29" i="2"/>
  <c r="H21" i="2"/>
  <c r="H13" i="2"/>
  <c r="H5" i="2"/>
  <c r="K112" i="2"/>
  <c r="K96" i="2"/>
  <c r="K72" i="2"/>
  <c r="K93" i="2"/>
  <c r="K106" i="2"/>
  <c r="H68" i="2"/>
  <c r="H60" i="2"/>
  <c r="H44" i="2"/>
  <c r="H36" i="2"/>
  <c r="H12" i="2"/>
  <c r="H4" i="2"/>
  <c r="K95" i="2"/>
  <c r="K79" i="2"/>
  <c r="K47" i="2"/>
  <c r="H107" i="2"/>
  <c r="H99" i="2"/>
  <c r="H75" i="2"/>
  <c r="H67" i="2"/>
  <c r="H59" i="2"/>
  <c r="H43" i="2"/>
  <c r="H35" i="2"/>
  <c r="H27" i="2"/>
  <c r="H19" i="2"/>
  <c r="H11" i="2"/>
  <c r="H3" i="2"/>
  <c r="H122" i="2"/>
  <c r="H114" i="2"/>
  <c r="H106" i="2"/>
  <c r="H98" i="2"/>
  <c r="H82" i="2"/>
  <c r="H74" i="2"/>
  <c r="H66" i="2"/>
  <c r="H58" i="2"/>
  <c r="H50" i="2"/>
  <c r="H42" i="2"/>
  <c r="H34" i="2"/>
  <c r="H26" i="2"/>
  <c r="H18" i="2"/>
  <c r="H10" i="2"/>
  <c r="K109" i="2"/>
  <c r="K122" i="2"/>
  <c r="H113" i="2"/>
  <c r="H89" i="2"/>
  <c r="H73" i="2"/>
  <c r="H65" i="2"/>
  <c r="H57" i="2"/>
  <c r="H49" i="2"/>
  <c r="H41" i="2"/>
  <c r="H25" i="2"/>
  <c r="H17" i="2"/>
  <c r="H9" i="2"/>
  <c r="K124" i="2"/>
  <c r="K116" i="2"/>
  <c r="K100" i="2"/>
  <c r="K92" i="2"/>
  <c r="K84" i="2"/>
  <c r="K68" i="2"/>
  <c r="K52" i="2"/>
  <c r="K44" i="2"/>
  <c r="K36" i="2"/>
  <c r="K28" i="2"/>
  <c r="K20" i="2"/>
  <c r="K12" i="2"/>
  <c r="K4" i="2"/>
  <c r="H120" i="2"/>
  <c r="H88" i="2"/>
  <c r="H56" i="2"/>
  <c r="H48" i="2"/>
  <c r="H40" i="2"/>
  <c r="H24" i="2"/>
  <c r="H16" i="2"/>
  <c r="H8" i="2"/>
  <c r="K123" i="2"/>
  <c r="K115" i="2"/>
  <c r="K99" i="2"/>
  <c r="K91" i="2"/>
  <c r="K83" i="2"/>
  <c r="K67" i="2"/>
  <c r="K59" i="2"/>
  <c r="K51" i="2"/>
  <c r="K43" i="2"/>
  <c r="K35" i="2"/>
  <c r="K19" i="2"/>
  <c r="K11" i="2"/>
  <c r="K60" i="2"/>
  <c r="K108" i="2"/>
  <c r="K69" i="2"/>
  <c r="K76" i="2"/>
  <c r="K103" i="2"/>
  <c r="K31" i="2"/>
  <c r="K66" i="2"/>
  <c r="K8" i="2"/>
  <c r="K15" i="2"/>
  <c r="K25" i="2"/>
  <c r="K85" i="2"/>
  <c r="K102" i="2"/>
  <c r="K117" i="2"/>
  <c r="K87" i="2"/>
  <c r="K113" i="2"/>
  <c r="K119" i="2"/>
  <c r="K70" i="2"/>
  <c r="K105" i="2"/>
  <c r="K9" i="2"/>
  <c r="K24" i="2"/>
  <c r="K41" i="2"/>
  <c r="K49" i="2"/>
  <c r="K57" i="2"/>
  <c r="K86" i="2"/>
  <c r="K101" i="2"/>
  <c r="K118" i="2"/>
  <c r="K65" i="2"/>
  <c r="K80" i="2"/>
  <c r="K89" i="2"/>
  <c r="K121" i="2"/>
  <c r="K22" i="2"/>
  <c r="K37" i="2"/>
  <c r="K45" i="2"/>
  <c r="K53" i="2"/>
  <c r="K61" i="2"/>
  <c r="K125" i="2"/>
  <c r="K5" i="2"/>
  <c r="K30" i="2"/>
  <c r="K13" i="2"/>
  <c r="K6" i="2"/>
  <c r="K21" i="2"/>
  <c r="K107" i="2"/>
  <c r="K27" i="2"/>
  <c r="K75" i="2"/>
  <c r="K16" i="2"/>
  <c r="K40" i="2"/>
  <c r="K64" i="2"/>
  <c r="K88" i="2"/>
  <c r="K120" i="2"/>
  <c r="M3" i="2" l="1" a="1"/>
  <c r="M57" i="2" s="1"/>
  <c r="T13" i="2"/>
  <c r="T14" i="2"/>
  <c r="K32" i="2"/>
  <c r="T15" i="2"/>
  <c r="K104" i="2"/>
  <c r="T7" i="2"/>
  <c r="U10" i="2"/>
  <c r="T16" i="2" s="1"/>
  <c r="T11" i="2"/>
  <c r="U8" i="2"/>
  <c r="U11" i="2"/>
  <c r="T8" i="2"/>
  <c r="U9" i="2"/>
  <c r="T9" i="2"/>
  <c r="U7" i="2"/>
  <c r="T10" i="2"/>
  <c r="J129" i="2"/>
  <c r="H129" i="1"/>
  <c r="H127" i="1"/>
  <c r="I127" i="2"/>
  <c r="I129" i="2"/>
  <c r="K42" i="2"/>
  <c r="K3" i="2"/>
  <c r="H126" i="2"/>
  <c r="J127" i="2"/>
  <c r="K126" i="2" l="1"/>
  <c r="M118" i="2"/>
  <c r="M40" i="2"/>
  <c r="M96" i="2"/>
  <c r="M10" i="2"/>
  <c r="M16" i="2"/>
  <c r="M37" i="2"/>
  <c r="M88" i="2"/>
  <c r="M117" i="2"/>
  <c r="O117" i="2" s="1"/>
  <c r="M50" i="2"/>
  <c r="N50" i="2" s="1"/>
  <c r="M122" i="2"/>
  <c r="Q122" i="2" s="1"/>
  <c r="M48" i="2"/>
  <c r="M41" i="2"/>
  <c r="P41" i="2" s="1"/>
  <c r="M15" i="2"/>
  <c r="M83" i="2"/>
  <c r="M38" i="2"/>
  <c r="M66" i="2"/>
  <c r="M91" i="2"/>
  <c r="M46" i="2"/>
  <c r="P46" i="2" s="1"/>
  <c r="M65" i="2"/>
  <c r="M24" i="2"/>
  <c r="M104" i="2"/>
  <c r="O104" i="2" s="1"/>
  <c r="M76" i="2"/>
  <c r="M19" i="2"/>
  <c r="M52" i="2"/>
  <c r="O52" i="2" s="1"/>
  <c r="M18" i="2"/>
  <c r="M29" i="2"/>
  <c r="M80" i="2"/>
  <c r="M101" i="2"/>
  <c r="M105" i="2"/>
  <c r="M17" i="2"/>
  <c r="P17" i="2" s="1"/>
  <c r="M115" i="2"/>
  <c r="M61" i="2"/>
  <c r="O61" i="2" s="1"/>
  <c r="M112" i="2"/>
  <c r="O112" i="2" s="1"/>
  <c r="M5" i="2"/>
  <c r="M56" i="2"/>
  <c r="M20" i="2"/>
  <c r="M102" i="2"/>
  <c r="M109" i="2"/>
  <c r="M28" i="2"/>
  <c r="M110" i="2"/>
  <c r="O110" i="2" s="1"/>
  <c r="M95" i="2"/>
  <c r="O95" i="2" s="1"/>
  <c r="M79" i="2"/>
  <c r="M43" i="2"/>
  <c r="M98" i="2"/>
  <c r="M123" i="2"/>
  <c r="M78" i="2"/>
  <c r="O78" i="2" s="1"/>
  <c r="M34" i="2"/>
  <c r="M49" i="2"/>
  <c r="M32" i="2"/>
  <c r="M31" i="2"/>
  <c r="M90" i="2"/>
  <c r="M73" i="2"/>
  <c r="M39" i="2"/>
  <c r="M70" i="2"/>
  <c r="M113" i="2"/>
  <c r="M8" i="2"/>
  <c r="M36" i="2"/>
  <c r="O36" i="2" s="1"/>
  <c r="M108" i="2"/>
  <c r="M82" i="2"/>
  <c r="M47" i="2"/>
  <c r="M93" i="2"/>
  <c r="M81" i="2"/>
  <c r="M59" i="2"/>
  <c r="M14" i="2"/>
  <c r="O14" i="2" s="1"/>
  <c r="M45" i="2"/>
  <c r="P45" i="2" s="1"/>
  <c r="M125" i="2"/>
  <c r="M74" i="2"/>
  <c r="M69" i="2"/>
  <c r="M120" i="2"/>
  <c r="Q120" i="2" s="1"/>
  <c r="M84" i="2"/>
  <c r="N84" i="2" s="1"/>
  <c r="M119" i="2"/>
  <c r="Q119" i="2" s="1"/>
  <c r="M6" i="2"/>
  <c r="O6" i="2" s="1"/>
  <c r="M92" i="2"/>
  <c r="M25" i="2"/>
  <c r="M71" i="2"/>
  <c r="M22" i="2"/>
  <c r="M11" i="2"/>
  <c r="N11" i="2" s="1"/>
  <c r="M89" i="2"/>
  <c r="O89" i="2" s="1"/>
  <c r="M51" i="2"/>
  <c r="M13" i="2"/>
  <c r="M64" i="2"/>
  <c r="M55" i="2"/>
  <c r="M21" i="2"/>
  <c r="M72" i="2"/>
  <c r="T17" i="2"/>
  <c r="P74" i="2" s="1"/>
  <c r="M97" i="2"/>
  <c r="M68" i="2"/>
  <c r="M87" i="2"/>
  <c r="O87" i="2" s="1"/>
  <c r="M12" i="2"/>
  <c r="O12" i="2" s="1"/>
  <c r="M94" i="2"/>
  <c r="M111" i="2"/>
  <c r="M106" i="2"/>
  <c r="M63" i="2"/>
  <c r="O63" i="2" s="1"/>
  <c r="M3" i="2"/>
  <c r="Q3" i="2" s="1"/>
  <c r="M100" i="2"/>
  <c r="M42" i="2"/>
  <c r="Q42" i="2" s="1"/>
  <c r="M53" i="2"/>
  <c r="N53" i="2" s="1"/>
  <c r="M9" i="2"/>
  <c r="M7" i="2"/>
  <c r="M103" i="2"/>
  <c r="M121" i="2"/>
  <c r="P121" i="2" s="1"/>
  <c r="M27" i="2"/>
  <c r="N27" i="2" s="1"/>
  <c r="M35" i="2"/>
  <c r="M58" i="2"/>
  <c r="O58" i="2" s="1"/>
  <c r="M107" i="2"/>
  <c r="P107" i="2" s="1"/>
  <c r="M62" i="2"/>
  <c r="M60" i="2"/>
  <c r="M67" i="2"/>
  <c r="M99" i="2"/>
  <c r="O99" i="2" s="1"/>
  <c r="M54" i="2"/>
  <c r="M44" i="2"/>
  <c r="M23" i="2"/>
  <c r="N23" i="2" s="1"/>
  <c r="M124" i="2"/>
  <c r="O124" i="2" s="1"/>
  <c r="M114" i="2"/>
  <c r="M4" i="2"/>
  <c r="M86" i="2"/>
  <c r="O86" i="2" s="1"/>
  <c r="M75" i="2"/>
  <c r="N75" i="2" s="1"/>
  <c r="M30" i="2"/>
  <c r="O30" i="2" s="1"/>
  <c r="M116" i="2"/>
  <c r="M77" i="2"/>
  <c r="P77" i="2" s="1"/>
  <c r="M33" i="2"/>
  <c r="N33" i="2" s="1"/>
  <c r="M26" i="2"/>
  <c r="M85" i="2"/>
  <c r="N39" i="2"/>
  <c r="O70" i="2"/>
  <c r="N13" i="2"/>
  <c r="N57" i="2"/>
  <c r="O54" i="2"/>
  <c r="N111" i="2"/>
  <c r="N47" i="2"/>
  <c r="O93" i="2"/>
  <c r="N93" i="2"/>
  <c r="O59" i="2"/>
  <c r="N24" i="2"/>
  <c r="N121" i="2"/>
  <c r="Q52" i="2"/>
  <c r="Q27" i="2"/>
  <c r="O16" i="2"/>
  <c r="P88" i="2"/>
  <c r="Q117" i="2"/>
  <c r="Q15" i="2"/>
  <c r="P38" i="2"/>
  <c r="I130" i="2"/>
  <c r="F3" i="1"/>
  <c r="I3" i="1" s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I103" i="1" s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O121" i="2" l="1"/>
  <c r="Q104" i="2"/>
  <c r="N91" i="2"/>
  <c r="Q16" i="2"/>
  <c r="O66" i="2"/>
  <c r="O41" i="2"/>
  <c r="O97" i="2"/>
  <c r="N25" i="2"/>
  <c r="N81" i="2"/>
  <c r="O109" i="2"/>
  <c r="P92" i="2"/>
  <c r="O18" i="2"/>
  <c r="P15" i="2"/>
  <c r="Q38" i="2"/>
  <c r="O50" i="2"/>
  <c r="Q121" i="2"/>
  <c r="O96" i="2"/>
  <c r="N120" i="2"/>
  <c r="O15" i="2"/>
  <c r="O88" i="2"/>
  <c r="P19" i="2"/>
  <c r="O120" i="2"/>
  <c r="O34" i="2"/>
  <c r="P67" i="2"/>
  <c r="N103" i="2"/>
  <c r="O72" i="2"/>
  <c r="O22" i="2"/>
  <c r="N69" i="2"/>
  <c r="P47" i="2"/>
  <c r="O20" i="2"/>
  <c r="N101" i="2"/>
  <c r="O24" i="2"/>
  <c r="Q41" i="2"/>
  <c r="Q10" i="2"/>
  <c r="O7" i="2"/>
  <c r="N45" i="2"/>
  <c r="P53" i="2"/>
  <c r="N87" i="2"/>
  <c r="Q76" i="2"/>
  <c r="N83" i="2"/>
  <c r="O37" i="2"/>
  <c r="Q92" i="2"/>
  <c r="P91" i="2"/>
  <c r="O49" i="2"/>
  <c r="O102" i="2"/>
  <c r="Q45" i="2"/>
  <c r="P66" i="2"/>
  <c r="N10" i="2"/>
  <c r="O42" i="2"/>
  <c r="P126" i="2"/>
  <c r="O60" i="2"/>
  <c r="Q66" i="2"/>
  <c r="P122" i="2"/>
  <c r="Q18" i="2"/>
  <c r="N76" i="2"/>
  <c r="N42" i="2"/>
  <c r="Q74" i="2"/>
  <c r="N63" i="2"/>
  <c r="N55" i="2"/>
  <c r="O26" i="2"/>
  <c r="O114" i="2"/>
  <c r="O62" i="2"/>
  <c r="P9" i="2"/>
  <c r="N94" i="2"/>
  <c r="P25" i="2"/>
  <c r="N125" i="2"/>
  <c r="O108" i="2"/>
  <c r="N31" i="2"/>
  <c r="N79" i="2"/>
  <c r="O5" i="2"/>
  <c r="P29" i="2"/>
  <c r="N46" i="2"/>
  <c r="N122" i="2"/>
  <c r="O40" i="2"/>
  <c r="Q108" i="2"/>
  <c r="Q50" i="2"/>
  <c r="P37" i="2"/>
  <c r="P18" i="2"/>
  <c r="Q9" i="2"/>
  <c r="O92" i="2"/>
  <c r="O45" i="2"/>
  <c r="O94" i="2"/>
  <c r="Q36" i="2"/>
  <c r="P105" i="2"/>
  <c r="O90" i="2"/>
  <c r="Q46" i="2"/>
  <c r="P50" i="2"/>
  <c r="N37" i="2"/>
  <c r="N18" i="2"/>
  <c r="Q19" i="2"/>
  <c r="O9" i="2"/>
  <c r="N92" i="2"/>
  <c r="P3" i="2"/>
  <c r="O116" i="2"/>
  <c r="O44" i="2"/>
  <c r="P35" i="2"/>
  <c r="N100" i="2"/>
  <c r="Q68" i="2"/>
  <c r="P51" i="2"/>
  <c r="O119" i="2"/>
  <c r="Q59" i="2"/>
  <c r="P113" i="2"/>
  <c r="P34" i="2"/>
  <c r="P28" i="2"/>
  <c r="P115" i="2"/>
  <c r="N19" i="2"/>
  <c r="N38" i="2"/>
  <c r="Q88" i="2"/>
  <c r="O46" i="2"/>
  <c r="N95" i="2"/>
  <c r="P120" i="2"/>
  <c r="N15" i="2"/>
  <c r="P16" i="2"/>
  <c r="Q91" i="2"/>
  <c r="O83" i="2"/>
  <c r="Q48" i="2"/>
  <c r="N117" i="2"/>
  <c r="N16" i="2"/>
  <c r="P52" i="2"/>
  <c r="O103" i="2"/>
  <c r="Q53" i="2"/>
  <c r="Q100" i="2"/>
  <c r="O84" i="2"/>
  <c r="O125" i="2"/>
  <c r="O106" i="2"/>
  <c r="O68" i="2"/>
  <c r="O98" i="2"/>
  <c r="O91" i="2"/>
  <c r="Q83" i="2"/>
  <c r="P48" i="2"/>
  <c r="O76" i="2"/>
  <c r="O53" i="2"/>
  <c r="O81" i="2"/>
  <c r="O75" i="2"/>
  <c r="N113" i="2"/>
  <c r="N85" i="2"/>
  <c r="O4" i="2"/>
  <c r="N7" i="2"/>
  <c r="Q111" i="2"/>
  <c r="P21" i="2"/>
  <c r="P71" i="2"/>
  <c r="N74" i="2"/>
  <c r="O82" i="2"/>
  <c r="P43" i="2"/>
  <c r="O56" i="2"/>
  <c r="O80" i="2"/>
  <c r="N65" i="2"/>
  <c r="O48" i="2"/>
  <c r="N96" i="2"/>
  <c r="O38" i="2"/>
  <c r="N88" i="2"/>
  <c r="P119" i="2"/>
  <c r="P59" i="2"/>
  <c r="Q82" i="2"/>
  <c r="O28" i="2"/>
  <c r="N115" i="2"/>
  <c r="N51" i="2"/>
  <c r="O35" i="2"/>
  <c r="O32" i="2"/>
  <c r="O33" i="2"/>
  <c r="N124" i="2"/>
  <c r="N107" i="2"/>
  <c r="N12" i="2"/>
  <c r="N64" i="2"/>
  <c r="N36" i="2"/>
  <c r="P32" i="2"/>
  <c r="P95" i="2"/>
  <c r="P112" i="2"/>
  <c r="P118" i="2"/>
  <c r="N48" i="2"/>
  <c r="O10" i="2"/>
  <c r="O27" i="2"/>
  <c r="O19" i="2"/>
  <c r="P76" i="2"/>
  <c r="N9" i="2"/>
  <c r="O65" i="2"/>
  <c r="N119" i="2"/>
  <c r="O69" i="2"/>
  <c r="N59" i="2"/>
  <c r="N126" i="2"/>
  <c r="Q106" i="2"/>
  <c r="Q12" i="2"/>
  <c r="Q33" i="2"/>
  <c r="O64" i="2"/>
  <c r="O8" i="2"/>
  <c r="P23" i="2"/>
  <c r="N8" i="2"/>
  <c r="N49" i="2"/>
  <c r="P100" i="2"/>
  <c r="P83" i="2"/>
  <c r="Q81" i="2"/>
  <c r="Q116" i="2"/>
  <c r="O122" i="2"/>
  <c r="Q7" i="2"/>
  <c r="O100" i="2"/>
  <c r="O74" i="2"/>
  <c r="N43" i="2"/>
  <c r="P11" i="2"/>
  <c r="P93" i="2"/>
  <c r="P39" i="2"/>
  <c r="Q123" i="2"/>
  <c r="P102" i="2"/>
  <c r="O105" i="2"/>
  <c r="P104" i="2"/>
  <c r="N66" i="2"/>
  <c r="N41" i="2"/>
  <c r="N52" i="2"/>
  <c r="Q103" i="2"/>
  <c r="N104" i="2"/>
  <c r="P42" i="2"/>
  <c r="N6" i="2"/>
  <c r="N14" i="2"/>
  <c r="Q63" i="2"/>
  <c r="O118" i="2"/>
  <c r="N73" i="2"/>
  <c r="Q67" i="2"/>
  <c r="P99" i="2"/>
  <c r="N40" i="2"/>
  <c r="N97" i="2"/>
  <c r="N118" i="2"/>
  <c r="N26" i="2"/>
  <c r="N77" i="2"/>
  <c r="N30" i="2"/>
  <c r="N86" i="2"/>
  <c r="N114" i="2"/>
  <c r="O23" i="2"/>
  <c r="N54" i="2"/>
  <c r="N28" i="2"/>
  <c r="N102" i="2"/>
  <c r="N56" i="2"/>
  <c r="N112" i="2"/>
  <c r="O115" i="2"/>
  <c r="N105" i="2"/>
  <c r="N80" i="2"/>
  <c r="O57" i="2"/>
  <c r="N99" i="2"/>
  <c r="N60" i="2"/>
  <c r="N72" i="2"/>
  <c r="O55" i="2"/>
  <c r="O51" i="2"/>
  <c r="O11" i="2"/>
  <c r="N67" i="2"/>
  <c r="N62" i="2"/>
  <c r="N35" i="2"/>
  <c r="O113" i="2"/>
  <c r="O39" i="2"/>
  <c r="N90" i="2"/>
  <c r="N32" i="2"/>
  <c r="N34" i="2"/>
  <c r="N123" i="2"/>
  <c r="O43" i="2"/>
  <c r="Q75" i="2"/>
  <c r="Q4" i="2"/>
  <c r="Q124" i="2"/>
  <c r="Q44" i="2"/>
  <c r="Q110" i="2"/>
  <c r="Q109" i="2"/>
  <c r="Q20" i="2"/>
  <c r="Q5" i="2"/>
  <c r="Q61" i="2"/>
  <c r="O17" i="2"/>
  <c r="Q101" i="2"/>
  <c r="Q29" i="2"/>
  <c r="Q85" i="2"/>
  <c r="Q64" i="2"/>
  <c r="Q58" i="2"/>
  <c r="Q21" i="2"/>
  <c r="Q13" i="2"/>
  <c r="Q89" i="2"/>
  <c r="Q22" i="2"/>
  <c r="O71" i="2"/>
  <c r="O107" i="2"/>
  <c r="Q8" i="2"/>
  <c r="Q70" i="2"/>
  <c r="Q73" i="2"/>
  <c r="Q31" i="2"/>
  <c r="Q49" i="2"/>
  <c r="Q78" i="2"/>
  <c r="Q98" i="2"/>
  <c r="Q79" i="2"/>
  <c r="P81" i="2"/>
  <c r="O126" i="2"/>
  <c r="P63" i="2"/>
  <c r="P106" i="2"/>
  <c r="P111" i="2"/>
  <c r="P12" i="2"/>
  <c r="P68" i="2"/>
  <c r="P82" i="2"/>
  <c r="P108" i="2"/>
  <c r="P36" i="2"/>
  <c r="P33" i="2"/>
  <c r="P116" i="2"/>
  <c r="P75" i="2"/>
  <c r="P4" i="2"/>
  <c r="P124" i="2"/>
  <c r="P44" i="2"/>
  <c r="P110" i="2"/>
  <c r="P109" i="2"/>
  <c r="P20" i="2"/>
  <c r="P5" i="2"/>
  <c r="P61" i="2"/>
  <c r="Q17" i="2"/>
  <c r="P101" i="2"/>
  <c r="O29" i="2"/>
  <c r="P85" i="2"/>
  <c r="P64" i="2"/>
  <c r="P58" i="2"/>
  <c r="O21" i="2"/>
  <c r="P13" i="2"/>
  <c r="P89" i="2"/>
  <c r="P22" i="2"/>
  <c r="Q71" i="2"/>
  <c r="Q107" i="2"/>
  <c r="P8" i="2"/>
  <c r="P70" i="2"/>
  <c r="P73" i="2"/>
  <c r="P31" i="2"/>
  <c r="P49" i="2"/>
  <c r="P78" i="2"/>
  <c r="P98" i="2"/>
  <c r="P79" i="2"/>
  <c r="Q126" i="2"/>
  <c r="N106" i="2"/>
  <c r="O111" i="2"/>
  <c r="N68" i="2"/>
  <c r="N82" i="2"/>
  <c r="N108" i="2"/>
  <c r="N116" i="2"/>
  <c r="N4" i="2"/>
  <c r="N44" i="2"/>
  <c r="N110" i="2"/>
  <c r="N109" i="2"/>
  <c r="N20" i="2"/>
  <c r="N5" i="2"/>
  <c r="N61" i="2"/>
  <c r="N17" i="2"/>
  <c r="O101" i="2"/>
  <c r="N29" i="2"/>
  <c r="O85" i="2"/>
  <c r="N58" i="2"/>
  <c r="N21" i="2"/>
  <c r="O13" i="2"/>
  <c r="N89" i="2"/>
  <c r="N22" i="2"/>
  <c r="N71" i="2"/>
  <c r="N70" i="2"/>
  <c r="O73" i="2"/>
  <c r="O31" i="2"/>
  <c r="N78" i="2"/>
  <c r="N98" i="2"/>
  <c r="O79" i="2"/>
  <c r="Q24" i="2"/>
  <c r="Q65" i="2"/>
  <c r="O25" i="2"/>
  <c r="Q6" i="2"/>
  <c r="Q84" i="2"/>
  <c r="Q69" i="2"/>
  <c r="Q125" i="2"/>
  <c r="Q14" i="2"/>
  <c r="Q95" i="2"/>
  <c r="Q93" i="2"/>
  <c r="N3" i="2"/>
  <c r="Q96" i="2"/>
  <c r="O47" i="2"/>
  <c r="Q94" i="2"/>
  <c r="Q87" i="2"/>
  <c r="Q40" i="2"/>
  <c r="Q97" i="2"/>
  <c r="Q118" i="2"/>
  <c r="Q26" i="2"/>
  <c r="Q77" i="2"/>
  <c r="Q30" i="2"/>
  <c r="Q86" i="2"/>
  <c r="Q114" i="2"/>
  <c r="Q23" i="2"/>
  <c r="Q54" i="2"/>
  <c r="Q28" i="2"/>
  <c r="Q102" i="2"/>
  <c r="Q56" i="2"/>
  <c r="Q112" i="2"/>
  <c r="Q115" i="2"/>
  <c r="Q105" i="2"/>
  <c r="Q80" i="2"/>
  <c r="Q57" i="2"/>
  <c r="Q99" i="2"/>
  <c r="Q60" i="2"/>
  <c r="Q72" i="2"/>
  <c r="Q55" i="2"/>
  <c r="Q51" i="2"/>
  <c r="Q11" i="2"/>
  <c r="Q62" i="2"/>
  <c r="Q35" i="2"/>
  <c r="Q113" i="2"/>
  <c r="Q39" i="2"/>
  <c r="Q90" i="2"/>
  <c r="Q32" i="2"/>
  <c r="Q34" i="2"/>
  <c r="O123" i="2"/>
  <c r="Q43" i="2"/>
  <c r="P117" i="2"/>
  <c r="Q37" i="2"/>
  <c r="P10" i="2"/>
  <c r="P27" i="2"/>
  <c r="P103" i="2"/>
  <c r="P7" i="2"/>
  <c r="P24" i="2"/>
  <c r="P65" i="2"/>
  <c r="Q25" i="2"/>
  <c r="P6" i="2"/>
  <c r="P84" i="2"/>
  <c r="P69" i="2"/>
  <c r="P125" i="2"/>
  <c r="P14" i="2"/>
  <c r="O3" i="2"/>
  <c r="P96" i="2"/>
  <c r="Q47" i="2"/>
  <c r="P94" i="2"/>
  <c r="P87" i="2"/>
  <c r="P40" i="2"/>
  <c r="P97" i="2"/>
  <c r="P26" i="2"/>
  <c r="O77" i="2"/>
  <c r="P30" i="2"/>
  <c r="P86" i="2"/>
  <c r="P114" i="2"/>
  <c r="P54" i="2"/>
  <c r="P56" i="2"/>
  <c r="P80" i="2"/>
  <c r="P57" i="2"/>
  <c r="P60" i="2"/>
  <c r="P72" i="2"/>
  <c r="P55" i="2"/>
  <c r="O67" i="2"/>
  <c r="P62" i="2"/>
  <c r="P90" i="2"/>
  <c r="P123" i="2"/>
  <c r="T15" i="1"/>
  <c r="T14" i="1"/>
  <c r="T8" i="1" a="1"/>
  <c r="T16" i="1"/>
  <c r="K3" i="1"/>
  <c r="M3" i="1" a="1"/>
  <c r="J114" i="1"/>
  <c r="K114" i="1"/>
  <c r="J74" i="1"/>
  <c r="K74" i="1"/>
  <c r="J50" i="1"/>
  <c r="K50" i="1"/>
  <c r="J121" i="1"/>
  <c r="K121" i="1"/>
  <c r="J81" i="1"/>
  <c r="K81" i="1"/>
  <c r="J41" i="1"/>
  <c r="K41" i="1"/>
  <c r="J9" i="1"/>
  <c r="K9" i="1"/>
  <c r="J112" i="1"/>
  <c r="K112" i="1"/>
  <c r="J104" i="1"/>
  <c r="K104" i="1"/>
  <c r="J96" i="1"/>
  <c r="K96" i="1"/>
  <c r="J88" i="1"/>
  <c r="K88" i="1"/>
  <c r="J80" i="1"/>
  <c r="K80" i="1"/>
  <c r="J72" i="1"/>
  <c r="K72" i="1"/>
  <c r="J64" i="1"/>
  <c r="K64" i="1"/>
  <c r="J56" i="1"/>
  <c r="K56" i="1"/>
  <c r="J48" i="1"/>
  <c r="K48" i="1"/>
  <c r="J40" i="1"/>
  <c r="K40" i="1"/>
  <c r="J32" i="1"/>
  <c r="K32" i="1"/>
  <c r="J24" i="1"/>
  <c r="K24" i="1"/>
  <c r="J16" i="1"/>
  <c r="K16" i="1"/>
  <c r="J8" i="1"/>
  <c r="K8" i="1"/>
  <c r="J106" i="1"/>
  <c r="K106" i="1"/>
  <c r="J66" i="1"/>
  <c r="K66" i="1"/>
  <c r="J26" i="1"/>
  <c r="K26" i="1"/>
  <c r="J97" i="1"/>
  <c r="K97" i="1"/>
  <c r="J49" i="1"/>
  <c r="K49" i="1"/>
  <c r="J17" i="1"/>
  <c r="K17" i="1"/>
  <c r="J120" i="1"/>
  <c r="K120" i="1"/>
  <c r="J119" i="1"/>
  <c r="K119" i="1"/>
  <c r="J111" i="1"/>
  <c r="K111" i="1"/>
  <c r="J103" i="1"/>
  <c r="K103" i="1"/>
  <c r="J95" i="1"/>
  <c r="K95" i="1"/>
  <c r="J87" i="1"/>
  <c r="K87" i="1"/>
  <c r="J79" i="1"/>
  <c r="K79" i="1"/>
  <c r="J71" i="1"/>
  <c r="K71" i="1"/>
  <c r="J63" i="1"/>
  <c r="K63" i="1"/>
  <c r="J55" i="1"/>
  <c r="K55" i="1"/>
  <c r="J47" i="1"/>
  <c r="K47" i="1"/>
  <c r="J39" i="1"/>
  <c r="K39" i="1"/>
  <c r="J31" i="1"/>
  <c r="K31" i="1"/>
  <c r="J23" i="1"/>
  <c r="K23" i="1"/>
  <c r="J15" i="1"/>
  <c r="K15" i="1"/>
  <c r="J7" i="1"/>
  <c r="K7" i="1"/>
  <c r="J90" i="1"/>
  <c r="K90" i="1"/>
  <c r="J34" i="1"/>
  <c r="K34" i="1"/>
  <c r="J89" i="1"/>
  <c r="K89" i="1"/>
  <c r="J110" i="1"/>
  <c r="K110" i="1"/>
  <c r="J78" i="1"/>
  <c r="K78" i="1"/>
  <c r="J70" i="1"/>
  <c r="K70" i="1"/>
  <c r="J62" i="1"/>
  <c r="K62" i="1"/>
  <c r="J54" i="1"/>
  <c r="K54" i="1"/>
  <c r="J46" i="1"/>
  <c r="K46" i="1"/>
  <c r="J38" i="1"/>
  <c r="K38" i="1"/>
  <c r="J30" i="1"/>
  <c r="K30" i="1"/>
  <c r="J22" i="1"/>
  <c r="K22" i="1"/>
  <c r="J14" i="1"/>
  <c r="K14" i="1"/>
  <c r="J6" i="1"/>
  <c r="K6" i="1"/>
  <c r="J122" i="1"/>
  <c r="K122" i="1"/>
  <c r="J10" i="1"/>
  <c r="K10" i="1"/>
  <c r="J65" i="1"/>
  <c r="K65" i="1"/>
  <c r="J118" i="1"/>
  <c r="K118" i="1"/>
  <c r="J86" i="1"/>
  <c r="K86" i="1"/>
  <c r="J117" i="1"/>
  <c r="K117" i="1"/>
  <c r="J109" i="1"/>
  <c r="K109" i="1"/>
  <c r="J101" i="1"/>
  <c r="K101" i="1"/>
  <c r="J93" i="1"/>
  <c r="K93" i="1"/>
  <c r="J85" i="1"/>
  <c r="K85" i="1"/>
  <c r="J77" i="1"/>
  <c r="K77" i="1"/>
  <c r="J69" i="1"/>
  <c r="K69" i="1"/>
  <c r="J61" i="1"/>
  <c r="K61" i="1"/>
  <c r="J53" i="1"/>
  <c r="K53" i="1"/>
  <c r="J45" i="1"/>
  <c r="K45" i="1"/>
  <c r="J37" i="1"/>
  <c r="K37" i="1"/>
  <c r="J29" i="1"/>
  <c r="K29" i="1"/>
  <c r="J21" i="1"/>
  <c r="K21" i="1"/>
  <c r="J13" i="1"/>
  <c r="K13" i="1"/>
  <c r="J5" i="1"/>
  <c r="K5" i="1"/>
  <c r="J82" i="1"/>
  <c r="K82" i="1"/>
  <c r="J42" i="1"/>
  <c r="K42" i="1"/>
  <c r="J113" i="1"/>
  <c r="K113" i="1"/>
  <c r="J73" i="1"/>
  <c r="K73" i="1"/>
  <c r="J33" i="1"/>
  <c r="K33" i="1"/>
  <c r="J102" i="1"/>
  <c r="K102" i="1"/>
  <c r="J125" i="1"/>
  <c r="K125" i="1"/>
  <c r="J124" i="1"/>
  <c r="K124" i="1"/>
  <c r="J116" i="1"/>
  <c r="K116" i="1"/>
  <c r="J108" i="1"/>
  <c r="K108" i="1"/>
  <c r="J100" i="1"/>
  <c r="K100" i="1"/>
  <c r="J92" i="1"/>
  <c r="K92" i="1"/>
  <c r="J84" i="1"/>
  <c r="K84" i="1"/>
  <c r="J76" i="1"/>
  <c r="K76" i="1"/>
  <c r="J68" i="1"/>
  <c r="K68" i="1"/>
  <c r="J60" i="1"/>
  <c r="K60" i="1"/>
  <c r="J52" i="1"/>
  <c r="K52" i="1"/>
  <c r="J44" i="1"/>
  <c r="K44" i="1"/>
  <c r="J36" i="1"/>
  <c r="K36" i="1"/>
  <c r="J28" i="1"/>
  <c r="K28" i="1"/>
  <c r="J20" i="1"/>
  <c r="K20" i="1"/>
  <c r="J12" i="1"/>
  <c r="K12" i="1"/>
  <c r="J4" i="1"/>
  <c r="K4" i="1"/>
  <c r="J98" i="1"/>
  <c r="K98" i="1"/>
  <c r="J58" i="1"/>
  <c r="K58" i="1"/>
  <c r="J18" i="1"/>
  <c r="K18" i="1"/>
  <c r="J105" i="1"/>
  <c r="K105" i="1"/>
  <c r="J57" i="1"/>
  <c r="K57" i="1"/>
  <c r="J25" i="1"/>
  <c r="K25" i="1"/>
  <c r="J94" i="1"/>
  <c r="K94" i="1"/>
  <c r="J123" i="1"/>
  <c r="K123" i="1"/>
  <c r="J115" i="1"/>
  <c r="K115" i="1"/>
  <c r="J107" i="1"/>
  <c r="K107" i="1"/>
  <c r="J99" i="1"/>
  <c r="K99" i="1"/>
  <c r="J91" i="1"/>
  <c r="K91" i="1"/>
  <c r="J83" i="1"/>
  <c r="K83" i="1"/>
  <c r="J75" i="1"/>
  <c r="K75" i="1"/>
  <c r="J67" i="1"/>
  <c r="K67" i="1"/>
  <c r="J59" i="1"/>
  <c r="K59" i="1"/>
  <c r="J51" i="1"/>
  <c r="K51" i="1"/>
  <c r="J43" i="1"/>
  <c r="K43" i="1"/>
  <c r="J35" i="1"/>
  <c r="K35" i="1"/>
  <c r="J27" i="1"/>
  <c r="K27" i="1"/>
  <c r="J19" i="1"/>
  <c r="K19" i="1"/>
  <c r="J11" i="1"/>
  <c r="K11" i="1"/>
  <c r="I127" i="1"/>
  <c r="I129" i="1"/>
  <c r="J3" i="1"/>
  <c r="G101" i="1"/>
  <c r="G85" i="1"/>
  <c r="G69" i="1"/>
  <c r="G53" i="1"/>
  <c r="G37" i="1"/>
  <c r="G21" i="1"/>
  <c r="G5" i="1"/>
  <c r="G116" i="1"/>
  <c r="G108" i="1"/>
  <c r="G92" i="1"/>
  <c r="G76" i="1"/>
  <c r="G60" i="1"/>
  <c r="G44" i="1"/>
  <c r="G28" i="1"/>
  <c r="G20" i="1"/>
  <c r="G4" i="1"/>
  <c r="G115" i="1"/>
  <c r="G99" i="1"/>
  <c r="G83" i="1"/>
  <c r="G67" i="1"/>
  <c r="G51" i="1"/>
  <c r="G122" i="1"/>
  <c r="G114" i="1"/>
  <c r="G106" i="1"/>
  <c r="G98" i="1"/>
  <c r="G90" i="1"/>
  <c r="G82" i="1"/>
  <c r="G74" i="1"/>
  <c r="G66" i="1"/>
  <c r="G58" i="1"/>
  <c r="G50" i="1"/>
  <c r="G42" i="1"/>
  <c r="G34" i="1"/>
  <c r="G26" i="1"/>
  <c r="G18" i="1"/>
  <c r="G10" i="1"/>
  <c r="G121" i="1"/>
  <c r="G105" i="1"/>
  <c r="G89" i="1"/>
  <c r="G73" i="1"/>
  <c r="G57" i="1"/>
  <c r="G41" i="1"/>
  <c r="G25" i="1"/>
  <c r="G9" i="1"/>
  <c r="G104" i="1"/>
  <c r="G88" i="1"/>
  <c r="G72" i="1"/>
  <c r="G56" i="1"/>
  <c r="G40" i="1"/>
  <c r="G24" i="1"/>
  <c r="G8" i="1"/>
  <c r="G111" i="1"/>
  <c r="G95" i="1"/>
  <c r="G79" i="1"/>
  <c r="G63" i="1"/>
  <c r="G47" i="1"/>
  <c r="G31" i="1"/>
  <c r="G23" i="1"/>
  <c r="G7" i="1"/>
  <c r="G109" i="1"/>
  <c r="G113" i="1"/>
  <c r="G97" i="1"/>
  <c r="G81" i="1"/>
  <c r="G65" i="1"/>
  <c r="G49" i="1"/>
  <c r="G33" i="1"/>
  <c r="G17" i="1"/>
  <c r="G120" i="1"/>
  <c r="G112" i="1"/>
  <c r="G96" i="1"/>
  <c r="G80" i="1"/>
  <c r="G64" i="1"/>
  <c r="G48" i="1"/>
  <c r="G32" i="1"/>
  <c r="G16" i="1"/>
  <c r="G119" i="1"/>
  <c r="G103" i="1"/>
  <c r="G87" i="1"/>
  <c r="G71" i="1"/>
  <c r="G55" i="1"/>
  <c r="G39" i="1"/>
  <c r="G15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125" i="1"/>
  <c r="G117" i="1"/>
  <c r="G93" i="1"/>
  <c r="G77" i="1"/>
  <c r="G61" i="1"/>
  <c r="G45" i="1"/>
  <c r="G29" i="1"/>
  <c r="G13" i="1"/>
  <c r="G124" i="1"/>
  <c r="G100" i="1"/>
  <c r="G84" i="1"/>
  <c r="G68" i="1"/>
  <c r="G52" i="1"/>
  <c r="G36" i="1"/>
  <c r="G12" i="1"/>
  <c r="G123" i="1"/>
  <c r="G107" i="1"/>
  <c r="G91" i="1"/>
  <c r="G75" i="1"/>
  <c r="G59" i="1"/>
  <c r="G43" i="1"/>
  <c r="G35" i="1"/>
  <c r="G27" i="1"/>
  <c r="G19" i="1"/>
  <c r="G11" i="1"/>
  <c r="G3" i="1"/>
  <c r="T8" i="1" l="1"/>
  <c r="U11" i="1"/>
  <c r="T17" i="1" s="1"/>
  <c r="N126" i="1" s="1"/>
  <c r="T12" i="1"/>
  <c r="T11" i="1"/>
  <c r="U8" i="1"/>
  <c r="U10" i="1"/>
  <c r="T10" i="1"/>
  <c r="U9" i="1"/>
  <c r="T9" i="1"/>
  <c r="U12" i="1"/>
  <c r="T18" i="1" s="1"/>
  <c r="K129" i="1"/>
  <c r="K130" i="1" s="1"/>
  <c r="M3" i="1"/>
  <c r="M81" i="1"/>
  <c r="M34" i="1"/>
  <c r="M88" i="1"/>
  <c r="M95" i="1"/>
  <c r="M31" i="1"/>
  <c r="M120" i="1"/>
  <c r="M102" i="1"/>
  <c r="M38" i="1"/>
  <c r="M57" i="1"/>
  <c r="M85" i="1"/>
  <c r="M21" i="1"/>
  <c r="M68" i="1"/>
  <c r="M18" i="1"/>
  <c r="M123" i="1"/>
  <c r="M59" i="1"/>
  <c r="M65" i="1"/>
  <c r="M73" i="1"/>
  <c r="M72" i="1"/>
  <c r="M87" i="1"/>
  <c r="M23" i="1"/>
  <c r="M96" i="1"/>
  <c r="M94" i="1"/>
  <c r="M30" i="1"/>
  <c r="M104" i="1"/>
  <c r="M77" i="1"/>
  <c r="M13" i="1"/>
  <c r="M52" i="1"/>
  <c r="M113" i="1"/>
  <c r="M115" i="1"/>
  <c r="M51" i="1"/>
  <c r="M41" i="1"/>
  <c r="M64" i="1"/>
  <c r="M48" i="1"/>
  <c r="M79" i="1"/>
  <c r="M15" i="1"/>
  <c r="M80" i="1"/>
  <c r="M86" i="1"/>
  <c r="M22" i="1"/>
  <c r="M16" i="1"/>
  <c r="M69" i="1"/>
  <c r="M5" i="1"/>
  <c r="M44" i="1"/>
  <c r="M124" i="1"/>
  <c r="M107" i="1"/>
  <c r="M43" i="1"/>
  <c r="M25" i="1"/>
  <c r="M114" i="1"/>
  <c r="M32" i="1"/>
  <c r="M71" i="1"/>
  <c r="M7" i="1"/>
  <c r="M56" i="1"/>
  <c r="M78" i="1"/>
  <c r="M14" i="1"/>
  <c r="M125" i="1"/>
  <c r="M61" i="1"/>
  <c r="M66" i="1"/>
  <c r="M36" i="1"/>
  <c r="M108" i="1"/>
  <c r="M99" i="1"/>
  <c r="M35" i="1"/>
  <c r="M17" i="1"/>
  <c r="M50" i="1"/>
  <c r="M24" i="1"/>
  <c r="M63" i="1"/>
  <c r="M90" i="1"/>
  <c r="M40" i="1"/>
  <c r="M70" i="1"/>
  <c r="M6" i="1"/>
  <c r="M117" i="1"/>
  <c r="M53" i="1"/>
  <c r="M10" i="1"/>
  <c r="M28" i="1"/>
  <c r="M92" i="1"/>
  <c r="M91" i="1"/>
  <c r="M27" i="1"/>
  <c r="M106" i="1"/>
  <c r="M9" i="1"/>
  <c r="M89" i="1"/>
  <c r="M119" i="1"/>
  <c r="M55" i="1"/>
  <c r="M42" i="1"/>
  <c r="M8" i="1"/>
  <c r="M62" i="1"/>
  <c r="M82" i="1"/>
  <c r="M109" i="1"/>
  <c r="M45" i="1"/>
  <c r="M116" i="1"/>
  <c r="M20" i="1"/>
  <c r="M76" i="1"/>
  <c r="M83" i="1"/>
  <c r="M19" i="1"/>
  <c r="M58" i="1"/>
  <c r="M122" i="1"/>
  <c r="M49" i="1"/>
  <c r="M111" i="1"/>
  <c r="M47" i="1"/>
  <c r="M97" i="1"/>
  <c r="M118" i="1"/>
  <c r="M54" i="1"/>
  <c r="M26" i="1"/>
  <c r="M101" i="1"/>
  <c r="M37" i="1"/>
  <c r="M100" i="1"/>
  <c r="M4" i="1"/>
  <c r="M60" i="1"/>
  <c r="M75" i="1"/>
  <c r="M11" i="1"/>
  <c r="M121" i="1"/>
  <c r="M74" i="1"/>
  <c r="M112" i="1"/>
  <c r="M103" i="1"/>
  <c r="M39" i="1"/>
  <c r="M33" i="1"/>
  <c r="M110" i="1"/>
  <c r="M46" i="1"/>
  <c r="M105" i="1"/>
  <c r="M93" i="1"/>
  <c r="M29" i="1"/>
  <c r="M84" i="1"/>
  <c r="M98" i="1"/>
  <c r="M12" i="1"/>
  <c r="M67" i="1"/>
  <c r="J126" i="1"/>
  <c r="G126" i="1"/>
  <c r="P84" i="1" l="1"/>
  <c r="Q84" i="1"/>
  <c r="O84" i="1"/>
  <c r="N84" i="1"/>
  <c r="O102" i="1"/>
  <c r="N102" i="1"/>
  <c r="P102" i="1"/>
  <c r="Q102" i="1"/>
  <c r="N29" i="1"/>
  <c r="O29" i="1"/>
  <c r="P29" i="1"/>
  <c r="Q29" i="1"/>
  <c r="N49" i="1"/>
  <c r="O49" i="1"/>
  <c r="P49" i="1"/>
  <c r="Q49" i="1"/>
  <c r="N89" i="1"/>
  <c r="O89" i="1"/>
  <c r="P89" i="1"/>
  <c r="Q89" i="1"/>
  <c r="N50" i="1"/>
  <c r="O50" i="1"/>
  <c r="P50" i="1"/>
  <c r="Q50" i="1"/>
  <c r="N22" i="1"/>
  <c r="O22" i="1"/>
  <c r="P22" i="1"/>
  <c r="Q22" i="1"/>
  <c r="N105" i="1"/>
  <c r="O105" i="1"/>
  <c r="P105" i="1"/>
  <c r="Q105" i="1"/>
  <c r="N26" i="1"/>
  <c r="O26" i="1"/>
  <c r="P26" i="1"/>
  <c r="Q26" i="1"/>
  <c r="N54" i="1"/>
  <c r="O54" i="1"/>
  <c r="P54" i="1"/>
  <c r="Q54" i="1"/>
  <c r="N111" i="1"/>
  <c r="O111" i="1"/>
  <c r="Q111" i="1"/>
  <c r="P111" i="1"/>
  <c r="Q59" i="1"/>
  <c r="N59" i="1"/>
  <c r="O59" i="1"/>
  <c r="P59" i="1"/>
  <c r="P112" i="1"/>
  <c r="Q112" i="1"/>
  <c r="O112" i="1"/>
  <c r="N112" i="1"/>
  <c r="N45" i="1"/>
  <c r="O45" i="1"/>
  <c r="P45" i="1"/>
  <c r="Q45" i="1"/>
  <c r="N53" i="1"/>
  <c r="O53" i="1"/>
  <c r="P53" i="1"/>
  <c r="Q53" i="1"/>
  <c r="N125" i="1"/>
  <c r="O125" i="1"/>
  <c r="P125" i="1"/>
  <c r="Q125" i="1"/>
  <c r="N25" i="1"/>
  <c r="O25" i="1"/>
  <c r="P25" i="1"/>
  <c r="Q25" i="1"/>
  <c r="N94" i="1"/>
  <c r="O94" i="1"/>
  <c r="P94" i="1"/>
  <c r="Q94" i="1"/>
  <c r="N123" i="1"/>
  <c r="O123" i="1"/>
  <c r="Q123" i="1"/>
  <c r="P123" i="1"/>
  <c r="P120" i="1"/>
  <c r="N120" i="1"/>
  <c r="Q120" i="1"/>
  <c r="O120" i="1"/>
  <c r="N121" i="1"/>
  <c r="O121" i="1"/>
  <c r="P121" i="1"/>
  <c r="Q121" i="1"/>
  <c r="N58" i="1"/>
  <c r="O58" i="1"/>
  <c r="P58" i="1"/>
  <c r="Q58" i="1"/>
  <c r="N82" i="1"/>
  <c r="O82" i="1"/>
  <c r="P82" i="1"/>
  <c r="Q82" i="1"/>
  <c r="O106" i="1"/>
  <c r="N106" i="1"/>
  <c r="P106" i="1"/>
  <c r="Q106" i="1"/>
  <c r="N6" i="1"/>
  <c r="O6" i="1"/>
  <c r="P6" i="1"/>
  <c r="Q6" i="1"/>
  <c r="Q35" i="1"/>
  <c r="N35" i="1"/>
  <c r="O35" i="1"/>
  <c r="P35" i="1"/>
  <c r="N78" i="1"/>
  <c r="O78" i="1"/>
  <c r="P78" i="1"/>
  <c r="Q78" i="1"/>
  <c r="O107" i="1"/>
  <c r="Q107" i="1"/>
  <c r="N107" i="1"/>
  <c r="P107" i="1"/>
  <c r="P80" i="1"/>
  <c r="Q80" i="1"/>
  <c r="N80" i="1"/>
  <c r="O80" i="1"/>
  <c r="N113" i="1"/>
  <c r="O113" i="1"/>
  <c r="P113" i="1"/>
  <c r="Q113" i="1"/>
  <c r="Q23" i="1"/>
  <c r="N23" i="1"/>
  <c r="O23" i="1"/>
  <c r="P23" i="1"/>
  <c r="P68" i="1"/>
  <c r="Q68" i="1"/>
  <c r="O68" i="1"/>
  <c r="N68" i="1"/>
  <c r="N95" i="1"/>
  <c r="Q95" i="1"/>
  <c r="O95" i="1"/>
  <c r="P95" i="1"/>
  <c r="N46" i="1"/>
  <c r="O46" i="1"/>
  <c r="P46" i="1"/>
  <c r="Q46" i="1"/>
  <c r="N62" i="1"/>
  <c r="O62" i="1"/>
  <c r="P62" i="1"/>
  <c r="Q62" i="1"/>
  <c r="P56" i="1"/>
  <c r="Q56" i="1"/>
  <c r="O56" i="1"/>
  <c r="N56" i="1"/>
  <c r="P88" i="1"/>
  <c r="Q88" i="1"/>
  <c r="N88" i="1"/>
  <c r="O88" i="1"/>
  <c r="O110" i="1"/>
  <c r="N110" i="1"/>
  <c r="P110" i="1"/>
  <c r="Q110" i="1"/>
  <c r="N5" i="1"/>
  <c r="O5" i="1"/>
  <c r="P5" i="1"/>
  <c r="Q5" i="1"/>
  <c r="P100" i="1"/>
  <c r="Q100" i="1"/>
  <c r="N100" i="1"/>
  <c r="O100" i="1"/>
  <c r="O119" i="1"/>
  <c r="Q119" i="1"/>
  <c r="N119" i="1"/>
  <c r="P119" i="1"/>
  <c r="P24" i="1"/>
  <c r="O24" i="1"/>
  <c r="Q24" i="1"/>
  <c r="N24" i="1"/>
  <c r="N114" i="1"/>
  <c r="O114" i="1"/>
  <c r="P114" i="1"/>
  <c r="Q114" i="1"/>
  <c r="N30" i="1"/>
  <c r="O30" i="1"/>
  <c r="P30" i="1"/>
  <c r="Q30" i="1"/>
  <c r="N11" i="1"/>
  <c r="Q11" i="1"/>
  <c r="O11" i="1"/>
  <c r="P11" i="1"/>
  <c r="Q19" i="1"/>
  <c r="N19" i="1"/>
  <c r="O19" i="1"/>
  <c r="P19" i="1"/>
  <c r="N27" i="1"/>
  <c r="O27" i="1"/>
  <c r="P27" i="1"/>
  <c r="Q27" i="1"/>
  <c r="N70" i="1"/>
  <c r="O70" i="1"/>
  <c r="P70" i="1"/>
  <c r="Q70" i="1"/>
  <c r="N99" i="1"/>
  <c r="Q99" i="1"/>
  <c r="O99" i="1"/>
  <c r="P99" i="1"/>
  <c r="P124" i="1"/>
  <c r="Q124" i="1"/>
  <c r="N124" i="1"/>
  <c r="O124" i="1"/>
  <c r="Q15" i="1"/>
  <c r="N15" i="1"/>
  <c r="O15" i="1"/>
  <c r="P15" i="1"/>
  <c r="P52" i="1"/>
  <c r="Q52" i="1"/>
  <c r="N52" i="1"/>
  <c r="O52" i="1"/>
  <c r="N87" i="1"/>
  <c r="O87" i="1"/>
  <c r="P87" i="1"/>
  <c r="Q87" i="1"/>
  <c r="N21" i="1"/>
  <c r="O21" i="1"/>
  <c r="P21" i="1"/>
  <c r="Q21" i="1"/>
  <c r="N67" i="1"/>
  <c r="Q67" i="1"/>
  <c r="O67" i="1"/>
  <c r="P67" i="1"/>
  <c r="Q75" i="1"/>
  <c r="N75" i="1"/>
  <c r="O75" i="1"/>
  <c r="P75" i="1"/>
  <c r="O118" i="1"/>
  <c r="N118" i="1"/>
  <c r="P118" i="1"/>
  <c r="Q118" i="1"/>
  <c r="Q83" i="1"/>
  <c r="N83" i="1"/>
  <c r="O83" i="1"/>
  <c r="P83" i="1"/>
  <c r="P8" i="1"/>
  <c r="Q8" i="1"/>
  <c r="O8" i="1"/>
  <c r="N8" i="1"/>
  <c r="Q91" i="1"/>
  <c r="N91" i="1"/>
  <c r="O91" i="1"/>
  <c r="P91" i="1"/>
  <c r="P40" i="1"/>
  <c r="Q40" i="1"/>
  <c r="O40" i="1"/>
  <c r="N40" i="1"/>
  <c r="P108" i="1"/>
  <c r="Q108" i="1"/>
  <c r="N108" i="1"/>
  <c r="O108" i="1"/>
  <c r="N7" i="1"/>
  <c r="O7" i="1"/>
  <c r="Q7" i="1"/>
  <c r="P7" i="1"/>
  <c r="P44" i="1"/>
  <c r="Q44" i="1"/>
  <c r="O44" i="1"/>
  <c r="N44" i="1"/>
  <c r="Q79" i="1"/>
  <c r="N79" i="1"/>
  <c r="O79" i="1"/>
  <c r="P79" i="1"/>
  <c r="N13" i="1"/>
  <c r="O13" i="1"/>
  <c r="P13" i="1"/>
  <c r="Q13" i="1"/>
  <c r="P72" i="1"/>
  <c r="Q72" i="1"/>
  <c r="O72" i="1"/>
  <c r="N72" i="1"/>
  <c r="N85" i="1"/>
  <c r="O85" i="1"/>
  <c r="P85" i="1"/>
  <c r="Q85" i="1"/>
  <c r="N34" i="1"/>
  <c r="O34" i="1"/>
  <c r="P34" i="1"/>
  <c r="Q34" i="1"/>
  <c r="P12" i="1"/>
  <c r="Q12" i="1"/>
  <c r="O12" i="1"/>
  <c r="N12" i="1"/>
  <c r="N33" i="1"/>
  <c r="O33" i="1"/>
  <c r="P33" i="1"/>
  <c r="Q33" i="1"/>
  <c r="P60" i="1"/>
  <c r="Q60" i="1"/>
  <c r="O60" i="1"/>
  <c r="N60" i="1"/>
  <c r="N97" i="1"/>
  <c r="O97" i="1"/>
  <c r="P97" i="1"/>
  <c r="Q97" i="1"/>
  <c r="P76" i="1"/>
  <c r="O76" i="1"/>
  <c r="Q76" i="1"/>
  <c r="N76" i="1"/>
  <c r="N42" i="1"/>
  <c r="O42" i="1"/>
  <c r="P42" i="1"/>
  <c r="Q42" i="1"/>
  <c r="P92" i="1"/>
  <c r="N92" i="1"/>
  <c r="Q92" i="1"/>
  <c r="O92" i="1"/>
  <c r="O90" i="1"/>
  <c r="N90" i="1"/>
  <c r="P90" i="1"/>
  <c r="Q90" i="1"/>
  <c r="P36" i="1"/>
  <c r="Q36" i="1"/>
  <c r="O36" i="1"/>
  <c r="N36" i="1"/>
  <c r="N71" i="1"/>
  <c r="O71" i="1"/>
  <c r="Q71" i="1"/>
  <c r="P71" i="1"/>
  <c r="P48" i="1"/>
  <c r="O48" i="1"/>
  <c r="Q48" i="1"/>
  <c r="N48" i="1"/>
  <c r="N77" i="1"/>
  <c r="O77" i="1"/>
  <c r="P77" i="1"/>
  <c r="Q77" i="1"/>
  <c r="N73" i="1"/>
  <c r="O73" i="1"/>
  <c r="P73" i="1"/>
  <c r="Q73" i="1"/>
  <c r="N57" i="1"/>
  <c r="O57" i="1"/>
  <c r="P57" i="1"/>
  <c r="Q57" i="1"/>
  <c r="N81" i="1"/>
  <c r="O81" i="1"/>
  <c r="P81" i="1"/>
  <c r="Q81" i="1"/>
  <c r="N98" i="1"/>
  <c r="O98" i="1"/>
  <c r="P98" i="1"/>
  <c r="Q98" i="1"/>
  <c r="N39" i="1"/>
  <c r="O39" i="1"/>
  <c r="P39" i="1"/>
  <c r="Q39" i="1"/>
  <c r="P4" i="1"/>
  <c r="Q4" i="1"/>
  <c r="O4" i="1"/>
  <c r="N4" i="1"/>
  <c r="Q47" i="1"/>
  <c r="N47" i="1"/>
  <c r="O47" i="1"/>
  <c r="P47" i="1"/>
  <c r="P20" i="1"/>
  <c r="Q20" i="1"/>
  <c r="N20" i="1"/>
  <c r="O20" i="1"/>
  <c r="Q55" i="1"/>
  <c r="N55" i="1"/>
  <c r="O55" i="1"/>
  <c r="P55" i="1"/>
  <c r="P28" i="1"/>
  <c r="Q28" i="1"/>
  <c r="O28" i="1"/>
  <c r="N28" i="1"/>
  <c r="N63" i="1"/>
  <c r="O63" i="1"/>
  <c r="P63" i="1"/>
  <c r="Q63" i="1"/>
  <c r="N66" i="1"/>
  <c r="O66" i="1"/>
  <c r="P66" i="1"/>
  <c r="Q66" i="1"/>
  <c r="P32" i="1"/>
  <c r="Q32" i="1"/>
  <c r="O32" i="1"/>
  <c r="N32" i="1"/>
  <c r="N69" i="1"/>
  <c r="O69" i="1"/>
  <c r="P69" i="1"/>
  <c r="Q69" i="1"/>
  <c r="P64" i="1"/>
  <c r="Q64" i="1"/>
  <c r="O64" i="1"/>
  <c r="N64" i="1"/>
  <c r="P104" i="1"/>
  <c r="O104" i="1"/>
  <c r="Q104" i="1"/>
  <c r="N104" i="1"/>
  <c r="N65" i="1"/>
  <c r="O65" i="1"/>
  <c r="P65" i="1"/>
  <c r="Q65" i="1"/>
  <c r="N38" i="1"/>
  <c r="O38" i="1"/>
  <c r="P38" i="1"/>
  <c r="Q38" i="1"/>
  <c r="N3" i="1"/>
  <c r="O3" i="1"/>
  <c r="Q3" i="1"/>
  <c r="P3" i="1"/>
  <c r="Q126" i="1"/>
  <c r="O126" i="1"/>
  <c r="P126" i="1"/>
  <c r="Q103" i="1"/>
  <c r="N103" i="1"/>
  <c r="O103" i="1"/>
  <c r="P103" i="1"/>
  <c r="P116" i="1"/>
  <c r="Q116" i="1"/>
  <c r="N116" i="1"/>
  <c r="O116" i="1"/>
  <c r="N10" i="1"/>
  <c r="O10" i="1"/>
  <c r="P10" i="1"/>
  <c r="Q10" i="1"/>
  <c r="N61" i="1"/>
  <c r="O61" i="1"/>
  <c r="P61" i="1"/>
  <c r="Q61" i="1"/>
  <c r="P16" i="1"/>
  <c r="Q16" i="1"/>
  <c r="O16" i="1"/>
  <c r="N16" i="1"/>
  <c r="N41" i="1"/>
  <c r="O41" i="1"/>
  <c r="P41" i="1"/>
  <c r="Q41" i="1"/>
  <c r="N37" i="1"/>
  <c r="O37" i="1"/>
  <c r="P37" i="1"/>
  <c r="Q37" i="1"/>
  <c r="Q51" i="1"/>
  <c r="N51" i="1"/>
  <c r="O51" i="1"/>
  <c r="P51" i="1"/>
  <c r="N93" i="1"/>
  <c r="O93" i="1"/>
  <c r="P93" i="1"/>
  <c r="Q93" i="1"/>
  <c r="O74" i="1"/>
  <c r="N74" i="1"/>
  <c r="P74" i="1"/>
  <c r="Q74" i="1"/>
  <c r="N101" i="1"/>
  <c r="O101" i="1"/>
  <c r="P101" i="1"/>
  <c r="Q101" i="1"/>
  <c r="N122" i="1"/>
  <c r="O122" i="1"/>
  <c r="P122" i="1"/>
  <c r="Q122" i="1"/>
  <c r="N109" i="1"/>
  <c r="O109" i="1"/>
  <c r="P109" i="1"/>
  <c r="Q109" i="1"/>
  <c r="N9" i="1"/>
  <c r="O9" i="1"/>
  <c r="P9" i="1"/>
  <c r="Q9" i="1"/>
  <c r="N117" i="1"/>
  <c r="O117" i="1"/>
  <c r="P117" i="1"/>
  <c r="Q117" i="1"/>
  <c r="N17" i="1"/>
  <c r="O17" i="1"/>
  <c r="P17" i="1"/>
  <c r="Q17" i="1"/>
  <c r="N14" i="1"/>
  <c r="O14" i="1"/>
  <c r="P14" i="1"/>
  <c r="Q14" i="1"/>
  <c r="N43" i="1"/>
  <c r="O43" i="1"/>
  <c r="Q43" i="1"/>
  <c r="P43" i="1"/>
  <c r="O86" i="1"/>
  <c r="N86" i="1"/>
  <c r="P86" i="1"/>
  <c r="Q86" i="1"/>
  <c r="N115" i="1"/>
  <c r="O115" i="1"/>
  <c r="P115" i="1"/>
  <c r="Q115" i="1"/>
  <c r="P96" i="1"/>
  <c r="Q96" i="1"/>
  <c r="O96" i="1"/>
  <c r="N96" i="1"/>
  <c r="N18" i="1"/>
  <c r="O18" i="1"/>
  <c r="P18" i="1"/>
  <c r="Q18" i="1"/>
  <c r="Q31" i="1"/>
  <c r="N31" i="1"/>
  <c r="O31" i="1"/>
  <c r="P31" i="1"/>
</calcChain>
</file>

<file path=xl/sharedStrings.xml><?xml version="1.0" encoding="utf-8"?>
<sst xmlns="http://schemas.openxmlformats.org/spreadsheetml/2006/main" count="589" uniqueCount="299">
  <si>
    <t>Image,Mean BB-Size</t>
  </si>
  <si>
    <t>10 (12)_CT_0.txt,31.873586989</t>
  </si>
  <si>
    <t>9 (11)_CT_0.txt,29.7199662465</t>
  </si>
  <si>
    <t>9 (5)_CT_0.txt,29.289242098000003</t>
  </si>
  <si>
    <t>8 (15)_CT_2.txt,35.750104325500004</t>
  </si>
  <si>
    <t>9 (9)_CT_1.txt,58.1477600475</t>
  </si>
  <si>
    <t>10 (10)_CT_1.txt,23.6898281675</t>
  </si>
  <si>
    <t>5 (7)_CT_1.txt,52.1176219685</t>
  </si>
  <si>
    <t>10 (9)_CT_1.txt,43.07241485</t>
  </si>
  <si>
    <t>8 (4)_CT_1.txt,28.427793801</t>
  </si>
  <si>
    <t>8 (16)_CT_2.txt,40.0573458105</t>
  </si>
  <si>
    <t>10 (11)_CT_0.txt,18.951862534</t>
  </si>
  <si>
    <t>8 (11)_CT_2.txt,31.442862840500002</t>
  </si>
  <si>
    <t>9 (2)_CT_1.txt,21.966931573500002</t>
  </si>
  <si>
    <t>8 (6)_CT_1.txt,31.873586989</t>
  </si>
  <si>
    <t>10 (6)_CT_2.txt,23.6898281675</t>
  </si>
  <si>
    <t>7 (19)_CT_0.txt,32.3043111375</t>
  </si>
  <si>
    <t>7 (18)_CT_0.txt,31.012138692</t>
  </si>
  <si>
    <t>8 (6)_CT_2.txt,33.1657594345</t>
  </si>
  <si>
    <t>10 (6)_CT_1.txt,22.397655722</t>
  </si>
  <si>
    <t>7 (17)_CT_1.txt,22.8283798705</t>
  </si>
  <si>
    <t>8 (2)_CT_1.txt,22.397655722</t>
  </si>
  <si>
    <t>25 (6)_CT_0.txt,24.120552316</t>
  </si>
  <si>
    <t>10 (6)_CT_0.txt,22.8283798705</t>
  </si>
  <si>
    <t>10 (12)_CT_1.txt,32.3043111375</t>
  </si>
  <si>
    <t>10 (1)_CT_3.txt,37.042276771000004</t>
  </si>
  <si>
    <t>10 (16)_CT_0.txt,28.427793801</t>
  </si>
  <si>
    <t>7 (16)_CT_1.txt,30.5814145435</t>
  </si>
  <si>
    <t>10 (1)_CT_1.txt,37.903725068</t>
  </si>
  <si>
    <t>6 (6)_CT_0.txt,102.0816231945</t>
  </si>
  <si>
    <t>7 (3)_CT_0.txt,37.4730009195</t>
  </si>
  <si>
    <t>8 (9)_CT_2.txt,31.873586989</t>
  </si>
  <si>
    <t>7 (9)_CT_0.txt,25.4127247615</t>
  </si>
  <si>
    <t>7 (18)_CT_1.txt,31.012138692</t>
  </si>
  <si>
    <t>8 (5)_CT_2.txt,33.1657594345</t>
  </si>
  <si>
    <t>10 (9)_CT_0.txt,42.210966553</t>
  </si>
  <si>
    <t>10 (16)_CT_5.txt,27.566345504</t>
  </si>
  <si>
    <t>8 (5)_CT_1.txt,35.750104325500004</t>
  </si>
  <si>
    <t>9 (6)_CT_2.txt,39.626621662</t>
  </si>
  <si>
    <t>10 (16)_CT_2.txt,27.997069652500002</t>
  </si>
  <si>
    <t>10 (16)_CT_4.txt,27.1356213555</t>
  </si>
  <si>
    <t>7 (13)_CT_0.txt,25.4127247615</t>
  </si>
  <si>
    <t>5 (7)_CT_0.txt,50.3947253745</t>
  </si>
  <si>
    <t>6 (5)_CT_0.txt,104.235243937</t>
  </si>
  <si>
    <t>9 (5)_CT_1.txt,30.5814145435</t>
  </si>
  <si>
    <t>8 (5)_CT_3.txt,34.8886560285</t>
  </si>
  <si>
    <t>10 (8)_CT_0.txt,25.84344891</t>
  </si>
  <si>
    <t>10 (4)_CT_2.txt,29.289242098000003</t>
  </si>
  <si>
    <t>9 (3)_CT_1.txt,25.4127247615</t>
  </si>
  <si>
    <t>8 (16)_CT_0.txt,39.626621662</t>
  </si>
  <si>
    <t>10 (10)_CT_3.txt,21.966931573500002</t>
  </si>
  <si>
    <t>10 (12)_CT_4.txt,32.3043111375</t>
  </si>
  <si>
    <t>8 (6)_CT_0.txt,31.442862840500002</t>
  </si>
  <si>
    <t>10 (9)_CT_4.txt,33.1657594345</t>
  </si>
  <si>
    <t>7 (16)_CT_0.txt,31.442862840500002</t>
  </si>
  <si>
    <t>10 (14)_CT_0.txt,26.704897207000002</t>
  </si>
  <si>
    <t>8 (4)_CT_0.txt,29.289242098000003</t>
  </si>
  <si>
    <t>9 (1)_CT_2.txt,30.5814145435</t>
  </si>
  <si>
    <t>8 (9)_CT_3.txt,31.012138692</t>
  </si>
  <si>
    <t>10 (1)_CT_0.txt,38.334449216500005</t>
  </si>
  <si>
    <t>8 (9)_CT_0.txt,31.012138692</t>
  </si>
  <si>
    <t>8 (7)_CT_0.txt,32.735035286</t>
  </si>
  <si>
    <t>10 (16)_CT_6.txt,23.259104019000002</t>
  </si>
  <si>
    <t>7 (15)_CT_1.txt,23.259104019000002</t>
  </si>
  <si>
    <t>8 (15)_CT_0.txt,34.457931880000004</t>
  </si>
  <si>
    <t>9 (6)_CT_0.txt,44.795311444</t>
  </si>
  <si>
    <t>7 (2)_CT_0.txt,28.8585179495</t>
  </si>
  <si>
    <t>10 (12)_CT_3.txt,31.873586989</t>
  </si>
  <si>
    <t>8 (11)_CT_0.txt,31.873586989</t>
  </si>
  <si>
    <t>7 (16)_CT_2.txt,29.289242098000003</t>
  </si>
  <si>
    <t>7 (15)_CT_0.txt,25.4127247615</t>
  </si>
  <si>
    <t>10 (10)_CT_0.txt,24.551276464500003</t>
  </si>
  <si>
    <t>9 (4)_CT_3.txt,23.259104019000002</t>
  </si>
  <si>
    <t>6 (6)_CT_1.txt,96.91293341250001</t>
  </si>
  <si>
    <t>8 (5)_CT_0.txt,34.8886560285</t>
  </si>
  <si>
    <t>10 (1)_CT_2.txt,36.180828474</t>
  </si>
  <si>
    <t>5 (6)_CT_0.txt,45.226035592500004</t>
  </si>
  <si>
    <t>9 (1)_CT_1.txt,29.7199662465</t>
  </si>
  <si>
    <t>9 (1)_CT_0.txt,30.150690395</t>
  </si>
  <si>
    <t>8 (14)_CT_1.txt,26.2741730585</t>
  </si>
  <si>
    <t>7 (4)_CT_1.txt,20.674759128</t>
  </si>
  <si>
    <t>9 (6)_CT_1.txt,43.5031389985</t>
  </si>
  <si>
    <t>10 (1)_CT_4.txt,37.042276771000004</t>
  </si>
  <si>
    <t>5 (6)_CT_1.txt,45.226035592500004</t>
  </si>
  <si>
    <t>10 (4)_CT_0.txt,27.997069652500002</t>
  </si>
  <si>
    <t>9 (12)_CT_1.txt,24.551276464500003</t>
  </si>
  <si>
    <t>9 (12)_CT_3.txt,24.551276464500003</t>
  </si>
  <si>
    <t>7 (20)_CT_3.txt,34.457931880000004</t>
  </si>
  <si>
    <t>9 (7)_CT_0.txt,40.9187941075</t>
  </si>
  <si>
    <t>10 (9)_CT_3.txt,33.1657594345</t>
  </si>
  <si>
    <t>10 (9)_CT_2.txt,33.1657594345</t>
  </si>
  <si>
    <t>9 (3)_CT_3.txt,23.259104019000002</t>
  </si>
  <si>
    <t>7 (19)_CT_1.txt,31.442862840500002</t>
  </si>
  <si>
    <t>8 (16)_CT_1.txt,40.0573458105</t>
  </si>
  <si>
    <t>6 (8)_CT_0.txt,103.8045197885</t>
  </si>
  <si>
    <t>7 (4)_CT_0.txt,21.536207425</t>
  </si>
  <si>
    <t>7 (20)_CT_2.txt,34.8886560285</t>
  </si>
  <si>
    <t>9 (12)_CT_0.txt,24.551276464500003</t>
  </si>
  <si>
    <t>9 (9)_CT_0.txt,52.1176219685</t>
  </si>
  <si>
    <t>9 (4)_CT_0.txt,27.566345504</t>
  </si>
  <si>
    <t>10 (14)_CT_1.txt,25.4127247615</t>
  </si>
  <si>
    <t>7 (14)_CT_0.txt,24.120552316</t>
  </si>
  <si>
    <t>7 (20)_CT_1.txt,34.0272077315</t>
  </si>
  <si>
    <t>8 (14)_CT_2.txt,27.1356213555</t>
  </si>
  <si>
    <t>8 (11)_CT_1.txt,30.5814145435</t>
  </si>
  <si>
    <t>9 (3)_CT_0.txt,25.84344891</t>
  </si>
  <si>
    <t>9 (2)_CT_0.txt,21.536207425</t>
  </si>
  <si>
    <t>7 (20)_CT_0.txt,34.0272077315</t>
  </si>
  <si>
    <t>9 (3)_CT_2.txt,24.551276464500003</t>
  </si>
  <si>
    <t>10 (12)_CT_5.txt,29.7199662465</t>
  </si>
  <si>
    <t>8 (15)_CT_1.txt,34.8886560285</t>
  </si>
  <si>
    <t>10 (16)_CT_1.txt,27.566345504</t>
  </si>
  <si>
    <t>9 (6)_CT_3.txt,40.9187941075</t>
  </si>
  <si>
    <t>10 (12)_CT_2.txt,31.442862840500002</t>
  </si>
  <si>
    <t>8 (14)_CT_0.txt,26.704897207000002</t>
  </si>
  <si>
    <t>7 (9)_CT_1.txt,24.120552316</t>
  </si>
  <si>
    <t>10 (16)_CT_3.txt,28.427793801</t>
  </si>
  <si>
    <t>9 (11)_CT_1.txt,30.5814145435</t>
  </si>
  <si>
    <t>7 (2)_CT_1.txt,28.8585179495</t>
  </si>
  <si>
    <t>7 (17)_CT_0.txt,24.120552316</t>
  </si>
  <si>
    <t>8 (2)_CT_0.txt,22.8283798705</t>
  </si>
  <si>
    <t>10 (10)_CT_2.txt,21.536207425</t>
  </si>
  <si>
    <t>8 (9)_CT_1.txt,31.012138692</t>
  </si>
  <si>
    <t>10 (16)_CT_7.txt,22.8283798705</t>
  </si>
  <si>
    <t>9 (12)_CT_2.txt,25.4127247615</t>
  </si>
  <si>
    <t>10 (4)_CT_1.txt,25.84344891</t>
  </si>
  <si>
    <t>Image</t>
  </si>
  <si>
    <t>10 (12)_CT_0.txt</t>
  </si>
  <si>
    <t>9 (11)_CT_0.txt</t>
  </si>
  <si>
    <t>9 (5)_CT_0.txt</t>
  </si>
  <si>
    <t>8 (15)_CT_2.txt</t>
  </si>
  <si>
    <t>9 (9)_CT_1.txt</t>
  </si>
  <si>
    <t>10 (10)_CT_1.txt</t>
  </si>
  <si>
    <t>5 (7)_CT_1.txt</t>
  </si>
  <si>
    <t>10 (9)_CT_1.txt</t>
  </si>
  <si>
    <t>8 (4)_CT_1.txt</t>
  </si>
  <si>
    <t>8 (16)_CT_2.txt</t>
  </si>
  <si>
    <t>10 (11)_CT_0.txt</t>
  </si>
  <si>
    <t>8 (11)_CT_2.txt</t>
  </si>
  <si>
    <t>9 (2)_CT_1.txt</t>
  </si>
  <si>
    <t>8 (6)_CT_1.txt</t>
  </si>
  <si>
    <t>10 (6)_CT_2.txt</t>
  </si>
  <si>
    <t>7 (19)_CT_0.txt</t>
  </si>
  <si>
    <t>7 (18)_CT_0.txt</t>
  </si>
  <si>
    <t>8 (6)_CT_2.txt</t>
  </si>
  <si>
    <t>10 (6)_CT_1.txt</t>
  </si>
  <si>
    <t>7 (17)_CT_1.txt</t>
  </si>
  <si>
    <t>8 (2)_CT_1.txt</t>
  </si>
  <si>
    <t>25 (6)_CT_0.txt</t>
  </si>
  <si>
    <t>10 (6)_CT_0.txt</t>
  </si>
  <si>
    <t>10 (12)_CT_1.txt</t>
  </si>
  <si>
    <t>10 (1)_CT_3.txt</t>
  </si>
  <si>
    <t>10 (16)_CT_0.txt</t>
  </si>
  <si>
    <t>7 (16)_CT_1.txt</t>
  </si>
  <si>
    <t>10 (1)_CT_1.txt</t>
  </si>
  <si>
    <t>6 (6)_CT_0.txt</t>
  </si>
  <si>
    <t>7 (3)_CT_0.txt</t>
  </si>
  <si>
    <t>8 (9)_CT_2.txt</t>
  </si>
  <si>
    <t>7 (9)_CT_0.txt</t>
  </si>
  <si>
    <t>7 (18)_CT_1.txt</t>
  </si>
  <si>
    <t>8 (5)_CT_2.txt</t>
  </si>
  <si>
    <t>10 (9)_CT_0.txt</t>
  </si>
  <si>
    <t>10 (16)_CT_5.txt</t>
  </si>
  <si>
    <t>8 (5)_CT_1.txt</t>
  </si>
  <si>
    <t>9 (6)_CT_2.txt</t>
  </si>
  <si>
    <t>10 (16)_CT_2.txt</t>
  </si>
  <si>
    <t>10 (16)_CT_4.txt</t>
  </si>
  <si>
    <t>7 (13)_CT_0.txt</t>
  </si>
  <si>
    <t>5 (7)_CT_0.txt</t>
  </si>
  <si>
    <t>6 (5)_CT_0.txt</t>
  </si>
  <si>
    <t>9 (5)_CT_1.txt</t>
  </si>
  <si>
    <t>10 (8)_CT_0.txt</t>
  </si>
  <si>
    <t>10 (4)_CT_2.txt</t>
  </si>
  <si>
    <t>9 (3)_CT_1.txt</t>
  </si>
  <si>
    <t>8 (16)_CT_0.txt</t>
  </si>
  <si>
    <t>10 (10)_CT_3.txt</t>
  </si>
  <si>
    <t>10 (12)_CT_4.txt</t>
  </si>
  <si>
    <t>8 (6)_CT_0.txt</t>
  </si>
  <si>
    <t>7 (16)_CT_0.txt</t>
  </si>
  <si>
    <t>10 (14)_CT_0.txt</t>
  </si>
  <si>
    <t>8 (4)_CT_0.txt</t>
  </si>
  <si>
    <t>9 (1)_CT_2.txt</t>
  </si>
  <si>
    <t>8 (9)_CT_3.txt</t>
  </si>
  <si>
    <t>10 (1)_CT_0.txt</t>
  </si>
  <si>
    <t>8 (9)_CT_0.txt</t>
  </si>
  <si>
    <t>8 (7)_CT_0.txt</t>
  </si>
  <si>
    <t>10 (16)_CT_6.txt</t>
  </si>
  <si>
    <t>7 (15)_CT_1.txt</t>
  </si>
  <si>
    <t>8 (15)_CT_0.txt</t>
  </si>
  <si>
    <t>9 (6)_CT_0.txt</t>
  </si>
  <si>
    <t>7 (2)_CT_0.txt</t>
  </si>
  <si>
    <t>10 (12)_CT_3.txt</t>
  </si>
  <si>
    <t>8 (11)_CT_0.txt</t>
  </si>
  <si>
    <t>7 (16)_CT_2.txt</t>
  </si>
  <si>
    <t>7 (15)_CT_0.txt</t>
  </si>
  <si>
    <t>10 (10)_CT_0.txt</t>
  </si>
  <si>
    <t>9 (4)_CT_3.txt</t>
  </si>
  <si>
    <t>6 (6)_CT_1.txt</t>
  </si>
  <si>
    <t>8 (5)_CT_0.txt</t>
  </si>
  <si>
    <t>10 (1)_CT_2.txt</t>
  </si>
  <si>
    <t>5 (6)_CT_0.txt</t>
  </si>
  <si>
    <t>9 (1)_CT_1.txt</t>
  </si>
  <si>
    <t>9 (1)_CT_0.txt</t>
  </si>
  <si>
    <t>8 (14)_CT_1.txt</t>
  </si>
  <si>
    <t>7 (4)_CT_1.txt</t>
  </si>
  <si>
    <t>9 (6)_CT_1.txt</t>
  </si>
  <si>
    <t>10 (1)_CT_4.txt</t>
  </si>
  <si>
    <t>5 (6)_CT_1.txt</t>
  </si>
  <si>
    <t>10 (4)_CT_0.txt</t>
  </si>
  <si>
    <t>9 (12)_CT_1.txt</t>
  </si>
  <si>
    <t>9 (12)_CT_3.txt</t>
  </si>
  <si>
    <t>7 (20)_CT_3.txt</t>
  </si>
  <si>
    <t>9 (7)_CT_0.txt</t>
  </si>
  <si>
    <t>10 (9)_CT_3.txt</t>
  </si>
  <si>
    <t>10 (9)_CT_2.txt</t>
  </si>
  <si>
    <t>9 (3)_CT_3.txt</t>
  </si>
  <si>
    <t>7 (19)_CT_1.txt</t>
  </si>
  <si>
    <t>8 (16)_CT_1.txt</t>
  </si>
  <si>
    <t>6 (8)_CT_0.txt</t>
  </si>
  <si>
    <t>7 (4)_CT_0.txt</t>
  </si>
  <si>
    <t>7 (20)_CT_2.txt</t>
  </si>
  <si>
    <t>9 (12)_CT_0.txt</t>
  </si>
  <si>
    <t>9 (9)_CT_0.txt</t>
  </si>
  <si>
    <t>9 (4)_CT_0.txt</t>
  </si>
  <si>
    <t>10 (14)_CT_1.txt</t>
  </si>
  <si>
    <t>7 (14)_CT_0.txt</t>
  </si>
  <si>
    <t>7 (20)_CT_1.txt</t>
  </si>
  <si>
    <t>8 (14)_CT_2.txt</t>
  </si>
  <si>
    <t>8 (11)_CT_1.txt</t>
  </si>
  <si>
    <t>9 (3)_CT_0.txt</t>
  </si>
  <si>
    <t>9 (2)_CT_0.txt</t>
  </si>
  <si>
    <t>7 (20)_CT_0.txt</t>
  </si>
  <si>
    <t>9 (3)_CT_2.txt</t>
  </si>
  <si>
    <t>10 (12)_CT_5.txt</t>
  </si>
  <si>
    <t>8 (15)_CT_1.txt</t>
  </si>
  <si>
    <t>10 (16)_CT_1.txt</t>
  </si>
  <si>
    <t>9 (6)_CT_3.txt</t>
  </si>
  <si>
    <t>10 (12)_CT_2.txt</t>
  </si>
  <si>
    <t>8 (14)_CT_0.txt</t>
  </si>
  <si>
    <t>7 (9)_CT_1.txt</t>
  </si>
  <si>
    <t>10 (16)_CT_3.txt</t>
  </si>
  <si>
    <t>9 (11)_CT_1.txt</t>
  </si>
  <si>
    <t>7 (2)_CT_1.txt</t>
  </si>
  <si>
    <t>7 (17)_CT_0.txt</t>
  </si>
  <si>
    <t>8 (2)_CT_0.txt</t>
  </si>
  <si>
    <t>10 (10)_CT_2.txt</t>
  </si>
  <si>
    <t>8 (9)_CT_1.txt</t>
  </si>
  <si>
    <t>10 (16)_CT_7.txt</t>
  </si>
  <si>
    <t>9 (12)_CT_2.txt</t>
  </si>
  <si>
    <t>10 (4)_CT_1.txt</t>
  </si>
  <si>
    <t>True Size X</t>
  </si>
  <si>
    <t>True Size Y</t>
  </si>
  <si>
    <t>(pred-true)^2</t>
  </si>
  <si>
    <t>RMSE (Pixel)</t>
  </si>
  <si>
    <t>Predicted Size</t>
  </si>
  <si>
    <t>Predicted Cooling Capacity [kW]</t>
  </si>
  <si>
    <t>True Cooling Capacity [kW]</t>
  </si>
  <si>
    <t>Formula Cooling Towers</t>
  </si>
  <si>
    <t>P(d) = 672,07*d^2 - 888,62*d + 628,64</t>
  </si>
  <si>
    <t>(pred-true)^22</t>
  </si>
  <si>
    <t>RMSE (kW)</t>
  </si>
  <si>
    <t>Mean kW</t>
  </si>
  <si>
    <t xml:space="preserve">True Mean Size </t>
  </si>
  <si>
    <t>SUMME:</t>
  </si>
  <si>
    <t>Predicted</t>
  </si>
  <si>
    <t>True</t>
  </si>
  <si>
    <t>KW:</t>
  </si>
  <si>
    <t>%:</t>
  </si>
  <si>
    <t>Standardabweichung:</t>
  </si>
  <si>
    <t>Confidence:</t>
  </si>
  <si>
    <t>Relative Deviation(Pred-True)</t>
  </si>
  <si>
    <t>Mittelwert:</t>
  </si>
  <si>
    <t>95% confidence interval</t>
  </si>
  <si>
    <t>Pred for prediction interal</t>
  </si>
  <si>
    <t>95% Prediction interval:</t>
  </si>
  <si>
    <t>Prediction Interval Minimum</t>
  </si>
  <si>
    <t>Prediction Interval Maximum</t>
  </si>
  <si>
    <t>Slope</t>
  </si>
  <si>
    <t>Intercept</t>
  </si>
  <si>
    <t>Standard Error slope</t>
  </si>
  <si>
    <t>Standard Error intercept</t>
  </si>
  <si>
    <t>R^2</t>
  </si>
  <si>
    <t>F</t>
  </si>
  <si>
    <t>Standard error Y</t>
  </si>
  <si>
    <t>degrees of freedom (n(data) - k(variables)</t>
  </si>
  <si>
    <t>SS res (explained variation)</t>
  </si>
  <si>
    <t>SS regr (unexplained variation)</t>
  </si>
  <si>
    <t>Number of Values</t>
  </si>
  <si>
    <t>Average X value</t>
  </si>
  <si>
    <t>Sum of squares of deviations</t>
  </si>
  <si>
    <t>Inverse Sturents t-distribution 0.95</t>
  </si>
  <si>
    <t>Standard Error</t>
  </si>
  <si>
    <t>PREDICTION INTERVAL</t>
  </si>
  <si>
    <t>Confidence Interval Minimum</t>
  </si>
  <si>
    <t>Confidence Interval Maximum</t>
  </si>
  <si>
    <t>line of best fit:</t>
  </si>
  <si>
    <t>Correlation Function Predicted  Size</t>
  </si>
  <si>
    <t>upper prediction interval</t>
  </si>
  <si>
    <t>lower prediction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</si>
</sst>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0" xfId="0" applyNumberFormat="1"/>
    <xf numFmtId="0" fontId="0" fillId="0" borderId="14" xfId="0" applyBorder="1"/>
    <xf numFmtId="0" fontId="0" fillId="0" borderId="15" xfId="0" applyNumberFormat="1" applyBorder="1"/>
    <xf numFmtId="0" fontId="0" fillId="0" borderId="14" xfId="0" applyNumberFormat="1" applyBorder="1"/>
    <xf numFmtId="1" fontId="18" fillId="0" borderId="0" xfId="0" applyNumberFormat="1" applyFont="1"/>
    <xf numFmtId="2" fontId="18" fillId="0" borderId="0" xfId="0" applyNumberFormat="1" applyFont="1"/>
    <xf numFmtId="0" fontId="0" fillId="0" borderId="0" xfId="0" applyBorder="1"/>
    <xf numFmtId="0" fontId="0" fillId="33" borderId="18" xfId="0" applyFill="1" applyBorder="1"/>
    <xf numFmtId="1" fontId="0" fillId="0" borderId="15" xfId="0" applyNumberFormat="1" applyBorder="1"/>
    <xf numFmtId="1" fontId="16" fillId="0" borderId="12" xfId="0" applyNumberFormat="1" applyFont="1" applyBorder="1"/>
    <xf numFmtId="1" fontId="16" fillId="0" borderId="18" xfId="0" applyNumberFormat="1" applyFont="1" applyBorder="1"/>
    <xf numFmtId="1" fontId="16" fillId="0" borderId="13" xfId="0" applyNumberFormat="1" applyFont="1" applyBorder="1"/>
    <xf numFmtId="0" fontId="16" fillId="0" borderId="12" xfId="0" applyFont="1" applyBorder="1" applyAlignment="1">
      <alignment horizontal="right"/>
    </xf>
    <xf numFmtId="0" fontId="16" fillId="0" borderId="10" xfId="0" applyFont="1" applyBorder="1"/>
    <xf numFmtId="0" fontId="16" fillId="0" borderId="18" xfId="0" applyFont="1" applyBorder="1"/>
    <xf numFmtId="0" fontId="16" fillId="0" borderId="0" xfId="0" applyFont="1" applyBorder="1" applyAlignment="1">
      <alignment horizontal="right"/>
    </xf>
    <xf numFmtId="0" fontId="16" fillId="0" borderId="17" xfId="0" applyFont="1" applyBorder="1" applyAlignment="1">
      <alignment horizontal="right"/>
    </xf>
    <xf numFmtId="0" fontId="16" fillId="0" borderId="19" xfId="0" applyFont="1" applyBorder="1" applyAlignment="1">
      <alignment horizontal="right"/>
    </xf>
    <xf numFmtId="0" fontId="16" fillId="0" borderId="1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1" fontId="16" fillId="0" borderId="13" xfId="0" applyNumberFormat="1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9" fontId="16" fillId="0" borderId="16" xfId="0" applyNumberFormat="1" applyFont="1" applyBorder="1" applyAlignment="1">
      <alignment horizontal="center"/>
    </xf>
    <xf numFmtId="0" fontId="16" fillId="0" borderId="14" xfId="0" applyFont="1" applyBorder="1"/>
    <xf numFmtId="0" fontId="0" fillId="0" borderId="17" xfId="0" applyBorder="1"/>
    <xf numFmtId="0" fontId="0" fillId="0" borderId="16" xfId="0" applyBorder="1"/>
    <xf numFmtId="0" fontId="16" fillId="0" borderId="11" xfId="0" applyFont="1" applyBorder="1"/>
    <xf numFmtId="0" fontId="16" fillId="0" borderId="17" xfId="0" applyFont="1" applyBorder="1"/>
    <xf numFmtId="0" fontId="16" fillId="0" borderId="16" xfId="0" applyFont="1" applyBorder="1"/>
    <xf numFmtId="0" fontId="16" fillId="0" borderId="0" xfId="0" applyFont="1"/>
    <xf numFmtId="0" fontId="0" fillId="34" borderId="18" xfId="0" applyFill="1" applyBorder="1"/>
    <xf numFmtId="0" fontId="0" fillId="34" borderId="0" xfId="0" applyFill="1" applyBorder="1"/>
    <xf numFmtId="0" fontId="0" fillId="34" borderId="19" xfId="0" applyFill="1" applyBorder="1"/>
    <xf numFmtId="1" fontId="0" fillId="0" borderId="12" xfId="0" applyNumberFormat="1" applyBorder="1"/>
    <xf numFmtId="1" fontId="0" fillId="0" borderId="0" xfId="0" applyNumberFormat="1" applyBorder="1"/>
    <xf numFmtId="1" fontId="0" fillId="0" borderId="13" xfId="0" applyNumberFormat="1" applyBorder="1"/>
    <xf numFmtId="0" fontId="16" fillId="0" borderId="20" xfId="0" applyFont="1" applyBorder="1"/>
    <xf numFmtId="0" fontId="16" fillId="0" borderId="15" xfId="0" applyFont="1" applyBorder="1"/>
    <xf numFmtId="0" fontId="19" fillId="0" borderId="14" xfId="0" applyFont="1" applyBorder="1"/>
    <xf numFmtId="0" fontId="19" fillId="0" borderId="20" xfId="0" applyFont="1" applyBorder="1"/>
    <xf numFmtId="0" fontId="19" fillId="0" borderId="15" xfId="0" applyFont="1" applyBorder="1"/>
    <xf numFmtId="0" fontId="16" fillId="0" borderId="0" xfId="0" applyFont="1" applyFill="1" applyBorder="1"/>
    <xf numFmtId="0" fontId="16" fillId="35" borderId="14" xfId="0" applyFont="1" applyFill="1" applyBorder="1"/>
    <xf numFmtId="1" fontId="16" fillId="35" borderId="20" xfId="0" applyNumberFormat="1" applyFont="1" applyFill="1" applyBorder="1"/>
    <xf numFmtId="1" fontId="16" fillId="35" borderId="15" xfId="0" applyNumberFormat="1" applyFont="1" applyFill="1" applyBorder="1"/>
    <xf numFmtId="0" fontId="20" fillId="0" borderId="0" xfId="0" applyFont="1" applyAlignment="1">
      <alignment horizontal="center" vertical="center" readingOrder="1"/>
    </xf>
    <xf numFmtId="1" fontId="0" fillId="0" borderId="0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7">
    <dxf>
      <numFmt numFmtId="1" formatCode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1" formatCode="0"/>
    </dxf>
    <dxf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numFmt numFmtId="1" formatCode="0"/>
    </dxf>
    <dxf>
      <numFmt numFmtId="0" formatCode="General"/>
    </dxf>
    <dxf>
      <numFmt numFmtId="0" formatCode="General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2" formatCode="0.00"/>
    </dxf>
    <dxf>
      <numFmt numFmtId="0" formatCode="General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numFmt numFmtId="0" formatCode="General"/>
    </dxf>
    <dxf>
      <border diagonalUp="0" diagonalDown="0" outline="0">
        <left/>
        <right style="medium">
          <color indexed="64"/>
        </right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</dxf>
    <dxf>
      <border diagonalUp="0" diagonalDown="0" outline="0">
        <left/>
        <right style="medium">
          <color indexed="64"/>
        </right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" formatCode="0"/>
    </dxf>
    <dxf>
      <numFmt numFmtId="1" formatCode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1" formatCode="0"/>
    </dxf>
    <dxf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numFmt numFmtId="1" formatCode="0"/>
    </dxf>
    <dxf>
      <numFmt numFmtId="0" formatCode="General"/>
    </dxf>
    <dxf>
      <numFmt numFmtId="0" formatCode="General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numFmt numFmtId="2" formatCode="0.00"/>
    </dxf>
    <dxf>
      <numFmt numFmtId="0" formatCode="General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numFmt numFmtId="0" formatCode="General"/>
    </dxf>
    <dxf>
      <border diagonalUp="0" diagonalDown="0" outline="0">
        <left/>
        <right style="medium">
          <color indexed="64"/>
        </right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 outline="0">
        <left/>
        <right style="medium">
          <color indexed="64"/>
        </right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66007060546542"/>
          <c:y val="3.1409117781629983E-2"/>
          <c:w val="0.74562732762099471"/>
          <c:h val="0.83081351134254033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>
                  <a:alpha val="20000"/>
                </a:schemeClr>
              </a:solidFill>
              <a:ln w="3175">
                <a:solidFill>
                  <a:schemeClr val="tx1"/>
                </a:solidFill>
              </a:ln>
            </c:spPr>
          </c:marker>
          <c:trendline>
            <c:spPr>
              <a:ln w="22225"/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Calibration_Factor!$I$3:$I$125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Calibration_Factor!$H$3:$H$125</c:f>
              <c:numCache>
                <c:formatCode>0</c:formatCode>
                <c:ptCount val="123"/>
                <c:pt idx="0">
                  <c:v>6475.9016622708386</c:v>
                </c:pt>
                <c:pt idx="1">
                  <c:v>6358.3931938388723</c:v>
                </c:pt>
                <c:pt idx="2">
                  <c:v>5894.987900366812</c:v>
                </c:pt>
                <c:pt idx="3">
                  <c:v>6125.3648310516783</c:v>
                </c:pt>
                <c:pt idx="4">
                  <c:v>6125.3648310516783</c:v>
                </c:pt>
                <c:pt idx="5">
                  <c:v>3044.4082531359386</c:v>
                </c:pt>
                <c:pt idx="6">
                  <c:v>2852.4770879347529</c:v>
                </c:pt>
                <c:pt idx="7">
                  <c:v>2384.2491903794539</c:v>
                </c:pt>
                <c:pt idx="8">
                  <c:v>2476.5690538393524</c:v>
                </c:pt>
                <c:pt idx="9">
                  <c:v>1844.2500281572579</c:v>
                </c:pt>
                <c:pt idx="10">
                  <c:v>4782.874728477309</c:v>
                </c:pt>
                <c:pt idx="11">
                  <c:v>4891.1031845511443</c:v>
                </c:pt>
                <c:pt idx="12">
                  <c:v>4675.3091304290519</c:v>
                </c:pt>
                <c:pt idx="13">
                  <c:v>4782.874728477309</c:v>
                </c:pt>
                <c:pt idx="14">
                  <c:v>4891.1031845511443</c:v>
                </c:pt>
                <c:pt idx="15">
                  <c:v>4251.6753184918362</c:v>
                </c:pt>
                <c:pt idx="16">
                  <c:v>3535.8361815865651</c:v>
                </c:pt>
                <c:pt idx="17">
                  <c:v>3238.9908504394475</c:v>
                </c:pt>
                <c:pt idx="18">
                  <c:v>3940.9099688075207</c:v>
                </c:pt>
                <c:pt idx="19">
                  <c:v>3737.0473591458826</c:v>
                </c:pt>
                <c:pt idx="20">
                  <c:v>3838.6472349639121</c:v>
                </c:pt>
                <c:pt idx="21">
                  <c:v>3940.9099688075207</c:v>
                </c:pt>
                <c:pt idx="22">
                  <c:v>3636.1103413534333</c:v>
                </c:pt>
                <c:pt idx="23">
                  <c:v>3737.0473591458826</c:v>
                </c:pt>
                <c:pt idx="24">
                  <c:v>2757.5057923725321</c:v>
                </c:pt>
                <c:pt idx="25">
                  <c:v>2663.1973548358915</c:v>
                </c:pt>
                <c:pt idx="26">
                  <c:v>3838.6472349639121</c:v>
                </c:pt>
                <c:pt idx="27">
                  <c:v>3337.2764361295726</c:v>
                </c:pt>
                <c:pt idx="28">
                  <c:v>4147.4240105714834</c:v>
                </c:pt>
                <c:pt idx="29">
                  <c:v>2663.1973548358915</c:v>
                </c:pt>
                <c:pt idx="30">
                  <c:v>2569.5517753248305</c:v>
                </c:pt>
                <c:pt idx="31">
                  <c:v>2852.4770879347529</c:v>
                </c:pt>
                <c:pt idx="32">
                  <c:v>3337.2764361295726</c:v>
                </c:pt>
                <c:pt idx="33">
                  <c:v>7563.3064893096835</c:v>
                </c:pt>
                <c:pt idx="34">
                  <c:v>7812.2434447108153</c:v>
                </c:pt>
                <c:pt idx="35">
                  <c:v>5109.5486707755626</c:v>
                </c:pt>
                <c:pt idx="36">
                  <c:v>5109.5486707755626</c:v>
                </c:pt>
                <c:pt idx="37">
                  <c:v>2948.1112415225557</c:v>
                </c:pt>
                <c:pt idx="38">
                  <c:v>8446.1858486613037</c:v>
                </c:pt>
                <c:pt idx="39">
                  <c:v>8446.1858486613037</c:v>
                </c:pt>
                <c:pt idx="40">
                  <c:v>10035.25913675172</c:v>
                </c:pt>
                <c:pt idx="41">
                  <c:v>10586.161689600443</c:v>
                </c:pt>
                <c:pt idx="42">
                  <c:v>32263.827731728838</c:v>
                </c:pt>
                <c:pt idx="43">
                  <c:v>31175.827580255514</c:v>
                </c:pt>
                <c:pt idx="44">
                  <c:v>28632.2387353288</c:v>
                </c:pt>
                <c:pt idx="45">
                  <c:v>32044.90198538301</c:v>
                </c:pt>
                <c:pt idx="46">
                  <c:v>3238.9908504394475</c:v>
                </c:pt>
                <c:pt idx="47">
                  <c:v>2948.1112415225557</c:v>
                </c:pt>
                <c:pt idx="48">
                  <c:v>3238.9908504394475</c:v>
                </c:pt>
                <c:pt idx="49">
                  <c:v>2757.5057923725321</c:v>
                </c:pt>
                <c:pt idx="50">
                  <c:v>4675.3091304290519</c:v>
                </c:pt>
                <c:pt idx="51">
                  <c:v>4462.166508409282</c:v>
                </c:pt>
                <c:pt idx="52">
                  <c:v>4147.4240105714834</c:v>
                </c:pt>
                <c:pt idx="53">
                  <c:v>2948.1112415225557</c:v>
                </c:pt>
                <c:pt idx="54">
                  <c:v>2663.1973548358915</c:v>
                </c:pt>
                <c:pt idx="55">
                  <c:v>4568.4063904063769</c:v>
                </c:pt>
                <c:pt idx="56">
                  <c:v>4568.4063904063769</c:v>
                </c:pt>
                <c:pt idx="57">
                  <c:v>4891.1031845511443</c:v>
                </c:pt>
                <c:pt idx="58">
                  <c:v>4675.3091304290519</c:v>
                </c:pt>
                <c:pt idx="59">
                  <c:v>4043.8355606767122</c:v>
                </c:pt>
                <c:pt idx="60">
                  <c:v>4043.8355606767122</c:v>
                </c:pt>
                <c:pt idx="61">
                  <c:v>5330.6455891022997</c:v>
                </c:pt>
                <c:pt idx="62">
                  <c:v>5330.6455891022997</c:v>
                </c:pt>
                <c:pt idx="63">
                  <c:v>5554.393939531361</c:v>
                </c:pt>
                <c:pt idx="64">
                  <c:v>5442.1883353040394</c:v>
                </c:pt>
                <c:pt idx="65">
                  <c:v>6241.547583432488</c:v>
                </c:pt>
                <c:pt idx="66">
                  <c:v>2384.2491903794539</c:v>
                </c:pt>
                <c:pt idx="67">
                  <c:v>2201.5980375363993</c:v>
                </c:pt>
                <c:pt idx="68">
                  <c:v>3238.9908504394475</c:v>
                </c:pt>
                <c:pt idx="69">
                  <c:v>2948.1112415225557</c:v>
                </c:pt>
                <c:pt idx="70">
                  <c:v>4782.874728477309</c:v>
                </c:pt>
                <c:pt idx="71">
                  <c:v>4462.166508409282</c:v>
                </c:pt>
                <c:pt idx="72">
                  <c:v>4675.3091304290519</c:v>
                </c:pt>
                <c:pt idx="73">
                  <c:v>3535.8361815865651</c:v>
                </c:pt>
                <c:pt idx="74">
                  <c:v>3436.2248798452797</c:v>
                </c:pt>
                <c:pt idx="75">
                  <c:v>3636.1103413534333</c:v>
                </c:pt>
                <c:pt idx="76">
                  <c:v>5442.1883353040394</c:v>
                </c:pt>
                <c:pt idx="77">
                  <c:v>5554.393939531361</c:v>
                </c:pt>
                <c:pt idx="78">
                  <c:v>5780.7937220627446</c:v>
                </c:pt>
                <c:pt idx="79">
                  <c:v>6832.4042157202257</c:v>
                </c:pt>
                <c:pt idx="80">
                  <c:v>6952.5641162545198</c:v>
                </c:pt>
                <c:pt idx="81">
                  <c:v>6952.5641162545198</c:v>
                </c:pt>
                <c:pt idx="82">
                  <c:v>2663.1973548358915</c:v>
                </c:pt>
                <c:pt idx="83">
                  <c:v>2569.5517753248305</c:v>
                </c:pt>
                <c:pt idx="84">
                  <c:v>4147.4240105714834</c:v>
                </c:pt>
                <c:pt idx="85">
                  <c:v>3940.9099688075207</c:v>
                </c:pt>
                <c:pt idx="86">
                  <c:v>5554.393939531361</c:v>
                </c:pt>
                <c:pt idx="87">
                  <c:v>5780.7937220627446</c:v>
                </c:pt>
                <c:pt idx="88">
                  <c:v>5109.5486707755626</c:v>
                </c:pt>
                <c:pt idx="89">
                  <c:v>4675.3091304290519</c:v>
                </c:pt>
                <c:pt idx="90">
                  <c:v>4782.874728477309</c:v>
                </c:pt>
                <c:pt idx="91">
                  <c:v>5109.5486707755626</c:v>
                </c:pt>
                <c:pt idx="92">
                  <c:v>4999.9944986505616</c:v>
                </c:pt>
                <c:pt idx="93">
                  <c:v>4568.4063904063769</c:v>
                </c:pt>
                <c:pt idx="94">
                  <c:v>4568.4063904063769</c:v>
                </c:pt>
                <c:pt idx="95">
                  <c:v>4782.874728477309</c:v>
                </c:pt>
                <c:pt idx="96">
                  <c:v>4568.4063904063769</c:v>
                </c:pt>
                <c:pt idx="97">
                  <c:v>4356.589484437769</c:v>
                </c:pt>
                <c:pt idx="98">
                  <c:v>4251.6753184918362</c:v>
                </c:pt>
                <c:pt idx="99">
                  <c:v>4462.166508409282</c:v>
                </c:pt>
                <c:pt idx="100">
                  <c:v>4251.6753184918362</c:v>
                </c:pt>
                <c:pt idx="101">
                  <c:v>4462.166508409282</c:v>
                </c:pt>
                <c:pt idx="102">
                  <c:v>3044.4082531359386</c:v>
                </c:pt>
                <c:pt idx="103">
                  <c:v>3044.4082531359386</c:v>
                </c:pt>
                <c:pt idx="104">
                  <c:v>3238.9908504394475</c:v>
                </c:pt>
                <c:pt idx="105">
                  <c:v>3044.4082531359386</c:v>
                </c:pt>
                <c:pt idx="106">
                  <c:v>2384.2491903794539</c:v>
                </c:pt>
                <c:pt idx="107">
                  <c:v>2476.5690538393524</c:v>
                </c:pt>
                <c:pt idx="108">
                  <c:v>3337.2764361295726</c:v>
                </c:pt>
                <c:pt idx="109">
                  <c:v>3238.9908504394475</c:v>
                </c:pt>
                <c:pt idx="110">
                  <c:v>3044.4082531359386</c:v>
                </c:pt>
                <c:pt idx="111">
                  <c:v>2757.5057923725321</c:v>
                </c:pt>
                <c:pt idx="112">
                  <c:v>3737.0473591458826</c:v>
                </c:pt>
                <c:pt idx="113">
                  <c:v>2757.5057923725321</c:v>
                </c:pt>
                <c:pt idx="114">
                  <c:v>4147.4240105714834</c:v>
                </c:pt>
                <c:pt idx="115">
                  <c:v>4462.166508409282</c:v>
                </c:pt>
                <c:pt idx="116">
                  <c:v>8318.0716518200425</c:v>
                </c:pt>
                <c:pt idx="117">
                  <c:v>7937.7062094497505</c:v>
                </c:pt>
                <c:pt idx="118">
                  <c:v>6832.4042157202257</c:v>
                </c:pt>
                <c:pt idx="119">
                  <c:v>7194.8724913998394</c:v>
                </c:pt>
                <c:pt idx="120">
                  <c:v>7194.8724913998394</c:v>
                </c:pt>
                <c:pt idx="121">
                  <c:v>10586.161689600443</c:v>
                </c:pt>
                <c:pt idx="122">
                  <c:v>12597.840735794149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2A-4F95-BD67-8D6D850616D4}"/>
            </c:ext>
          </c:extLst>
        </c:ser>
        <c:ser>
          <c:idx val="1"/>
          <c:order val="1"/>
          <c:spPr>
            <a:ln w="28575">
              <a:noFill/>
            </a:ln>
          </c:spP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762A-4F95-BD67-8D6D850616D4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762A-4F95-BD67-8D6D850616D4}"/>
              </c:ext>
            </c:extLst>
          </c:dPt>
          <c:trendline>
            <c:trendlineType val="linear"/>
            <c:dispRSqr val="0"/>
            <c:dispEq val="0"/>
          </c:trendline>
          <c:xVal>
            <c:numRef>
              <c:f>Calibration_Factor!$X$16:$X$17</c:f>
              <c:numCache>
                <c:formatCode>General</c:formatCode>
                <c:ptCount val="2"/>
                <c:pt idx="0">
                  <c:v>0</c:v>
                </c:pt>
                <c:pt idx="1">
                  <c:v>70000</c:v>
                </c:pt>
              </c:numCache>
            </c:numRef>
          </c:xVal>
          <c:yVal>
            <c:numRef>
              <c:f>Calibration_Factor!$X$16:$X$17</c:f>
              <c:numCache>
                <c:formatCode>General</c:formatCode>
                <c:ptCount val="2"/>
                <c:pt idx="0">
                  <c:v>0</c:v>
                </c:pt>
                <c:pt idx="1">
                  <c:v>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2A-4F95-BD67-8D6D850616D4}"/>
            </c:ext>
          </c:extLst>
        </c:ser>
        <c:ser>
          <c:idx val="2"/>
          <c:order val="2"/>
          <c:tx>
            <c:v>Min_Prediction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28997037140882403"/>
                  <c:y val="0.64849160240818038"/>
                </c:manualLayout>
              </c:layout>
              <c:numFmt formatCode="General" sourceLinked="0"/>
            </c:trendlineLbl>
          </c:trendline>
          <c:xVal>
            <c:numRef>
              <c:f>Calibration_Factor!$I$3:$I$125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Calibration_Factor!$N$3:$N$125</c:f>
              <c:numCache>
                <c:formatCode>0</c:formatCode>
                <c:ptCount val="123"/>
                <c:pt idx="0">
                  <c:v>5027.1122438326338</c:v>
                </c:pt>
                <c:pt idx="1">
                  <c:v>5027.1122438326338</c:v>
                </c:pt>
                <c:pt idx="2">
                  <c:v>4649.6140931426626</c:v>
                </c:pt>
                <c:pt idx="3">
                  <c:v>4649.6140931426626</c:v>
                </c:pt>
                <c:pt idx="4">
                  <c:v>4649.6140931426626</c:v>
                </c:pt>
                <c:pt idx="5">
                  <c:v>1696.9602367717459</c:v>
                </c:pt>
                <c:pt idx="6">
                  <c:v>1493.552398125365</c:v>
                </c:pt>
                <c:pt idx="7">
                  <c:v>2327.529128378545</c:v>
                </c:pt>
                <c:pt idx="8">
                  <c:v>2327.529128378545</c:v>
                </c:pt>
                <c:pt idx="9">
                  <c:v>1096.9134829348452</c:v>
                </c:pt>
                <c:pt idx="10">
                  <c:v>3917.4460595025348</c:v>
                </c:pt>
                <c:pt idx="11">
                  <c:v>3917.4460595025348</c:v>
                </c:pt>
                <c:pt idx="12">
                  <c:v>3680.1569433217169</c:v>
                </c:pt>
                <c:pt idx="13">
                  <c:v>3917.4460595025348</c:v>
                </c:pt>
                <c:pt idx="14">
                  <c:v>3917.4460595025348</c:v>
                </c:pt>
                <c:pt idx="15">
                  <c:v>3562.7816240593211</c:v>
                </c:pt>
                <c:pt idx="16">
                  <c:v>2435.5900621281312</c:v>
                </c:pt>
                <c:pt idx="17">
                  <c:v>2220.3155096824853</c:v>
                </c:pt>
                <c:pt idx="18">
                  <c:v>2876.3051407684297</c:v>
                </c:pt>
                <c:pt idx="19">
                  <c:v>2876.3051407684297</c:v>
                </c:pt>
                <c:pt idx="20">
                  <c:v>2876.3051407684297</c:v>
                </c:pt>
                <c:pt idx="21">
                  <c:v>2876.3051407684297</c:v>
                </c:pt>
                <c:pt idx="22">
                  <c:v>2876.3051407684297</c:v>
                </c:pt>
                <c:pt idx="23">
                  <c:v>2764.8558519864487</c:v>
                </c:pt>
                <c:pt idx="24">
                  <c:v>2220.3155096824853</c:v>
                </c:pt>
                <c:pt idx="25">
                  <c:v>2008.4305732478806</c:v>
                </c:pt>
                <c:pt idx="26">
                  <c:v>2876.3051407684297</c:v>
                </c:pt>
                <c:pt idx="27">
                  <c:v>2327.529128378545</c:v>
                </c:pt>
                <c:pt idx="28">
                  <c:v>2876.3051407684297</c:v>
                </c:pt>
                <c:pt idx="29">
                  <c:v>1903.759431652325</c:v>
                </c:pt>
                <c:pt idx="30">
                  <c:v>1799.9359573916668</c:v>
                </c:pt>
                <c:pt idx="31">
                  <c:v>1903.759431652325</c:v>
                </c:pt>
                <c:pt idx="32">
                  <c:v>2544.498221107915</c:v>
                </c:pt>
                <c:pt idx="33">
                  <c:v>5673.1759922037718</c:v>
                </c:pt>
                <c:pt idx="34">
                  <c:v>5804.9228140590676</c:v>
                </c:pt>
                <c:pt idx="35">
                  <c:v>3330.569949753763</c:v>
                </c:pt>
                <c:pt idx="36">
                  <c:v>3446.2525939867814</c:v>
                </c:pt>
                <c:pt idx="37">
                  <c:v>2220.3155096824853</c:v>
                </c:pt>
                <c:pt idx="38">
                  <c:v>7168.8171766137648</c:v>
                </c:pt>
                <c:pt idx="39">
                  <c:v>7168.8171766137648</c:v>
                </c:pt>
                <c:pt idx="40">
                  <c:v>9067.9400877938369</c:v>
                </c:pt>
                <c:pt idx="41">
                  <c:v>9067.9400877938369</c:v>
                </c:pt>
                <c:pt idx="42">
                  <c:v>30320.516783325962</c:v>
                </c:pt>
                <c:pt idx="43">
                  <c:v>30320.516783325962</c:v>
                </c:pt>
                <c:pt idx="44">
                  <c:v>30320.516783325962</c:v>
                </c:pt>
                <c:pt idx="45">
                  <c:v>30320.516783325962</c:v>
                </c:pt>
                <c:pt idx="46">
                  <c:v>2220.3155096824853</c:v>
                </c:pt>
                <c:pt idx="47">
                  <c:v>2008.4305732478806</c:v>
                </c:pt>
                <c:pt idx="48">
                  <c:v>2220.3155096824853</c:v>
                </c:pt>
                <c:pt idx="49">
                  <c:v>2113.9492951644984</c:v>
                </c:pt>
                <c:pt idx="50">
                  <c:v>3562.7816240593211</c:v>
                </c:pt>
                <c:pt idx="51">
                  <c:v>3562.7816240593211</c:v>
                </c:pt>
                <c:pt idx="52">
                  <c:v>3101.7442020633662</c:v>
                </c:pt>
                <c:pt idx="53">
                  <c:v>1903.759431652325</c:v>
                </c:pt>
                <c:pt idx="54">
                  <c:v>1903.759431652325</c:v>
                </c:pt>
                <c:pt idx="55">
                  <c:v>3562.7816240593211</c:v>
                </c:pt>
                <c:pt idx="56">
                  <c:v>3562.7816240593211</c:v>
                </c:pt>
                <c:pt idx="57">
                  <c:v>3680.1569433217169</c:v>
                </c:pt>
                <c:pt idx="58">
                  <c:v>3680.1569433217169</c:v>
                </c:pt>
                <c:pt idx="59">
                  <c:v>2988.6012885528062</c:v>
                </c:pt>
                <c:pt idx="60">
                  <c:v>2988.6012885528062</c:v>
                </c:pt>
                <c:pt idx="61">
                  <c:v>4402.175436376825</c:v>
                </c:pt>
                <c:pt idx="62">
                  <c:v>4402.175436376825</c:v>
                </c:pt>
                <c:pt idx="63">
                  <c:v>4402.175436376825</c:v>
                </c:pt>
                <c:pt idx="64">
                  <c:v>4402.175436376825</c:v>
                </c:pt>
                <c:pt idx="65">
                  <c:v>4900.4343091923756</c:v>
                </c:pt>
                <c:pt idx="66">
                  <c:v>1293.5365919250703</c:v>
                </c:pt>
                <c:pt idx="67">
                  <c:v>1293.5365919250703</c:v>
                </c:pt>
                <c:pt idx="68">
                  <c:v>2327.529128378545</c:v>
                </c:pt>
                <c:pt idx="69">
                  <c:v>2113.9492951644984</c:v>
                </c:pt>
                <c:pt idx="70">
                  <c:v>3917.4460595025348</c:v>
                </c:pt>
                <c:pt idx="71">
                  <c:v>3798.3784544605342</c:v>
                </c:pt>
                <c:pt idx="72">
                  <c:v>3798.3784544605342</c:v>
                </c:pt>
                <c:pt idx="73">
                  <c:v>2544.498221107915</c:v>
                </c:pt>
                <c:pt idx="74">
                  <c:v>2220.3155096824853</c:v>
                </c:pt>
                <c:pt idx="75">
                  <c:v>2544.498221107915</c:v>
                </c:pt>
                <c:pt idx="76">
                  <c:v>4279.7244485048031</c:v>
                </c:pt>
                <c:pt idx="77">
                  <c:v>4525.4720185365686</c:v>
                </c:pt>
                <c:pt idx="78">
                  <c:v>4525.4720185365686</c:v>
                </c:pt>
                <c:pt idx="79">
                  <c:v>5412.2161005336111</c:v>
                </c:pt>
                <c:pt idx="80">
                  <c:v>5542.273718595563</c:v>
                </c:pt>
                <c:pt idx="81">
                  <c:v>5542.273718595563</c:v>
                </c:pt>
                <c:pt idx="82">
                  <c:v>1696.9602367717459</c:v>
                </c:pt>
                <c:pt idx="83">
                  <c:v>1696.9602367717459</c:v>
                </c:pt>
                <c:pt idx="84">
                  <c:v>2876.3051407684297</c:v>
                </c:pt>
                <c:pt idx="85">
                  <c:v>2876.3051407684297</c:v>
                </c:pt>
                <c:pt idx="86">
                  <c:v>4525.4720185365686</c:v>
                </c:pt>
                <c:pt idx="87">
                  <c:v>4774.6015577255102</c:v>
                </c:pt>
                <c:pt idx="88">
                  <c:v>4649.6140931426626</c:v>
                </c:pt>
                <c:pt idx="89">
                  <c:v>3917.4460595025348</c:v>
                </c:pt>
                <c:pt idx="90">
                  <c:v>3917.4460595025348</c:v>
                </c:pt>
                <c:pt idx="91">
                  <c:v>4279.7244485048031</c:v>
                </c:pt>
                <c:pt idx="92">
                  <c:v>3680.1569433217169</c:v>
                </c:pt>
                <c:pt idx="93">
                  <c:v>3562.7816240593211</c:v>
                </c:pt>
                <c:pt idx="94">
                  <c:v>3680.1569433217169</c:v>
                </c:pt>
                <c:pt idx="95">
                  <c:v>3917.4460595025348</c:v>
                </c:pt>
                <c:pt idx="96">
                  <c:v>3798.3784544605342</c:v>
                </c:pt>
                <c:pt idx="97">
                  <c:v>3446.2525939867814</c:v>
                </c:pt>
                <c:pt idx="98">
                  <c:v>3446.2525939867814</c:v>
                </c:pt>
                <c:pt idx="99">
                  <c:v>3446.2525939867814</c:v>
                </c:pt>
                <c:pt idx="100">
                  <c:v>3446.2525939867814</c:v>
                </c:pt>
                <c:pt idx="101">
                  <c:v>3446.2525939867814</c:v>
                </c:pt>
                <c:pt idx="102">
                  <c:v>2327.529128378545</c:v>
                </c:pt>
                <c:pt idx="103">
                  <c:v>2327.529128378545</c:v>
                </c:pt>
                <c:pt idx="104">
                  <c:v>2327.529128378545</c:v>
                </c:pt>
                <c:pt idx="105">
                  <c:v>2327.529128378545</c:v>
                </c:pt>
                <c:pt idx="106">
                  <c:v>1493.552398125365</c:v>
                </c:pt>
                <c:pt idx="107">
                  <c:v>1493.552398125365</c:v>
                </c:pt>
                <c:pt idx="108">
                  <c:v>2544.498221107915</c:v>
                </c:pt>
                <c:pt idx="109">
                  <c:v>2544.498221107915</c:v>
                </c:pt>
                <c:pt idx="110">
                  <c:v>2544.498221107915</c:v>
                </c:pt>
                <c:pt idx="111">
                  <c:v>2544.498221107915</c:v>
                </c:pt>
                <c:pt idx="112">
                  <c:v>2988.6012885528062</c:v>
                </c:pt>
                <c:pt idx="113">
                  <c:v>2544.498221107915</c:v>
                </c:pt>
                <c:pt idx="114">
                  <c:v>3215.7337873423517</c:v>
                </c:pt>
                <c:pt idx="115">
                  <c:v>3330.569949753763</c:v>
                </c:pt>
                <c:pt idx="116">
                  <c:v>6205.2294875026209</c:v>
                </c:pt>
                <c:pt idx="117">
                  <c:v>6205.2294875026209</c:v>
                </c:pt>
                <c:pt idx="118">
                  <c:v>6205.2294875026209</c:v>
                </c:pt>
                <c:pt idx="119">
                  <c:v>6205.2294875026209</c:v>
                </c:pt>
                <c:pt idx="120">
                  <c:v>6889.2880626269143</c:v>
                </c:pt>
                <c:pt idx="121">
                  <c:v>8468.4298526707189</c:v>
                </c:pt>
                <c:pt idx="122">
                  <c:v>8766.500860952312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62A-4F95-BD67-8D6D850616D4}"/>
            </c:ext>
          </c:extLst>
        </c:ser>
        <c:ser>
          <c:idx val="3"/>
          <c:order val="3"/>
          <c:tx>
            <c:v>Max_Prediction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50289434629800889"/>
                  <c:y val="0.44143186709160387"/>
                </c:manualLayout>
              </c:layout>
              <c:numFmt formatCode="General" sourceLinked="0"/>
            </c:trendlineLbl>
          </c:trendline>
          <c:xVal>
            <c:numRef>
              <c:f>Calibration_Factor!$I$3:$I$125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Calibration_Factor!$O$3:$O$125</c:f>
              <c:numCache>
                <c:formatCode>0</c:formatCode>
                <c:ptCount val="123"/>
                <c:pt idx="0">
                  <c:v>7054.9871020627897</c:v>
                </c:pt>
                <c:pt idx="1">
                  <c:v>7054.9871020627897</c:v>
                </c:pt>
                <c:pt idx="2">
                  <c:v>6677.3966205203642</c:v>
                </c:pt>
                <c:pt idx="3">
                  <c:v>6677.3966205203642</c:v>
                </c:pt>
                <c:pt idx="4">
                  <c:v>6677.3966205203642</c:v>
                </c:pt>
                <c:pt idx="5">
                  <c:v>3727.2003234470503</c:v>
                </c:pt>
                <c:pt idx="6">
                  <c:v>3524.1688588451739</c:v>
                </c:pt>
                <c:pt idx="7">
                  <c:v>4356.7717071597626</c:v>
                </c:pt>
                <c:pt idx="8">
                  <c:v>4356.7717071597626</c:v>
                </c:pt>
                <c:pt idx="9">
                  <c:v>3128.3403503265499</c:v>
                </c:pt>
                <c:pt idx="10">
                  <c:v>5945.3125509672818</c:v>
                </c:pt>
                <c:pt idx="11">
                  <c:v>5945.3125509672818</c:v>
                </c:pt>
                <c:pt idx="12">
                  <c:v>5708.1250879419449</c:v>
                </c:pt>
                <c:pt idx="13">
                  <c:v>5945.3125509672818</c:v>
                </c:pt>
                <c:pt idx="14">
                  <c:v>5945.3125509672818</c:v>
                </c:pt>
                <c:pt idx="15">
                  <c:v>5590.8135154496804</c:v>
                </c:pt>
                <c:pt idx="16">
                  <c:v>4464.68741427641</c:v>
                </c:pt>
                <c:pt idx="17">
                  <c:v>4249.7096168885346</c:v>
                </c:pt>
                <c:pt idx="18">
                  <c:v>4904.8882180905275</c:v>
                </c:pt>
                <c:pt idx="19">
                  <c:v>4904.8882180905275</c:v>
                </c:pt>
                <c:pt idx="20">
                  <c:v>4904.8882180905275</c:v>
                </c:pt>
                <c:pt idx="21">
                  <c:v>4904.8882180905275</c:v>
                </c:pt>
                <c:pt idx="22">
                  <c:v>4904.8882180905275</c:v>
                </c:pt>
                <c:pt idx="23">
                  <c:v>4793.5571384104805</c:v>
                </c:pt>
                <c:pt idx="24">
                  <c:v>4249.7096168885346</c:v>
                </c:pt>
                <c:pt idx="25">
                  <c:v>4038.1459310854061</c:v>
                </c:pt>
                <c:pt idx="26">
                  <c:v>4904.8882180905275</c:v>
                </c:pt>
                <c:pt idx="27">
                  <c:v>4356.7717071597626</c:v>
                </c:pt>
                <c:pt idx="28">
                  <c:v>4904.8882180905275</c:v>
                </c:pt>
                <c:pt idx="29">
                  <c:v>3933.6441594105177</c:v>
                </c:pt>
                <c:pt idx="30">
                  <c:v>3829.9956522996786</c:v>
                </c:pt>
                <c:pt idx="31">
                  <c:v>3933.6441594105177</c:v>
                </c:pt>
                <c:pt idx="32">
                  <c:v>4573.4568280618087</c:v>
                </c:pt>
                <c:pt idx="33">
                  <c:v>7701.4230453912651</c:v>
                </c:pt>
                <c:pt idx="34">
                  <c:v>7833.2789575727329</c:v>
                </c:pt>
                <c:pt idx="35">
                  <c:v>5358.7542019427656</c:v>
                </c:pt>
                <c:pt idx="36">
                  <c:v>5474.35658566651</c:v>
                </c:pt>
                <c:pt idx="37">
                  <c:v>4249.7096168885346</c:v>
                </c:pt>
                <c:pt idx="38">
                  <c:v>9198.9631898278021</c:v>
                </c:pt>
                <c:pt idx="39">
                  <c:v>9198.9631898278021</c:v>
                </c:pt>
                <c:pt idx="40">
                  <c:v>11102.581770793075</c:v>
                </c:pt>
                <c:pt idx="41">
                  <c:v>11102.581770793075</c:v>
                </c:pt>
                <c:pt idx="42">
                  <c:v>32555.900345422211</c:v>
                </c:pt>
                <c:pt idx="43">
                  <c:v>32555.900345422211</c:v>
                </c:pt>
                <c:pt idx="44">
                  <c:v>32555.900345422211</c:v>
                </c:pt>
                <c:pt idx="45">
                  <c:v>32555.900345422211</c:v>
                </c:pt>
                <c:pt idx="46">
                  <c:v>4249.7096168885346</c:v>
                </c:pt>
                <c:pt idx="47">
                  <c:v>4038.1459310854061</c:v>
                </c:pt>
                <c:pt idx="48">
                  <c:v>4249.7096168885346</c:v>
                </c:pt>
                <c:pt idx="49">
                  <c:v>4143.5010543381823</c:v>
                </c:pt>
                <c:pt idx="50">
                  <c:v>5590.8135154496804</c:v>
                </c:pt>
                <c:pt idx="51">
                  <c:v>5590.8135154496804</c:v>
                </c:pt>
                <c:pt idx="52">
                  <c:v>5130.1126894164827</c:v>
                </c:pt>
                <c:pt idx="53">
                  <c:v>3933.6441594105177</c:v>
                </c:pt>
                <c:pt idx="54">
                  <c:v>3933.6441594105177</c:v>
                </c:pt>
                <c:pt idx="55">
                  <c:v>5590.8135154496804</c:v>
                </c:pt>
                <c:pt idx="56">
                  <c:v>5590.8135154496804</c:v>
                </c:pt>
                <c:pt idx="57">
                  <c:v>5708.1250879419449</c:v>
                </c:pt>
                <c:pt idx="58">
                  <c:v>5708.1250879419449</c:v>
                </c:pt>
                <c:pt idx="59">
                  <c:v>5017.0733706671226</c:v>
                </c:pt>
                <c:pt idx="60">
                  <c:v>5017.0733706671226</c:v>
                </c:pt>
                <c:pt idx="61">
                  <c:v>6429.9475152926771</c:v>
                </c:pt>
                <c:pt idx="62">
                  <c:v>6429.9475152926771</c:v>
                </c:pt>
                <c:pt idx="63">
                  <c:v>6429.9475152926771</c:v>
                </c:pt>
                <c:pt idx="64">
                  <c:v>6429.9475152926771</c:v>
                </c:pt>
                <c:pt idx="65">
                  <c:v>6928.2678940599699</c:v>
                </c:pt>
                <c:pt idx="66">
                  <c:v>3324.5490893930005</c:v>
                </c:pt>
                <c:pt idx="67">
                  <c:v>3324.5490893930005</c:v>
                </c:pt>
                <c:pt idx="68">
                  <c:v>4356.7717071597626</c:v>
                </c:pt>
                <c:pt idx="69">
                  <c:v>4143.5010543381823</c:v>
                </c:pt>
                <c:pt idx="70">
                  <c:v>5945.3125509672818</c:v>
                </c:pt>
                <c:pt idx="71">
                  <c:v>5826.2914004567292</c:v>
                </c:pt>
                <c:pt idx="72">
                  <c:v>5826.2914004567292</c:v>
                </c:pt>
                <c:pt idx="73">
                  <c:v>4573.4568280618087</c:v>
                </c:pt>
                <c:pt idx="74">
                  <c:v>4249.7096168885346</c:v>
                </c:pt>
                <c:pt idx="75">
                  <c:v>4573.4568280618087</c:v>
                </c:pt>
                <c:pt idx="76">
                  <c:v>6307.5060200163534</c:v>
                </c:pt>
                <c:pt idx="77">
                  <c:v>6553.2443481802229</c:v>
                </c:pt>
                <c:pt idx="78">
                  <c:v>6553.2443481802229</c:v>
                </c:pt>
                <c:pt idx="79">
                  <c:v>7440.2802646847394</c:v>
                </c:pt>
                <c:pt idx="80">
                  <c:v>7570.4235168616578</c:v>
                </c:pt>
                <c:pt idx="81">
                  <c:v>7570.4235168616578</c:v>
                </c:pt>
                <c:pt idx="82">
                  <c:v>3727.2003234470503</c:v>
                </c:pt>
                <c:pt idx="83">
                  <c:v>3727.2003234470503</c:v>
                </c:pt>
                <c:pt idx="84">
                  <c:v>4904.8882180905275</c:v>
                </c:pt>
                <c:pt idx="85">
                  <c:v>4904.8882180905275</c:v>
                </c:pt>
                <c:pt idx="86">
                  <c:v>6553.2443481802229</c:v>
                </c:pt>
                <c:pt idx="87">
                  <c:v>6802.4044347827012</c:v>
                </c:pt>
                <c:pt idx="88">
                  <c:v>6677.3966205203642</c:v>
                </c:pt>
                <c:pt idx="89">
                  <c:v>5945.3125509672818</c:v>
                </c:pt>
                <c:pt idx="90">
                  <c:v>5945.3125509672818</c:v>
                </c:pt>
                <c:pt idx="91">
                  <c:v>6307.5060200163534</c:v>
                </c:pt>
                <c:pt idx="92">
                  <c:v>5708.1250879419449</c:v>
                </c:pt>
                <c:pt idx="93">
                  <c:v>5590.8135154496804</c:v>
                </c:pt>
                <c:pt idx="94">
                  <c:v>5708.1250879419449</c:v>
                </c:pt>
                <c:pt idx="95">
                  <c:v>5945.3125509672818</c:v>
                </c:pt>
                <c:pt idx="96">
                  <c:v>5826.2914004567292</c:v>
                </c:pt>
                <c:pt idx="97">
                  <c:v>5474.35658566651</c:v>
                </c:pt>
                <c:pt idx="98">
                  <c:v>5474.35658566651</c:v>
                </c:pt>
                <c:pt idx="99">
                  <c:v>5474.35658566651</c:v>
                </c:pt>
                <c:pt idx="100">
                  <c:v>5474.35658566651</c:v>
                </c:pt>
                <c:pt idx="101">
                  <c:v>5474.35658566651</c:v>
                </c:pt>
                <c:pt idx="102">
                  <c:v>4356.7717071597626</c:v>
                </c:pt>
                <c:pt idx="103">
                  <c:v>4356.7717071597626</c:v>
                </c:pt>
                <c:pt idx="104">
                  <c:v>4356.7717071597626</c:v>
                </c:pt>
                <c:pt idx="105">
                  <c:v>4356.7717071597626</c:v>
                </c:pt>
                <c:pt idx="106">
                  <c:v>3524.1688588451739</c:v>
                </c:pt>
                <c:pt idx="107">
                  <c:v>3524.1688588451739</c:v>
                </c:pt>
                <c:pt idx="108">
                  <c:v>4573.4568280618087</c:v>
                </c:pt>
                <c:pt idx="109">
                  <c:v>4573.4568280618087</c:v>
                </c:pt>
                <c:pt idx="110">
                  <c:v>4573.4568280618087</c:v>
                </c:pt>
                <c:pt idx="111">
                  <c:v>4573.4568280618087</c:v>
                </c:pt>
                <c:pt idx="112">
                  <c:v>5017.0733706671226</c:v>
                </c:pt>
                <c:pt idx="113">
                  <c:v>4573.4568280618087</c:v>
                </c:pt>
                <c:pt idx="114">
                  <c:v>5244.0062682963635</c:v>
                </c:pt>
                <c:pt idx="115">
                  <c:v>5358.7542019427656</c:v>
                </c:pt>
                <c:pt idx="116">
                  <c:v>8233.9860776331589</c:v>
                </c:pt>
                <c:pt idx="117">
                  <c:v>8233.9860776331589</c:v>
                </c:pt>
                <c:pt idx="118">
                  <c:v>8233.9860776331589</c:v>
                </c:pt>
                <c:pt idx="119">
                  <c:v>8233.9860776331589</c:v>
                </c:pt>
                <c:pt idx="120">
                  <c:v>8918.9691296611218</c:v>
                </c:pt>
                <c:pt idx="121">
                  <c:v>10501.400926459648</c:v>
                </c:pt>
                <c:pt idx="122">
                  <c:v>10800.273594108434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62A-4F95-BD67-8D6D850616D4}"/>
            </c:ext>
          </c:extLst>
        </c:ser>
        <c:ser>
          <c:idx val="4"/>
          <c:order val="4"/>
          <c:tx>
            <c:v>Confidence_Min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Calibration_Factor!$I$3:$I$125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Calibration_Factor!$P$3:$P$125</c:f>
              <c:numCache>
                <c:formatCode>0</c:formatCode>
                <c:ptCount val="123"/>
                <c:pt idx="0">
                  <c:v>5949.4234581553801</c:v>
                </c:pt>
                <c:pt idx="1">
                  <c:v>5949.4234581553801</c:v>
                </c:pt>
                <c:pt idx="2">
                  <c:v>5572.3914300077186</c:v>
                </c:pt>
                <c:pt idx="3">
                  <c:v>5572.3914300077186</c:v>
                </c:pt>
                <c:pt idx="4">
                  <c:v>5572.3914300077186</c:v>
                </c:pt>
                <c:pt idx="5">
                  <c:v>2608.1815050323339</c:v>
                </c:pt>
                <c:pt idx="6">
                  <c:v>2403.139033183088</c:v>
                </c:pt>
                <c:pt idx="7">
                  <c:v>3243.2433201404274</c:v>
                </c:pt>
                <c:pt idx="8">
                  <c:v>3243.2433201404274</c:v>
                </c:pt>
                <c:pt idx="9">
                  <c:v>2003.0822569393383</c:v>
                </c:pt>
                <c:pt idx="10">
                  <c:v>4839.7993954398953</c:v>
                </c:pt>
                <c:pt idx="11">
                  <c:v>4839.7993954398953</c:v>
                </c:pt>
                <c:pt idx="12">
                  <c:v>4602.0000802378408</c:v>
                </c:pt>
                <c:pt idx="13">
                  <c:v>4839.7993954398953</c:v>
                </c:pt>
                <c:pt idx="14">
                  <c:v>4839.7993954398953</c:v>
                </c:pt>
                <c:pt idx="15">
                  <c:v>4484.3065366714673</c:v>
                </c:pt>
                <c:pt idx="16">
                  <c:v>3351.979331111218</c:v>
                </c:pt>
                <c:pt idx="17">
                  <c:v>3135.3312527637422</c:v>
                </c:pt>
                <c:pt idx="18">
                  <c:v>3795.1316152642266</c:v>
                </c:pt>
                <c:pt idx="19">
                  <c:v>3795.1316152642266</c:v>
                </c:pt>
                <c:pt idx="20">
                  <c:v>3795.1316152642266</c:v>
                </c:pt>
                <c:pt idx="21">
                  <c:v>3795.1316152642266</c:v>
                </c:pt>
                <c:pt idx="22">
                  <c:v>3795.1316152642266</c:v>
                </c:pt>
                <c:pt idx="23">
                  <c:v>3683.1154942602507</c:v>
                </c:pt>
                <c:pt idx="24">
                  <c:v>3135.3312527637422</c:v>
                </c:pt>
                <c:pt idx="25">
                  <c:v>2921.984937625331</c:v>
                </c:pt>
                <c:pt idx="26">
                  <c:v>3795.1316152642266</c:v>
                </c:pt>
                <c:pt idx="27">
                  <c:v>3243.2433201404274</c:v>
                </c:pt>
                <c:pt idx="28">
                  <c:v>3795.1316152642266</c:v>
                </c:pt>
                <c:pt idx="29">
                  <c:v>2816.5535940143841</c:v>
                </c:pt>
                <c:pt idx="30">
                  <c:v>2711.9519984934177</c:v>
                </c:pt>
                <c:pt idx="31">
                  <c:v>2816.5535940143841</c:v>
                </c:pt>
                <c:pt idx="32">
                  <c:v>3461.5377469796754</c:v>
                </c:pt>
                <c:pt idx="33">
                  <c:v>6593.6363976258754</c:v>
                </c:pt>
                <c:pt idx="34">
                  <c:v>6724.8490194731839</c:v>
                </c:pt>
                <c:pt idx="35">
                  <c:v>4251.3395529315376</c:v>
                </c:pt>
                <c:pt idx="36">
                  <c:v>4367.4191585497801</c:v>
                </c:pt>
                <c:pt idx="37">
                  <c:v>3135.3312527637422</c:v>
                </c:pt>
                <c:pt idx="38">
                  <c:v>8080.4519803221947</c:v>
                </c:pt>
                <c:pt idx="39">
                  <c:v>8080.4519803221947</c:v>
                </c:pt>
                <c:pt idx="40">
                  <c:v>9961.6973924948943</c:v>
                </c:pt>
                <c:pt idx="41">
                  <c:v>9961.6973924948943</c:v>
                </c:pt>
                <c:pt idx="42">
                  <c:v>30959.083141860101</c:v>
                </c:pt>
                <c:pt idx="43">
                  <c:v>30959.083141860101</c:v>
                </c:pt>
                <c:pt idx="44">
                  <c:v>30959.083141860101</c:v>
                </c:pt>
                <c:pt idx="45">
                  <c:v>30959.083141860101</c:v>
                </c:pt>
                <c:pt idx="46">
                  <c:v>3135.3312527637422</c:v>
                </c:pt>
                <c:pt idx="47">
                  <c:v>2921.984937625331</c:v>
                </c:pt>
                <c:pt idx="48">
                  <c:v>3135.3312527637422</c:v>
                </c:pt>
                <c:pt idx="49">
                  <c:v>3028.2446350039536</c:v>
                </c:pt>
                <c:pt idx="50">
                  <c:v>4484.3065366714673</c:v>
                </c:pt>
                <c:pt idx="51">
                  <c:v>4484.3065366714673</c:v>
                </c:pt>
                <c:pt idx="52">
                  <c:v>4021.6101908871665</c:v>
                </c:pt>
                <c:pt idx="53">
                  <c:v>2816.5535940143841</c:v>
                </c:pt>
                <c:pt idx="54">
                  <c:v>2816.5535940143841</c:v>
                </c:pt>
                <c:pt idx="55">
                  <c:v>4484.3065366714673</c:v>
                </c:pt>
                <c:pt idx="56">
                  <c:v>4484.3065366714673</c:v>
                </c:pt>
                <c:pt idx="57">
                  <c:v>4602.0000802378408</c:v>
                </c:pt>
                <c:pt idx="58">
                  <c:v>4602.0000802378408</c:v>
                </c:pt>
                <c:pt idx="59">
                  <c:v>3907.9637291935423</c:v>
                </c:pt>
                <c:pt idx="60">
                  <c:v>3907.9637291935423</c:v>
                </c:pt>
                <c:pt idx="61">
                  <c:v>5325.0057012547968</c:v>
                </c:pt>
                <c:pt idx="62">
                  <c:v>5325.0057012547968</c:v>
                </c:pt>
                <c:pt idx="63">
                  <c:v>5325.0057012547968</c:v>
                </c:pt>
                <c:pt idx="64">
                  <c:v>5325.0057012547968</c:v>
                </c:pt>
                <c:pt idx="65">
                  <c:v>5822.9535357071845</c:v>
                </c:pt>
                <c:pt idx="66">
                  <c:v>2201.4361759286071</c:v>
                </c:pt>
                <c:pt idx="67">
                  <c:v>2201.4361759286071</c:v>
                </c:pt>
                <c:pt idx="68">
                  <c:v>3243.2433201404274</c:v>
                </c:pt>
                <c:pt idx="69">
                  <c:v>3028.2446350039536</c:v>
                </c:pt>
                <c:pt idx="70">
                  <c:v>4839.7993954398953</c:v>
                </c:pt>
                <c:pt idx="71">
                  <c:v>4720.498212516196</c:v>
                </c:pt>
                <c:pt idx="72">
                  <c:v>4720.498212516196</c:v>
                </c:pt>
                <c:pt idx="73">
                  <c:v>3461.5377469796754</c:v>
                </c:pt>
                <c:pt idx="74">
                  <c:v>3135.3312527637422</c:v>
                </c:pt>
                <c:pt idx="75">
                  <c:v>3461.5377469796754</c:v>
                </c:pt>
                <c:pt idx="76">
                  <c:v>5202.5066259014366</c:v>
                </c:pt>
                <c:pt idx="77">
                  <c:v>5448.3010128895594</c:v>
                </c:pt>
                <c:pt idx="78">
                  <c:v>5448.3010128895594</c:v>
                </c:pt>
                <c:pt idx="79">
                  <c:v>6333.5804074379694</c:v>
                </c:pt>
                <c:pt idx="80">
                  <c:v>6463.2134786651059</c:v>
                </c:pt>
                <c:pt idx="81">
                  <c:v>6463.2134786651059</c:v>
                </c:pt>
                <c:pt idx="82">
                  <c:v>2608.1815050323339</c:v>
                </c:pt>
                <c:pt idx="83">
                  <c:v>2608.1815050323339</c:v>
                </c:pt>
                <c:pt idx="84">
                  <c:v>3795.1316152642266</c:v>
                </c:pt>
                <c:pt idx="85">
                  <c:v>3795.1316152642266</c:v>
                </c:pt>
                <c:pt idx="86">
                  <c:v>5448.3010128895594</c:v>
                </c:pt>
                <c:pt idx="87">
                  <c:v>5697.2759162447528</c:v>
                </c:pt>
                <c:pt idx="88">
                  <c:v>5572.3914300077186</c:v>
                </c:pt>
                <c:pt idx="89">
                  <c:v>4839.7993954398953</c:v>
                </c:pt>
                <c:pt idx="90">
                  <c:v>4839.7993954398953</c:v>
                </c:pt>
                <c:pt idx="91">
                  <c:v>5202.5066259014366</c:v>
                </c:pt>
                <c:pt idx="92">
                  <c:v>4602.0000802378408</c:v>
                </c:pt>
                <c:pt idx="93">
                  <c:v>4484.3065366714673</c:v>
                </c:pt>
                <c:pt idx="94">
                  <c:v>4602.0000802378408</c:v>
                </c:pt>
                <c:pt idx="95">
                  <c:v>4839.7993954398953</c:v>
                </c:pt>
                <c:pt idx="96">
                  <c:v>4720.498212516196</c:v>
                </c:pt>
                <c:pt idx="97">
                  <c:v>4367.4191585497801</c:v>
                </c:pt>
                <c:pt idx="98">
                  <c:v>4367.4191585497801</c:v>
                </c:pt>
                <c:pt idx="99">
                  <c:v>4367.4191585497801</c:v>
                </c:pt>
                <c:pt idx="100">
                  <c:v>4367.4191585497801</c:v>
                </c:pt>
                <c:pt idx="101">
                  <c:v>4367.4191585497801</c:v>
                </c:pt>
                <c:pt idx="102">
                  <c:v>3243.2433201404274</c:v>
                </c:pt>
                <c:pt idx="103">
                  <c:v>3243.2433201404274</c:v>
                </c:pt>
                <c:pt idx="104">
                  <c:v>3243.2433201404274</c:v>
                </c:pt>
                <c:pt idx="105">
                  <c:v>3243.2433201404274</c:v>
                </c:pt>
                <c:pt idx="106">
                  <c:v>2403.139033183088</c:v>
                </c:pt>
                <c:pt idx="107">
                  <c:v>2403.139033183088</c:v>
                </c:pt>
                <c:pt idx="108">
                  <c:v>3461.5377469796754</c:v>
                </c:pt>
                <c:pt idx="109">
                  <c:v>3461.5377469796754</c:v>
                </c:pt>
                <c:pt idx="110">
                  <c:v>3461.5377469796754</c:v>
                </c:pt>
                <c:pt idx="111">
                  <c:v>3461.5377469796754</c:v>
                </c:pt>
                <c:pt idx="112">
                  <c:v>3907.9637291935423</c:v>
                </c:pt>
                <c:pt idx="113">
                  <c:v>3461.5377469796754</c:v>
                </c:pt>
                <c:pt idx="114">
                  <c:v>4136.0693491143902</c:v>
                </c:pt>
                <c:pt idx="115">
                  <c:v>4251.3395529315376</c:v>
                </c:pt>
                <c:pt idx="116">
                  <c:v>7123.2253226687999</c:v>
                </c:pt>
                <c:pt idx="117">
                  <c:v>7123.2253226687999</c:v>
                </c:pt>
                <c:pt idx="118">
                  <c:v>7123.2253226687999</c:v>
                </c:pt>
                <c:pt idx="119">
                  <c:v>7123.2253226687999</c:v>
                </c:pt>
                <c:pt idx="120">
                  <c:v>7802.9971888268183</c:v>
                </c:pt>
                <c:pt idx="121">
                  <c:v>9368.4289105545085</c:v>
                </c:pt>
                <c:pt idx="122">
                  <c:v>9663.4533473754836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62A-4F95-BD67-8D6D850616D4}"/>
            </c:ext>
          </c:extLst>
        </c:ser>
        <c:ser>
          <c:idx val="5"/>
          <c:order val="5"/>
          <c:tx>
            <c:v>Confidence_Max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Calibration_Factor!$I$3:$I$125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Calibration_Factor!$Q$3:$Q$125</c:f>
              <c:numCache>
                <c:formatCode>0</c:formatCode>
                <c:ptCount val="123"/>
                <c:pt idx="0">
                  <c:v>6132.6758877400434</c:v>
                </c:pt>
                <c:pt idx="1">
                  <c:v>6132.6758877400434</c:v>
                </c:pt>
                <c:pt idx="2">
                  <c:v>5754.6192836553082</c:v>
                </c:pt>
                <c:pt idx="3">
                  <c:v>5754.6192836553082</c:v>
                </c:pt>
                <c:pt idx="4">
                  <c:v>5754.6192836553082</c:v>
                </c:pt>
                <c:pt idx="5">
                  <c:v>2815.9790551864626</c:v>
                </c:pt>
                <c:pt idx="6">
                  <c:v>2614.5822237874509</c:v>
                </c:pt>
                <c:pt idx="7">
                  <c:v>3441.0575153978798</c:v>
                </c:pt>
                <c:pt idx="8">
                  <c:v>3441.0575153978798</c:v>
                </c:pt>
                <c:pt idx="9">
                  <c:v>2222.1715763220568</c:v>
                </c:pt>
                <c:pt idx="10">
                  <c:v>5022.9592150299213</c:v>
                </c:pt>
                <c:pt idx="11">
                  <c:v>5022.9592150299213</c:v>
                </c:pt>
                <c:pt idx="12">
                  <c:v>4786.2819510258205</c:v>
                </c:pt>
                <c:pt idx="13">
                  <c:v>5022.9592150299213</c:v>
                </c:pt>
                <c:pt idx="14">
                  <c:v>5022.9592150299213</c:v>
                </c:pt>
                <c:pt idx="15">
                  <c:v>4669.2886028375342</c:v>
                </c:pt>
                <c:pt idx="16">
                  <c:v>3548.2981452933236</c:v>
                </c:pt>
                <c:pt idx="17">
                  <c:v>3334.6938738072781</c:v>
                </c:pt>
                <c:pt idx="18">
                  <c:v>3986.0617435947306</c:v>
                </c:pt>
                <c:pt idx="19">
                  <c:v>3986.0617435947306</c:v>
                </c:pt>
                <c:pt idx="20">
                  <c:v>3986.0617435947306</c:v>
                </c:pt>
                <c:pt idx="21">
                  <c:v>3986.0617435947306</c:v>
                </c:pt>
                <c:pt idx="22">
                  <c:v>3986.0617435947306</c:v>
                </c:pt>
                <c:pt idx="23">
                  <c:v>3875.297496136679</c:v>
                </c:pt>
                <c:pt idx="24">
                  <c:v>3334.6938738072781</c:v>
                </c:pt>
                <c:pt idx="25">
                  <c:v>3124.5915667079557</c:v>
                </c:pt>
                <c:pt idx="26">
                  <c:v>3986.0617435947306</c:v>
                </c:pt>
                <c:pt idx="27">
                  <c:v>3441.0575153978798</c:v>
                </c:pt>
                <c:pt idx="28">
                  <c:v>3986.0617435947306</c:v>
                </c:pt>
                <c:pt idx="29">
                  <c:v>3020.8499970484586</c:v>
                </c:pt>
                <c:pt idx="30">
                  <c:v>2917.9796111979276</c:v>
                </c:pt>
                <c:pt idx="31">
                  <c:v>3020.8499970484586</c:v>
                </c:pt>
                <c:pt idx="32">
                  <c:v>3656.4173021900483</c:v>
                </c:pt>
                <c:pt idx="33">
                  <c:v>6780.9626399691615</c:v>
                </c:pt>
                <c:pt idx="34">
                  <c:v>6913.3527521586166</c:v>
                </c:pt>
                <c:pt idx="35">
                  <c:v>4437.9845987649906</c:v>
                </c:pt>
                <c:pt idx="36">
                  <c:v>4553.1900211035108</c:v>
                </c:pt>
                <c:pt idx="37">
                  <c:v>3334.6938738072781</c:v>
                </c:pt>
                <c:pt idx="38">
                  <c:v>8287.3283861193704</c:v>
                </c:pt>
                <c:pt idx="39">
                  <c:v>8287.3283861193704</c:v>
                </c:pt>
                <c:pt idx="40">
                  <c:v>10208.824466092017</c:v>
                </c:pt>
                <c:pt idx="41">
                  <c:v>10208.824466092017</c:v>
                </c:pt>
                <c:pt idx="42">
                  <c:v>31917.333986888072</c:v>
                </c:pt>
                <c:pt idx="43">
                  <c:v>31917.333986888072</c:v>
                </c:pt>
                <c:pt idx="44">
                  <c:v>31917.333986888072</c:v>
                </c:pt>
                <c:pt idx="45">
                  <c:v>31917.333986888072</c:v>
                </c:pt>
                <c:pt idx="46">
                  <c:v>3334.6938738072781</c:v>
                </c:pt>
                <c:pt idx="47">
                  <c:v>3124.5915667079557</c:v>
                </c:pt>
                <c:pt idx="48">
                  <c:v>3334.6938738072781</c:v>
                </c:pt>
                <c:pt idx="49">
                  <c:v>3229.2057144987275</c:v>
                </c:pt>
                <c:pt idx="50">
                  <c:v>4669.2886028375342</c:v>
                </c:pt>
                <c:pt idx="51">
                  <c:v>4669.2886028375342</c:v>
                </c:pt>
                <c:pt idx="52">
                  <c:v>4210.2467005926819</c:v>
                </c:pt>
                <c:pt idx="53">
                  <c:v>3020.8499970484586</c:v>
                </c:pt>
                <c:pt idx="54">
                  <c:v>3020.8499970484586</c:v>
                </c:pt>
                <c:pt idx="55">
                  <c:v>4669.2886028375342</c:v>
                </c:pt>
                <c:pt idx="56">
                  <c:v>4669.2886028375342</c:v>
                </c:pt>
                <c:pt idx="57">
                  <c:v>4786.2819510258205</c:v>
                </c:pt>
                <c:pt idx="58">
                  <c:v>4786.2819510258205</c:v>
                </c:pt>
                <c:pt idx="59">
                  <c:v>4097.7109300263864</c:v>
                </c:pt>
                <c:pt idx="60">
                  <c:v>4097.7109300263864</c:v>
                </c:pt>
                <c:pt idx="61">
                  <c:v>5507.1172504147053</c:v>
                </c:pt>
                <c:pt idx="62">
                  <c:v>5507.1172504147053</c:v>
                </c:pt>
                <c:pt idx="63">
                  <c:v>5507.1172504147053</c:v>
                </c:pt>
                <c:pt idx="64">
                  <c:v>5507.1172504147053</c:v>
                </c:pt>
                <c:pt idx="65">
                  <c:v>6005.748667545161</c:v>
                </c:pt>
                <c:pt idx="66">
                  <c:v>2416.6495053894637</c:v>
                </c:pt>
                <c:pt idx="67">
                  <c:v>2416.6495053894637</c:v>
                </c:pt>
                <c:pt idx="68">
                  <c:v>3441.0575153978798</c:v>
                </c:pt>
                <c:pt idx="69">
                  <c:v>3229.2057144987275</c:v>
                </c:pt>
                <c:pt idx="70">
                  <c:v>5022.9592150299213</c:v>
                </c:pt>
                <c:pt idx="71">
                  <c:v>4904.1716424010674</c:v>
                </c:pt>
                <c:pt idx="72">
                  <c:v>4904.1716424010674</c:v>
                </c:pt>
                <c:pt idx="73">
                  <c:v>3656.4173021900483</c:v>
                </c:pt>
                <c:pt idx="74">
                  <c:v>3334.6938738072781</c:v>
                </c:pt>
                <c:pt idx="75">
                  <c:v>3656.4173021900483</c:v>
                </c:pt>
                <c:pt idx="76">
                  <c:v>5384.72384261972</c:v>
                </c:pt>
                <c:pt idx="77">
                  <c:v>5630.4153538272321</c:v>
                </c:pt>
                <c:pt idx="78">
                  <c:v>5630.4153538272321</c:v>
                </c:pt>
                <c:pt idx="79">
                  <c:v>6518.9159577803812</c:v>
                </c:pt>
                <c:pt idx="80">
                  <c:v>6649.4837567921149</c:v>
                </c:pt>
                <c:pt idx="81">
                  <c:v>6649.4837567921149</c:v>
                </c:pt>
                <c:pt idx="82">
                  <c:v>2815.9790551864626</c:v>
                </c:pt>
                <c:pt idx="83">
                  <c:v>2815.9790551864626</c:v>
                </c:pt>
                <c:pt idx="84">
                  <c:v>3986.0617435947306</c:v>
                </c:pt>
                <c:pt idx="85">
                  <c:v>3986.0617435947306</c:v>
                </c:pt>
                <c:pt idx="86">
                  <c:v>5630.4153538272321</c:v>
                </c:pt>
                <c:pt idx="87">
                  <c:v>5879.7300762634586</c:v>
                </c:pt>
                <c:pt idx="88">
                  <c:v>5754.6192836553082</c:v>
                </c:pt>
                <c:pt idx="89">
                  <c:v>5022.9592150299213</c:v>
                </c:pt>
                <c:pt idx="90">
                  <c:v>5022.9592150299213</c:v>
                </c:pt>
                <c:pt idx="91">
                  <c:v>5384.72384261972</c:v>
                </c:pt>
                <c:pt idx="92">
                  <c:v>4786.2819510258205</c:v>
                </c:pt>
                <c:pt idx="93">
                  <c:v>4669.2886028375342</c:v>
                </c:pt>
                <c:pt idx="94">
                  <c:v>4786.2819510258205</c:v>
                </c:pt>
                <c:pt idx="95">
                  <c:v>5022.9592150299213</c:v>
                </c:pt>
                <c:pt idx="96">
                  <c:v>4904.1716424010674</c:v>
                </c:pt>
                <c:pt idx="97">
                  <c:v>4553.1900211035108</c:v>
                </c:pt>
                <c:pt idx="98">
                  <c:v>4553.1900211035108</c:v>
                </c:pt>
                <c:pt idx="99">
                  <c:v>4553.1900211035108</c:v>
                </c:pt>
                <c:pt idx="100">
                  <c:v>4553.1900211035108</c:v>
                </c:pt>
                <c:pt idx="101">
                  <c:v>4553.1900211035108</c:v>
                </c:pt>
                <c:pt idx="102">
                  <c:v>3441.0575153978798</c:v>
                </c:pt>
                <c:pt idx="103">
                  <c:v>3441.0575153978798</c:v>
                </c:pt>
                <c:pt idx="104">
                  <c:v>3441.0575153978798</c:v>
                </c:pt>
                <c:pt idx="105">
                  <c:v>3441.0575153978798</c:v>
                </c:pt>
                <c:pt idx="106">
                  <c:v>2614.5822237874509</c:v>
                </c:pt>
                <c:pt idx="107">
                  <c:v>2614.5822237874509</c:v>
                </c:pt>
                <c:pt idx="108">
                  <c:v>3656.4173021900483</c:v>
                </c:pt>
                <c:pt idx="109">
                  <c:v>3656.4173021900483</c:v>
                </c:pt>
                <c:pt idx="110">
                  <c:v>3656.4173021900483</c:v>
                </c:pt>
                <c:pt idx="111">
                  <c:v>3656.4173021900483</c:v>
                </c:pt>
                <c:pt idx="112">
                  <c:v>4097.7109300263864</c:v>
                </c:pt>
                <c:pt idx="113">
                  <c:v>3656.4173021900483</c:v>
                </c:pt>
                <c:pt idx="114">
                  <c:v>4323.6707065243245</c:v>
                </c:pt>
                <c:pt idx="115">
                  <c:v>4437.9845987649906</c:v>
                </c:pt>
                <c:pt idx="116">
                  <c:v>7315.9902424669808</c:v>
                </c:pt>
                <c:pt idx="117">
                  <c:v>7315.9902424669808</c:v>
                </c:pt>
                <c:pt idx="118">
                  <c:v>7315.9902424669808</c:v>
                </c:pt>
                <c:pt idx="119">
                  <c:v>7315.9902424669808</c:v>
                </c:pt>
                <c:pt idx="120">
                  <c:v>8005.2600034612178</c:v>
                </c:pt>
                <c:pt idx="121">
                  <c:v>9601.4018685758583</c:v>
                </c:pt>
                <c:pt idx="122">
                  <c:v>9903.3211076852622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62A-4F95-BD67-8D6D85061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8032"/>
        <c:axId val="99874304"/>
      </c:scatterChart>
      <c:valAx>
        <c:axId val="99868032"/>
        <c:scaling>
          <c:logBase val="10"/>
          <c:orientation val="minMax"/>
          <c:max val="70000"/>
          <c:min val="1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True Cooling Capacity [kW]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9874304"/>
        <c:crosses val="autoZero"/>
        <c:crossBetween val="midCat"/>
        <c:majorUnit val="10"/>
        <c:minorUnit val="10"/>
      </c:valAx>
      <c:valAx>
        <c:axId val="99874304"/>
        <c:scaling>
          <c:logBase val="10"/>
          <c:orientation val="minMax"/>
          <c:max val="70000"/>
          <c:min val="100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Predicted Cooling</a:t>
                </a:r>
                <a:r>
                  <a:rPr lang="de-DE" sz="1200" baseline="0"/>
                  <a:t> Capacity [kW]</a:t>
                </a:r>
                <a:endParaRPr lang="de-DE" sz="1200"/>
              </a:p>
            </c:rich>
          </c:tx>
          <c:layout>
            <c:manualLayout>
              <c:xMode val="edge"/>
              <c:yMode val="edge"/>
              <c:x val="3.04916618879159E-2"/>
              <c:y val="0.2095397270697758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99868032"/>
        <c:crosses val="autoZero"/>
        <c:crossBetween val="midCat"/>
        <c:minorUnit val="10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72073978770824243"/>
          <c:y val="0.72774227781037459"/>
          <c:w val="0.25245805756735024"/>
          <c:h val="0.15347012366997639"/>
        </c:manualLayout>
      </c:layout>
      <c:overlay val="1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66007060546542"/>
          <c:y val="3.1409117781629983E-2"/>
          <c:w val="0.74562732762099471"/>
          <c:h val="0.83081351134254033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>
                  <a:alpha val="20000"/>
                </a:schemeClr>
              </a:solidFill>
              <a:ln w="3175">
                <a:solidFill>
                  <a:schemeClr val="tx1"/>
                </a:solidFill>
              </a:ln>
            </c:spPr>
          </c:marker>
          <c:trendline>
            <c:spPr>
              <a:ln w="22225"/>
            </c:spPr>
            <c:trendlineType val="linear"/>
            <c:dispRSqr val="0"/>
            <c:dispEq val="0"/>
          </c:trendline>
          <c:xVal>
            <c:numRef>
              <c:f>Calibration_Factor!$I$3:$I$125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Calibration_Factor!$H$3:$H$125</c:f>
              <c:numCache>
                <c:formatCode>0</c:formatCode>
                <c:ptCount val="123"/>
                <c:pt idx="0">
                  <c:v>6475.9016622708386</c:v>
                </c:pt>
                <c:pt idx="1">
                  <c:v>6358.3931938388723</c:v>
                </c:pt>
                <c:pt idx="2">
                  <c:v>5894.987900366812</c:v>
                </c:pt>
                <c:pt idx="3">
                  <c:v>6125.3648310516783</c:v>
                </c:pt>
                <c:pt idx="4">
                  <c:v>6125.3648310516783</c:v>
                </c:pt>
                <c:pt idx="5">
                  <c:v>3044.4082531359386</c:v>
                </c:pt>
                <c:pt idx="6">
                  <c:v>2852.4770879347529</c:v>
                </c:pt>
                <c:pt idx="7">
                  <c:v>2384.2491903794539</c:v>
                </c:pt>
                <c:pt idx="8">
                  <c:v>2476.5690538393524</c:v>
                </c:pt>
                <c:pt idx="9">
                  <c:v>1844.2500281572579</c:v>
                </c:pt>
                <c:pt idx="10">
                  <c:v>4782.874728477309</c:v>
                </c:pt>
                <c:pt idx="11">
                  <c:v>4891.1031845511443</c:v>
                </c:pt>
                <c:pt idx="12">
                  <c:v>4675.3091304290519</c:v>
                </c:pt>
                <c:pt idx="13">
                  <c:v>4782.874728477309</c:v>
                </c:pt>
                <c:pt idx="14">
                  <c:v>4891.1031845511443</c:v>
                </c:pt>
                <c:pt idx="15">
                  <c:v>4251.6753184918362</c:v>
                </c:pt>
                <c:pt idx="16">
                  <c:v>3535.8361815865651</c:v>
                </c:pt>
                <c:pt idx="17">
                  <c:v>3238.9908504394475</c:v>
                </c:pt>
                <c:pt idx="18">
                  <c:v>3940.9099688075207</c:v>
                </c:pt>
                <c:pt idx="19">
                  <c:v>3737.0473591458826</c:v>
                </c:pt>
                <c:pt idx="20">
                  <c:v>3838.6472349639121</c:v>
                </c:pt>
                <c:pt idx="21">
                  <c:v>3940.9099688075207</c:v>
                </c:pt>
                <c:pt idx="22">
                  <c:v>3636.1103413534333</c:v>
                </c:pt>
                <c:pt idx="23">
                  <c:v>3737.0473591458826</c:v>
                </c:pt>
                <c:pt idx="24">
                  <c:v>2757.5057923725321</c:v>
                </c:pt>
                <c:pt idx="25">
                  <c:v>2663.1973548358915</c:v>
                </c:pt>
                <c:pt idx="26">
                  <c:v>3838.6472349639121</c:v>
                </c:pt>
                <c:pt idx="27">
                  <c:v>3337.2764361295726</c:v>
                </c:pt>
                <c:pt idx="28">
                  <c:v>4147.4240105714834</c:v>
                </c:pt>
                <c:pt idx="29">
                  <c:v>2663.1973548358915</c:v>
                </c:pt>
                <c:pt idx="30">
                  <c:v>2569.5517753248305</c:v>
                </c:pt>
                <c:pt idx="31">
                  <c:v>2852.4770879347529</c:v>
                </c:pt>
                <c:pt idx="32">
                  <c:v>3337.2764361295726</c:v>
                </c:pt>
                <c:pt idx="33">
                  <c:v>7563.3064893096835</c:v>
                </c:pt>
                <c:pt idx="34">
                  <c:v>7812.2434447108153</c:v>
                </c:pt>
                <c:pt idx="35">
                  <c:v>5109.5486707755626</c:v>
                </c:pt>
                <c:pt idx="36">
                  <c:v>5109.5486707755626</c:v>
                </c:pt>
                <c:pt idx="37">
                  <c:v>2948.1112415225557</c:v>
                </c:pt>
                <c:pt idx="38">
                  <c:v>8446.1858486613037</c:v>
                </c:pt>
                <c:pt idx="39">
                  <c:v>8446.1858486613037</c:v>
                </c:pt>
                <c:pt idx="40">
                  <c:v>10035.25913675172</c:v>
                </c:pt>
                <c:pt idx="41">
                  <c:v>10586.161689600443</c:v>
                </c:pt>
                <c:pt idx="42">
                  <c:v>32263.827731728838</c:v>
                </c:pt>
                <c:pt idx="43">
                  <c:v>31175.827580255514</c:v>
                </c:pt>
                <c:pt idx="44">
                  <c:v>28632.2387353288</c:v>
                </c:pt>
                <c:pt idx="45">
                  <c:v>32044.90198538301</c:v>
                </c:pt>
                <c:pt idx="46">
                  <c:v>3238.9908504394475</c:v>
                </c:pt>
                <c:pt idx="47">
                  <c:v>2948.1112415225557</c:v>
                </c:pt>
                <c:pt idx="48">
                  <c:v>3238.9908504394475</c:v>
                </c:pt>
                <c:pt idx="49">
                  <c:v>2757.5057923725321</c:v>
                </c:pt>
                <c:pt idx="50">
                  <c:v>4675.3091304290519</c:v>
                </c:pt>
                <c:pt idx="51">
                  <c:v>4462.166508409282</c:v>
                </c:pt>
                <c:pt idx="52">
                  <c:v>4147.4240105714834</c:v>
                </c:pt>
                <c:pt idx="53">
                  <c:v>2948.1112415225557</c:v>
                </c:pt>
                <c:pt idx="54">
                  <c:v>2663.1973548358915</c:v>
                </c:pt>
                <c:pt idx="55">
                  <c:v>4568.4063904063769</c:v>
                </c:pt>
                <c:pt idx="56">
                  <c:v>4568.4063904063769</c:v>
                </c:pt>
                <c:pt idx="57">
                  <c:v>4891.1031845511443</c:v>
                </c:pt>
                <c:pt idx="58">
                  <c:v>4675.3091304290519</c:v>
                </c:pt>
                <c:pt idx="59">
                  <c:v>4043.8355606767122</c:v>
                </c:pt>
                <c:pt idx="60">
                  <c:v>4043.8355606767122</c:v>
                </c:pt>
                <c:pt idx="61">
                  <c:v>5330.6455891022997</c:v>
                </c:pt>
                <c:pt idx="62">
                  <c:v>5330.6455891022997</c:v>
                </c:pt>
                <c:pt idx="63">
                  <c:v>5554.393939531361</c:v>
                </c:pt>
                <c:pt idx="64">
                  <c:v>5442.1883353040394</c:v>
                </c:pt>
                <c:pt idx="65">
                  <c:v>6241.547583432488</c:v>
                </c:pt>
                <c:pt idx="66">
                  <c:v>2384.2491903794539</c:v>
                </c:pt>
                <c:pt idx="67">
                  <c:v>2201.5980375363993</c:v>
                </c:pt>
                <c:pt idx="68">
                  <c:v>3238.9908504394475</c:v>
                </c:pt>
                <c:pt idx="69">
                  <c:v>2948.1112415225557</c:v>
                </c:pt>
                <c:pt idx="70">
                  <c:v>4782.874728477309</c:v>
                </c:pt>
                <c:pt idx="71">
                  <c:v>4462.166508409282</c:v>
                </c:pt>
                <c:pt idx="72">
                  <c:v>4675.3091304290519</c:v>
                </c:pt>
                <c:pt idx="73">
                  <c:v>3535.8361815865651</c:v>
                </c:pt>
                <c:pt idx="74">
                  <c:v>3436.2248798452797</c:v>
                </c:pt>
                <c:pt idx="75">
                  <c:v>3636.1103413534333</c:v>
                </c:pt>
                <c:pt idx="76">
                  <c:v>5442.1883353040394</c:v>
                </c:pt>
                <c:pt idx="77">
                  <c:v>5554.393939531361</c:v>
                </c:pt>
                <c:pt idx="78">
                  <c:v>5780.7937220627446</c:v>
                </c:pt>
                <c:pt idx="79">
                  <c:v>6832.4042157202257</c:v>
                </c:pt>
                <c:pt idx="80">
                  <c:v>6952.5641162545198</c:v>
                </c:pt>
                <c:pt idx="81">
                  <c:v>6952.5641162545198</c:v>
                </c:pt>
                <c:pt idx="82">
                  <c:v>2663.1973548358915</c:v>
                </c:pt>
                <c:pt idx="83">
                  <c:v>2569.5517753248305</c:v>
                </c:pt>
                <c:pt idx="84">
                  <c:v>4147.4240105714834</c:v>
                </c:pt>
                <c:pt idx="85">
                  <c:v>3940.9099688075207</c:v>
                </c:pt>
                <c:pt idx="86">
                  <c:v>5554.393939531361</c:v>
                </c:pt>
                <c:pt idx="87">
                  <c:v>5780.7937220627446</c:v>
                </c:pt>
                <c:pt idx="88">
                  <c:v>5109.5486707755626</c:v>
                </c:pt>
                <c:pt idx="89">
                  <c:v>4675.3091304290519</c:v>
                </c:pt>
                <c:pt idx="90">
                  <c:v>4782.874728477309</c:v>
                </c:pt>
                <c:pt idx="91">
                  <c:v>5109.5486707755626</c:v>
                </c:pt>
                <c:pt idx="92">
                  <c:v>4999.9944986505616</c:v>
                </c:pt>
                <c:pt idx="93">
                  <c:v>4568.4063904063769</c:v>
                </c:pt>
                <c:pt idx="94">
                  <c:v>4568.4063904063769</c:v>
                </c:pt>
                <c:pt idx="95">
                  <c:v>4782.874728477309</c:v>
                </c:pt>
                <c:pt idx="96">
                  <c:v>4568.4063904063769</c:v>
                </c:pt>
                <c:pt idx="97">
                  <c:v>4356.589484437769</c:v>
                </c:pt>
                <c:pt idx="98">
                  <c:v>4251.6753184918362</c:v>
                </c:pt>
                <c:pt idx="99">
                  <c:v>4462.166508409282</c:v>
                </c:pt>
                <c:pt idx="100">
                  <c:v>4251.6753184918362</c:v>
                </c:pt>
                <c:pt idx="101">
                  <c:v>4462.166508409282</c:v>
                </c:pt>
                <c:pt idx="102">
                  <c:v>3044.4082531359386</c:v>
                </c:pt>
                <c:pt idx="103">
                  <c:v>3044.4082531359386</c:v>
                </c:pt>
                <c:pt idx="104">
                  <c:v>3238.9908504394475</c:v>
                </c:pt>
                <c:pt idx="105">
                  <c:v>3044.4082531359386</c:v>
                </c:pt>
                <c:pt idx="106">
                  <c:v>2384.2491903794539</c:v>
                </c:pt>
                <c:pt idx="107">
                  <c:v>2476.5690538393524</c:v>
                </c:pt>
                <c:pt idx="108">
                  <c:v>3337.2764361295726</c:v>
                </c:pt>
                <c:pt idx="109">
                  <c:v>3238.9908504394475</c:v>
                </c:pt>
                <c:pt idx="110">
                  <c:v>3044.4082531359386</c:v>
                </c:pt>
                <c:pt idx="111">
                  <c:v>2757.5057923725321</c:v>
                </c:pt>
                <c:pt idx="112">
                  <c:v>3737.0473591458826</c:v>
                </c:pt>
                <c:pt idx="113">
                  <c:v>2757.5057923725321</c:v>
                </c:pt>
                <c:pt idx="114">
                  <c:v>4147.4240105714834</c:v>
                </c:pt>
                <c:pt idx="115">
                  <c:v>4462.166508409282</c:v>
                </c:pt>
                <c:pt idx="116">
                  <c:v>8318.0716518200425</c:v>
                </c:pt>
                <c:pt idx="117">
                  <c:v>7937.7062094497505</c:v>
                </c:pt>
                <c:pt idx="118">
                  <c:v>6832.4042157202257</c:v>
                </c:pt>
                <c:pt idx="119">
                  <c:v>7194.8724913998394</c:v>
                </c:pt>
                <c:pt idx="120">
                  <c:v>7194.8724913998394</c:v>
                </c:pt>
                <c:pt idx="121">
                  <c:v>10586.161689600443</c:v>
                </c:pt>
                <c:pt idx="122">
                  <c:v>12597.840735794149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D5-4158-A722-6606AC551479}"/>
            </c:ext>
          </c:extLst>
        </c:ser>
        <c:ser>
          <c:idx val="1"/>
          <c:order val="1"/>
          <c:spPr>
            <a:ln w="28575">
              <a:noFill/>
            </a:ln>
          </c:spP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A7D5-4158-A722-6606AC551479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A7D5-4158-A722-6606AC551479}"/>
              </c:ext>
            </c:extLst>
          </c:dPt>
          <c:trendline>
            <c:trendlineType val="linear"/>
            <c:dispRSqr val="0"/>
            <c:dispEq val="0"/>
          </c:trendline>
          <c:xVal>
            <c:numRef>
              <c:f>Calibration_Factor!$X$16:$X$17</c:f>
              <c:numCache>
                <c:formatCode>General</c:formatCode>
                <c:ptCount val="2"/>
                <c:pt idx="0">
                  <c:v>0</c:v>
                </c:pt>
                <c:pt idx="1">
                  <c:v>70000</c:v>
                </c:pt>
              </c:numCache>
            </c:numRef>
          </c:xVal>
          <c:yVal>
            <c:numRef>
              <c:f>Calibration_Factor!$X$16:$X$17</c:f>
              <c:numCache>
                <c:formatCode>General</c:formatCode>
                <c:ptCount val="2"/>
                <c:pt idx="0">
                  <c:v>0</c:v>
                </c:pt>
                <c:pt idx="1">
                  <c:v>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D5-4158-A722-6606AC551479}"/>
            </c:ext>
          </c:extLst>
        </c:ser>
        <c:ser>
          <c:idx val="2"/>
          <c:order val="2"/>
          <c:tx>
            <c:v>Min_Prediction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Calibration_Factor!$I$3:$I$125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Calibration_Factor!$N$3:$N$125</c:f>
              <c:numCache>
                <c:formatCode>0</c:formatCode>
                <c:ptCount val="123"/>
                <c:pt idx="0">
                  <c:v>5027.1122438326338</c:v>
                </c:pt>
                <c:pt idx="1">
                  <c:v>5027.1122438326338</c:v>
                </c:pt>
                <c:pt idx="2">
                  <c:v>4649.6140931426626</c:v>
                </c:pt>
                <c:pt idx="3">
                  <c:v>4649.6140931426626</c:v>
                </c:pt>
                <c:pt idx="4">
                  <c:v>4649.6140931426626</c:v>
                </c:pt>
                <c:pt idx="5">
                  <c:v>1696.9602367717459</c:v>
                </c:pt>
                <c:pt idx="6">
                  <c:v>1493.552398125365</c:v>
                </c:pt>
                <c:pt idx="7">
                  <c:v>2327.529128378545</c:v>
                </c:pt>
                <c:pt idx="8">
                  <c:v>2327.529128378545</c:v>
                </c:pt>
                <c:pt idx="9">
                  <c:v>1096.9134829348452</c:v>
                </c:pt>
                <c:pt idx="10">
                  <c:v>3917.4460595025348</c:v>
                </c:pt>
                <c:pt idx="11">
                  <c:v>3917.4460595025348</c:v>
                </c:pt>
                <c:pt idx="12">
                  <c:v>3680.1569433217169</c:v>
                </c:pt>
                <c:pt idx="13">
                  <c:v>3917.4460595025348</c:v>
                </c:pt>
                <c:pt idx="14">
                  <c:v>3917.4460595025348</c:v>
                </c:pt>
                <c:pt idx="15">
                  <c:v>3562.7816240593211</c:v>
                </c:pt>
                <c:pt idx="16">
                  <c:v>2435.5900621281312</c:v>
                </c:pt>
                <c:pt idx="17">
                  <c:v>2220.3155096824853</c:v>
                </c:pt>
                <c:pt idx="18">
                  <c:v>2876.3051407684297</c:v>
                </c:pt>
                <c:pt idx="19">
                  <c:v>2876.3051407684297</c:v>
                </c:pt>
                <c:pt idx="20">
                  <c:v>2876.3051407684297</c:v>
                </c:pt>
                <c:pt idx="21">
                  <c:v>2876.3051407684297</c:v>
                </c:pt>
                <c:pt idx="22">
                  <c:v>2876.3051407684297</c:v>
                </c:pt>
                <c:pt idx="23">
                  <c:v>2764.8558519864487</c:v>
                </c:pt>
                <c:pt idx="24">
                  <c:v>2220.3155096824853</c:v>
                </c:pt>
                <c:pt idx="25">
                  <c:v>2008.4305732478806</c:v>
                </c:pt>
                <c:pt idx="26">
                  <c:v>2876.3051407684297</c:v>
                </c:pt>
                <c:pt idx="27">
                  <c:v>2327.529128378545</c:v>
                </c:pt>
                <c:pt idx="28">
                  <c:v>2876.3051407684297</c:v>
                </c:pt>
                <c:pt idx="29">
                  <c:v>1903.759431652325</c:v>
                </c:pt>
                <c:pt idx="30">
                  <c:v>1799.9359573916668</c:v>
                </c:pt>
                <c:pt idx="31">
                  <c:v>1903.759431652325</c:v>
                </c:pt>
                <c:pt idx="32">
                  <c:v>2544.498221107915</c:v>
                </c:pt>
                <c:pt idx="33">
                  <c:v>5673.1759922037718</c:v>
                </c:pt>
                <c:pt idx="34">
                  <c:v>5804.9228140590676</c:v>
                </c:pt>
                <c:pt idx="35">
                  <c:v>3330.569949753763</c:v>
                </c:pt>
                <c:pt idx="36">
                  <c:v>3446.2525939867814</c:v>
                </c:pt>
                <c:pt idx="37">
                  <c:v>2220.3155096824853</c:v>
                </c:pt>
                <c:pt idx="38">
                  <c:v>7168.8171766137648</c:v>
                </c:pt>
                <c:pt idx="39">
                  <c:v>7168.8171766137648</c:v>
                </c:pt>
                <c:pt idx="40">
                  <c:v>9067.9400877938369</c:v>
                </c:pt>
                <c:pt idx="41">
                  <c:v>9067.9400877938369</c:v>
                </c:pt>
                <c:pt idx="42">
                  <c:v>30320.516783325962</c:v>
                </c:pt>
                <c:pt idx="43">
                  <c:v>30320.516783325962</c:v>
                </c:pt>
                <c:pt idx="44">
                  <c:v>30320.516783325962</c:v>
                </c:pt>
                <c:pt idx="45">
                  <c:v>30320.516783325962</c:v>
                </c:pt>
                <c:pt idx="46">
                  <c:v>2220.3155096824853</c:v>
                </c:pt>
                <c:pt idx="47">
                  <c:v>2008.4305732478806</c:v>
                </c:pt>
                <c:pt idx="48">
                  <c:v>2220.3155096824853</c:v>
                </c:pt>
                <c:pt idx="49">
                  <c:v>2113.9492951644984</c:v>
                </c:pt>
                <c:pt idx="50">
                  <c:v>3562.7816240593211</c:v>
                </c:pt>
                <c:pt idx="51">
                  <c:v>3562.7816240593211</c:v>
                </c:pt>
                <c:pt idx="52">
                  <c:v>3101.7442020633662</c:v>
                </c:pt>
                <c:pt idx="53">
                  <c:v>1903.759431652325</c:v>
                </c:pt>
                <c:pt idx="54">
                  <c:v>1903.759431652325</c:v>
                </c:pt>
                <c:pt idx="55">
                  <c:v>3562.7816240593211</c:v>
                </c:pt>
                <c:pt idx="56">
                  <c:v>3562.7816240593211</c:v>
                </c:pt>
                <c:pt idx="57">
                  <c:v>3680.1569433217169</c:v>
                </c:pt>
                <c:pt idx="58">
                  <c:v>3680.1569433217169</c:v>
                </c:pt>
                <c:pt idx="59">
                  <c:v>2988.6012885528062</c:v>
                </c:pt>
                <c:pt idx="60">
                  <c:v>2988.6012885528062</c:v>
                </c:pt>
                <c:pt idx="61">
                  <c:v>4402.175436376825</c:v>
                </c:pt>
                <c:pt idx="62">
                  <c:v>4402.175436376825</c:v>
                </c:pt>
                <c:pt idx="63">
                  <c:v>4402.175436376825</c:v>
                </c:pt>
                <c:pt idx="64">
                  <c:v>4402.175436376825</c:v>
                </c:pt>
                <c:pt idx="65">
                  <c:v>4900.4343091923756</c:v>
                </c:pt>
                <c:pt idx="66">
                  <c:v>1293.5365919250703</c:v>
                </c:pt>
                <c:pt idx="67">
                  <c:v>1293.5365919250703</c:v>
                </c:pt>
                <c:pt idx="68">
                  <c:v>2327.529128378545</c:v>
                </c:pt>
                <c:pt idx="69">
                  <c:v>2113.9492951644984</c:v>
                </c:pt>
                <c:pt idx="70">
                  <c:v>3917.4460595025348</c:v>
                </c:pt>
                <c:pt idx="71">
                  <c:v>3798.3784544605342</c:v>
                </c:pt>
                <c:pt idx="72">
                  <c:v>3798.3784544605342</c:v>
                </c:pt>
                <c:pt idx="73">
                  <c:v>2544.498221107915</c:v>
                </c:pt>
                <c:pt idx="74">
                  <c:v>2220.3155096824853</c:v>
                </c:pt>
                <c:pt idx="75">
                  <c:v>2544.498221107915</c:v>
                </c:pt>
                <c:pt idx="76">
                  <c:v>4279.7244485048031</c:v>
                </c:pt>
                <c:pt idx="77">
                  <c:v>4525.4720185365686</c:v>
                </c:pt>
                <c:pt idx="78">
                  <c:v>4525.4720185365686</c:v>
                </c:pt>
                <c:pt idx="79">
                  <c:v>5412.2161005336111</c:v>
                </c:pt>
                <c:pt idx="80">
                  <c:v>5542.273718595563</c:v>
                </c:pt>
                <c:pt idx="81">
                  <c:v>5542.273718595563</c:v>
                </c:pt>
                <c:pt idx="82">
                  <c:v>1696.9602367717459</c:v>
                </c:pt>
                <c:pt idx="83">
                  <c:v>1696.9602367717459</c:v>
                </c:pt>
                <c:pt idx="84">
                  <c:v>2876.3051407684297</c:v>
                </c:pt>
                <c:pt idx="85">
                  <c:v>2876.3051407684297</c:v>
                </c:pt>
                <c:pt idx="86">
                  <c:v>4525.4720185365686</c:v>
                </c:pt>
                <c:pt idx="87">
                  <c:v>4774.6015577255102</c:v>
                </c:pt>
                <c:pt idx="88">
                  <c:v>4649.6140931426626</c:v>
                </c:pt>
                <c:pt idx="89">
                  <c:v>3917.4460595025348</c:v>
                </c:pt>
                <c:pt idx="90">
                  <c:v>3917.4460595025348</c:v>
                </c:pt>
                <c:pt idx="91">
                  <c:v>4279.7244485048031</c:v>
                </c:pt>
                <c:pt idx="92">
                  <c:v>3680.1569433217169</c:v>
                </c:pt>
                <c:pt idx="93">
                  <c:v>3562.7816240593211</c:v>
                </c:pt>
                <c:pt idx="94">
                  <c:v>3680.1569433217169</c:v>
                </c:pt>
                <c:pt idx="95">
                  <c:v>3917.4460595025348</c:v>
                </c:pt>
                <c:pt idx="96">
                  <c:v>3798.3784544605342</c:v>
                </c:pt>
                <c:pt idx="97">
                  <c:v>3446.2525939867814</c:v>
                </c:pt>
                <c:pt idx="98">
                  <c:v>3446.2525939867814</c:v>
                </c:pt>
                <c:pt idx="99">
                  <c:v>3446.2525939867814</c:v>
                </c:pt>
                <c:pt idx="100">
                  <c:v>3446.2525939867814</c:v>
                </c:pt>
                <c:pt idx="101">
                  <c:v>3446.2525939867814</c:v>
                </c:pt>
                <c:pt idx="102">
                  <c:v>2327.529128378545</c:v>
                </c:pt>
                <c:pt idx="103">
                  <c:v>2327.529128378545</c:v>
                </c:pt>
                <c:pt idx="104">
                  <c:v>2327.529128378545</c:v>
                </c:pt>
                <c:pt idx="105">
                  <c:v>2327.529128378545</c:v>
                </c:pt>
                <c:pt idx="106">
                  <c:v>1493.552398125365</c:v>
                </c:pt>
                <c:pt idx="107">
                  <c:v>1493.552398125365</c:v>
                </c:pt>
                <c:pt idx="108">
                  <c:v>2544.498221107915</c:v>
                </c:pt>
                <c:pt idx="109">
                  <c:v>2544.498221107915</c:v>
                </c:pt>
                <c:pt idx="110">
                  <c:v>2544.498221107915</c:v>
                </c:pt>
                <c:pt idx="111">
                  <c:v>2544.498221107915</c:v>
                </c:pt>
                <c:pt idx="112">
                  <c:v>2988.6012885528062</c:v>
                </c:pt>
                <c:pt idx="113">
                  <c:v>2544.498221107915</c:v>
                </c:pt>
                <c:pt idx="114">
                  <c:v>3215.7337873423517</c:v>
                </c:pt>
                <c:pt idx="115">
                  <c:v>3330.569949753763</c:v>
                </c:pt>
                <c:pt idx="116">
                  <c:v>6205.2294875026209</c:v>
                </c:pt>
                <c:pt idx="117">
                  <c:v>6205.2294875026209</c:v>
                </c:pt>
                <c:pt idx="118">
                  <c:v>6205.2294875026209</c:v>
                </c:pt>
                <c:pt idx="119">
                  <c:v>6205.2294875026209</c:v>
                </c:pt>
                <c:pt idx="120">
                  <c:v>6889.2880626269143</c:v>
                </c:pt>
                <c:pt idx="121">
                  <c:v>8468.4298526707189</c:v>
                </c:pt>
                <c:pt idx="122">
                  <c:v>8766.500860952312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D5-4158-A722-6606AC551479}"/>
            </c:ext>
          </c:extLst>
        </c:ser>
        <c:ser>
          <c:idx val="3"/>
          <c:order val="3"/>
          <c:tx>
            <c:v>Max_Prediction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Calibration_Factor!$I$3:$I$125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Calibration_Factor!$O$3:$O$125</c:f>
              <c:numCache>
                <c:formatCode>0</c:formatCode>
                <c:ptCount val="123"/>
                <c:pt idx="0">
                  <c:v>7054.9871020627897</c:v>
                </c:pt>
                <c:pt idx="1">
                  <c:v>7054.9871020627897</c:v>
                </c:pt>
                <c:pt idx="2">
                  <c:v>6677.3966205203642</c:v>
                </c:pt>
                <c:pt idx="3">
                  <c:v>6677.3966205203642</c:v>
                </c:pt>
                <c:pt idx="4">
                  <c:v>6677.3966205203642</c:v>
                </c:pt>
                <c:pt idx="5">
                  <c:v>3727.2003234470503</c:v>
                </c:pt>
                <c:pt idx="6">
                  <c:v>3524.1688588451739</c:v>
                </c:pt>
                <c:pt idx="7">
                  <c:v>4356.7717071597626</c:v>
                </c:pt>
                <c:pt idx="8">
                  <c:v>4356.7717071597626</c:v>
                </c:pt>
                <c:pt idx="9">
                  <c:v>3128.3403503265499</c:v>
                </c:pt>
                <c:pt idx="10">
                  <c:v>5945.3125509672818</c:v>
                </c:pt>
                <c:pt idx="11">
                  <c:v>5945.3125509672818</c:v>
                </c:pt>
                <c:pt idx="12">
                  <c:v>5708.1250879419449</c:v>
                </c:pt>
                <c:pt idx="13">
                  <c:v>5945.3125509672818</c:v>
                </c:pt>
                <c:pt idx="14">
                  <c:v>5945.3125509672818</c:v>
                </c:pt>
                <c:pt idx="15">
                  <c:v>5590.8135154496804</c:v>
                </c:pt>
                <c:pt idx="16">
                  <c:v>4464.68741427641</c:v>
                </c:pt>
                <c:pt idx="17">
                  <c:v>4249.7096168885346</c:v>
                </c:pt>
                <c:pt idx="18">
                  <c:v>4904.8882180905275</c:v>
                </c:pt>
                <c:pt idx="19">
                  <c:v>4904.8882180905275</c:v>
                </c:pt>
                <c:pt idx="20">
                  <c:v>4904.8882180905275</c:v>
                </c:pt>
                <c:pt idx="21">
                  <c:v>4904.8882180905275</c:v>
                </c:pt>
                <c:pt idx="22">
                  <c:v>4904.8882180905275</c:v>
                </c:pt>
                <c:pt idx="23">
                  <c:v>4793.5571384104805</c:v>
                </c:pt>
                <c:pt idx="24">
                  <c:v>4249.7096168885346</c:v>
                </c:pt>
                <c:pt idx="25">
                  <c:v>4038.1459310854061</c:v>
                </c:pt>
                <c:pt idx="26">
                  <c:v>4904.8882180905275</c:v>
                </c:pt>
                <c:pt idx="27">
                  <c:v>4356.7717071597626</c:v>
                </c:pt>
                <c:pt idx="28">
                  <c:v>4904.8882180905275</c:v>
                </c:pt>
                <c:pt idx="29">
                  <c:v>3933.6441594105177</c:v>
                </c:pt>
                <c:pt idx="30">
                  <c:v>3829.9956522996786</c:v>
                </c:pt>
                <c:pt idx="31">
                  <c:v>3933.6441594105177</c:v>
                </c:pt>
                <c:pt idx="32">
                  <c:v>4573.4568280618087</c:v>
                </c:pt>
                <c:pt idx="33">
                  <c:v>7701.4230453912651</c:v>
                </c:pt>
                <c:pt idx="34">
                  <c:v>7833.2789575727329</c:v>
                </c:pt>
                <c:pt idx="35">
                  <c:v>5358.7542019427656</c:v>
                </c:pt>
                <c:pt idx="36">
                  <c:v>5474.35658566651</c:v>
                </c:pt>
                <c:pt idx="37">
                  <c:v>4249.7096168885346</c:v>
                </c:pt>
                <c:pt idx="38">
                  <c:v>9198.9631898278021</c:v>
                </c:pt>
                <c:pt idx="39">
                  <c:v>9198.9631898278021</c:v>
                </c:pt>
                <c:pt idx="40">
                  <c:v>11102.581770793075</c:v>
                </c:pt>
                <c:pt idx="41">
                  <c:v>11102.581770793075</c:v>
                </c:pt>
                <c:pt idx="42">
                  <c:v>32555.900345422211</c:v>
                </c:pt>
                <c:pt idx="43">
                  <c:v>32555.900345422211</c:v>
                </c:pt>
                <c:pt idx="44">
                  <c:v>32555.900345422211</c:v>
                </c:pt>
                <c:pt idx="45">
                  <c:v>32555.900345422211</c:v>
                </c:pt>
                <c:pt idx="46">
                  <c:v>4249.7096168885346</c:v>
                </c:pt>
                <c:pt idx="47">
                  <c:v>4038.1459310854061</c:v>
                </c:pt>
                <c:pt idx="48">
                  <c:v>4249.7096168885346</c:v>
                </c:pt>
                <c:pt idx="49">
                  <c:v>4143.5010543381823</c:v>
                </c:pt>
                <c:pt idx="50">
                  <c:v>5590.8135154496804</c:v>
                </c:pt>
                <c:pt idx="51">
                  <c:v>5590.8135154496804</c:v>
                </c:pt>
                <c:pt idx="52">
                  <c:v>5130.1126894164827</c:v>
                </c:pt>
                <c:pt idx="53">
                  <c:v>3933.6441594105177</c:v>
                </c:pt>
                <c:pt idx="54">
                  <c:v>3933.6441594105177</c:v>
                </c:pt>
                <c:pt idx="55">
                  <c:v>5590.8135154496804</c:v>
                </c:pt>
                <c:pt idx="56">
                  <c:v>5590.8135154496804</c:v>
                </c:pt>
                <c:pt idx="57">
                  <c:v>5708.1250879419449</c:v>
                </c:pt>
                <c:pt idx="58">
                  <c:v>5708.1250879419449</c:v>
                </c:pt>
                <c:pt idx="59">
                  <c:v>5017.0733706671226</c:v>
                </c:pt>
                <c:pt idx="60">
                  <c:v>5017.0733706671226</c:v>
                </c:pt>
                <c:pt idx="61">
                  <c:v>6429.9475152926771</c:v>
                </c:pt>
                <c:pt idx="62">
                  <c:v>6429.9475152926771</c:v>
                </c:pt>
                <c:pt idx="63">
                  <c:v>6429.9475152926771</c:v>
                </c:pt>
                <c:pt idx="64">
                  <c:v>6429.9475152926771</c:v>
                </c:pt>
                <c:pt idx="65">
                  <c:v>6928.2678940599699</c:v>
                </c:pt>
                <c:pt idx="66">
                  <c:v>3324.5490893930005</c:v>
                </c:pt>
                <c:pt idx="67">
                  <c:v>3324.5490893930005</c:v>
                </c:pt>
                <c:pt idx="68">
                  <c:v>4356.7717071597626</c:v>
                </c:pt>
                <c:pt idx="69">
                  <c:v>4143.5010543381823</c:v>
                </c:pt>
                <c:pt idx="70">
                  <c:v>5945.3125509672818</c:v>
                </c:pt>
                <c:pt idx="71">
                  <c:v>5826.2914004567292</c:v>
                </c:pt>
                <c:pt idx="72">
                  <c:v>5826.2914004567292</c:v>
                </c:pt>
                <c:pt idx="73">
                  <c:v>4573.4568280618087</c:v>
                </c:pt>
                <c:pt idx="74">
                  <c:v>4249.7096168885346</c:v>
                </c:pt>
                <c:pt idx="75">
                  <c:v>4573.4568280618087</c:v>
                </c:pt>
                <c:pt idx="76">
                  <c:v>6307.5060200163534</c:v>
                </c:pt>
                <c:pt idx="77">
                  <c:v>6553.2443481802229</c:v>
                </c:pt>
                <c:pt idx="78">
                  <c:v>6553.2443481802229</c:v>
                </c:pt>
                <c:pt idx="79">
                  <c:v>7440.2802646847394</c:v>
                </c:pt>
                <c:pt idx="80">
                  <c:v>7570.4235168616578</c:v>
                </c:pt>
                <c:pt idx="81">
                  <c:v>7570.4235168616578</c:v>
                </c:pt>
                <c:pt idx="82">
                  <c:v>3727.2003234470503</c:v>
                </c:pt>
                <c:pt idx="83">
                  <c:v>3727.2003234470503</c:v>
                </c:pt>
                <c:pt idx="84">
                  <c:v>4904.8882180905275</c:v>
                </c:pt>
                <c:pt idx="85">
                  <c:v>4904.8882180905275</c:v>
                </c:pt>
                <c:pt idx="86">
                  <c:v>6553.2443481802229</c:v>
                </c:pt>
                <c:pt idx="87">
                  <c:v>6802.4044347827012</c:v>
                </c:pt>
                <c:pt idx="88">
                  <c:v>6677.3966205203642</c:v>
                </c:pt>
                <c:pt idx="89">
                  <c:v>5945.3125509672818</c:v>
                </c:pt>
                <c:pt idx="90">
                  <c:v>5945.3125509672818</c:v>
                </c:pt>
                <c:pt idx="91">
                  <c:v>6307.5060200163534</c:v>
                </c:pt>
                <c:pt idx="92">
                  <c:v>5708.1250879419449</c:v>
                </c:pt>
                <c:pt idx="93">
                  <c:v>5590.8135154496804</c:v>
                </c:pt>
                <c:pt idx="94">
                  <c:v>5708.1250879419449</c:v>
                </c:pt>
                <c:pt idx="95">
                  <c:v>5945.3125509672818</c:v>
                </c:pt>
                <c:pt idx="96">
                  <c:v>5826.2914004567292</c:v>
                </c:pt>
                <c:pt idx="97">
                  <c:v>5474.35658566651</c:v>
                </c:pt>
                <c:pt idx="98">
                  <c:v>5474.35658566651</c:v>
                </c:pt>
                <c:pt idx="99">
                  <c:v>5474.35658566651</c:v>
                </c:pt>
                <c:pt idx="100">
                  <c:v>5474.35658566651</c:v>
                </c:pt>
                <c:pt idx="101">
                  <c:v>5474.35658566651</c:v>
                </c:pt>
                <c:pt idx="102">
                  <c:v>4356.7717071597626</c:v>
                </c:pt>
                <c:pt idx="103">
                  <c:v>4356.7717071597626</c:v>
                </c:pt>
                <c:pt idx="104">
                  <c:v>4356.7717071597626</c:v>
                </c:pt>
                <c:pt idx="105">
                  <c:v>4356.7717071597626</c:v>
                </c:pt>
                <c:pt idx="106">
                  <c:v>3524.1688588451739</c:v>
                </c:pt>
                <c:pt idx="107">
                  <c:v>3524.1688588451739</c:v>
                </c:pt>
                <c:pt idx="108">
                  <c:v>4573.4568280618087</c:v>
                </c:pt>
                <c:pt idx="109">
                  <c:v>4573.4568280618087</c:v>
                </c:pt>
                <c:pt idx="110">
                  <c:v>4573.4568280618087</c:v>
                </c:pt>
                <c:pt idx="111">
                  <c:v>4573.4568280618087</c:v>
                </c:pt>
                <c:pt idx="112">
                  <c:v>5017.0733706671226</c:v>
                </c:pt>
                <c:pt idx="113">
                  <c:v>4573.4568280618087</c:v>
                </c:pt>
                <c:pt idx="114">
                  <c:v>5244.0062682963635</c:v>
                </c:pt>
                <c:pt idx="115">
                  <c:v>5358.7542019427656</c:v>
                </c:pt>
                <c:pt idx="116">
                  <c:v>8233.9860776331589</c:v>
                </c:pt>
                <c:pt idx="117">
                  <c:v>8233.9860776331589</c:v>
                </c:pt>
                <c:pt idx="118">
                  <c:v>8233.9860776331589</c:v>
                </c:pt>
                <c:pt idx="119">
                  <c:v>8233.9860776331589</c:v>
                </c:pt>
                <c:pt idx="120">
                  <c:v>8918.9691296611218</c:v>
                </c:pt>
                <c:pt idx="121">
                  <c:v>10501.400926459648</c:v>
                </c:pt>
                <c:pt idx="122">
                  <c:v>10800.273594108434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7D5-4158-A722-6606AC551479}"/>
            </c:ext>
          </c:extLst>
        </c:ser>
        <c:ser>
          <c:idx val="4"/>
          <c:order val="4"/>
          <c:tx>
            <c:v>Confidence_Min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Calibration_Factor!$I$3:$I$125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Calibration_Factor!$P$3:$P$125</c:f>
              <c:numCache>
                <c:formatCode>0</c:formatCode>
                <c:ptCount val="123"/>
                <c:pt idx="0">
                  <c:v>5949.4234581553801</c:v>
                </c:pt>
                <c:pt idx="1">
                  <c:v>5949.4234581553801</c:v>
                </c:pt>
                <c:pt idx="2">
                  <c:v>5572.3914300077186</c:v>
                </c:pt>
                <c:pt idx="3">
                  <c:v>5572.3914300077186</c:v>
                </c:pt>
                <c:pt idx="4">
                  <c:v>5572.3914300077186</c:v>
                </c:pt>
                <c:pt idx="5">
                  <c:v>2608.1815050323339</c:v>
                </c:pt>
                <c:pt idx="6">
                  <c:v>2403.139033183088</c:v>
                </c:pt>
                <c:pt idx="7">
                  <c:v>3243.2433201404274</c:v>
                </c:pt>
                <c:pt idx="8">
                  <c:v>3243.2433201404274</c:v>
                </c:pt>
                <c:pt idx="9">
                  <c:v>2003.0822569393383</c:v>
                </c:pt>
                <c:pt idx="10">
                  <c:v>4839.7993954398953</c:v>
                </c:pt>
                <c:pt idx="11">
                  <c:v>4839.7993954398953</c:v>
                </c:pt>
                <c:pt idx="12">
                  <c:v>4602.0000802378408</c:v>
                </c:pt>
                <c:pt idx="13">
                  <c:v>4839.7993954398953</c:v>
                </c:pt>
                <c:pt idx="14">
                  <c:v>4839.7993954398953</c:v>
                </c:pt>
                <c:pt idx="15">
                  <c:v>4484.3065366714673</c:v>
                </c:pt>
                <c:pt idx="16">
                  <c:v>3351.979331111218</c:v>
                </c:pt>
                <c:pt idx="17">
                  <c:v>3135.3312527637422</c:v>
                </c:pt>
                <c:pt idx="18">
                  <c:v>3795.1316152642266</c:v>
                </c:pt>
                <c:pt idx="19">
                  <c:v>3795.1316152642266</c:v>
                </c:pt>
                <c:pt idx="20">
                  <c:v>3795.1316152642266</c:v>
                </c:pt>
                <c:pt idx="21">
                  <c:v>3795.1316152642266</c:v>
                </c:pt>
                <c:pt idx="22">
                  <c:v>3795.1316152642266</c:v>
                </c:pt>
                <c:pt idx="23">
                  <c:v>3683.1154942602507</c:v>
                </c:pt>
                <c:pt idx="24">
                  <c:v>3135.3312527637422</c:v>
                </c:pt>
                <c:pt idx="25">
                  <c:v>2921.984937625331</c:v>
                </c:pt>
                <c:pt idx="26">
                  <c:v>3795.1316152642266</c:v>
                </c:pt>
                <c:pt idx="27">
                  <c:v>3243.2433201404274</c:v>
                </c:pt>
                <c:pt idx="28">
                  <c:v>3795.1316152642266</c:v>
                </c:pt>
                <c:pt idx="29">
                  <c:v>2816.5535940143841</c:v>
                </c:pt>
                <c:pt idx="30">
                  <c:v>2711.9519984934177</c:v>
                </c:pt>
                <c:pt idx="31">
                  <c:v>2816.5535940143841</c:v>
                </c:pt>
                <c:pt idx="32">
                  <c:v>3461.5377469796754</c:v>
                </c:pt>
                <c:pt idx="33">
                  <c:v>6593.6363976258754</c:v>
                </c:pt>
                <c:pt idx="34">
                  <c:v>6724.8490194731839</c:v>
                </c:pt>
                <c:pt idx="35">
                  <c:v>4251.3395529315376</c:v>
                </c:pt>
                <c:pt idx="36">
                  <c:v>4367.4191585497801</c:v>
                </c:pt>
                <c:pt idx="37">
                  <c:v>3135.3312527637422</c:v>
                </c:pt>
                <c:pt idx="38">
                  <c:v>8080.4519803221947</c:v>
                </c:pt>
                <c:pt idx="39">
                  <c:v>8080.4519803221947</c:v>
                </c:pt>
                <c:pt idx="40">
                  <c:v>9961.6973924948943</c:v>
                </c:pt>
                <c:pt idx="41">
                  <c:v>9961.6973924948943</c:v>
                </c:pt>
                <c:pt idx="42">
                  <c:v>30959.083141860101</c:v>
                </c:pt>
                <c:pt idx="43">
                  <c:v>30959.083141860101</c:v>
                </c:pt>
                <c:pt idx="44">
                  <c:v>30959.083141860101</c:v>
                </c:pt>
                <c:pt idx="45">
                  <c:v>30959.083141860101</c:v>
                </c:pt>
                <c:pt idx="46">
                  <c:v>3135.3312527637422</c:v>
                </c:pt>
                <c:pt idx="47">
                  <c:v>2921.984937625331</c:v>
                </c:pt>
                <c:pt idx="48">
                  <c:v>3135.3312527637422</c:v>
                </c:pt>
                <c:pt idx="49">
                  <c:v>3028.2446350039536</c:v>
                </c:pt>
                <c:pt idx="50">
                  <c:v>4484.3065366714673</c:v>
                </c:pt>
                <c:pt idx="51">
                  <c:v>4484.3065366714673</c:v>
                </c:pt>
                <c:pt idx="52">
                  <c:v>4021.6101908871665</c:v>
                </c:pt>
                <c:pt idx="53">
                  <c:v>2816.5535940143841</c:v>
                </c:pt>
                <c:pt idx="54">
                  <c:v>2816.5535940143841</c:v>
                </c:pt>
                <c:pt idx="55">
                  <c:v>4484.3065366714673</c:v>
                </c:pt>
                <c:pt idx="56">
                  <c:v>4484.3065366714673</c:v>
                </c:pt>
                <c:pt idx="57">
                  <c:v>4602.0000802378408</c:v>
                </c:pt>
                <c:pt idx="58">
                  <c:v>4602.0000802378408</c:v>
                </c:pt>
                <c:pt idx="59">
                  <c:v>3907.9637291935423</c:v>
                </c:pt>
                <c:pt idx="60">
                  <c:v>3907.9637291935423</c:v>
                </c:pt>
                <c:pt idx="61">
                  <c:v>5325.0057012547968</c:v>
                </c:pt>
                <c:pt idx="62">
                  <c:v>5325.0057012547968</c:v>
                </c:pt>
                <c:pt idx="63">
                  <c:v>5325.0057012547968</c:v>
                </c:pt>
                <c:pt idx="64">
                  <c:v>5325.0057012547968</c:v>
                </c:pt>
                <c:pt idx="65">
                  <c:v>5822.9535357071845</c:v>
                </c:pt>
                <c:pt idx="66">
                  <c:v>2201.4361759286071</c:v>
                </c:pt>
                <c:pt idx="67">
                  <c:v>2201.4361759286071</c:v>
                </c:pt>
                <c:pt idx="68">
                  <c:v>3243.2433201404274</c:v>
                </c:pt>
                <c:pt idx="69">
                  <c:v>3028.2446350039536</c:v>
                </c:pt>
                <c:pt idx="70">
                  <c:v>4839.7993954398953</c:v>
                </c:pt>
                <c:pt idx="71">
                  <c:v>4720.498212516196</c:v>
                </c:pt>
                <c:pt idx="72">
                  <c:v>4720.498212516196</c:v>
                </c:pt>
                <c:pt idx="73">
                  <c:v>3461.5377469796754</c:v>
                </c:pt>
                <c:pt idx="74">
                  <c:v>3135.3312527637422</c:v>
                </c:pt>
                <c:pt idx="75">
                  <c:v>3461.5377469796754</c:v>
                </c:pt>
                <c:pt idx="76">
                  <c:v>5202.5066259014366</c:v>
                </c:pt>
                <c:pt idx="77">
                  <c:v>5448.3010128895594</c:v>
                </c:pt>
                <c:pt idx="78">
                  <c:v>5448.3010128895594</c:v>
                </c:pt>
                <c:pt idx="79">
                  <c:v>6333.5804074379694</c:v>
                </c:pt>
                <c:pt idx="80">
                  <c:v>6463.2134786651059</c:v>
                </c:pt>
                <c:pt idx="81">
                  <c:v>6463.2134786651059</c:v>
                </c:pt>
                <c:pt idx="82">
                  <c:v>2608.1815050323339</c:v>
                </c:pt>
                <c:pt idx="83">
                  <c:v>2608.1815050323339</c:v>
                </c:pt>
                <c:pt idx="84">
                  <c:v>3795.1316152642266</c:v>
                </c:pt>
                <c:pt idx="85">
                  <c:v>3795.1316152642266</c:v>
                </c:pt>
                <c:pt idx="86">
                  <c:v>5448.3010128895594</c:v>
                </c:pt>
                <c:pt idx="87">
                  <c:v>5697.2759162447528</c:v>
                </c:pt>
                <c:pt idx="88">
                  <c:v>5572.3914300077186</c:v>
                </c:pt>
                <c:pt idx="89">
                  <c:v>4839.7993954398953</c:v>
                </c:pt>
                <c:pt idx="90">
                  <c:v>4839.7993954398953</c:v>
                </c:pt>
                <c:pt idx="91">
                  <c:v>5202.5066259014366</c:v>
                </c:pt>
                <c:pt idx="92">
                  <c:v>4602.0000802378408</c:v>
                </c:pt>
                <c:pt idx="93">
                  <c:v>4484.3065366714673</c:v>
                </c:pt>
                <c:pt idx="94">
                  <c:v>4602.0000802378408</c:v>
                </c:pt>
                <c:pt idx="95">
                  <c:v>4839.7993954398953</c:v>
                </c:pt>
                <c:pt idx="96">
                  <c:v>4720.498212516196</c:v>
                </c:pt>
                <c:pt idx="97">
                  <c:v>4367.4191585497801</c:v>
                </c:pt>
                <c:pt idx="98">
                  <c:v>4367.4191585497801</c:v>
                </c:pt>
                <c:pt idx="99">
                  <c:v>4367.4191585497801</c:v>
                </c:pt>
                <c:pt idx="100">
                  <c:v>4367.4191585497801</c:v>
                </c:pt>
                <c:pt idx="101">
                  <c:v>4367.4191585497801</c:v>
                </c:pt>
                <c:pt idx="102">
                  <c:v>3243.2433201404274</c:v>
                </c:pt>
                <c:pt idx="103">
                  <c:v>3243.2433201404274</c:v>
                </c:pt>
                <c:pt idx="104">
                  <c:v>3243.2433201404274</c:v>
                </c:pt>
                <c:pt idx="105">
                  <c:v>3243.2433201404274</c:v>
                </c:pt>
                <c:pt idx="106">
                  <c:v>2403.139033183088</c:v>
                </c:pt>
                <c:pt idx="107">
                  <c:v>2403.139033183088</c:v>
                </c:pt>
                <c:pt idx="108">
                  <c:v>3461.5377469796754</c:v>
                </c:pt>
                <c:pt idx="109">
                  <c:v>3461.5377469796754</c:v>
                </c:pt>
                <c:pt idx="110">
                  <c:v>3461.5377469796754</c:v>
                </c:pt>
                <c:pt idx="111">
                  <c:v>3461.5377469796754</c:v>
                </c:pt>
                <c:pt idx="112">
                  <c:v>3907.9637291935423</c:v>
                </c:pt>
                <c:pt idx="113">
                  <c:v>3461.5377469796754</c:v>
                </c:pt>
                <c:pt idx="114">
                  <c:v>4136.0693491143902</c:v>
                </c:pt>
                <c:pt idx="115">
                  <c:v>4251.3395529315376</c:v>
                </c:pt>
                <c:pt idx="116">
                  <c:v>7123.2253226687999</c:v>
                </c:pt>
                <c:pt idx="117">
                  <c:v>7123.2253226687999</c:v>
                </c:pt>
                <c:pt idx="118">
                  <c:v>7123.2253226687999</c:v>
                </c:pt>
                <c:pt idx="119">
                  <c:v>7123.2253226687999</c:v>
                </c:pt>
                <c:pt idx="120">
                  <c:v>7802.9971888268183</c:v>
                </c:pt>
                <c:pt idx="121">
                  <c:v>9368.4289105545085</c:v>
                </c:pt>
                <c:pt idx="122">
                  <c:v>9663.4533473754836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D5-4158-A722-6606AC551479}"/>
            </c:ext>
          </c:extLst>
        </c:ser>
        <c:ser>
          <c:idx val="5"/>
          <c:order val="5"/>
          <c:tx>
            <c:v>Confidence_Max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Calibration_Factor!$I$3:$I$125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Calibration_Factor!$Q$3:$Q$125</c:f>
              <c:numCache>
                <c:formatCode>0</c:formatCode>
                <c:ptCount val="123"/>
                <c:pt idx="0">
                  <c:v>6132.6758877400434</c:v>
                </c:pt>
                <c:pt idx="1">
                  <c:v>6132.6758877400434</c:v>
                </c:pt>
                <c:pt idx="2">
                  <c:v>5754.6192836553082</c:v>
                </c:pt>
                <c:pt idx="3">
                  <c:v>5754.6192836553082</c:v>
                </c:pt>
                <c:pt idx="4">
                  <c:v>5754.6192836553082</c:v>
                </c:pt>
                <c:pt idx="5">
                  <c:v>2815.9790551864626</c:v>
                </c:pt>
                <c:pt idx="6">
                  <c:v>2614.5822237874509</c:v>
                </c:pt>
                <c:pt idx="7">
                  <c:v>3441.0575153978798</c:v>
                </c:pt>
                <c:pt idx="8">
                  <c:v>3441.0575153978798</c:v>
                </c:pt>
                <c:pt idx="9">
                  <c:v>2222.1715763220568</c:v>
                </c:pt>
                <c:pt idx="10">
                  <c:v>5022.9592150299213</c:v>
                </c:pt>
                <c:pt idx="11">
                  <c:v>5022.9592150299213</c:v>
                </c:pt>
                <c:pt idx="12">
                  <c:v>4786.2819510258205</c:v>
                </c:pt>
                <c:pt idx="13">
                  <c:v>5022.9592150299213</c:v>
                </c:pt>
                <c:pt idx="14">
                  <c:v>5022.9592150299213</c:v>
                </c:pt>
                <c:pt idx="15">
                  <c:v>4669.2886028375342</c:v>
                </c:pt>
                <c:pt idx="16">
                  <c:v>3548.2981452933236</c:v>
                </c:pt>
                <c:pt idx="17">
                  <c:v>3334.6938738072781</c:v>
                </c:pt>
                <c:pt idx="18">
                  <c:v>3986.0617435947306</c:v>
                </c:pt>
                <c:pt idx="19">
                  <c:v>3986.0617435947306</c:v>
                </c:pt>
                <c:pt idx="20">
                  <c:v>3986.0617435947306</c:v>
                </c:pt>
                <c:pt idx="21">
                  <c:v>3986.0617435947306</c:v>
                </c:pt>
                <c:pt idx="22">
                  <c:v>3986.0617435947306</c:v>
                </c:pt>
                <c:pt idx="23">
                  <c:v>3875.297496136679</c:v>
                </c:pt>
                <c:pt idx="24">
                  <c:v>3334.6938738072781</c:v>
                </c:pt>
                <c:pt idx="25">
                  <c:v>3124.5915667079557</c:v>
                </c:pt>
                <c:pt idx="26">
                  <c:v>3986.0617435947306</c:v>
                </c:pt>
                <c:pt idx="27">
                  <c:v>3441.0575153978798</c:v>
                </c:pt>
                <c:pt idx="28">
                  <c:v>3986.0617435947306</c:v>
                </c:pt>
                <c:pt idx="29">
                  <c:v>3020.8499970484586</c:v>
                </c:pt>
                <c:pt idx="30">
                  <c:v>2917.9796111979276</c:v>
                </c:pt>
                <c:pt idx="31">
                  <c:v>3020.8499970484586</c:v>
                </c:pt>
                <c:pt idx="32">
                  <c:v>3656.4173021900483</c:v>
                </c:pt>
                <c:pt idx="33">
                  <c:v>6780.9626399691615</c:v>
                </c:pt>
                <c:pt idx="34">
                  <c:v>6913.3527521586166</c:v>
                </c:pt>
                <c:pt idx="35">
                  <c:v>4437.9845987649906</c:v>
                </c:pt>
                <c:pt idx="36">
                  <c:v>4553.1900211035108</c:v>
                </c:pt>
                <c:pt idx="37">
                  <c:v>3334.6938738072781</c:v>
                </c:pt>
                <c:pt idx="38">
                  <c:v>8287.3283861193704</c:v>
                </c:pt>
                <c:pt idx="39">
                  <c:v>8287.3283861193704</c:v>
                </c:pt>
                <c:pt idx="40">
                  <c:v>10208.824466092017</c:v>
                </c:pt>
                <c:pt idx="41">
                  <c:v>10208.824466092017</c:v>
                </c:pt>
                <c:pt idx="42">
                  <c:v>31917.333986888072</c:v>
                </c:pt>
                <c:pt idx="43">
                  <c:v>31917.333986888072</c:v>
                </c:pt>
                <c:pt idx="44">
                  <c:v>31917.333986888072</c:v>
                </c:pt>
                <c:pt idx="45">
                  <c:v>31917.333986888072</c:v>
                </c:pt>
                <c:pt idx="46">
                  <c:v>3334.6938738072781</c:v>
                </c:pt>
                <c:pt idx="47">
                  <c:v>3124.5915667079557</c:v>
                </c:pt>
                <c:pt idx="48">
                  <c:v>3334.6938738072781</c:v>
                </c:pt>
                <c:pt idx="49">
                  <c:v>3229.2057144987275</c:v>
                </c:pt>
                <c:pt idx="50">
                  <c:v>4669.2886028375342</c:v>
                </c:pt>
                <c:pt idx="51">
                  <c:v>4669.2886028375342</c:v>
                </c:pt>
                <c:pt idx="52">
                  <c:v>4210.2467005926819</c:v>
                </c:pt>
                <c:pt idx="53">
                  <c:v>3020.8499970484586</c:v>
                </c:pt>
                <c:pt idx="54">
                  <c:v>3020.8499970484586</c:v>
                </c:pt>
                <c:pt idx="55">
                  <c:v>4669.2886028375342</c:v>
                </c:pt>
                <c:pt idx="56">
                  <c:v>4669.2886028375342</c:v>
                </c:pt>
                <c:pt idx="57">
                  <c:v>4786.2819510258205</c:v>
                </c:pt>
                <c:pt idx="58">
                  <c:v>4786.2819510258205</c:v>
                </c:pt>
                <c:pt idx="59">
                  <c:v>4097.7109300263864</c:v>
                </c:pt>
                <c:pt idx="60">
                  <c:v>4097.7109300263864</c:v>
                </c:pt>
                <c:pt idx="61">
                  <c:v>5507.1172504147053</c:v>
                </c:pt>
                <c:pt idx="62">
                  <c:v>5507.1172504147053</c:v>
                </c:pt>
                <c:pt idx="63">
                  <c:v>5507.1172504147053</c:v>
                </c:pt>
                <c:pt idx="64">
                  <c:v>5507.1172504147053</c:v>
                </c:pt>
                <c:pt idx="65">
                  <c:v>6005.748667545161</c:v>
                </c:pt>
                <c:pt idx="66">
                  <c:v>2416.6495053894637</c:v>
                </c:pt>
                <c:pt idx="67">
                  <c:v>2416.6495053894637</c:v>
                </c:pt>
                <c:pt idx="68">
                  <c:v>3441.0575153978798</c:v>
                </c:pt>
                <c:pt idx="69">
                  <c:v>3229.2057144987275</c:v>
                </c:pt>
                <c:pt idx="70">
                  <c:v>5022.9592150299213</c:v>
                </c:pt>
                <c:pt idx="71">
                  <c:v>4904.1716424010674</c:v>
                </c:pt>
                <c:pt idx="72">
                  <c:v>4904.1716424010674</c:v>
                </c:pt>
                <c:pt idx="73">
                  <c:v>3656.4173021900483</c:v>
                </c:pt>
                <c:pt idx="74">
                  <c:v>3334.6938738072781</c:v>
                </c:pt>
                <c:pt idx="75">
                  <c:v>3656.4173021900483</c:v>
                </c:pt>
                <c:pt idx="76">
                  <c:v>5384.72384261972</c:v>
                </c:pt>
                <c:pt idx="77">
                  <c:v>5630.4153538272321</c:v>
                </c:pt>
                <c:pt idx="78">
                  <c:v>5630.4153538272321</c:v>
                </c:pt>
                <c:pt idx="79">
                  <c:v>6518.9159577803812</c:v>
                </c:pt>
                <c:pt idx="80">
                  <c:v>6649.4837567921149</c:v>
                </c:pt>
                <c:pt idx="81">
                  <c:v>6649.4837567921149</c:v>
                </c:pt>
                <c:pt idx="82">
                  <c:v>2815.9790551864626</c:v>
                </c:pt>
                <c:pt idx="83">
                  <c:v>2815.9790551864626</c:v>
                </c:pt>
                <c:pt idx="84">
                  <c:v>3986.0617435947306</c:v>
                </c:pt>
                <c:pt idx="85">
                  <c:v>3986.0617435947306</c:v>
                </c:pt>
                <c:pt idx="86">
                  <c:v>5630.4153538272321</c:v>
                </c:pt>
                <c:pt idx="87">
                  <c:v>5879.7300762634586</c:v>
                </c:pt>
                <c:pt idx="88">
                  <c:v>5754.6192836553082</c:v>
                </c:pt>
                <c:pt idx="89">
                  <c:v>5022.9592150299213</c:v>
                </c:pt>
                <c:pt idx="90">
                  <c:v>5022.9592150299213</c:v>
                </c:pt>
                <c:pt idx="91">
                  <c:v>5384.72384261972</c:v>
                </c:pt>
                <c:pt idx="92">
                  <c:v>4786.2819510258205</c:v>
                </c:pt>
                <c:pt idx="93">
                  <c:v>4669.2886028375342</c:v>
                </c:pt>
                <c:pt idx="94">
                  <c:v>4786.2819510258205</c:v>
                </c:pt>
                <c:pt idx="95">
                  <c:v>5022.9592150299213</c:v>
                </c:pt>
                <c:pt idx="96">
                  <c:v>4904.1716424010674</c:v>
                </c:pt>
                <c:pt idx="97">
                  <c:v>4553.1900211035108</c:v>
                </c:pt>
                <c:pt idx="98">
                  <c:v>4553.1900211035108</c:v>
                </c:pt>
                <c:pt idx="99">
                  <c:v>4553.1900211035108</c:v>
                </c:pt>
                <c:pt idx="100">
                  <c:v>4553.1900211035108</c:v>
                </c:pt>
                <c:pt idx="101">
                  <c:v>4553.1900211035108</c:v>
                </c:pt>
                <c:pt idx="102">
                  <c:v>3441.0575153978798</c:v>
                </c:pt>
                <c:pt idx="103">
                  <c:v>3441.0575153978798</c:v>
                </c:pt>
                <c:pt idx="104">
                  <c:v>3441.0575153978798</c:v>
                </c:pt>
                <c:pt idx="105">
                  <c:v>3441.0575153978798</c:v>
                </c:pt>
                <c:pt idx="106">
                  <c:v>2614.5822237874509</c:v>
                </c:pt>
                <c:pt idx="107">
                  <c:v>2614.5822237874509</c:v>
                </c:pt>
                <c:pt idx="108">
                  <c:v>3656.4173021900483</c:v>
                </c:pt>
                <c:pt idx="109">
                  <c:v>3656.4173021900483</c:v>
                </c:pt>
                <c:pt idx="110">
                  <c:v>3656.4173021900483</c:v>
                </c:pt>
                <c:pt idx="111">
                  <c:v>3656.4173021900483</c:v>
                </c:pt>
                <c:pt idx="112">
                  <c:v>4097.7109300263864</c:v>
                </c:pt>
                <c:pt idx="113">
                  <c:v>3656.4173021900483</c:v>
                </c:pt>
                <c:pt idx="114">
                  <c:v>4323.6707065243245</c:v>
                </c:pt>
                <c:pt idx="115">
                  <c:v>4437.9845987649906</c:v>
                </c:pt>
                <c:pt idx="116">
                  <c:v>7315.9902424669808</c:v>
                </c:pt>
                <c:pt idx="117">
                  <c:v>7315.9902424669808</c:v>
                </c:pt>
                <c:pt idx="118">
                  <c:v>7315.9902424669808</c:v>
                </c:pt>
                <c:pt idx="119">
                  <c:v>7315.9902424669808</c:v>
                </c:pt>
                <c:pt idx="120">
                  <c:v>8005.2600034612178</c:v>
                </c:pt>
                <c:pt idx="121">
                  <c:v>9601.4018685758583</c:v>
                </c:pt>
                <c:pt idx="122">
                  <c:v>9903.3211076852622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7D5-4158-A722-6606AC551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12352"/>
        <c:axId val="100639104"/>
      </c:scatterChart>
      <c:valAx>
        <c:axId val="100612352"/>
        <c:scaling>
          <c:orientation val="minMax"/>
          <c:max val="66000"/>
          <c:min val="0"/>
        </c:scaling>
        <c:delete val="0"/>
        <c:axPos val="b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True Cooling Capacity [kW]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00639104"/>
        <c:crosses val="autoZero"/>
        <c:crossBetween val="midCat"/>
        <c:majorUnit val="10000"/>
      </c:valAx>
      <c:valAx>
        <c:axId val="100639104"/>
        <c:scaling>
          <c:orientation val="minMax"/>
          <c:max val="65000"/>
          <c:min val="0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Predicted Cooling</a:t>
                </a:r>
                <a:r>
                  <a:rPr lang="de-DE" sz="1200" baseline="0"/>
                  <a:t> Capacity [kW]</a:t>
                </a:r>
                <a:endParaRPr lang="de-DE" sz="1200"/>
              </a:p>
            </c:rich>
          </c:tx>
          <c:layout>
            <c:manualLayout>
              <c:xMode val="edge"/>
              <c:yMode val="edge"/>
              <c:x val="3.04916618879159E-2"/>
              <c:y val="0.2095397270697758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00612352"/>
        <c:crosses val="autoZero"/>
        <c:crossBetween val="midCat"/>
        <c:majorUnit val="10000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72073978770824243"/>
          <c:y val="0.72774227781037459"/>
          <c:w val="0.25245805756735024"/>
          <c:h val="0.15347012366997639"/>
        </c:manualLayout>
      </c:layout>
      <c:overlay val="1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66007060546542"/>
          <c:y val="3.1409117781629983E-2"/>
          <c:w val="0.74562732762099471"/>
          <c:h val="0.83081351134254033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>
                  <a:alpha val="20000"/>
                </a:schemeClr>
              </a:solidFill>
              <a:ln w="3175">
                <a:solidFill>
                  <a:schemeClr val="tx1"/>
                </a:solidFill>
              </a:ln>
            </c:spPr>
          </c:marker>
          <c:trendline>
            <c:spPr>
              <a:ln w="15875"/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Calibration_Function!$J$3:$J$125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Calibration_Function!$I$3:$I$125</c:f>
              <c:numCache>
                <c:formatCode>0</c:formatCode>
                <c:ptCount val="123"/>
                <c:pt idx="0" formatCode="General">
                  <c:v>6929.1556346546913</c:v>
                </c:pt>
                <c:pt idx="1">
                  <c:v>6797.4558833274532</c:v>
                </c:pt>
                <c:pt idx="2">
                  <c:v>6278.6411822463706</c:v>
                </c:pt>
                <c:pt idx="3">
                  <c:v>6536.451671941335</c:v>
                </c:pt>
                <c:pt idx="4">
                  <c:v>6536.451671941335</c:v>
                </c:pt>
                <c:pt idx="5">
                  <c:v>3110.7850818858456</c:v>
                </c:pt>
                <c:pt idx="6">
                  <c:v>2899.2835567125844</c:v>
                </c:pt>
                <c:pt idx="7">
                  <c:v>2384.5022761782207</c:v>
                </c:pt>
                <c:pt idx="8">
                  <c:v>2485.8616714395166</c:v>
                </c:pt>
                <c:pt idx="9">
                  <c:v>1793.1129434889872</c:v>
                </c:pt>
                <c:pt idx="10">
                  <c:v>5037.4945591388296</c:v>
                </c:pt>
                <c:pt idx="11">
                  <c:v>5158.0162845470368</c:v>
                </c:pt>
                <c:pt idx="12">
                  <c:v>4917.771264153409</c:v>
                </c:pt>
                <c:pt idx="13">
                  <c:v>5037.4945591388296</c:v>
                </c:pt>
                <c:pt idx="14">
                  <c:v>5158.0162845470368</c:v>
                </c:pt>
                <c:pt idx="15">
                  <c:v>4446.8623884396056</c:v>
                </c:pt>
                <c:pt idx="16">
                  <c:v>3653.5114272177893</c:v>
                </c:pt>
                <c:pt idx="17">
                  <c:v>3325.4803287502596</c:v>
                </c:pt>
                <c:pt idx="18">
                  <c:v>4102.0642510935286</c:v>
                </c:pt>
                <c:pt idx="19">
                  <c:v>3876.1909783100832</c:v>
                </c:pt>
                <c:pt idx="20">
                  <c:v>3988.7283994904114</c:v>
                </c:pt>
                <c:pt idx="21">
                  <c:v>4102.0642510935286</c:v>
                </c:pt>
                <c:pt idx="22">
                  <c:v>3764.4519875525425</c:v>
                </c:pt>
                <c:pt idx="23">
                  <c:v>3876.1909783100832</c:v>
                </c:pt>
                <c:pt idx="24">
                  <c:v>2794.7304397601351</c:v>
                </c:pt>
                <c:pt idx="25">
                  <c:v>2690.9757532304748</c:v>
                </c:pt>
                <c:pt idx="26">
                  <c:v>3988.7283994904114</c:v>
                </c:pt>
                <c:pt idx="27">
                  <c:v>3434.0255978166474</c:v>
                </c:pt>
                <c:pt idx="28">
                  <c:v>4331.1312455681255</c:v>
                </c:pt>
                <c:pt idx="29">
                  <c:v>2690.9757532304748</c:v>
                </c:pt>
                <c:pt idx="30">
                  <c:v>2588.0194971236019</c:v>
                </c:pt>
                <c:pt idx="31">
                  <c:v>2899.2835567125844</c:v>
                </c:pt>
                <c:pt idx="32">
                  <c:v>3434.0255978166474</c:v>
                </c:pt>
                <c:pt idx="33">
                  <c:v>8150.3827656253143</c:v>
                </c:pt>
                <c:pt idx="34">
                  <c:v>8430.5493071583405</c:v>
                </c:pt>
                <c:pt idx="35">
                  <c:v>5401.4550266318165</c:v>
                </c:pt>
                <c:pt idx="36">
                  <c:v>5401.4550266318165</c:v>
                </c:pt>
                <c:pt idx="37">
                  <c:v>3004.6351040878221</c:v>
                </c:pt>
                <c:pt idx="38">
                  <c:v>9144.9381933896984</c:v>
                </c:pt>
                <c:pt idx="39">
                  <c:v>9144.9381933896984</c:v>
                </c:pt>
                <c:pt idx="40">
                  <c:v>10940.911423469335</c:v>
                </c:pt>
                <c:pt idx="41">
                  <c:v>11565.118940358434</c:v>
                </c:pt>
                <c:pt idx="42">
                  <c:v>36485.526398587681</c:v>
                </c:pt>
                <c:pt idx="43">
                  <c:v>35224.212672746537</c:v>
                </c:pt>
                <c:pt idx="44">
                  <c:v>32278.499633852196</c:v>
                </c:pt>
                <c:pt idx="45">
                  <c:v>36231.66679257388</c:v>
                </c:pt>
                <c:pt idx="46">
                  <c:v>3325.4803287502596</c:v>
                </c:pt>
                <c:pt idx="47">
                  <c:v>3004.6351040878221</c:v>
                </c:pt>
                <c:pt idx="48">
                  <c:v>3325.4803287502596</c:v>
                </c:pt>
                <c:pt idx="49">
                  <c:v>2794.7304397601351</c:v>
                </c:pt>
                <c:pt idx="50">
                  <c:v>4917.771264153409</c:v>
                </c:pt>
                <c:pt idx="51">
                  <c:v>4680.7199654509313</c:v>
                </c:pt>
                <c:pt idx="52">
                  <c:v>4331.1312455681255</c:v>
                </c:pt>
                <c:pt idx="53">
                  <c:v>3004.6351040878221</c:v>
                </c:pt>
                <c:pt idx="54">
                  <c:v>2690.9757532304748</c:v>
                </c:pt>
                <c:pt idx="55">
                  <c:v>4798.8463995907769</c:v>
                </c:pt>
                <c:pt idx="56">
                  <c:v>4798.8463995907769</c:v>
                </c:pt>
                <c:pt idx="57">
                  <c:v>5158.0162845470368</c:v>
                </c:pt>
                <c:pt idx="58">
                  <c:v>4917.771264153409</c:v>
                </c:pt>
                <c:pt idx="59">
                  <c:v>4216.1985331194319</c:v>
                </c:pt>
                <c:pt idx="60">
                  <c:v>4216.1985331194319</c:v>
                </c:pt>
                <c:pt idx="61">
                  <c:v>5648.08749040775</c:v>
                </c:pt>
                <c:pt idx="62">
                  <c:v>5648.08749040775</c:v>
                </c:pt>
                <c:pt idx="63">
                  <c:v>5897.9136758748355</c:v>
                </c:pt>
                <c:pt idx="64">
                  <c:v>5772.6013679298976</c:v>
                </c:pt>
                <c:pt idx="65">
                  <c:v>6666.5545624230017</c:v>
                </c:pt>
                <c:pt idx="66">
                  <c:v>2384.5022761782207</c:v>
                </c:pt>
                <c:pt idx="67">
                  <c:v>2184.1787769239913</c:v>
                </c:pt>
                <c:pt idx="68">
                  <c:v>3325.4803287502596</c:v>
                </c:pt>
                <c:pt idx="69">
                  <c:v>3004.6351040878221</c:v>
                </c:pt>
                <c:pt idx="70">
                  <c:v>5037.4945591388296</c:v>
                </c:pt>
                <c:pt idx="71">
                  <c:v>4680.7199654509313</c:v>
                </c:pt>
                <c:pt idx="72">
                  <c:v>4917.771264153409</c:v>
                </c:pt>
                <c:pt idx="73">
                  <c:v>3653.5114272177893</c:v>
                </c:pt>
                <c:pt idx="74">
                  <c:v>3543.3692973058246</c:v>
                </c:pt>
                <c:pt idx="75">
                  <c:v>3764.4519875525425</c:v>
                </c:pt>
                <c:pt idx="76">
                  <c:v>5772.6013679298976</c:v>
                </c:pt>
                <c:pt idx="77">
                  <c:v>5897.9136758748355</c:v>
                </c:pt>
                <c:pt idx="78">
                  <c:v>6150.9335830330692</c:v>
                </c:pt>
                <c:pt idx="79">
                  <c:v>7329.0454711731381</c:v>
                </c:pt>
                <c:pt idx="80">
                  <c:v>7463.9389441915337</c:v>
                </c:pt>
                <c:pt idx="81">
                  <c:v>7463.9389441915337</c:v>
                </c:pt>
                <c:pt idx="82">
                  <c:v>2690.9757532304748</c:v>
                </c:pt>
                <c:pt idx="83">
                  <c:v>2588.0194971236019</c:v>
                </c:pt>
                <c:pt idx="84">
                  <c:v>4331.1312455681255</c:v>
                </c:pt>
                <c:pt idx="85">
                  <c:v>4102.0642510935286</c:v>
                </c:pt>
                <c:pt idx="86">
                  <c:v>5897.9136758748355</c:v>
                </c:pt>
                <c:pt idx="87">
                  <c:v>6150.9335830330692</c:v>
                </c:pt>
                <c:pt idx="88">
                  <c:v>5401.4550266318165</c:v>
                </c:pt>
                <c:pt idx="89">
                  <c:v>4917.771264153409</c:v>
                </c:pt>
                <c:pt idx="90">
                  <c:v>5037.4945591388296</c:v>
                </c:pt>
                <c:pt idx="91">
                  <c:v>5401.4550266318165</c:v>
                </c:pt>
                <c:pt idx="92">
                  <c:v>5279.3364403780324</c:v>
                </c:pt>
                <c:pt idx="93">
                  <c:v>4798.8463995907769</c:v>
                </c:pt>
                <c:pt idx="94">
                  <c:v>4798.8463995907769</c:v>
                </c:pt>
                <c:pt idx="95">
                  <c:v>5037.4945591388296</c:v>
                </c:pt>
                <c:pt idx="96">
                  <c:v>4798.8463995907769</c:v>
                </c:pt>
                <c:pt idx="97">
                  <c:v>4563.3919617338743</c:v>
                </c:pt>
                <c:pt idx="98">
                  <c:v>4446.8623884396056</c:v>
                </c:pt>
                <c:pt idx="99">
                  <c:v>4680.7199654509313</c:v>
                </c:pt>
                <c:pt idx="100">
                  <c:v>4446.8623884396056</c:v>
                </c:pt>
                <c:pt idx="101">
                  <c:v>4680.7199654509313</c:v>
                </c:pt>
                <c:pt idx="102">
                  <c:v>3110.7850818858456</c:v>
                </c:pt>
                <c:pt idx="103">
                  <c:v>3110.7850818858456</c:v>
                </c:pt>
                <c:pt idx="104">
                  <c:v>3325.4803287502596</c:v>
                </c:pt>
                <c:pt idx="105">
                  <c:v>3110.7850818858456</c:v>
                </c:pt>
                <c:pt idx="106">
                  <c:v>2384.5022761782207</c:v>
                </c:pt>
                <c:pt idx="107">
                  <c:v>2485.8616714395166</c:v>
                </c:pt>
                <c:pt idx="108">
                  <c:v>3434.0255978166474</c:v>
                </c:pt>
                <c:pt idx="109">
                  <c:v>3325.4803287502596</c:v>
                </c:pt>
                <c:pt idx="110">
                  <c:v>3110.7850818858456</c:v>
                </c:pt>
                <c:pt idx="111">
                  <c:v>2794.7304397601351</c:v>
                </c:pt>
                <c:pt idx="112">
                  <c:v>3876.1909783100832</c:v>
                </c:pt>
                <c:pt idx="113">
                  <c:v>2794.7304397601351</c:v>
                </c:pt>
                <c:pt idx="114">
                  <c:v>4331.1312455681255</c:v>
                </c:pt>
                <c:pt idx="115">
                  <c:v>4680.7199654509313</c:v>
                </c:pt>
                <c:pt idx="116">
                  <c:v>9000.4635552978543</c:v>
                </c:pt>
                <c:pt idx="117">
                  <c:v>8571.8302235590363</c:v>
                </c:pt>
                <c:pt idx="118">
                  <c:v>7329.0454711731381</c:v>
                </c:pt>
                <c:pt idx="119">
                  <c:v>7736.1211814966828</c:v>
                </c:pt>
                <c:pt idx="120">
                  <c:v>7736.1211814966828</c:v>
                </c:pt>
                <c:pt idx="121">
                  <c:v>11565.118940358434</c:v>
                </c:pt>
                <c:pt idx="122">
                  <c:v>13850.447482741552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88-49C0-BBD4-215B3BF5D47A}"/>
            </c:ext>
          </c:extLst>
        </c:ser>
        <c:ser>
          <c:idx val="1"/>
          <c:order val="1"/>
          <c:spPr>
            <a:ln w="28575">
              <a:noFill/>
            </a:ln>
          </c:spP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CC88-49C0-BBD4-215B3BF5D47A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CC88-49C0-BBD4-215B3BF5D47A}"/>
              </c:ext>
            </c:extLst>
          </c:dPt>
          <c:trendline>
            <c:trendlineType val="linear"/>
            <c:dispRSqr val="0"/>
            <c:dispEq val="0"/>
          </c:trendline>
          <c:xVal>
            <c:numRef>
              <c:f>Calibration_Factor!$X$16:$X$17</c:f>
              <c:numCache>
                <c:formatCode>General</c:formatCode>
                <c:ptCount val="2"/>
                <c:pt idx="0">
                  <c:v>0</c:v>
                </c:pt>
                <c:pt idx="1">
                  <c:v>70000</c:v>
                </c:pt>
              </c:numCache>
            </c:numRef>
          </c:xVal>
          <c:yVal>
            <c:numRef>
              <c:f>Calibration_Factor!$X$16:$X$17</c:f>
              <c:numCache>
                <c:formatCode>General</c:formatCode>
                <c:ptCount val="2"/>
                <c:pt idx="0">
                  <c:v>0</c:v>
                </c:pt>
                <c:pt idx="1">
                  <c:v>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88-49C0-BBD4-215B3BF5D47A}"/>
            </c:ext>
          </c:extLst>
        </c:ser>
        <c:ser>
          <c:idx val="2"/>
          <c:order val="2"/>
          <c:tx>
            <c:v>Prediction_Interval_Min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Calibration_Function!$J$3:$J$125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Calibration_Function!$N$3:$N$125</c:f>
              <c:numCache>
                <c:formatCode>0</c:formatCode>
                <c:ptCount val="123"/>
                <c:pt idx="0">
                  <c:v>5372.3393462216445</c:v>
                </c:pt>
                <c:pt idx="1">
                  <c:v>5372.3393462216445</c:v>
                </c:pt>
                <c:pt idx="2">
                  <c:v>4941.9357011839847</c:v>
                </c:pt>
                <c:pt idx="3">
                  <c:v>4941.9357011839847</c:v>
                </c:pt>
                <c:pt idx="4">
                  <c:v>4941.9357011839847</c:v>
                </c:pt>
                <c:pt idx="5">
                  <c:v>1575.5378404395994</c:v>
                </c:pt>
                <c:pt idx="6">
                  <c:v>1343.6313882952857</c:v>
                </c:pt>
                <c:pt idx="7">
                  <c:v>2294.4564636289638</c:v>
                </c:pt>
                <c:pt idx="8">
                  <c:v>2294.4564636289638</c:v>
                </c:pt>
                <c:pt idx="9">
                  <c:v>891.42259960424599</c:v>
                </c:pt>
                <c:pt idx="10">
                  <c:v>4107.1612705801954</c:v>
                </c:pt>
                <c:pt idx="11">
                  <c:v>4107.1612705801954</c:v>
                </c:pt>
                <c:pt idx="12">
                  <c:v>3836.61982750572</c:v>
                </c:pt>
                <c:pt idx="13">
                  <c:v>4107.1612705801954</c:v>
                </c:pt>
                <c:pt idx="14">
                  <c:v>4107.1612705801954</c:v>
                </c:pt>
                <c:pt idx="15">
                  <c:v>3702.7964779724798</c:v>
                </c:pt>
                <c:pt idx="16">
                  <c:v>2417.6584534280128</c:v>
                </c:pt>
                <c:pt idx="17">
                  <c:v>2172.2206600662707</c:v>
                </c:pt>
                <c:pt idx="18">
                  <c:v>2920.1262871726931</c:v>
                </c:pt>
                <c:pt idx="19">
                  <c:v>2920.1262871726931</c:v>
                </c:pt>
                <c:pt idx="20">
                  <c:v>2920.1262871726931</c:v>
                </c:pt>
                <c:pt idx="21">
                  <c:v>2920.1262871726931</c:v>
                </c:pt>
                <c:pt idx="22">
                  <c:v>2920.1262871726931</c:v>
                </c:pt>
                <c:pt idx="23">
                  <c:v>2793.060548244544</c:v>
                </c:pt>
                <c:pt idx="24">
                  <c:v>2172.2206600662707</c:v>
                </c:pt>
                <c:pt idx="25">
                  <c:v>1930.6480030723533</c:v>
                </c:pt>
                <c:pt idx="26">
                  <c:v>2920.1262871726931</c:v>
                </c:pt>
                <c:pt idx="27">
                  <c:v>2294.4564636289638</c:v>
                </c:pt>
                <c:pt idx="28">
                  <c:v>2920.1262871726931</c:v>
                </c:pt>
                <c:pt idx="29">
                  <c:v>1811.311343421077</c:v>
                </c:pt>
                <c:pt idx="30">
                  <c:v>1692.9412575609836</c:v>
                </c:pt>
                <c:pt idx="31">
                  <c:v>1811.311343421077</c:v>
                </c:pt>
                <c:pt idx="32">
                  <c:v>2541.8265306462026</c:v>
                </c:pt>
                <c:pt idx="33">
                  <c:v>6108.9517225087548</c:v>
                </c:pt>
                <c:pt idx="34">
                  <c:v>6259.1640951849895</c:v>
                </c:pt>
                <c:pt idx="35">
                  <c:v>3438.045058196115</c:v>
                </c:pt>
                <c:pt idx="36">
                  <c:v>3569.9381860935896</c:v>
                </c:pt>
                <c:pt idx="37">
                  <c:v>2172.2206600662707</c:v>
                </c:pt>
                <c:pt idx="38">
                  <c:v>7814.2342399458785</c:v>
                </c:pt>
                <c:pt idx="39">
                  <c:v>7814.2342399458785</c:v>
                </c:pt>
                <c:pt idx="40">
                  <c:v>9979.5954948589133</c:v>
                </c:pt>
                <c:pt idx="41">
                  <c:v>9979.5954948589133</c:v>
                </c:pt>
                <c:pt idx="42">
                  <c:v>34214.584011633997</c:v>
                </c:pt>
                <c:pt idx="43">
                  <c:v>34214.584011633997</c:v>
                </c:pt>
                <c:pt idx="44">
                  <c:v>34214.584011633997</c:v>
                </c:pt>
                <c:pt idx="45">
                  <c:v>34214.584011633997</c:v>
                </c:pt>
                <c:pt idx="46">
                  <c:v>2172.2206600662707</c:v>
                </c:pt>
                <c:pt idx="47">
                  <c:v>1930.6480030723533</c:v>
                </c:pt>
                <c:pt idx="48">
                  <c:v>2172.2206600662707</c:v>
                </c:pt>
                <c:pt idx="49">
                  <c:v>2050.9511407884002</c:v>
                </c:pt>
                <c:pt idx="50">
                  <c:v>3702.7964779724798</c:v>
                </c:pt>
                <c:pt idx="51">
                  <c:v>3702.7964779724798</c:v>
                </c:pt>
                <c:pt idx="52">
                  <c:v>3177.1547159774964</c:v>
                </c:pt>
                <c:pt idx="53">
                  <c:v>1811.311343421077</c:v>
                </c:pt>
                <c:pt idx="54">
                  <c:v>1811.311343421077</c:v>
                </c:pt>
                <c:pt idx="55">
                  <c:v>3702.7964779724798</c:v>
                </c:pt>
                <c:pt idx="56">
                  <c:v>3702.7964779724798</c:v>
                </c:pt>
                <c:pt idx="57">
                  <c:v>3836.61982750572</c:v>
                </c:pt>
                <c:pt idx="58">
                  <c:v>3836.61982750572</c:v>
                </c:pt>
                <c:pt idx="59">
                  <c:v>3048.1577106222885</c:v>
                </c:pt>
                <c:pt idx="60">
                  <c:v>3048.1577106222885</c:v>
                </c:pt>
                <c:pt idx="61">
                  <c:v>4659.8200896826929</c:v>
                </c:pt>
                <c:pt idx="62">
                  <c:v>4659.8200896826929</c:v>
                </c:pt>
                <c:pt idx="63">
                  <c:v>4659.8200896826929</c:v>
                </c:pt>
                <c:pt idx="64">
                  <c:v>4659.8200896826929</c:v>
                </c:pt>
                <c:pt idx="65">
                  <c:v>5227.9075856167874</c:v>
                </c:pt>
                <c:pt idx="66">
                  <c:v>1115.5927309082024</c:v>
                </c:pt>
                <c:pt idx="67">
                  <c:v>1115.5927309082024</c:v>
                </c:pt>
                <c:pt idx="68">
                  <c:v>2294.4564636289638</c:v>
                </c:pt>
                <c:pt idx="69">
                  <c:v>2050.9511407884002</c:v>
                </c:pt>
                <c:pt idx="70">
                  <c:v>4107.1612705801954</c:v>
                </c:pt>
                <c:pt idx="71">
                  <c:v>3971.4081276360139</c:v>
                </c:pt>
                <c:pt idx="72">
                  <c:v>3971.4081276360139</c:v>
                </c:pt>
                <c:pt idx="73">
                  <c:v>2541.8265306462026</c:v>
                </c:pt>
                <c:pt idx="74">
                  <c:v>2172.2206600662707</c:v>
                </c:pt>
                <c:pt idx="75">
                  <c:v>2541.8265306462026</c:v>
                </c:pt>
                <c:pt idx="76">
                  <c:v>4520.2086676716553</c:v>
                </c:pt>
                <c:pt idx="77">
                  <c:v>4800.3958048663389</c:v>
                </c:pt>
                <c:pt idx="78">
                  <c:v>4800.3958048663389</c:v>
                </c:pt>
                <c:pt idx="79">
                  <c:v>5811.4165223792143</c:v>
                </c:pt>
                <c:pt idx="80">
                  <c:v>5959.7024922258661</c:v>
                </c:pt>
                <c:pt idx="81">
                  <c:v>5959.7024922258661</c:v>
                </c:pt>
                <c:pt idx="82">
                  <c:v>1575.5378404395994</c:v>
                </c:pt>
                <c:pt idx="83">
                  <c:v>1575.5378404395994</c:v>
                </c:pt>
                <c:pt idx="84">
                  <c:v>2920.1262871726931</c:v>
                </c:pt>
                <c:pt idx="85">
                  <c:v>2920.1262871726931</c:v>
                </c:pt>
                <c:pt idx="86">
                  <c:v>4800.3958048663389</c:v>
                </c:pt>
                <c:pt idx="87">
                  <c:v>5084.4396659058912</c:v>
                </c:pt>
                <c:pt idx="88">
                  <c:v>4941.9357011839847</c:v>
                </c:pt>
                <c:pt idx="89">
                  <c:v>4107.1612705801954</c:v>
                </c:pt>
                <c:pt idx="90">
                  <c:v>4107.1612705801954</c:v>
                </c:pt>
                <c:pt idx="91">
                  <c:v>4520.2086676716553</c:v>
                </c:pt>
                <c:pt idx="92">
                  <c:v>3836.61982750572</c:v>
                </c:pt>
                <c:pt idx="93">
                  <c:v>3702.7964779724798</c:v>
                </c:pt>
                <c:pt idx="94">
                  <c:v>3836.61982750572</c:v>
                </c:pt>
                <c:pt idx="95">
                  <c:v>4107.1612705801954</c:v>
                </c:pt>
                <c:pt idx="96">
                  <c:v>3971.4081276360139</c:v>
                </c:pt>
                <c:pt idx="97">
                  <c:v>3569.9381860935896</c:v>
                </c:pt>
                <c:pt idx="98">
                  <c:v>3569.9381860935896</c:v>
                </c:pt>
                <c:pt idx="99">
                  <c:v>3569.9381860935896</c:v>
                </c:pt>
                <c:pt idx="100">
                  <c:v>3569.9381860935896</c:v>
                </c:pt>
                <c:pt idx="101">
                  <c:v>3569.9381860935896</c:v>
                </c:pt>
                <c:pt idx="102">
                  <c:v>2294.4564636289638</c:v>
                </c:pt>
                <c:pt idx="103">
                  <c:v>2294.4564636289638</c:v>
                </c:pt>
                <c:pt idx="104">
                  <c:v>2294.4564636289638</c:v>
                </c:pt>
                <c:pt idx="105">
                  <c:v>2294.4564636289638</c:v>
                </c:pt>
                <c:pt idx="106">
                  <c:v>1343.6313882952857</c:v>
                </c:pt>
                <c:pt idx="107">
                  <c:v>1343.6313882952857</c:v>
                </c:pt>
                <c:pt idx="108">
                  <c:v>2541.8265306462026</c:v>
                </c:pt>
                <c:pt idx="109">
                  <c:v>2541.8265306462026</c:v>
                </c:pt>
                <c:pt idx="110">
                  <c:v>2541.8265306462026</c:v>
                </c:pt>
                <c:pt idx="111">
                  <c:v>2541.8265306462026</c:v>
                </c:pt>
                <c:pt idx="112">
                  <c:v>3048.1577106222885</c:v>
                </c:pt>
                <c:pt idx="113">
                  <c:v>2541.8265306462026</c:v>
                </c:pt>
                <c:pt idx="114">
                  <c:v>3307.1171998726968</c:v>
                </c:pt>
                <c:pt idx="115">
                  <c:v>3438.045058196115</c:v>
                </c:pt>
                <c:pt idx="116">
                  <c:v>6715.5788776692898</c:v>
                </c:pt>
                <c:pt idx="117">
                  <c:v>6715.5788776692898</c:v>
                </c:pt>
                <c:pt idx="118">
                  <c:v>6715.5788776692898</c:v>
                </c:pt>
                <c:pt idx="119">
                  <c:v>6715.5788776692898</c:v>
                </c:pt>
                <c:pt idx="120">
                  <c:v>7495.5218315882385</c:v>
                </c:pt>
                <c:pt idx="121">
                  <c:v>9296.0347939477724</c:v>
                </c:pt>
                <c:pt idx="122">
                  <c:v>9635.8943461938416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C88-49C0-BBD4-215B3BF5D47A}"/>
            </c:ext>
          </c:extLst>
        </c:ser>
        <c:ser>
          <c:idx val="3"/>
          <c:order val="3"/>
          <c:tx>
            <c:v>Prediction_Interval_Max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Calibration_Function!$J$3:$J$125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Calibration_Function!$O$3:$O$125</c:f>
              <c:numCache>
                <c:formatCode>0</c:formatCode>
                <c:ptCount val="123"/>
                <c:pt idx="0">
                  <c:v>7603.2625599239873</c:v>
                </c:pt>
                <c:pt idx="1">
                  <c:v>7603.2625599239873</c:v>
                </c:pt>
                <c:pt idx="2">
                  <c:v>7172.757339071014</c:v>
                </c:pt>
                <c:pt idx="3">
                  <c:v>7172.757339071014</c:v>
                </c:pt>
                <c:pt idx="4">
                  <c:v>7172.757339071014</c:v>
                </c:pt>
                <c:pt idx="5">
                  <c:v>3809.0631096990583</c:v>
                </c:pt>
                <c:pt idx="6">
                  <c:v>3577.5707174211675</c:v>
                </c:pt>
                <c:pt idx="7">
                  <c:v>4526.8843458836291</c:v>
                </c:pt>
                <c:pt idx="8">
                  <c:v>4526.8843458836291</c:v>
                </c:pt>
                <c:pt idx="9">
                  <c:v>3126.2534803214562</c:v>
                </c:pt>
                <c:pt idx="10">
                  <c:v>6338.0752797642735</c:v>
                </c:pt>
                <c:pt idx="11">
                  <c:v>6338.0752797642735</c:v>
                </c:pt>
                <c:pt idx="12">
                  <c:v>6067.6456682376811</c:v>
                </c:pt>
                <c:pt idx="13">
                  <c:v>6338.0752797642735</c:v>
                </c:pt>
                <c:pt idx="14">
                  <c:v>6338.0752797642735</c:v>
                </c:pt>
                <c:pt idx="15">
                  <c:v>5933.8924483520905</c:v>
                </c:pt>
                <c:pt idx="16">
                  <c:v>4649.9265677042176</c:v>
                </c:pt>
                <c:pt idx="17">
                  <c:v>4404.8152430811533</c:v>
                </c:pt>
                <c:pt idx="18">
                  <c:v>5151.8286329828152</c:v>
                </c:pt>
                <c:pt idx="19">
                  <c:v>5151.8286329828152</c:v>
                </c:pt>
                <c:pt idx="20">
                  <c:v>5151.8286329828152</c:v>
                </c:pt>
                <c:pt idx="21">
                  <c:v>5151.8286329828152</c:v>
                </c:pt>
                <c:pt idx="22">
                  <c:v>5151.8286329828152</c:v>
                </c:pt>
                <c:pt idx="23">
                  <c:v>5024.8929392734353</c:v>
                </c:pt>
                <c:pt idx="24">
                  <c:v>4404.8152430811533</c:v>
                </c:pt>
                <c:pt idx="25">
                  <c:v>4163.5960031081477</c:v>
                </c:pt>
                <c:pt idx="26">
                  <c:v>5151.8286329828152</c:v>
                </c:pt>
                <c:pt idx="27">
                  <c:v>4526.8843458836291</c:v>
                </c:pt>
                <c:pt idx="28">
                  <c:v>5151.8286329828152</c:v>
                </c:pt>
                <c:pt idx="29">
                  <c:v>4044.4456721576707</c:v>
                </c:pt>
                <c:pt idx="30">
                  <c:v>3926.2680726704834</c:v>
                </c:pt>
                <c:pt idx="31">
                  <c:v>4044.4456721576707</c:v>
                </c:pt>
                <c:pt idx="32">
                  <c:v>4773.9420073601395</c:v>
                </c:pt>
                <c:pt idx="33">
                  <c:v>8340.2843985440322</c:v>
                </c:pt>
                <c:pt idx="34">
                  <c:v>8490.6167846126427</c:v>
                </c:pt>
                <c:pt idx="35">
                  <c:v>5669.3086450542132</c:v>
                </c:pt>
                <c:pt idx="36">
                  <c:v>5801.1134760666228</c:v>
                </c:pt>
                <c:pt idx="37">
                  <c:v>4404.8152430811533</c:v>
                </c:pt>
                <c:pt idx="38">
                  <c:v>10047.656016296156</c:v>
                </c:pt>
                <c:pt idx="39">
                  <c:v>10047.656016296156</c:v>
                </c:pt>
                <c:pt idx="40">
                  <c:v>12217.963086304357</c:v>
                </c:pt>
                <c:pt idx="41">
                  <c:v>12217.963086304357</c:v>
                </c:pt>
                <c:pt idx="42">
                  <c:v>36673.793493900361</c:v>
                </c:pt>
                <c:pt idx="43">
                  <c:v>36673.793493900361</c:v>
                </c:pt>
                <c:pt idx="44">
                  <c:v>36673.793493900361</c:v>
                </c:pt>
                <c:pt idx="45">
                  <c:v>36673.793493900361</c:v>
                </c:pt>
                <c:pt idx="46">
                  <c:v>4404.8152430811533</c:v>
                </c:pt>
                <c:pt idx="47">
                  <c:v>4163.5960031081477</c:v>
                </c:pt>
                <c:pt idx="48">
                  <c:v>4404.8152430811533</c:v>
                </c:pt>
                <c:pt idx="49">
                  <c:v>4283.7191612483275</c:v>
                </c:pt>
                <c:pt idx="50">
                  <c:v>5933.8924483520905</c:v>
                </c:pt>
                <c:pt idx="51">
                  <c:v>5933.8924483520905</c:v>
                </c:pt>
                <c:pt idx="52">
                  <c:v>5408.6209852164793</c:v>
                </c:pt>
                <c:pt idx="53">
                  <c:v>4044.4456721576707</c:v>
                </c:pt>
                <c:pt idx="54">
                  <c:v>4044.4456721576707</c:v>
                </c:pt>
                <c:pt idx="55">
                  <c:v>5933.8924483520905</c:v>
                </c:pt>
                <c:pt idx="56">
                  <c:v>5933.8924483520905</c:v>
                </c:pt>
                <c:pt idx="57">
                  <c:v>6067.6456682376811</c:v>
                </c:pt>
                <c:pt idx="58">
                  <c:v>6067.6456682376811</c:v>
                </c:pt>
                <c:pt idx="59">
                  <c:v>5279.7379474252175</c:v>
                </c:pt>
                <c:pt idx="60">
                  <c:v>5279.7379474252175</c:v>
                </c:pt>
                <c:pt idx="61">
                  <c:v>6890.6302329175778</c:v>
                </c:pt>
                <c:pt idx="62">
                  <c:v>6890.6302329175778</c:v>
                </c:pt>
                <c:pt idx="63">
                  <c:v>6890.6302329175778</c:v>
                </c:pt>
                <c:pt idx="64">
                  <c:v>6890.6302329175778</c:v>
                </c:pt>
                <c:pt idx="65">
                  <c:v>7458.785393310829</c:v>
                </c:pt>
                <c:pt idx="66">
                  <c:v>3349.9677514039313</c:v>
                </c:pt>
                <c:pt idx="67">
                  <c:v>3349.9677514039313</c:v>
                </c:pt>
                <c:pt idx="68">
                  <c:v>4526.8843458836291</c:v>
                </c:pt>
                <c:pt idx="69">
                  <c:v>4283.7191612483275</c:v>
                </c:pt>
                <c:pt idx="70">
                  <c:v>6338.0752797642735</c:v>
                </c:pt>
                <c:pt idx="71">
                  <c:v>6202.3732427806826</c:v>
                </c:pt>
                <c:pt idx="72">
                  <c:v>6202.3732427806826</c:v>
                </c:pt>
                <c:pt idx="73">
                  <c:v>4773.9420073601395</c:v>
                </c:pt>
                <c:pt idx="74">
                  <c:v>4404.8152430811533</c:v>
                </c:pt>
                <c:pt idx="75">
                  <c:v>4773.9420073601395</c:v>
                </c:pt>
                <c:pt idx="76">
                  <c:v>6751.0292539829534</c:v>
                </c:pt>
                <c:pt idx="77">
                  <c:v>7031.2062239340612</c:v>
                </c:pt>
                <c:pt idx="78">
                  <c:v>7031.2062239340612</c:v>
                </c:pt>
                <c:pt idx="79">
                  <c:v>8042.547996947299</c:v>
                </c:pt>
                <c:pt idx="80">
                  <c:v>8190.9281753365485</c:v>
                </c:pt>
                <c:pt idx="81">
                  <c:v>8190.9281753365485</c:v>
                </c:pt>
                <c:pt idx="82">
                  <c:v>3809.0631096990583</c:v>
                </c:pt>
                <c:pt idx="83">
                  <c:v>3809.0631096990583</c:v>
                </c:pt>
                <c:pt idx="84">
                  <c:v>5151.8286329828152</c:v>
                </c:pt>
                <c:pt idx="85">
                  <c:v>5151.8286329828152</c:v>
                </c:pt>
                <c:pt idx="86">
                  <c:v>7031.2062239340612</c:v>
                </c:pt>
                <c:pt idx="87">
                  <c:v>7315.2836910581809</c:v>
                </c:pt>
                <c:pt idx="88">
                  <c:v>7172.757339071014</c:v>
                </c:pt>
                <c:pt idx="89">
                  <c:v>6338.0752797642735</c:v>
                </c:pt>
                <c:pt idx="90">
                  <c:v>6338.0752797642735</c:v>
                </c:pt>
                <c:pt idx="91">
                  <c:v>6751.0292539829534</c:v>
                </c:pt>
                <c:pt idx="92">
                  <c:v>6067.6456682376811</c:v>
                </c:pt>
                <c:pt idx="93">
                  <c:v>5933.8924483520905</c:v>
                </c:pt>
                <c:pt idx="94">
                  <c:v>6067.6456682376811</c:v>
                </c:pt>
                <c:pt idx="95">
                  <c:v>6338.0752797642735</c:v>
                </c:pt>
                <c:pt idx="96">
                  <c:v>6202.3732427806826</c:v>
                </c:pt>
                <c:pt idx="97">
                  <c:v>5801.1134760666228</c:v>
                </c:pt>
                <c:pt idx="98">
                  <c:v>5801.1134760666228</c:v>
                </c:pt>
                <c:pt idx="99">
                  <c:v>5801.1134760666228</c:v>
                </c:pt>
                <c:pt idx="100">
                  <c:v>5801.1134760666228</c:v>
                </c:pt>
                <c:pt idx="101">
                  <c:v>5801.1134760666228</c:v>
                </c:pt>
                <c:pt idx="102">
                  <c:v>4526.8843458836291</c:v>
                </c:pt>
                <c:pt idx="103">
                  <c:v>4526.8843458836291</c:v>
                </c:pt>
                <c:pt idx="104">
                  <c:v>4526.8843458836291</c:v>
                </c:pt>
                <c:pt idx="105">
                  <c:v>4526.8843458836291</c:v>
                </c:pt>
                <c:pt idx="106">
                  <c:v>3577.5707174211675</c:v>
                </c:pt>
                <c:pt idx="107">
                  <c:v>3577.5707174211675</c:v>
                </c:pt>
                <c:pt idx="108">
                  <c:v>4773.9420073601395</c:v>
                </c:pt>
                <c:pt idx="109">
                  <c:v>4773.9420073601395</c:v>
                </c:pt>
                <c:pt idx="110">
                  <c:v>4773.9420073601395</c:v>
                </c:pt>
                <c:pt idx="111">
                  <c:v>4773.9420073601395</c:v>
                </c:pt>
                <c:pt idx="112">
                  <c:v>5279.7379474252175</c:v>
                </c:pt>
                <c:pt idx="113">
                  <c:v>4773.9420073601395</c:v>
                </c:pt>
                <c:pt idx="114">
                  <c:v>5538.4778497222196</c:v>
                </c:pt>
                <c:pt idx="115">
                  <c:v>5669.3086450542132</c:v>
                </c:pt>
                <c:pt idx="116">
                  <c:v>8947.4721098897116</c:v>
                </c:pt>
                <c:pt idx="117">
                  <c:v>8947.4721098897116</c:v>
                </c:pt>
                <c:pt idx="118">
                  <c:v>8947.4721098897116</c:v>
                </c:pt>
                <c:pt idx="119">
                  <c:v>8947.4721098897116</c:v>
                </c:pt>
                <c:pt idx="120">
                  <c:v>9728.4321073291503</c:v>
                </c:pt>
                <c:pt idx="121">
                  <c:v>11532.564500351553</c:v>
                </c:pt>
                <c:pt idx="122">
                  <c:v>11873.30598102851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C88-49C0-BBD4-215B3BF5D47A}"/>
            </c:ext>
          </c:extLst>
        </c:ser>
        <c:ser>
          <c:idx val="4"/>
          <c:order val="4"/>
          <c:tx>
            <c:v>Confidence_Min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Calibration_Function!$J$3:$J$125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Calibration_Function!$P$3:$P$125</c:f>
              <c:numCache>
                <c:formatCode>0</c:formatCode>
                <c:ptCount val="123"/>
                <c:pt idx="0">
                  <c:v>6387.0003298320444</c:v>
                </c:pt>
                <c:pt idx="1">
                  <c:v>6387.0003298320444</c:v>
                </c:pt>
                <c:pt idx="2">
                  <c:v>5957.1094795538093</c:v>
                </c:pt>
                <c:pt idx="3">
                  <c:v>5957.1094795538093</c:v>
                </c:pt>
                <c:pt idx="4">
                  <c:v>5957.1094795538093</c:v>
                </c:pt>
                <c:pt idx="5">
                  <c:v>2577.9984567500342</c:v>
                </c:pt>
                <c:pt idx="6">
                  <c:v>2344.2936978002685</c:v>
                </c:pt>
                <c:pt idx="7">
                  <c:v>3301.8598737689813</c:v>
                </c:pt>
                <c:pt idx="8">
                  <c:v>3301.8598737689813</c:v>
                </c:pt>
                <c:pt idx="9">
                  <c:v>1888.3248222705788</c:v>
                </c:pt>
                <c:pt idx="10">
                  <c:v>5121.8685933852767</c:v>
                </c:pt>
                <c:pt idx="11">
                  <c:v>5121.8685933852767</c:v>
                </c:pt>
                <c:pt idx="12">
                  <c:v>4850.7658657544753</c:v>
                </c:pt>
                <c:pt idx="13">
                  <c:v>5121.8685933852767</c:v>
                </c:pt>
                <c:pt idx="14">
                  <c:v>5121.8685933852767</c:v>
                </c:pt>
                <c:pt idx="15">
                  <c:v>4716.592428549885</c:v>
                </c:pt>
                <c:pt idx="16">
                  <c:v>3425.8045353545631</c:v>
                </c:pt>
                <c:pt idx="17">
                  <c:v>3178.8556868078431</c:v>
                </c:pt>
                <c:pt idx="18">
                  <c:v>3930.953608689942</c:v>
                </c:pt>
                <c:pt idx="19">
                  <c:v>3930.953608689942</c:v>
                </c:pt>
                <c:pt idx="20">
                  <c:v>3930.953608689942</c:v>
                </c:pt>
                <c:pt idx="21">
                  <c:v>3930.953608689942</c:v>
                </c:pt>
                <c:pt idx="22">
                  <c:v>3930.953608689942</c:v>
                </c:pt>
                <c:pt idx="23">
                  <c:v>3803.2642813992311</c:v>
                </c:pt>
                <c:pt idx="24">
                  <c:v>3178.8556868078431</c:v>
                </c:pt>
                <c:pt idx="25">
                  <c:v>2935.6753252452245</c:v>
                </c:pt>
                <c:pt idx="26">
                  <c:v>3930.953608689942</c:v>
                </c:pt>
                <c:pt idx="27">
                  <c:v>3301.8598737689813</c:v>
                </c:pt>
                <c:pt idx="28">
                  <c:v>3930.953608689942</c:v>
                </c:pt>
                <c:pt idx="29">
                  <c:v>2815.5023455831956</c:v>
                </c:pt>
                <c:pt idx="30">
                  <c:v>2696.2762262377755</c:v>
                </c:pt>
                <c:pt idx="31">
                  <c:v>2815.5023455831956</c:v>
                </c:pt>
                <c:pt idx="32">
                  <c:v>3550.6879788005667</c:v>
                </c:pt>
                <c:pt idx="33">
                  <c:v>7121.5765782368981</c:v>
                </c:pt>
                <c:pt idx="34">
                  <c:v>7271.2012621838503</c:v>
                </c:pt>
                <c:pt idx="35">
                  <c:v>4451.0100712312797</c:v>
                </c:pt>
                <c:pt idx="36">
                  <c:v>4583.3399077183631</c:v>
                </c:pt>
                <c:pt idx="37">
                  <c:v>3178.8556868078431</c:v>
                </c:pt>
                <c:pt idx="38">
                  <c:v>8817.1497984469206</c:v>
                </c:pt>
                <c:pt idx="39">
                  <c:v>8817.1497984469206</c:v>
                </c:pt>
                <c:pt idx="40">
                  <c:v>10962.84350465663</c:v>
                </c:pt>
                <c:pt idx="41">
                  <c:v>10962.84350465663</c:v>
                </c:pt>
                <c:pt idx="42">
                  <c:v>34917.089152403139</c:v>
                </c:pt>
                <c:pt idx="43">
                  <c:v>34917.089152403139</c:v>
                </c:pt>
                <c:pt idx="44">
                  <c:v>34917.089152403139</c:v>
                </c:pt>
                <c:pt idx="45">
                  <c:v>34917.089152403139</c:v>
                </c:pt>
                <c:pt idx="46">
                  <c:v>3178.8556868078431</c:v>
                </c:pt>
                <c:pt idx="47">
                  <c:v>2935.6753252452245</c:v>
                </c:pt>
                <c:pt idx="48">
                  <c:v>3178.8556868078431</c:v>
                </c:pt>
                <c:pt idx="49">
                  <c:v>3056.7936312899583</c:v>
                </c:pt>
                <c:pt idx="50">
                  <c:v>4716.592428549885</c:v>
                </c:pt>
                <c:pt idx="51">
                  <c:v>4716.592428549885</c:v>
                </c:pt>
                <c:pt idx="52">
                  <c:v>4189.1256369806342</c:v>
                </c:pt>
                <c:pt idx="53">
                  <c:v>2815.5023455831956</c:v>
                </c:pt>
                <c:pt idx="54">
                  <c:v>2815.5023455831956</c:v>
                </c:pt>
                <c:pt idx="55">
                  <c:v>4716.592428549885</c:v>
                </c:pt>
                <c:pt idx="56">
                  <c:v>4716.592428549885</c:v>
                </c:pt>
                <c:pt idx="57">
                  <c:v>4850.7658657544753</c:v>
                </c:pt>
                <c:pt idx="58">
                  <c:v>4850.7658657544753</c:v>
                </c:pt>
                <c:pt idx="59">
                  <c:v>4059.5746638466667</c:v>
                </c:pt>
                <c:pt idx="60">
                  <c:v>4059.5746638466667</c:v>
                </c:pt>
                <c:pt idx="61">
                  <c:v>5675.0520956754854</c:v>
                </c:pt>
                <c:pt idx="62">
                  <c:v>5675.0520956754854</c:v>
                </c:pt>
                <c:pt idx="63">
                  <c:v>5675.0520956754854</c:v>
                </c:pt>
                <c:pt idx="64">
                  <c:v>5675.0520956754854</c:v>
                </c:pt>
                <c:pt idx="65">
                  <c:v>6242.7974093975372</c:v>
                </c:pt>
                <c:pt idx="66">
                  <c:v>2114.3990672281479</c:v>
                </c:pt>
                <c:pt idx="67">
                  <c:v>2114.3990672281479</c:v>
                </c:pt>
                <c:pt idx="68">
                  <c:v>3301.8598737689813</c:v>
                </c:pt>
                <c:pt idx="69">
                  <c:v>3056.7936312899583</c:v>
                </c:pt>
                <c:pt idx="70">
                  <c:v>5121.8685933852767</c:v>
                </c:pt>
                <c:pt idx="71">
                  <c:v>4985.858484723326</c:v>
                </c:pt>
                <c:pt idx="72">
                  <c:v>4985.858484723326</c:v>
                </c:pt>
                <c:pt idx="73">
                  <c:v>3550.6879788005667</c:v>
                </c:pt>
                <c:pt idx="74">
                  <c:v>3178.8556868078431</c:v>
                </c:pt>
                <c:pt idx="75">
                  <c:v>3550.6879788005667</c:v>
                </c:pt>
                <c:pt idx="76">
                  <c:v>5535.3877712489111</c:v>
                </c:pt>
                <c:pt idx="77">
                  <c:v>5815.6264131182097</c:v>
                </c:pt>
                <c:pt idx="78">
                  <c:v>5815.6264131182097</c:v>
                </c:pt>
                <c:pt idx="79">
                  <c:v>6825.0357860174308</c:v>
                </c:pt>
                <c:pt idx="80">
                  <c:v>6972.8546997312806</c:v>
                </c:pt>
                <c:pt idx="81">
                  <c:v>6972.8546997312806</c:v>
                </c:pt>
                <c:pt idx="82">
                  <c:v>2577.9984567500342</c:v>
                </c:pt>
                <c:pt idx="83">
                  <c:v>2577.9984567500342</c:v>
                </c:pt>
                <c:pt idx="84">
                  <c:v>3930.953608689942</c:v>
                </c:pt>
                <c:pt idx="85">
                  <c:v>3930.953608689942</c:v>
                </c:pt>
                <c:pt idx="86">
                  <c:v>5815.6264131182097</c:v>
                </c:pt>
                <c:pt idx="87">
                  <c:v>6099.5001548479931</c:v>
                </c:pt>
                <c:pt idx="88">
                  <c:v>5957.1094795538093</c:v>
                </c:pt>
                <c:pt idx="89">
                  <c:v>5121.8685933852767</c:v>
                </c:pt>
                <c:pt idx="90">
                  <c:v>5121.8685933852767</c:v>
                </c:pt>
                <c:pt idx="91">
                  <c:v>5535.3877712489111</c:v>
                </c:pt>
                <c:pt idx="92">
                  <c:v>4850.7658657544753</c:v>
                </c:pt>
                <c:pt idx="93">
                  <c:v>4716.592428549885</c:v>
                </c:pt>
                <c:pt idx="94">
                  <c:v>4850.7658657544753</c:v>
                </c:pt>
                <c:pt idx="95">
                  <c:v>5121.8685933852767</c:v>
                </c:pt>
                <c:pt idx="96">
                  <c:v>4985.858484723326</c:v>
                </c:pt>
                <c:pt idx="97">
                  <c:v>4583.3399077183631</c:v>
                </c:pt>
                <c:pt idx="98">
                  <c:v>4583.3399077183631</c:v>
                </c:pt>
                <c:pt idx="99">
                  <c:v>4583.3399077183631</c:v>
                </c:pt>
                <c:pt idx="100">
                  <c:v>4583.3399077183631</c:v>
                </c:pt>
                <c:pt idx="101">
                  <c:v>4583.3399077183631</c:v>
                </c:pt>
                <c:pt idx="102">
                  <c:v>3301.8598737689813</c:v>
                </c:pt>
                <c:pt idx="103">
                  <c:v>3301.8598737689813</c:v>
                </c:pt>
                <c:pt idx="104">
                  <c:v>3301.8598737689813</c:v>
                </c:pt>
                <c:pt idx="105">
                  <c:v>3301.8598737689813</c:v>
                </c:pt>
                <c:pt idx="106">
                  <c:v>2344.2936978002685</c:v>
                </c:pt>
                <c:pt idx="107">
                  <c:v>2344.2936978002685</c:v>
                </c:pt>
                <c:pt idx="108">
                  <c:v>3550.6879788005667</c:v>
                </c:pt>
                <c:pt idx="109">
                  <c:v>3550.6879788005667</c:v>
                </c:pt>
                <c:pt idx="110">
                  <c:v>3550.6879788005667</c:v>
                </c:pt>
                <c:pt idx="111">
                  <c:v>3550.6879788005667</c:v>
                </c:pt>
                <c:pt idx="112">
                  <c:v>4059.5746638466667</c:v>
                </c:pt>
                <c:pt idx="113">
                  <c:v>3550.6879788005667</c:v>
                </c:pt>
                <c:pt idx="114">
                  <c:v>4319.6047115256461</c:v>
                </c:pt>
                <c:pt idx="115">
                  <c:v>4451.0100712312797</c:v>
                </c:pt>
                <c:pt idx="116">
                  <c:v>7725.492389068947</c:v>
                </c:pt>
                <c:pt idx="117">
                  <c:v>7725.492389068947</c:v>
                </c:pt>
                <c:pt idx="118">
                  <c:v>7725.492389068947</c:v>
                </c:pt>
                <c:pt idx="119">
                  <c:v>7725.492389068947</c:v>
                </c:pt>
                <c:pt idx="120">
                  <c:v>8500.7194116746614</c:v>
                </c:pt>
                <c:pt idx="121">
                  <c:v>10286.149535197404</c:v>
                </c:pt>
                <c:pt idx="122">
                  <c:v>10622.657466920093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C88-49C0-BBD4-215B3BF5D47A}"/>
            </c:ext>
          </c:extLst>
        </c:ser>
        <c:ser>
          <c:idx val="5"/>
          <c:order val="5"/>
          <c:tx>
            <c:v>Confidence_Max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Calibration_Function!$J$3:$J$125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Calibration_Function!$Q$3:$Q$125</c:f>
              <c:numCache>
                <c:formatCode>0</c:formatCode>
                <c:ptCount val="123"/>
                <c:pt idx="0">
                  <c:v>6588.6015763135874</c:v>
                </c:pt>
                <c:pt idx="1">
                  <c:v>6588.6015763135874</c:v>
                </c:pt>
                <c:pt idx="2">
                  <c:v>6157.5835607011895</c:v>
                </c:pt>
                <c:pt idx="3">
                  <c:v>6157.5835607011895</c:v>
                </c:pt>
                <c:pt idx="4">
                  <c:v>6157.5835607011895</c:v>
                </c:pt>
                <c:pt idx="5">
                  <c:v>2806.6024933886238</c:v>
                </c:pt>
                <c:pt idx="6">
                  <c:v>2576.9084079161844</c:v>
                </c:pt>
                <c:pt idx="7">
                  <c:v>3519.4809357436111</c:v>
                </c:pt>
                <c:pt idx="8">
                  <c:v>3519.4809357436111</c:v>
                </c:pt>
                <c:pt idx="9">
                  <c:v>2129.3512576551234</c:v>
                </c:pt>
                <c:pt idx="10">
                  <c:v>5323.3679569591923</c:v>
                </c:pt>
                <c:pt idx="11">
                  <c:v>5323.3679569591923</c:v>
                </c:pt>
                <c:pt idx="12">
                  <c:v>5053.4996299889253</c:v>
                </c:pt>
                <c:pt idx="13">
                  <c:v>5323.3679569591923</c:v>
                </c:pt>
                <c:pt idx="14">
                  <c:v>5323.3679569591923</c:v>
                </c:pt>
                <c:pt idx="15">
                  <c:v>4920.0964977746853</c:v>
                </c:pt>
                <c:pt idx="16">
                  <c:v>3641.7804857776673</c:v>
                </c:pt>
                <c:pt idx="17">
                  <c:v>3398.1802163395814</c:v>
                </c:pt>
                <c:pt idx="18">
                  <c:v>4141.0013114655667</c:v>
                </c:pt>
                <c:pt idx="19">
                  <c:v>4141.0013114655667</c:v>
                </c:pt>
                <c:pt idx="20">
                  <c:v>4141.0013114655667</c:v>
                </c:pt>
                <c:pt idx="21">
                  <c:v>4141.0013114655667</c:v>
                </c:pt>
                <c:pt idx="22">
                  <c:v>4141.0013114655667</c:v>
                </c:pt>
                <c:pt idx="23">
                  <c:v>4014.6892061187477</c:v>
                </c:pt>
                <c:pt idx="24">
                  <c:v>3398.1802163395814</c:v>
                </c:pt>
                <c:pt idx="25">
                  <c:v>3158.5686809352765</c:v>
                </c:pt>
                <c:pt idx="26">
                  <c:v>4141.0013114655667</c:v>
                </c:pt>
                <c:pt idx="27">
                  <c:v>3519.4809357436111</c:v>
                </c:pt>
                <c:pt idx="28">
                  <c:v>4141.0013114655667</c:v>
                </c:pt>
                <c:pt idx="29">
                  <c:v>3040.2546699955524</c:v>
                </c:pt>
                <c:pt idx="30">
                  <c:v>2922.9331039936915</c:v>
                </c:pt>
                <c:pt idx="31">
                  <c:v>3040.2546699955524</c:v>
                </c:pt>
                <c:pt idx="32">
                  <c:v>3765.0805592057754</c:v>
                </c:pt>
                <c:pt idx="33">
                  <c:v>7327.6595428158889</c:v>
                </c:pt>
                <c:pt idx="34">
                  <c:v>7478.5796176137819</c:v>
                </c:pt>
                <c:pt idx="35">
                  <c:v>4656.3436320190485</c:v>
                </c:pt>
                <c:pt idx="36">
                  <c:v>4787.7117544418497</c:v>
                </c:pt>
                <c:pt idx="37">
                  <c:v>3398.1802163395814</c:v>
                </c:pt>
                <c:pt idx="38">
                  <c:v>9044.7404577951129</c:v>
                </c:pt>
                <c:pt idx="39">
                  <c:v>9044.7404577951129</c:v>
                </c:pt>
                <c:pt idx="40">
                  <c:v>11234.71507650664</c:v>
                </c:pt>
                <c:pt idx="41">
                  <c:v>11234.71507650664</c:v>
                </c:pt>
                <c:pt idx="42">
                  <c:v>35971.288353131218</c:v>
                </c:pt>
                <c:pt idx="43">
                  <c:v>35971.288353131218</c:v>
                </c:pt>
                <c:pt idx="44">
                  <c:v>35971.288353131218</c:v>
                </c:pt>
                <c:pt idx="45">
                  <c:v>35971.288353131218</c:v>
                </c:pt>
                <c:pt idx="46">
                  <c:v>3398.1802163395814</c:v>
                </c:pt>
                <c:pt idx="47">
                  <c:v>3158.5686809352765</c:v>
                </c:pt>
                <c:pt idx="48">
                  <c:v>3398.1802163395814</c:v>
                </c:pt>
                <c:pt idx="49">
                  <c:v>3277.8766707467694</c:v>
                </c:pt>
                <c:pt idx="50">
                  <c:v>4920.0964977746853</c:v>
                </c:pt>
                <c:pt idx="51">
                  <c:v>4920.0964977746853</c:v>
                </c:pt>
                <c:pt idx="52">
                  <c:v>4396.6500642133415</c:v>
                </c:pt>
                <c:pt idx="53">
                  <c:v>3040.2546699955524</c:v>
                </c:pt>
                <c:pt idx="54">
                  <c:v>3040.2546699955524</c:v>
                </c:pt>
                <c:pt idx="55">
                  <c:v>4920.0964977746853</c:v>
                </c:pt>
                <c:pt idx="56">
                  <c:v>4920.0964977746853</c:v>
                </c:pt>
                <c:pt idx="57">
                  <c:v>5053.4996299889253</c:v>
                </c:pt>
                <c:pt idx="58">
                  <c:v>5053.4996299889253</c:v>
                </c:pt>
                <c:pt idx="59">
                  <c:v>4268.3209942008389</c:v>
                </c:pt>
                <c:pt idx="60">
                  <c:v>4268.3209942008389</c:v>
                </c:pt>
                <c:pt idx="61">
                  <c:v>5875.3982269247854</c:v>
                </c:pt>
                <c:pt idx="62">
                  <c:v>5875.3982269247854</c:v>
                </c:pt>
                <c:pt idx="63">
                  <c:v>5875.3982269247854</c:v>
                </c:pt>
                <c:pt idx="64">
                  <c:v>5875.3982269247854</c:v>
                </c:pt>
                <c:pt idx="65">
                  <c:v>6443.8955695300792</c:v>
                </c:pt>
                <c:pt idx="66">
                  <c:v>2351.161415083986</c:v>
                </c:pt>
                <c:pt idx="67">
                  <c:v>2351.161415083986</c:v>
                </c:pt>
                <c:pt idx="68">
                  <c:v>3519.4809357436111</c:v>
                </c:pt>
                <c:pt idx="69">
                  <c:v>3277.8766707467694</c:v>
                </c:pt>
                <c:pt idx="70">
                  <c:v>5323.3679569591923</c:v>
                </c:pt>
                <c:pt idx="71">
                  <c:v>5187.9228856933705</c:v>
                </c:pt>
                <c:pt idx="72">
                  <c:v>5187.9228856933705</c:v>
                </c:pt>
                <c:pt idx="73">
                  <c:v>3765.0805592057754</c:v>
                </c:pt>
                <c:pt idx="74">
                  <c:v>3398.1802163395814</c:v>
                </c:pt>
                <c:pt idx="75">
                  <c:v>3765.0805592057754</c:v>
                </c:pt>
                <c:pt idx="76">
                  <c:v>5735.8501504056976</c:v>
                </c:pt>
                <c:pt idx="77">
                  <c:v>6015.9756156821904</c:v>
                </c:pt>
                <c:pt idx="78">
                  <c:v>6015.9756156821904</c:v>
                </c:pt>
                <c:pt idx="79">
                  <c:v>7028.9287333090824</c:v>
                </c:pt>
                <c:pt idx="80">
                  <c:v>7177.775967831134</c:v>
                </c:pt>
                <c:pt idx="81">
                  <c:v>7177.775967831134</c:v>
                </c:pt>
                <c:pt idx="82">
                  <c:v>2806.6024933886238</c:v>
                </c:pt>
                <c:pt idx="83">
                  <c:v>2806.6024933886238</c:v>
                </c:pt>
                <c:pt idx="84">
                  <c:v>4141.0013114655667</c:v>
                </c:pt>
                <c:pt idx="85">
                  <c:v>4141.0013114655667</c:v>
                </c:pt>
                <c:pt idx="86">
                  <c:v>6015.9756156821904</c:v>
                </c:pt>
                <c:pt idx="87">
                  <c:v>6300.2232021160789</c:v>
                </c:pt>
                <c:pt idx="88">
                  <c:v>6157.5835607011895</c:v>
                </c:pt>
                <c:pt idx="89">
                  <c:v>5323.3679569591923</c:v>
                </c:pt>
                <c:pt idx="90">
                  <c:v>5323.3679569591923</c:v>
                </c:pt>
                <c:pt idx="91">
                  <c:v>5735.8501504056976</c:v>
                </c:pt>
                <c:pt idx="92">
                  <c:v>5053.4996299889253</c:v>
                </c:pt>
                <c:pt idx="93">
                  <c:v>4920.0964977746853</c:v>
                </c:pt>
                <c:pt idx="94">
                  <c:v>5053.4996299889253</c:v>
                </c:pt>
                <c:pt idx="95">
                  <c:v>5323.3679569591923</c:v>
                </c:pt>
                <c:pt idx="96">
                  <c:v>5187.9228856933705</c:v>
                </c:pt>
                <c:pt idx="97">
                  <c:v>4787.7117544418497</c:v>
                </c:pt>
                <c:pt idx="98">
                  <c:v>4787.7117544418497</c:v>
                </c:pt>
                <c:pt idx="99">
                  <c:v>4787.7117544418497</c:v>
                </c:pt>
                <c:pt idx="100">
                  <c:v>4787.7117544418497</c:v>
                </c:pt>
                <c:pt idx="101">
                  <c:v>4787.7117544418497</c:v>
                </c:pt>
                <c:pt idx="102">
                  <c:v>3519.4809357436111</c:v>
                </c:pt>
                <c:pt idx="103">
                  <c:v>3519.4809357436111</c:v>
                </c:pt>
                <c:pt idx="104">
                  <c:v>3519.4809357436111</c:v>
                </c:pt>
                <c:pt idx="105">
                  <c:v>3519.4809357436111</c:v>
                </c:pt>
                <c:pt idx="106">
                  <c:v>2576.9084079161844</c:v>
                </c:pt>
                <c:pt idx="107">
                  <c:v>2576.9084079161844</c:v>
                </c:pt>
                <c:pt idx="108">
                  <c:v>3765.0805592057754</c:v>
                </c:pt>
                <c:pt idx="109">
                  <c:v>3765.0805592057754</c:v>
                </c:pt>
                <c:pt idx="110">
                  <c:v>3765.0805592057754</c:v>
                </c:pt>
                <c:pt idx="111">
                  <c:v>3765.0805592057754</c:v>
                </c:pt>
                <c:pt idx="112">
                  <c:v>4268.3209942008389</c:v>
                </c:pt>
                <c:pt idx="113">
                  <c:v>3765.0805592057754</c:v>
                </c:pt>
                <c:pt idx="114">
                  <c:v>4525.9903380692704</c:v>
                </c:pt>
                <c:pt idx="115">
                  <c:v>4656.3436320190485</c:v>
                </c:pt>
                <c:pt idx="116">
                  <c:v>7937.5585984900545</c:v>
                </c:pt>
                <c:pt idx="117">
                  <c:v>7937.5585984900545</c:v>
                </c:pt>
                <c:pt idx="118">
                  <c:v>7937.5585984900545</c:v>
                </c:pt>
                <c:pt idx="119">
                  <c:v>7937.5585984900545</c:v>
                </c:pt>
                <c:pt idx="120">
                  <c:v>8723.2345272427265</c:v>
                </c:pt>
                <c:pt idx="121">
                  <c:v>10542.449759101921</c:v>
                </c:pt>
                <c:pt idx="122">
                  <c:v>10886.542860302259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C88-49C0-BBD4-215B3BF5D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39360"/>
        <c:axId val="117841280"/>
      </c:scatterChart>
      <c:valAx>
        <c:axId val="117839360"/>
        <c:scaling>
          <c:logBase val="10"/>
          <c:orientation val="minMax"/>
          <c:max val="70000"/>
          <c:min val="1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True Cooling Capacity [kW]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17841280"/>
        <c:crosses val="autoZero"/>
        <c:crossBetween val="midCat"/>
        <c:majorUnit val="10"/>
        <c:minorUnit val="10"/>
      </c:valAx>
      <c:valAx>
        <c:axId val="117841280"/>
        <c:scaling>
          <c:logBase val="10"/>
          <c:orientation val="minMax"/>
          <c:max val="70000"/>
          <c:min val="100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Predicted Cooling</a:t>
                </a:r>
                <a:r>
                  <a:rPr lang="de-DE" sz="1200" baseline="0"/>
                  <a:t> Capacity [kW]</a:t>
                </a:r>
                <a:endParaRPr lang="de-DE" sz="1200"/>
              </a:p>
            </c:rich>
          </c:tx>
          <c:layout>
            <c:manualLayout>
              <c:xMode val="edge"/>
              <c:yMode val="edge"/>
              <c:x val="3.04916618879159E-2"/>
              <c:y val="0.209539727069775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7839360"/>
        <c:crosses val="autoZero"/>
        <c:crossBetween val="midCat"/>
        <c:minorUnit val="10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9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65883228570188535"/>
          <c:y val="0.69390957390174823"/>
          <c:w val="0.31993573168439776"/>
          <c:h val="0.16995751794041863"/>
        </c:manualLayout>
      </c:layout>
      <c:overlay val="1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66007060546542"/>
          <c:y val="3.1409117781629983E-2"/>
          <c:w val="0.74562732762099471"/>
          <c:h val="0.83081351134254033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>
                  <a:alpha val="20000"/>
                </a:schemeClr>
              </a:solidFill>
              <a:ln w="3175">
                <a:solidFill>
                  <a:schemeClr val="tx1"/>
                </a:solidFill>
              </a:ln>
            </c:spPr>
          </c:marker>
          <c:trendline>
            <c:spPr>
              <a:ln w="15875"/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Calibration_Function!$J$3:$J$125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Calibration_Function!$I$3:$I$125</c:f>
              <c:numCache>
                <c:formatCode>0</c:formatCode>
                <c:ptCount val="123"/>
                <c:pt idx="0" formatCode="General">
                  <c:v>6929.1556346546913</c:v>
                </c:pt>
                <c:pt idx="1">
                  <c:v>6797.4558833274532</c:v>
                </c:pt>
                <c:pt idx="2">
                  <c:v>6278.6411822463706</c:v>
                </c:pt>
                <c:pt idx="3">
                  <c:v>6536.451671941335</c:v>
                </c:pt>
                <c:pt idx="4">
                  <c:v>6536.451671941335</c:v>
                </c:pt>
                <c:pt idx="5">
                  <c:v>3110.7850818858456</c:v>
                </c:pt>
                <c:pt idx="6">
                  <c:v>2899.2835567125844</c:v>
                </c:pt>
                <c:pt idx="7">
                  <c:v>2384.5022761782207</c:v>
                </c:pt>
                <c:pt idx="8">
                  <c:v>2485.8616714395166</c:v>
                </c:pt>
                <c:pt idx="9">
                  <c:v>1793.1129434889872</c:v>
                </c:pt>
                <c:pt idx="10">
                  <c:v>5037.4945591388296</c:v>
                </c:pt>
                <c:pt idx="11">
                  <c:v>5158.0162845470368</c:v>
                </c:pt>
                <c:pt idx="12">
                  <c:v>4917.771264153409</c:v>
                </c:pt>
                <c:pt idx="13">
                  <c:v>5037.4945591388296</c:v>
                </c:pt>
                <c:pt idx="14">
                  <c:v>5158.0162845470368</c:v>
                </c:pt>
                <c:pt idx="15">
                  <c:v>4446.8623884396056</c:v>
                </c:pt>
                <c:pt idx="16">
                  <c:v>3653.5114272177893</c:v>
                </c:pt>
                <c:pt idx="17">
                  <c:v>3325.4803287502596</c:v>
                </c:pt>
                <c:pt idx="18">
                  <c:v>4102.0642510935286</c:v>
                </c:pt>
                <c:pt idx="19">
                  <c:v>3876.1909783100832</c:v>
                </c:pt>
                <c:pt idx="20">
                  <c:v>3988.7283994904114</c:v>
                </c:pt>
                <c:pt idx="21">
                  <c:v>4102.0642510935286</c:v>
                </c:pt>
                <c:pt idx="22">
                  <c:v>3764.4519875525425</c:v>
                </c:pt>
                <c:pt idx="23">
                  <c:v>3876.1909783100832</c:v>
                </c:pt>
                <c:pt idx="24">
                  <c:v>2794.7304397601351</c:v>
                </c:pt>
                <c:pt idx="25">
                  <c:v>2690.9757532304748</c:v>
                </c:pt>
                <c:pt idx="26">
                  <c:v>3988.7283994904114</c:v>
                </c:pt>
                <c:pt idx="27">
                  <c:v>3434.0255978166474</c:v>
                </c:pt>
                <c:pt idx="28">
                  <c:v>4331.1312455681255</c:v>
                </c:pt>
                <c:pt idx="29">
                  <c:v>2690.9757532304748</c:v>
                </c:pt>
                <c:pt idx="30">
                  <c:v>2588.0194971236019</c:v>
                </c:pt>
                <c:pt idx="31">
                  <c:v>2899.2835567125844</c:v>
                </c:pt>
                <c:pt idx="32">
                  <c:v>3434.0255978166474</c:v>
                </c:pt>
                <c:pt idx="33">
                  <c:v>8150.3827656253143</c:v>
                </c:pt>
                <c:pt idx="34">
                  <c:v>8430.5493071583405</c:v>
                </c:pt>
                <c:pt idx="35">
                  <c:v>5401.4550266318165</c:v>
                </c:pt>
                <c:pt idx="36">
                  <c:v>5401.4550266318165</c:v>
                </c:pt>
                <c:pt idx="37">
                  <c:v>3004.6351040878221</c:v>
                </c:pt>
                <c:pt idx="38">
                  <c:v>9144.9381933896984</c:v>
                </c:pt>
                <c:pt idx="39">
                  <c:v>9144.9381933896984</c:v>
                </c:pt>
                <c:pt idx="40">
                  <c:v>10940.911423469335</c:v>
                </c:pt>
                <c:pt idx="41">
                  <c:v>11565.118940358434</c:v>
                </c:pt>
                <c:pt idx="42">
                  <c:v>36485.526398587681</c:v>
                </c:pt>
                <c:pt idx="43">
                  <c:v>35224.212672746537</c:v>
                </c:pt>
                <c:pt idx="44">
                  <c:v>32278.499633852196</c:v>
                </c:pt>
                <c:pt idx="45">
                  <c:v>36231.66679257388</c:v>
                </c:pt>
                <c:pt idx="46">
                  <c:v>3325.4803287502596</c:v>
                </c:pt>
                <c:pt idx="47">
                  <c:v>3004.6351040878221</c:v>
                </c:pt>
                <c:pt idx="48">
                  <c:v>3325.4803287502596</c:v>
                </c:pt>
                <c:pt idx="49">
                  <c:v>2794.7304397601351</c:v>
                </c:pt>
                <c:pt idx="50">
                  <c:v>4917.771264153409</c:v>
                </c:pt>
                <c:pt idx="51">
                  <c:v>4680.7199654509313</c:v>
                </c:pt>
                <c:pt idx="52">
                  <c:v>4331.1312455681255</c:v>
                </c:pt>
                <c:pt idx="53">
                  <c:v>3004.6351040878221</c:v>
                </c:pt>
                <c:pt idx="54">
                  <c:v>2690.9757532304748</c:v>
                </c:pt>
                <c:pt idx="55">
                  <c:v>4798.8463995907769</c:v>
                </c:pt>
                <c:pt idx="56">
                  <c:v>4798.8463995907769</c:v>
                </c:pt>
                <c:pt idx="57">
                  <c:v>5158.0162845470368</c:v>
                </c:pt>
                <c:pt idx="58">
                  <c:v>4917.771264153409</c:v>
                </c:pt>
                <c:pt idx="59">
                  <c:v>4216.1985331194319</c:v>
                </c:pt>
                <c:pt idx="60">
                  <c:v>4216.1985331194319</c:v>
                </c:pt>
                <c:pt idx="61">
                  <c:v>5648.08749040775</c:v>
                </c:pt>
                <c:pt idx="62">
                  <c:v>5648.08749040775</c:v>
                </c:pt>
                <c:pt idx="63">
                  <c:v>5897.9136758748355</c:v>
                </c:pt>
                <c:pt idx="64">
                  <c:v>5772.6013679298976</c:v>
                </c:pt>
                <c:pt idx="65">
                  <c:v>6666.5545624230017</c:v>
                </c:pt>
                <c:pt idx="66">
                  <c:v>2384.5022761782207</c:v>
                </c:pt>
                <c:pt idx="67">
                  <c:v>2184.1787769239913</c:v>
                </c:pt>
                <c:pt idx="68">
                  <c:v>3325.4803287502596</c:v>
                </c:pt>
                <c:pt idx="69">
                  <c:v>3004.6351040878221</c:v>
                </c:pt>
                <c:pt idx="70">
                  <c:v>5037.4945591388296</c:v>
                </c:pt>
                <c:pt idx="71">
                  <c:v>4680.7199654509313</c:v>
                </c:pt>
                <c:pt idx="72">
                  <c:v>4917.771264153409</c:v>
                </c:pt>
                <c:pt idx="73">
                  <c:v>3653.5114272177893</c:v>
                </c:pt>
                <c:pt idx="74">
                  <c:v>3543.3692973058246</c:v>
                </c:pt>
                <c:pt idx="75">
                  <c:v>3764.4519875525425</c:v>
                </c:pt>
                <c:pt idx="76">
                  <c:v>5772.6013679298976</c:v>
                </c:pt>
                <c:pt idx="77">
                  <c:v>5897.9136758748355</c:v>
                </c:pt>
                <c:pt idx="78">
                  <c:v>6150.9335830330692</c:v>
                </c:pt>
                <c:pt idx="79">
                  <c:v>7329.0454711731381</c:v>
                </c:pt>
                <c:pt idx="80">
                  <c:v>7463.9389441915337</c:v>
                </c:pt>
                <c:pt idx="81">
                  <c:v>7463.9389441915337</c:v>
                </c:pt>
                <c:pt idx="82">
                  <c:v>2690.9757532304748</c:v>
                </c:pt>
                <c:pt idx="83">
                  <c:v>2588.0194971236019</c:v>
                </c:pt>
                <c:pt idx="84">
                  <c:v>4331.1312455681255</c:v>
                </c:pt>
                <c:pt idx="85">
                  <c:v>4102.0642510935286</c:v>
                </c:pt>
                <c:pt idx="86">
                  <c:v>5897.9136758748355</c:v>
                </c:pt>
                <c:pt idx="87">
                  <c:v>6150.9335830330692</c:v>
                </c:pt>
                <c:pt idx="88">
                  <c:v>5401.4550266318165</c:v>
                </c:pt>
                <c:pt idx="89">
                  <c:v>4917.771264153409</c:v>
                </c:pt>
                <c:pt idx="90">
                  <c:v>5037.4945591388296</c:v>
                </c:pt>
                <c:pt idx="91">
                  <c:v>5401.4550266318165</c:v>
                </c:pt>
                <c:pt idx="92">
                  <c:v>5279.3364403780324</c:v>
                </c:pt>
                <c:pt idx="93">
                  <c:v>4798.8463995907769</c:v>
                </c:pt>
                <c:pt idx="94">
                  <c:v>4798.8463995907769</c:v>
                </c:pt>
                <c:pt idx="95">
                  <c:v>5037.4945591388296</c:v>
                </c:pt>
                <c:pt idx="96">
                  <c:v>4798.8463995907769</c:v>
                </c:pt>
                <c:pt idx="97">
                  <c:v>4563.3919617338743</c:v>
                </c:pt>
                <c:pt idx="98">
                  <c:v>4446.8623884396056</c:v>
                </c:pt>
                <c:pt idx="99">
                  <c:v>4680.7199654509313</c:v>
                </c:pt>
                <c:pt idx="100">
                  <c:v>4446.8623884396056</c:v>
                </c:pt>
                <c:pt idx="101">
                  <c:v>4680.7199654509313</c:v>
                </c:pt>
                <c:pt idx="102">
                  <c:v>3110.7850818858456</c:v>
                </c:pt>
                <c:pt idx="103">
                  <c:v>3110.7850818858456</c:v>
                </c:pt>
                <c:pt idx="104">
                  <c:v>3325.4803287502596</c:v>
                </c:pt>
                <c:pt idx="105">
                  <c:v>3110.7850818858456</c:v>
                </c:pt>
                <c:pt idx="106">
                  <c:v>2384.5022761782207</c:v>
                </c:pt>
                <c:pt idx="107">
                  <c:v>2485.8616714395166</c:v>
                </c:pt>
                <c:pt idx="108">
                  <c:v>3434.0255978166474</c:v>
                </c:pt>
                <c:pt idx="109">
                  <c:v>3325.4803287502596</c:v>
                </c:pt>
                <c:pt idx="110">
                  <c:v>3110.7850818858456</c:v>
                </c:pt>
                <c:pt idx="111">
                  <c:v>2794.7304397601351</c:v>
                </c:pt>
                <c:pt idx="112">
                  <c:v>3876.1909783100832</c:v>
                </c:pt>
                <c:pt idx="113">
                  <c:v>2794.7304397601351</c:v>
                </c:pt>
                <c:pt idx="114">
                  <c:v>4331.1312455681255</c:v>
                </c:pt>
                <c:pt idx="115">
                  <c:v>4680.7199654509313</c:v>
                </c:pt>
                <c:pt idx="116">
                  <c:v>9000.4635552978543</c:v>
                </c:pt>
                <c:pt idx="117">
                  <c:v>8571.8302235590363</c:v>
                </c:pt>
                <c:pt idx="118">
                  <c:v>7329.0454711731381</c:v>
                </c:pt>
                <c:pt idx="119">
                  <c:v>7736.1211814966828</c:v>
                </c:pt>
                <c:pt idx="120">
                  <c:v>7736.1211814966828</c:v>
                </c:pt>
                <c:pt idx="121">
                  <c:v>11565.118940358434</c:v>
                </c:pt>
                <c:pt idx="122">
                  <c:v>13850.447482741552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57-4871-8A18-DD8D1315A2B3}"/>
            </c:ext>
          </c:extLst>
        </c:ser>
        <c:ser>
          <c:idx val="1"/>
          <c:order val="1"/>
          <c:spPr>
            <a:ln w="28575">
              <a:noFill/>
            </a:ln>
          </c:spP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1A57-4871-8A18-DD8D1315A2B3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1A57-4871-8A18-DD8D1315A2B3}"/>
              </c:ext>
            </c:extLst>
          </c:dPt>
          <c:trendline>
            <c:trendlineType val="linear"/>
            <c:dispRSqr val="0"/>
            <c:dispEq val="0"/>
          </c:trendline>
          <c:xVal>
            <c:numRef>
              <c:f>Calibration_Factor!$X$16:$X$17</c:f>
              <c:numCache>
                <c:formatCode>General</c:formatCode>
                <c:ptCount val="2"/>
                <c:pt idx="0">
                  <c:v>0</c:v>
                </c:pt>
                <c:pt idx="1">
                  <c:v>70000</c:v>
                </c:pt>
              </c:numCache>
            </c:numRef>
          </c:xVal>
          <c:yVal>
            <c:numRef>
              <c:f>Calibration_Factor!$X$16:$X$17</c:f>
              <c:numCache>
                <c:formatCode>General</c:formatCode>
                <c:ptCount val="2"/>
                <c:pt idx="0">
                  <c:v>0</c:v>
                </c:pt>
                <c:pt idx="1">
                  <c:v>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57-4871-8A18-DD8D1315A2B3}"/>
            </c:ext>
          </c:extLst>
        </c:ser>
        <c:ser>
          <c:idx val="2"/>
          <c:order val="2"/>
          <c:tx>
            <c:v>Prediction_Interval_Min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Calibration_Function!$J$3:$J$125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Calibration_Function!$N$3:$N$125</c:f>
              <c:numCache>
                <c:formatCode>0</c:formatCode>
                <c:ptCount val="123"/>
                <c:pt idx="0">
                  <c:v>5372.3393462216445</c:v>
                </c:pt>
                <c:pt idx="1">
                  <c:v>5372.3393462216445</c:v>
                </c:pt>
                <c:pt idx="2">
                  <c:v>4941.9357011839847</c:v>
                </c:pt>
                <c:pt idx="3">
                  <c:v>4941.9357011839847</c:v>
                </c:pt>
                <c:pt idx="4">
                  <c:v>4941.9357011839847</c:v>
                </c:pt>
                <c:pt idx="5">
                  <c:v>1575.5378404395994</c:v>
                </c:pt>
                <c:pt idx="6">
                  <c:v>1343.6313882952857</c:v>
                </c:pt>
                <c:pt idx="7">
                  <c:v>2294.4564636289638</c:v>
                </c:pt>
                <c:pt idx="8">
                  <c:v>2294.4564636289638</c:v>
                </c:pt>
                <c:pt idx="9">
                  <c:v>891.42259960424599</c:v>
                </c:pt>
                <c:pt idx="10">
                  <c:v>4107.1612705801954</c:v>
                </c:pt>
                <c:pt idx="11">
                  <c:v>4107.1612705801954</c:v>
                </c:pt>
                <c:pt idx="12">
                  <c:v>3836.61982750572</c:v>
                </c:pt>
                <c:pt idx="13">
                  <c:v>4107.1612705801954</c:v>
                </c:pt>
                <c:pt idx="14">
                  <c:v>4107.1612705801954</c:v>
                </c:pt>
                <c:pt idx="15">
                  <c:v>3702.7964779724798</c:v>
                </c:pt>
                <c:pt idx="16">
                  <c:v>2417.6584534280128</c:v>
                </c:pt>
                <c:pt idx="17">
                  <c:v>2172.2206600662707</c:v>
                </c:pt>
                <c:pt idx="18">
                  <c:v>2920.1262871726931</c:v>
                </c:pt>
                <c:pt idx="19">
                  <c:v>2920.1262871726931</c:v>
                </c:pt>
                <c:pt idx="20">
                  <c:v>2920.1262871726931</c:v>
                </c:pt>
                <c:pt idx="21">
                  <c:v>2920.1262871726931</c:v>
                </c:pt>
                <c:pt idx="22">
                  <c:v>2920.1262871726931</c:v>
                </c:pt>
                <c:pt idx="23">
                  <c:v>2793.060548244544</c:v>
                </c:pt>
                <c:pt idx="24">
                  <c:v>2172.2206600662707</c:v>
                </c:pt>
                <c:pt idx="25">
                  <c:v>1930.6480030723533</c:v>
                </c:pt>
                <c:pt idx="26">
                  <c:v>2920.1262871726931</c:v>
                </c:pt>
                <c:pt idx="27">
                  <c:v>2294.4564636289638</c:v>
                </c:pt>
                <c:pt idx="28">
                  <c:v>2920.1262871726931</c:v>
                </c:pt>
                <c:pt idx="29">
                  <c:v>1811.311343421077</c:v>
                </c:pt>
                <c:pt idx="30">
                  <c:v>1692.9412575609836</c:v>
                </c:pt>
                <c:pt idx="31">
                  <c:v>1811.311343421077</c:v>
                </c:pt>
                <c:pt idx="32">
                  <c:v>2541.8265306462026</c:v>
                </c:pt>
                <c:pt idx="33">
                  <c:v>6108.9517225087548</c:v>
                </c:pt>
                <c:pt idx="34">
                  <c:v>6259.1640951849895</c:v>
                </c:pt>
                <c:pt idx="35">
                  <c:v>3438.045058196115</c:v>
                </c:pt>
                <c:pt idx="36">
                  <c:v>3569.9381860935896</c:v>
                </c:pt>
                <c:pt idx="37">
                  <c:v>2172.2206600662707</c:v>
                </c:pt>
                <c:pt idx="38">
                  <c:v>7814.2342399458785</c:v>
                </c:pt>
                <c:pt idx="39">
                  <c:v>7814.2342399458785</c:v>
                </c:pt>
                <c:pt idx="40">
                  <c:v>9979.5954948589133</c:v>
                </c:pt>
                <c:pt idx="41">
                  <c:v>9979.5954948589133</c:v>
                </c:pt>
                <c:pt idx="42">
                  <c:v>34214.584011633997</c:v>
                </c:pt>
                <c:pt idx="43">
                  <c:v>34214.584011633997</c:v>
                </c:pt>
                <c:pt idx="44">
                  <c:v>34214.584011633997</c:v>
                </c:pt>
                <c:pt idx="45">
                  <c:v>34214.584011633997</c:v>
                </c:pt>
                <c:pt idx="46">
                  <c:v>2172.2206600662707</c:v>
                </c:pt>
                <c:pt idx="47">
                  <c:v>1930.6480030723533</c:v>
                </c:pt>
                <c:pt idx="48">
                  <c:v>2172.2206600662707</c:v>
                </c:pt>
                <c:pt idx="49">
                  <c:v>2050.9511407884002</c:v>
                </c:pt>
                <c:pt idx="50">
                  <c:v>3702.7964779724798</c:v>
                </c:pt>
                <c:pt idx="51">
                  <c:v>3702.7964779724798</c:v>
                </c:pt>
                <c:pt idx="52">
                  <c:v>3177.1547159774964</c:v>
                </c:pt>
                <c:pt idx="53">
                  <c:v>1811.311343421077</c:v>
                </c:pt>
                <c:pt idx="54">
                  <c:v>1811.311343421077</c:v>
                </c:pt>
                <c:pt idx="55">
                  <c:v>3702.7964779724798</c:v>
                </c:pt>
                <c:pt idx="56">
                  <c:v>3702.7964779724798</c:v>
                </c:pt>
                <c:pt idx="57">
                  <c:v>3836.61982750572</c:v>
                </c:pt>
                <c:pt idx="58">
                  <c:v>3836.61982750572</c:v>
                </c:pt>
                <c:pt idx="59">
                  <c:v>3048.1577106222885</c:v>
                </c:pt>
                <c:pt idx="60">
                  <c:v>3048.1577106222885</c:v>
                </c:pt>
                <c:pt idx="61">
                  <c:v>4659.8200896826929</c:v>
                </c:pt>
                <c:pt idx="62">
                  <c:v>4659.8200896826929</c:v>
                </c:pt>
                <c:pt idx="63">
                  <c:v>4659.8200896826929</c:v>
                </c:pt>
                <c:pt idx="64">
                  <c:v>4659.8200896826929</c:v>
                </c:pt>
                <c:pt idx="65">
                  <c:v>5227.9075856167874</c:v>
                </c:pt>
                <c:pt idx="66">
                  <c:v>1115.5927309082024</c:v>
                </c:pt>
                <c:pt idx="67">
                  <c:v>1115.5927309082024</c:v>
                </c:pt>
                <c:pt idx="68">
                  <c:v>2294.4564636289638</c:v>
                </c:pt>
                <c:pt idx="69">
                  <c:v>2050.9511407884002</c:v>
                </c:pt>
                <c:pt idx="70">
                  <c:v>4107.1612705801954</c:v>
                </c:pt>
                <c:pt idx="71">
                  <c:v>3971.4081276360139</c:v>
                </c:pt>
                <c:pt idx="72">
                  <c:v>3971.4081276360139</c:v>
                </c:pt>
                <c:pt idx="73">
                  <c:v>2541.8265306462026</c:v>
                </c:pt>
                <c:pt idx="74">
                  <c:v>2172.2206600662707</c:v>
                </c:pt>
                <c:pt idx="75">
                  <c:v>2541.8265306462026</c:v>
                </c:pt>
                <c:pt idx="76">
                  <c:v>4520.2086676716553</c:v>
                </c:pt>
                <c:pt idx="77">
                  <c:v>4800.3958048663389</c:v>
                </c:pt>
                <c:pt idx="78">
                  <c:v>4800.3958048663389</c:v>
                </c:pt>
                <c:pt idx="79">
                  <c:v>5811.4165223792143</c:v>
                </c:pt>
                <c:pt idx="80">
                  <c:v>5959.7024922258661</c:v>
                </c:pt>
                <c:pt idx="81">
                  <c:v>5959.7024922258661</c:v>
                </c:pt>
                <c:pt idx="82">
                  <c:v>1575.5378404395994</c:v>
                </c:pt>
                <c:pt idx="83">
                  <c:v>1575.5378404395994</c:v>
                </c:pt>
                <c:pt idx="84">
                  <c:v>2920.1262871726931</c:v>
                </c:pt>
                <c:pt idx="85">
                  <c:v>2920.1262871726931</c:v>
                </c:pt>
                <c:pt idx="86">
                  <c:v>4800.3958048663389</c:v>
                </c:pt>
                <c:pt idx="87">
                  <c:v>5084.4396659058912</c:v>
                </c:pt>
                <c:pt idx="88">
                  <c:v>4941.9357011839847</c:v>
                </c:pt>
                <c:pt idx="89">
                  <c:v>4107.1612705801954</c:v>
                </c:pt>
                <c:pt idx="90">
                  <c:v>4107.1612705801954</c:v>
                </c:pt>
                <c:pt idx="91">
                  <c:v>4520.2086676716553</c:v>
                </c:pt>
                <c:pt idx="92">
                  <c:v>3836.61982750572</c:v>
                </c:pt>
                <c:pt idx="93">
                  <c:v>3702.7964779724798</c:v>
                </c:pt>
                <c:pt idx="94">
                  <c:v>3836.61982750572</c:v>
                </c:pt>
                <c:pt idx="95">
                  <c:v>4107.1612705801954</c:v>
                </c:pt>
                <c:pt idx="96">
                  <c:v>3971.4081276360139</c:v>
                </c:pt>
                <c:pt idx="97">
                  <c:v>3569.9381860935896</c:v>
                </c:pt>
                <c:pt idx="98">
                  <c:v>3569.9381860935896</c:v>
                </c:pt>
                <c:pt idx="99">
                  <c:v>3569.9381860935896</c:v>
                </c:pt>
                <c:pt idx="100">
                  <c:v>3569.9381860935896</c:v>
                </c:pt>
                <c:pt idx="101">
                  <c:v>3569.9381860935896</c:v>
                </c:pt>
                <c:pt idx="102">
                  <c:v>2294.4564636289638</c:v>
                </c:pt>
                <c:pt idx="103">
                  <c:v>2294.4564636289638</c:v>
                </c:pt>
                <c:pt idx="104">
                  <c:v>2294.4564636289638</c:v>
                </c:pt>
                <c:pt idx="105">
                  <c:v>2294.4564636289638</c:v>
                </c:pt>
                <c:pt idx="106">
                  <c:v>1343.6313882952857</c:v>
                </c:pt>
                <c:pt idx="107">
                  <c:v>1343.6313882952857</c:v>
                </c:pt>
                <c:pt idx="108">
                  <c:v>2541.8265306462026</c:v>
                </c:pt>
                <c:pt idx="109">
                  <c:v>2541.8265306462026</c:v>
                </c:pt>
                <c:pt idx="110">
                  <c:v>2541.8265306462026</c:v>
                </c:pt>
                <c:pt idx="111">
                  <c:v>2541.8265306462026</c:v>
                </c:pt>
                <c:pt idx="112">
                  <c:v>3048.1577106222885</c:v>
                </c:pt>
                <c:pt idx="113">
                  <c:v>2541.8265306462026</c:v>
                </c:pt>
                <c:pt idx="114">
                  <c:v>3307.1171998726968</c:v>
                </c:pt>
                <c:pt idx="115">
                  <c:v>3438.045058196115</c:v>
                </c:pt>
                <c:pt idx="116">
                  <c:v>6715.5788776692898</c:v>
                </c:pt>
                <c:pt idx="117">
                  <c:v>6715.5788776692898</c:v>
                </c:pt>
                <c:pt idx="118">
                  <c:v>6715.5788776692898</c:v>
                </c:pt>
                <c:pt idx="119">
                  <c:v>6715.5788776692898</c:v>
                </c:pt>
                <c:pt idx="120">
                  <c:v>7495.5218315882385</c:v>
                </c:pt>
                <c:pt idx="121">
                  <c:v>9296.0347939477724</c:v>
                </c:pt>
                <c:pt idx="122">
                  <c:v>9635.8943461938416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57-4871-8A18-DD8D1315A2B3}"/>
            </c:ext>
          </c:extLst>
        </c:ser>
        <c:ser>
          <c:idx val="3"/>
          <c:order val="3"/>
          <c:tx>
            <c:v>Prediction_Interval_Max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Calibration_Function!$J$3:$J$125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Calibration_Function!$O$3:$O$125</c:f>
              <c:numCache>
                <c:formatCode>0</c:formatCode>
                <c:ptCount val="123"/>
                <c:pt idx="0">
                  <c:v>7603.2625599239873</c:v>
                </c:pt>
                <c:pt idx="1">
                  <c:v>7603.2625599239873</c:v>
                </c:pt>
                <c:pt idx="2">
                  <c:v>7172.757339071014</c:v>
                </c:pt>
                <c:pt idx="3">
                  <c:v>7172.757339071014</c:v>
                </c:pt>
                <c:pt idx="4">
                  <c:v>7172.757339071014</c:v>
                </c:pt>
                <c:pt idx="5">
                  <c:v>3809.0631096990583</c:v>
                </c:pt>
                <c:pt idx="6">
                  <c:v>3577.5707174211675</c:v>
                </c:pt>
                <c:pt idx="7">
                  <c:v>4526.8843458836291</c:v>
                </c:pt>
                <c:pt idx="8">
                  <c:v>4526.8843458836291</c:v>
                </c:pt>
                <c:pt idx="9">
                  <c:v>3126.2534803214562</c:v>
                </c:pt>
                <c:pt idx="10">
                  <c:v>6338.0752797642735</c:v>
                </c:pt>
                <c:pt idx="11">
                  <c:v>6338.0752797642735</c:v>
                </c:pt>
                <c:pt idx="12">
                  <c:v>6067.6456682376811</c:v>
                </c:pt>
                <c:pt idx="13">
                  <c:v>6338.0752797642735</c:v>
                </c:pt>
                <c:pt idx="14">
                  <c:v>6338.0752797642735</c:v>
                </c:pt>
                <c:pt idx="15">
                  <c:v>5933.8924483520905</c:v>
                </c:pt>
                <c:pt idx="16">
                  <c:v>4649.9265677042176</c:v>
                </c:pt>
                <c:pt idx="17">
                  <c:v>4404.8152430811533</c:v>
                </c:pt>
                <c:pt idx="18">
                  <c:v>5151.8286329828152</c:v>
                </c:pt>
                <c:pt idx="19">
                  <c:v>5151.8286329828152</c:v>
                </c:pt>
                <c:pt idx="20">
                  <c:v>5151.8286329828152</c:v>
                </c:pt>
                <c:pt idx="21">
                  <c:v>5151.8286329828152</c:v>
                </c:pt>
                <c:pt idx="22">
                  <c:v>5151.8286329828152</c:v>
                </c:pt>
                <c:pt idx="23">
                  <c:v>5024.8929392734353</c:v>
                </c:pt>
                <c:pt idx="24">
                  <c:v>4404.8152430811533</c:v>
                </c:pt>
                <c:pt idx="25">
                  <c:v>4163.5960031081477</c:v>
                </c:pt>
                <c:pt idx="26">
                  <c:v>5151.8286329828152</c:v>
                </c:pt>
                <c:pt idx="27">
                  <c:v>4526.8843458836291</c:v>
                </c:pt>
                <c:pt idx="28">
                  <c:v>5151.8286329828152</c:v>
                </c:pt>
                <c:pt idx="29">
                  <c:v>4044.4456721576707</c:v>
                </c:pt>
                <c:pt idx="30">
                  <c:v>3926.2680726704834</c:v>
                </c:pt>
                <c:pt idx="31">
                  <c:v>4044.4456721576707</c:v>
                </c:pt>
                <c:pt idx="32">
                  <c:v>4773.9420073601395</c:v>
                </c:pt>
                <c:pt idx="33">
                  <c:v>8340.2843985440322</c:v>
                </c:pt>
                <c:pt idx="34">
                  <c:v>8490.6167846126427</c:v>
                </c:pt>
                <c:pt idx="35">
                  <c:v>5669.3086450542132</c:v>
                </c:pt>
                <c:pt idx="36">
                  <c:v>5801.1134760666228</c:v>
                </c:pt>
                <c:pt idx="37">
                  <c:v>4404.8152430811533</c:v>
                </c:pt>
                <c:pt idx="38">
                  <c:v>10047.656016296156</c:v>
                </c:pt>
                <c:pt idx="39">
                  <c:v>10047.656016296156</c:v>
                </c:pt>
                <c:pt idx="40">
                  <c:v>12217.963086304357</c:v>
                </c:pt>
                <c:pt idx="41">
                  <c:v>12217.963086304357</c:v>
                </c:pt>
                <c:pt idx="42">
                  <c:v>36673.793493900361</c:v>
                </c:pt>
                <c:pt idx="43">
                  <c:v>36673.793493900361</c:v>
                </c:pt>
                <c:pt idx="44">
                  <c:v>36673.793493900361</c:v>
                </c:pt>
                <c:pt idx="45">
                  <c:v>36673.793493900361</c:v>
                </c:pt>
                <c:pt idx="46">
                  <c:v>4404.8152430811533</c:v>
                </c:pt>
                <c:pt idx="47">
                  <c:v>4163.5960031081477</c:v>
                </c:pt>
                <c:pt idx="48">
                  <c:v>4404.8152430811533</c:v>
                </c:pt>
                <c:pt idx="49">
                  <c:v>4283.7191612483275</c:v>
                </c:pt>
                <c:pt idx="50">
                  <c:v>5933.8924483520905</c:v>
                </c:pt>
                <c:pt idx="51">
                  <c:v>5933.8924483520905</c:v>
                </c:pt>
                <c:pt idx="52">
                  <c:v>5408.6209852164793</c:v>
                </c:pt>
                <c:pt idx="53">
                  <c:v>4044.4456721576707</c:v>
                </c:pt>
                <c:pt idx="54">
                  <c:v>4044.4456721576707</c:v>
                </c:pt>
                <c:pt idx="55">
                  <c:v>5933.8924483520905</c:v>
                </c:pt>
                <c:pt idx="56">
                  <c:v>5933.8924483520905</c:v>
                </c:pt>
                <c:pt idx="57">
                  <c:v>6067.6456682376811</c:v>
                </c:pt>
                <c:pt idx="58">
                  <c:v>6067.6456682376811</c:v>
                </c:pt>
                <c:pt idx="59">
                  <c:v>5279.7379474252175</c:v>
                </c:pt>
                <c:pt idx="60">
                  <c:v>5279.7379474252175</c:v>
                </c:pt>
                <c:pt idx="61">
                  <c:v>6890.6302329175778</c:v>
                </c:pt>
                <c:pt idx="62">
                  <c:v>6890.6302329175778</c:v>
                </c:pt>
                <c:pt idx="63">
                  <c:v>6890.6302329175778</c:v>
                </c:pt>
                <c:pt idx="64">
                  <c:v>6890.6302329175778</c:v>
                </c:pt>
                <c:pt idx="65">
                  <c:v>7458.785393310829</c:v>
                </c:pt>
                <c:pt idx="66">
                  <c:v>3349.9677514039313</c:v>
                </c:pt>
                <c:pt idx="67">
                  <c:v>3349.9677514039313</c:v>
                </c:pt>
                <c:pt idx="68">
                  <c:v>4526.8843458836291</c:v>
                </c:pt>
                <c:pt idx="69">
                  <c:v>4283.7191612483275</c:v>
                </c:pt>
                <c:pt idx="70">
                  <c:v>6338.0752797642735</c:v>
                </c:pt>
                <c:pt idx="71">
                  <c:v>6202.3732427806826</c:v>
                </c:pt>
                <c:pt idx="72">
                  <c:v>6202.3732427806826</c:v>
                </c:pt>
                <c:pt idx="73">
                  <c:v>4773.9420073601395</c:v>
                </c:pt>
                <c:pt idx="74">
                  <c:v>4404.8152430811533</c:v>
                </c:pt>
                <c:pt idx="75">
                  <c:v>4773.9420073601395</c:v>
                </c:pt>
                <c:pt idx="76">
                  <c:v>6751.0292539829534</c:v>
                </c:pt>
                <c:pt idx="77">
                  <c:v>7031.2062239340612</c:v>
                </c:pt>
                <c:pt idx="78">
                  <c:v>7031.2062239340612</c:v>
                </c:pt>
                <c:pt idx="79">
                  <c:v>8042.547996947299</c:v>
                </c:pt>
                <c:pt idx="80">
                  <c:v>8190.9281753365485</c:v>
                </c:pt>
                <c:pt idx="81">
                  <c:v>8190.9281753365485</c:v>
                </c:pt>
                <c:pt idx="82">
                  <c:v>3809.0631096990583</c:v>
                </c:pt>
                <c:pt idx="83">
                  <c:v>3809.0631096990583</c:v>
                </c:pt>
                <c:pt idx="84">
                  <c:v>5151.8286329828152</c:v>
                </c:pt>
                <c:pt idx="85">
                  <c:v>5151.8286329828152</c:v>
                </c:pt>
                <c:pt idx="86">
                  <c:v>7031.2062239340612</c:v>
                </c:pt>
                <c:pt idx="87">
                  <c:v>7315.2836910581809</c:v>
                </c:pt>
                <c:pt idx="88">
                  <c:v>7172.757339071014</c:v>
                </c:pt>
                <c:pt idx="89">
                  <c:v>6338.0752797642735</c:v>
                </c:pt>
                <c:pt idx="90">
                  <c:v>6338.0752797642735</c:v>
                </c:pt>
                <c:pt idx="91">
                  <c:v>6751.0292539829534</c:v>
                </c:pt>
                <c:pt idx="92">
                  <c:v>6067.6456682376811</c:v>
                </c:pt>
                <c:pt idx="93">
                  <c:v>5933.8924483520905</c:v>
                </c:pt>
                <c:pt idx="94">
                  <c:v>6067.6456682376811</c:v>
                </c:pt>
                <c:pt idx="95">
                  <c:v>6338.0752797642735</c:v>
                </c:pt>
                <c:pt idx="96">
                  <c:v>6202.3732427806826</c:v>
                </c:pt>
                <c:pt idx="97">
                  <c:v>5801.1134760666228</c:v>
                </c:pt>
                <c:pt idx="98">
                  <c:v>5801.1134760666228</c:v>
                </c:pt>
                <c:pt idx="99">
                  <c:v>5801.1134760666228</c:v>
                </c:pt>
                <c:pt idx="100">
                  <c:v>5801.1134760666228</c:v>
                </c:pt>
                <c:pt idx="101">
                  <c:v>5801.1134760666228</c:v>
                </c:pt>
                <c:pt idx="102">
                  <c:v>4526.8843458836291</c:v>
                </c:pt>
                <c:pt idx="103">
                  <c:v>4526.8843458836291</c:v>
                </c:pt>
                <c:pt idx="104">
                  <c:v>4526.8843458836291</c:v>
                </c:pt>
                <c:pt idx="105">
                  <c:v>4526.8843458836291</c:v>
                </c:pt>
                <c:pt idx="106">
                  <c:v>3577.5707174211675</c:v>
                </c:pt>
                <c:pt idx="107">
                  <c:v>3577.5707174211675</c:v>
                </c:pt>
                <c:pt idx="108">
                  <c:v>4773.9420073601395</c:v>
                </c:pt>
                <c:pt idx="109">
                  <c:v>4773.9420073601395</c:v>
                </c:pt>
                <c:pt idx="110">
                  <c:v>4773.9420073601395</c:v>
                </c:pt>
                <c:pt idx="111">
                  <c:v>4773.9420073601395</c:v>
                </c:pt>
                <c:pt idx="112">
                  <c:v>5279.7379474252175</c:v>
                </c:pt>
                <c:pt idx="113">
                  <c:v>4773.9420073601395</c:v>
                </c:pt>
                <c:pt idx="114">
                  <c:v>5538.4778497222196</c:v>
                </c:pt>
                <c:pt idx="115">
                  <c:v>5669.3086450542132</c:v>
                </c:pt>
                <c:pt idx="116">
                  <c:v>8947.4721098897116</c:v>
                </c:pt>
                <c:pt idx="117">
                  <c:v>8947.4721098897116</c:v>
                </c:pt>
                <c:pt idx="118">
                  <c:v>8947.4721098897116</c:v>
                </c:pt>
                <c:pt idx="119">
                  <c:v>8947.4721098897116</c:v>
                </c:pt>
                <c:pt idx="120">
                  <c:v>9728.4321073291503</c:v>
                </c:pt>
                <c:pt idx="121">
                  <c:v>11532.564500351553</c:v>
                </c:pt>
                <c:pt idx="122">
                  <c:v>11873.30598102851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A57-4871-8A18-DD8D1315A2B3}"/>
            </c:ext>
          </c:extLst>
        </c:ser>
        <c:ser>
          <c:idx val="4"/>
          <c:order val="4"/>
          <c:tx>
            <c:v>Confidence_Min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Calibration_Function!$J$3:$J$125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Calibration_Function!$P$3:$P$125</c:f>
              <c:numCache>
                <c:formatCode>0</c:formatCode>
                <c:ptCount val="123"/>
                <c:pt idx="0">
                  <c:v>6387.0003298320444</c:v>
                </c:pt>
                <c:pt idx="1">
                  <c:v>6387.0003298320444</c:v>
                </c:pt>
                <c:pt idx="2">
                  <c:v>5957.1094795538093</c:v>
                </c:pt>
                <c:pt idx="3">
                  <c:v>5957.1094795538093</c:v>
                </c:pt>
                <c:pt idx="4">
                  <c:v>5957.1094795538093</c:v>
                </c:pt>
                <c:pt idx="5">
                  <c:v>2577.9984567500342</c:v>
                </c:pt>
                <c:pt idx="6">
                  <c:v>2344.2936978002685</c:v>
                </c:pt>
                <c:pt idx="7">
                  <c:v>3301.8598737689813</c:v>
                </c:pt>
                <c:pt idx="8">
                  <c:v>3301.8598737689813</c:v>
                </c:pt>
                <c:pt idx="9">
                  <c:v>1888.3248222705788</c:v>
                </c:pt>
                <c:pt idx="10">
                  <c:v>5121.8685933852767</c:v>
                </c:pt>
                <c:pt idx="11">
                  <c:v>5121.8685933852767</c:v>
                </c:pt>
                <c:pt idx="12">
                  <c:v>4850.7658657544753</c:v>
                </c:pt>
                <c:pt idx="13">
                  <c:v>5121.8685933852767</c:v>
                </c:pt>
                <c:pt idx="14">
                  <c:v>5121.8685933852767</c:v>
                </c:pt>
                <c:pt idx="15">
                  <c:v>4716.592428549885</c:v>
                </c:pt>
                <c:pt idx="16">
                  <c:v>3425.8045353545631</c:v>
                </c:pt>
                <c:pt idx="17">
                  <c:v>3178.8556868078431</c:v>
                </c:pt>
                <c:pt idx="18">
                  <c:v>3930.953608689942</c:v>
                </c:pt>
                <c:pt idx="19">
                  <c:v>3930.953608689942</c:v>
                </c:pt>
                <c:pt idx="20">
                  <c:v>3930.953608689942</c:v>
                </c:pt>
                <c:pt idx="21">
                  <c:v>3930.953608689942</c:v>
                </c:pt>
                <c:pt idx="22">
                  <c:v>3930.953608689942</c:v>
                </c:pt>
                <c:pt idx="23">
                  <c:v>3803.2642813992311</c:v>
                </c:pt>
                <c:pt idx="24">
                  <c:v>3178.8556868078431</c:v>
                </c:pt>
                <c:pt idx="25">
                  <c:v>2935.6753252452245</c:v>
                </c:pt>
                <c:pt idx="26">
                  <c:v>3930.953608689942</c:v>
                </c:pt>
                <c:pt idx="27">
                  <c:v>3301.8598737689813</c:v>
                </c:pt>
                <c:pt idx="28">
                  <c:v>3930.953608689942</c:v>
                </c:pt>
                <c:pt idx="29">
                  <c:v>2815.5023455831956</c:v>
                </c:pt>
                <c:pt idx="30">
                  <c:v>2696.2762262377755</c:v>
                </c:pt>
                <c:pt idx="31">
                  <c:v>2815.5023455831956</c:v>
                </c:pt>
                <c:pt idx="32">
                  <c:v>3550.6879788005667</c:v>
                </c:pt>
                <c:pt idx="33">
                  <c:v>7121.5765782368981</c:v>
                </c:pt>
                <c:pt idx="34">
                  <c:v>7271.2012621838503</c:v>
                </c:pt>
                <c:pt idx="35">
                  <c:v>4451.0100712312797</c:v>
                </c:pt>
                <c:pt idx="36">
                  <c:v>4583.3399077183631</c:v>
                </c:pt>
                <c:pt idx="37">
                  <c:v>3178.8556868078431</c:v>
                </c:pt>
                <c:pt idx="38">
                  <c:v>8817.1497984469206</c:v>
                </c:pt>
                <c:pt idx="39">
                  <c:v>8817.1497984469206</c:v>
                </c:pt>
                <c:pt idx="40">
                  <c:v>10962.84350465663</c:v>
                </c:pt>
                <c:pt idx="41">
                  <c:v>10962.84350465663</c:v>
                </c:pt>
                <c:pt idx="42">
                  <c:v>34917.089152403139</c:v>
                </c:pt>
                <c:pt idx="43">
                  <c:v>34917.089152403139</c:v>
                </c:pt>
                <c:pt idx="44">
                  <c:v>34917.089152403139</c:v>
                </c:pt>
                <c:pt idx="45">
                  <c:v>34917.089152403139</c:v>
                </c:pt>
                <c:pt idx="46">
                  <c:v>3178.8556868078431</c:v>
                </c:pt>
                <c:pt idx="47">
                  <c:v>2935.6753252452245</c:v>
                </c:pt>
                <c:pt idx="48">
                  <c:v>3178.8556868078431</c:v>
                </c:pt>
                <c:pt idx="49">
                  <c:v>3056.7936312899583</c:v>
                </c:pt>
                <c:pt idx="50">
                  <c:v>4716.592428549885</c:v>
                </c:pt>
                <c:pt idx="51">
                  <c:v>4716.592428549885</c:v>
                </c:pt>
                <c:pt idx="52">
                  <c:v>4189.1256369806342</c:v>
                </c:pt>
                <c:pt idx="53">
                  <c:v>2815.5023455831956</c:v>
                </c:pt>
                <c:pt idx="54">
                  <c:v>2815.5023455831956</c:v>
                </c:pt>
                <c:pt idx="55">
                  <c:v>4716.592428549885</c:v>
                </c:pt>
                <c:pt idx="56">
                  <c:v>4716.592428549885</c:v>
                </c:pt>
                <c:pt idx="57">
                  <c:v>4850.7658657544753</c:v>
                </c:pt>
                <c:pt idx="58">
                  <c:v>4850.7658657544753</c:v>
                </c:pt>
                <c:pt idx="59">
                  <c:v>4059.5746638466667</c:v>
                </c:pt>
                <c:pt idx="60">
                  <c:v>4059.5746638466667</c:v>
                </c:pt>
                <c:pt idx="61">
                  <c:v>5675.0520956754854</c:v>
                </c:pt>
                <c:pt idx="62">
                  <c:v>5675.0520956754854</c:v>
                </c:pt>
                <c:pt idx="63">
                  <c:v>5675.0520956754854</c:v>
                </c:pt>
                <c:pt idx="64">
                  <c:v>5675.0520956754854</c:v>
                </c:pt>
                <c:pt idx="65">
                  <c:v>6242.7974093975372</c:v>
                </c:pt>
                <c:pt idx="66">
                  <c:v>2114.3990672281479</c:v>
                </c:pt>
                <c:pt idx="67">
                  <c:v>2114.3990672281479</c:v>
                </c:pt>
                <c:pt idx="68">
                  <c:v>3301.8598737689813</c:v>
                </c:pt>
                <c:pt idx="69">
                  <c:v>3056.7936312899583</c:v>
                </c:pt>
                <c:pt idx="70">
                  <c:v>5121.8685933852767</c:v>
                </c:pt>
                <c:pt idx="71">
                  <c:v>4985.858484723326</c:v>
                </c:pt>
                <c:pt idx="72">
                  <c:v>4985.858484723326</c:v>
                </c:pt>
                <c:pt idx="73">
                  <c:v>3550.6879788005667</c:v>
                </c:pt>
                <c:pt idx="74">
                  <c:v>3178.8556868078431</c:v>
                </c:pt>
                <c:pt idx="75">
                  <c:v>3550.6879788005667</c:v>
                </c:pt>
                <c:pt idx="76">
                  <c:v>5535.3877712489111</c:v>
                </c:pt>
                <c:pt idx="77">
                  <c:v>5815.6264131182097</c:v>
                </c:pt>
                <c:pt idx="78">
                  <c:v>5815.6264131182097</c:v>
                </c:pt>
                <c:pt idx="79">
                  <c:v>6825.0357860174308</c:v>
                </c:pt>
                <c:pt idx="80">
                  <c:v>6972.8546997312806</c:v>
                </c:pt>
                <c:pt idx="81">
                  <c:v>6972.8546997312806</c:v>
                </c:pt>
                <c:pt idx="82">
                  <c:v>2577.9984567500342</c:v>
                </c:pt>
                <c:pt idx="83">
                  <c:v>2577.9984567500342</c:v>
                </c:pt>
                <c:pt idx="84">
                  <c:v>3930.953608689942</c:v>
                </c:pt>
                <c:pt idx="85">
                  <c:v>3930.953608689942</c:v>
                </c:pt>
                <c:pt idx="86">
                  <c:v>5815.6264131182097</c:v>
                </c:pt>
                <c:pt idx="87">
                  <c:v>6099.5001548479931</c:v>
                </c:pt>
                <c:pt idx="88">
                  <c:v>5957.1094795538093</c:v>
                </c:pt>
                <c:pt idx="89">
                  <c:v>5121.8685933852767</c:v>
                </c:pt>
                <c:pt idx="90">
                  <c:v>5121.8685933852767</c:v>
                </c:pt>
                <c:pt idx="91">
                  <c:v>5535.3877712489111</c:v>
                </c:pt>
                <c:pt idx="92">
                  <c:v>4850.7658657544753</c:v>
                </c:pt>
                <c:pt idx="93">
                  <c:v>4716.592428549885</c:v>
                </c:pt>
                <c:pt idx="94">
                  <c:v>4850.7658657544753</c:v>
                </c:pt>
                <c:pt idx="95">
                  <c:v>5121.8685933852767</c:v>
                </c:pt>
                <c:pt idx="96">
                  <c:v>4985.858484723326</c:v>
                </c:pt>
                <c:pt idx="97">
                  <c:v>4583.3399077183631</c:v>
                </c:pt>
                <c:pt idx="98">
                  <c:v>4583.3399077183631</c:v>
                </c:pt>
                <c:pt idx="99">
                  <c:v>4583.3399077183631</c:v>
                </c:pt>
                <c:pt idx="100">
                  <c:v>4583.3399077183631</c:v>
                </c:pt>
                <c:pt idx="101">
                  <c:v>4583.3399077183631</c:v>
                </c:pt>
                <c:pt idx="102">
                  <c:v>3301.8598737689813</c:v>
                </c:pt>
                <c:pt idx="103">
                  <c:v>3301.8598737689813</c:v>
                </c:pt>
                <c:pt idx="104">
                  <c:v>3301.8598737689813</c:v>
                </c:pt>
                <c:pt idx="105">
                  <c:v>3301.8598737689813</c:v>
                </c:pt>
                <c:pt idx="106">
                  <c:v>2344.2936978002685</c:v>
                </c:pt>
                <c:pt idx="107">
                  <c:v>2344.2936978002685</c:v>
                </c:pt>
                <c:pt idx="108">
                  <c:v>3550.6879788005667</c:v>
                </c:pt>
                <c:pt idx="109">
                  <c:v>3550.6879788005667</c:v>
                </c:pt>
                <c:pt idx="110">
                  <c:v>3550.6879788005667</c:v>
                </c:pt>
                <c:pt idx="111">
                  <c:v>3550.6879788005667</c:v>
                </c:pt>
                <c:pt idx="112">
                  <c:v>4059.5746638466667</c:v>
                </c:pt>
                <c:pt idx="113">
                  <c:v>3550.6879788005667</c:v>
                </c:pt>
                <c:pt idx="114">
                  <c:v>4319.6047115256461</c:v>
                </c:pt>
                <c:pt idx="115">
                  <c:v>4451.0100712312797</c:v>
                </c:pt>
                <c:pt idx="116">
                  <c:v>7725.492389068947</c:v>
                </c:pt>
                <c:pt idx="117">
                  <c:v>7725.492389068947</c:v>
                </c:pt>
                <c:pt idx="118">
                  <c:v>7725.492389068947</c:v>
                </c:pt>
                <c:pt idx="119">
                  <c:v>7725.492389068947</c:v>
                </c:pt>
                <c:pt idx="120">
                  <c:v>8500.7194116746614</c:v>
                </c:pt>
                <c:pt idx="121">
                  <c:v>10286.149535197404</c:v>
                </c:pt>
                <c:pt idx="122">
                  <c:v>10622.657466920093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A57-4871-8A18-DD8D1315A2B3}"/>
            </c:ext>
          </c:extLst>
        </c:ser>
        <c:ser>
          <c:idx val="5"/>
          <c:order val="5"/>
          <c:tx>
            <c:v>Confidence_Max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Calibration_Function!$J$3:$J$125</c:f>
              <c:numCache>
                <c:formatCode>0</c:formatCode>
                <c:ptCount val="123"/>
                <c:pt idx="0">
                  <c:v>5980.0346737499985</c:v>
                </c:pt>
                <c:pt idx="1">
                  <c:v>5980.0346737499985</c:v>
                </c:pt>
                <c:pt idx="2">
                  <c:v>5583.5073749999992</c:v>
                </c:pt>
                <c:pt idx="3">
                  <c:v>5583.5073749999992</c:v>
                </c:pt>
                <c:pt idx="4">
                  <c:v>5583.5073749999992</c:v>
                </c:pt>
                <c:pt idx="5">
                  <c:v>2483.6842200000001</c:v>
                </c:pt>
                <c:pt idx="6">
                  <c:v>2270.2466549999999</c:v>
                </c:pt>
                <c:pt idx="7">
                  <c:v>3145.4343750000003</c:v>
                </c:pt>
                <c:pt idx="8">
                  <c:v>3145.4343750000003</c:v>
                </c:pt>
                <c:pt idx="9">
                  <c:v>1854.0902549999996</c:v>
                </c:pt>
                <c:pt idx="10">
                  <c:v>4814.5699199999999</c:v>
                </c:pt>
                <c:pt idx="11">
                  <c:v>4814.5699199999999</c:v>
                </c:pt>
                <c:pt idx="12">
                  <c:v>4565.4032550000011</c:v>
                </c:pt>
                <c:pt idx="13">
                  <c:v>4814.5699199999999</c:v>
                </c:pt>
                <c:pt idx="14">
                  <c:v>4814.5699199999999</c:v>
                </c:pt>
                <c:pt idx="15">
                  <c:v>4442.1597637499999</c:v>
                </c:pt>
                <c:pt idx="16">
                  <c:v>3258.8523637499998</c:v>
                </c:pt>
                <c:pt idx="17">
                  <c:v>3032.9096137500005</c:v>
                </c:pt>
                <c:pt idx="18">
                  <c:v>3721.4565937500006</c:v>
                </c:pt>
                <c:pt idx="19">
                  <c:v>3721.4565937500006</c:v>
                </c:pt>
                <c:pt idx="20">
                  <c:v>3721.4565937500006</c:v>
                </c:pt>
                <c:pt idx="21">
                  <c:v>3721.4565937500006</c:v>
                </c:pt>
                <c:pt idx="22">
                  <c:v>3721.4565937500006</c:v>
                </c:pt>
                <c:pt idx="23">
                  <c:v>3604.4656949999994</c:v>
                </c:pt>
                <c:pt idx="24">
                  <c:v>3032.9096137500005</c:v>
                </c:pt>
                <c:pt idx="25">
                  <c:v>2810.5397737499993</c:v>
                </c:pt>
                <c:pt idx="26">
                  <c:v>3721.4565937500006</c:v>
                </c:pt>
                <c:pt idx="27">
                  <c:v>3145.4343750000003</c:v>
                </c:pt>
                <c:pt idx="28">
                  <c:v>3721.4565937500006</c:v>
                </c:pt>
                <c:pt idx="29">
                  <c:v>2700.6946949999997</c:v>
                </c:pt>
                <c:pt idx="30">
                  <c:v>2591.7428437499998</c:v>
                </c:pt>
                <c:pt idx="31">
                  <c:v>2700.6946949999997</c:v>
                </c:pt>
                <c:pt idx="32">
                  <c:v>3373.1635799999999</c:v>
                </c:pt>
                <c:pt idx="33">
                  <c:v>6658.7780549999989</c:v>
                </c:pt>
                <c:pt idx="34">
                  <c:v>6797.2064137499983</c:v>
                </c:pt>
                <c:pt idx="35">
                  <c:v>4198.3524637499995</c:v>
                </c:pt>
                <c:pt idx="36">
                  <c:v>4319.8094999999994</c:v>
                </c:pt>
                <c:pt idx="37">
                  <c:v>3032.9096137500005</c:v>
                </c:pt>
                <c:pt idx="38">
                  <c:v>8230.6175137499995</c:v>
                </c:pt>
                <c:pt idx="39">
                  <c:v>8230.6175137499995</c:v>
                </c:pt>
                <c:pt idx="40">
                  <c:v>10227.589454999999</c:v>
                </c:pt>
                <c:pt idx="41">
                  <c:v>10227.589454999999</c:v>
                </c:pt>
                <c:pt idx="42">
                  <c:v>32654.166374999993</c:v>
                </c:pt>
                <c:pt idx="43">
                  <c:v>32654.166374999993</c:v>
                </c:pt>
                <c:pt idx="44">
                  <c:v>32654.166374999993</c:v>
                </c:pt>
                <c:pt idx="45">
                  <c:v>32654.166374999993</c:v>
                </c:pt>
                <c:pt idx="46">
                  <c:v>3032.9096137500005</c:v>
                </c:pt>
                <c:pt idx="47">
                  <c:v>2810.5397737499993</c:v>
                </c:pt>
                <c:pt idx="48">
                  <c:v>3032.9096137500005</c:v>
                </c:pt>
                <c:pt idx="49">
                  <c:v>2921.2780800000005</c:v>
                </c:pt>
                <c:pt idx="50">
                  <c:v>4442.1597637499999</c:v>
                </c:pt>
                <c:pt idx="51">
                  <c:v>4442.1597637499999</c:v>
                </c:pt>
                <c:pt idx="52">
                  <c:v>3958.1180737500003</c:v>
                </c:pt>
                <c:pt idx="53">
                  <c:v>2700.6946949999997</c:v>
                </c:pt>
                <c:pt idx="54">
                  <c:v>2700.6946949999997</c:v>
                </c:pt>
                <c:pt idx="55">
                  <c:v>4442.1597637499999</c:v>
                </c:pt>
                <c:pt idx="56">
                  <c:v>4442.1597637499999</c:v>
                </c:pt>
                <c:pt idx="57">
                  <c:v>4565.4032550000011</c:v>
                </c:pt>
                <c:pt idx="58">
                  <c:v>4565.4032550000011</c:v>
                </c:pt>
                <c:pt idx="59">
                  <c:v>3839.3407200000006</c:v>
                </c:pt>
                <c:pt idx="60">
                  <c:v>3839.3407200000006</c:v>
                </c:pt>
                <c:pt idx="61">
                  <c:v>5323.6219799999999</c:v>
                </c:pt>
                <c:pt idx="62">
                  <c:v>5323.6219799999999</c:v>
                </c:pt>
                <c:pt idx="63">
                  <c:v>5323.6219799999999</c:v>
                </c:pt>
                <c:pt idx="64">
                  <c:v>5323.6219799999999</c:v>
                </c:pt>
                <c:pt idx="65">
                  <c:v>5846.9656799999993</c:v>
                </c:pt>
                <c:pt idx="66">
                  <c:v>2060.3819999999996</c:v>
                </c:pt>
                <c:pt idx="67">
                  <c:v>2060.3819999999996</c:v>
                </c:pt>
                <c:pt idx="68">
                  <c:v>3145.4343750000003</c:v>
                </c:pt>
                <c:pt idx="69">
                  <c:v>2921.2780800000005</c:v>
                </c:pt>
                <c:pt idx="70">
                  <c:v>4814.5699199999999</c:v>
                </c:pt>
                <c:pt idx="71">
                  <c:v>4689.5399737499993</c:v>
                </c:pt>
                <c:pt idx="72">
                  <c:v>4689.5399737499993</c:v>
                </c:pt>
                <c:pt idx="73">
                  <c:v>3373.1635799999999</c:v>
                </c:pt>
                <c:pt idx="74">
                  <c:v>3032.9096137500005</c:v>
                </c:pt>
                <c:pt idx="75">
                  <c:v>3373.1635799999999</c:v>
                </c:pt>
                <c:pt idx="76">
                  <c:v>5195.0191237499985</c:v>
                </c:pt>
                <c:pt idx="77">
                  <c:v>5453.1180637500001</c:v>
                </c:pt>
                <c:pt idx="78">
                  <c:v>5453.1180637500001</c:v>
                </c:pt>
                <c:pt idx="79">
                  <c:v>6384.6010200000001</c:v>
                </c:pt>
                <c:pt idx="80">
                  <c:v>6521.24292375</c:v>
                </c:pt>
                <c:pt idx="81">
                  <c:v>6521.24292375</c:v>
                </c:pt>
                <c:pt idx="82">
                  <c:v>2483.6842200000001</c:v>
                </c:pt>
                <c:pt idx="83">
                  <c:v>2483.6842200000001</c:v>
                </c:pt>
                <c:pt idx="84">
                  <c:v>3721.4565937500006</c:v>
                </c:pt>
                <c:pt idx="85">
                  <c:v>3721.4565937500006</c:v>
                </c:pt>
                <c:pt idx="86">
                  <c:v>5453.1180637500001</c:v>
                </c:pt>
                <c:pt idx="87">
                  <c:v>5714.789913749999</c:v>
                </c:pt>
                <c:pt idx="88">
                  <c:v>5583.5073749999992</c:v>
                </c:pt>
                <c:pt idx="89">
                  <c:v>4814.5699199999999</c:v>
                </c:pt>
                <c:pt idx="90">
                  <c:v>4814.5699199999999</c:v>
                </c:pt>
                <c:pt idx="91">
                  <c:v>5195.0191237499985</c:v>
                </c:pt>
                <c:pt idx="92">
                  <c:v>4565.4032550000011</c:v>
                </c:pt>
                <c:pt idx="93">
                  <c:v>4442.1597637499999</c:v>
                </c:pt>
                <c:pt idx="94">
                  <c:v>4565.4032550000011</c:v>
                </c:pt>
                <c:pt idx="95">
                  <c:v>4814.5699199999999</c:v>
                </c:pt>
                <c:pt idx="96">
                  <c:v>4689.5399737499993</c:v>
                </c:pt>
                <c:pt idx="97">
                  <c:v>4319.8094999999994</c:v>
                </c:pt>
                <c:pt idx="98">
                  <c:v>4319.8094999999994</c:v>
                </c:pt>
                <c:pt idx="99">
                  <c:v>4319.8094999999994</c:v>
                </c:pt>
                <c:pt idx="100">
                  <c:v>4319.8094999999994</c:v>
                </c:pt>
                <c:pt idx="101">
                  <c:v>4319.8094999999994</c:v>
                </c:pt>
                <c:pt idx="102">
                  <c:v>3145.4343750000003</c:v>
                </c:pt>
                <c:pt idx="103">
                  <c:v>3145.4343750000003</c:v>
                </c:pt>
                <c:pt idx="104">
                  <c:v>3145.4343750000003</c:v>
                </c:pt>
                <c:pt idx="105">
                  <c:v>3145.4343750000003</c:v>
                </c:pt>
                <c:pt idx="106">
                  <c:v>2270.2466549999999</c:v>
                </c:pt>
                <c:pt idx="107">
                  <c:v>2270.2466549999999</c:v>
                </c:pt>
                <c:pt idx="108">
                  <c:v>3373.1635799999999</c:v>
                </c:pt>
                <c:pt idx="109">
                  <c:v>3373.1635799999999</c:v>
                </c:pt>
                <c:pt idx="110">
                  <c:v>3373.1635799999999</c:v>
                </c:pt>
                <c:pt idx="111">
                  <c:v>3373.1635799999999</c:v>
                </c:pt>
                <c:pt idx="112">
                  <c:v>3839.3407200000006</c:v>
                </c:pt>
                <c:pt idx="113">
                  <c:v>3373.1635799999999</c:v>
                </c:pt>
                <c:pt idx="114">
                  <c:v>4077.7886549999998</c:v>
                </c:pt>
                <c:pt idx="115">
                  <c:v>4198.3524637499995</c:v>
                </c:pt>
                <c:pt idx="116">
                  <c:v>7217.8508549999988</c:v>
                </c:pt>
                <c:pt idx="117">
                  <c:v>7217.8508549999988</c:v>
                </c:pt>
                <c:pt idx="118">
                  <c:v>7217.8508549999988</c:v>
                </c:pt>
                <c:pt idx="119">
                  <c:v>7217.8508549999988</c:v>
                </c:pt>
                <c:pt idx="120">
                  <c:v>7936.789473750001</c:v>
                </c:pt>
                <c:pt idx="121">
                  <c:v>9597.0584550000003</c:v>
                </c:pt>
                <c:pt idx="122">
                  <c:v>9910.5375000000004</c:v>
                </c:pt>
              </c:numCache>
            </c:numRef>
          </c:xVal>
          <c:yVal>
            <c:numRef>
              <c:f>Calibration_Function!$Q$3:$Q$125</c:f>
              <c:numCache>
                <c:formatCode>0</c:formatCode>
                <c:ptCount val="123"/>
                <c:pt idx="0">
                  <c:v>6588.6015763135874</c:v>
                </c:pt>
                <c:pt idx="1">
                  <c:v>6588.6015763135874</c:v>
                </c:pt>
                <c:pt idx="2">
                  <c:v>6157.5835607011895</c:v>
                </c:pt>
                <c:pt idx="3">
                  <c:v>6157.5835607011895</c:v>
                </c:pt>
                <c:pt idx="4">
                  <c:v>6157.5835607011895</c:v>
                </c:pt>
                <c:pt idx="5">
                  <c:v>2806.6024933886238</c:v>
                </c:pt>
                <c:pt idx="6">
                  <c:v>2576.9084079161844</c:v>
                </c:pt>
                <c:pt idx="7">
                  <c:v>3519.4809357436111</c:v>
                </c:pt>
                <c:pt idx="8">
                  <c:v>3519.4809357436111</c:v>
                </c:pt>
                <c:pt idx="9">
                  <c:v>2129.3512576551234</c:v>
                </c:pt>
                <c:pt idx="10">
                  <c:v>5323.3679569591923</c:v>
                </c:pt>
                <c:pt idx="11">
                  <c:v>5323.3679569591923</c:v>
                </c:pt>
                <c:pt idx="12">
                  <c:v>5053.4996299889253</c:v>
                </c:pt>
                <c:pt idx="13">
                  <c:v>5323.3679569591923</c:v>
                </c:pt>
                <c:pt idx="14">
                  <c:v>5323.3679569591923</c:v>
                </c:pt>
                <c:pt idx="15">
                  <c:v>4920.0964977746853</c:v>
                </c:pt>
                <c:pt idx="16">
                  <c:v>3641.7804857776673</c:v>
                </c:pt>
                <c:pt idx="17">
                  <c:v>3398.1802163395814</c:v>
                </c:pt>
                <c:pt idx="18">
                  <c:v>4141.0013114655667</c:v>
                </c:pt>
                <c:pt idx="19">
                  <c:v>4141.0013114655667</c:v>
                </c:pt>
                <c:pt idx="20">
                  <c:v>4141.0013114655667</c:v>
                </c:pt>
                <c:pt idx="21">
                  <c:v>4141.0013114655667</c:v>
                </c:pt>
                <c:pt idx="22">
                  <c:v>4141.0013114655667</c:v>
                </c:pt>
                <c:pt idx="23">
                  <c:v>4014.6892061187477</c:v>
                </c:pt>
                <c:pt idx="24">
                  <c:v>3398.1802163395814</c:v>
                </c:pt>
                <c:pt idx="25">
                  <c:v>3158.5686809352765</c:v>
                </c:pt>
                <c:pt idx="26">
                  <c:v>4141.0013114655667</c:v>
                </c:pt>
                <c:pt idx="27">
                  <c:v>3519.4809357436111</c:v>
                </c:pt>
                <c:pt idx="28">
                  <c:v>4141.0013114655667</c:v>
                </c:pt>
                <c:pt idx="29">
                  <c:v>3040.2546699955524</c:v>
                </c:pt>
                <c:pt idx="30">
                  <c:v>2922.9331039936915</c:v>
                </c:pt>
                <c:pt idx="31">
                  <c:v>3040.2546699955524</c:v>
                </c:pt>
                <c:pt idx="32">
                  <c:v>3765.0805592057754</c:v>
                </c:pt>
                <c:pt idx="33">
                  <c:v>7327.6595428158889</c:v>
                </c:pt>
                <c:pt idx="34">
                  <c:v>7478.5796176137819</c:v>
                </c:pt>
                <c:pt idx="35">
                  <c:v>4656.3436320190485</c:v>
                </c:pt>
                <c:pt idx="36">
                  <c:v>4787.7117544418497</c:v>
                </c:pt>
                <c:pt idx="37">
                  <c:v>3398.1802163395814</c:v>
                </c:pt>
                <c:pt idx="38">
                  <c:v>9044.7404577951129</c:v>
                </c:pt>
                <c:pt idx="39">
                  <c:v>9044.7404577951129</c:v>
                </c:pt>
                <c:pt idx="40">
                  <c:v>11234.71507650664</c:v>
                </c:pt>
                <c:pt idx="41">
                  <c:v>11234.71507650664</c:v>
                </c:pt>
                <c:pt idx="42">
                  <c:v>35971.288353131218</c:v>
                </c:pt>
                <c:pt idx="43">
                  <c:v>35971.288353131218</c:v>
                </c:pt>
                <c:pt idx="44">
                  <c:v>35971.288353131218</c:v>
                </c:pt>
                <c:pt idx="45">
                  <c:v>35971.288353131218</c:v>
                </c:pt>
                <c:pt idx="46">
                  <c:v>3398.1802163395814</c:v>
                </c:pt>
                <c:pt idx="47">
                  <c:v>3158.5686809352765</c:v>
                </c:pt>
                <c:pt idx="48">
                  <c:v>3398.1802163395814</c:v>
                </c:pt>
                <c:pt idx="49">
                  <c:v>3277.8766707467694</c:v>
                </c:pt>
                <c:pt idx="50">
                  <c:v>4920.0964977746853</c:v>
                </c:pt>
                <c:pt idx="51">
                  <c:v>4920.0964977746853</c:v>
                </c:pt>
                <c:pt idx="52">
                  <c:v>4396.6500642133415</c:v>
                </c:pt>
                <c:pt idx="53">
                  <c:v>3040.2546699955524</c:v>
                </c:pt>
                <c:pt idx="54">
                  <c:v>3040.2546699955524</c:v>
                </c:pt>
                <c:pt idx="55">
                  <c:v>4920.0964977746853</c:v>
                </c:pt>
                <c:pt idx="56">
                  <c:v>4920.0964977746853</c:v>
                </c:pt>
                <c:pt idx="57">
                  <c:v>5053.4996299889253</c:v>
                </c:pt>
                <c:pt idx="58">
                  <c:v>5053.4996299889253</c:v>
                </c:pt>
                <c:pt idx="59">
                  <c:v>4268.3209942008389</c:v>
                </c:pt>
                <c:pt idx="60">
                  <c:v>4268.3209942008389</c:v>
                </c:pt>
                <c:pt idx="61">
                  <c:v>5875.3982269247854</c:v>
                </c:pt>
                <c:pt idx="62">
                  <c:v>5875.3982269247854</c:v>
                </c:pt>
                <c:pt idx="63">
                  <c:v>5875.3982269247854</c:v>
                </c:pt>
                <c:pt idx="64">
                  <c:v>5875.3982269247854</c:v>
                </c:pt>
                <c:pt idx="65">
                  <c:v>6443.8955695300792</c:v>
                </c:pt>
                <c:pt idx="66">
                  <c:v>2351.161415083986</c:v>
                </c:pt>
                <c:pt idx="67">
                  <c:v>2351.161415083986</c:v>
                </c:pt>
                <c:pt idx="68">
                  <c:v>3519.4809357436111</c:v>
                </c:pt>
                <c:pt idx="69">
                  <c:v>3277.8766707467694</c:v>
                </c:pt>
                <c:pt idx="70">
                  <c:v>5323.3679569591923</c:v>
                </c:pt>
                <c:pt idx="71">
                  <c:v>5187.9228856933705</c:v>
                </c:pt>
                <c:pt idx="72">
                  <c:v>5187.9228856933705</c:v>
                </c:pt>
                <c:pt idx="73">
                  <c:v>3765.0805592057754</c:v>
                </c:pt>
                <c:pt idx="74">
                  <c:v>3398.1802163395814</c:v>
                </c:pt>
                <c:pt idx="75">
                  <c:v>3765.0805592057754</c:v>
                </c:pt>
                <c:pt idx="76">
                  <c:v>5735.8501504056976</c:v>
                </c:pt>
                <c:pt idx="77">
                  <c:v>6015.9756156821904</c:v>
                </c:pt>
                <c:pt idx="78">
                  <c:v>6015.9756156821904</c:v>
                </c:pt>
                <c:pt idx="79">
                  <c:v>7028.9287333090824</c:v>
                </c:pt>
                <c:pt idx="80">
                  <c:v>7177.775967831134</c:v>
                </c:pt>
                <c:pt idx="81">
                  <c:v>7177.775967831134</c:v>
                </c:pt>
                <c:pt idx="82">
                  <c:v>2806.6024933886238</c:v>
                </c:pt>
                <c:pt idx="83">
                  <c:v>2806.6024933886238</c:v>
                </c:pt>
                <c:pt idx="84">
                  <c:v>4141.0013114655667</c:v>
                </c:pt>
                <c:pt idx="85">
                  <c:v>4141.0013114655667</c:v>
                </c:pt>
                <c:pt idx="86">
                  <c:v>6015.9756156821904</c:v>
                </c:pt>
                <c:pt idx="87">
                  <c:v>6300.2232021160789</c:v>
                </c:pt>
                <c:pt idx="88">
                  <c:v>6157.5835607011895</c:v>
                </c:pt>
                <c:pt idx="89">
                  <c:v>5323.3679569591923</c:v>
                </c:pt>
                <c:pt idx="90">
                  <c:v>5323.3679569591923</c:v>
                </c:pt>
                <c:pt idx="91">
                  <c:v>5735.8501504056976</c:v>
                </c:pt>
                <c:pt idx="92">
                  <c:v>5053.4996299889253</c:v>
                </c:pt>
                <c:pt idx="93">
                  <c:v>4920.0964977746853</c:v>
                </c:pt>
                <c:pt idx="94">
                  <c:v>5053.4996299889253</c:v>
                </c:pt>
                <c:pt idx="95">
                  <c:v>5323.3679569591923</c:v>
                </c:pt>
                <c:pt idx="96">
                  <c:v>5187.9228856933705</c:v>
                </c:pt>
                <c:pt idx="97">
                  <c:v>4787.7117544418497</c:v>
                </c:pt>
                <c:pt idx="98">
                  <c:v>4787.7117544418497</c:v>
                </c:pt>
                <c:pt idx="99">
                  <c:v>4787.7117544418497</c:v>
                </c:pt>
                <c:pt idx="100">
                  <c:v>4787.7117544418497</c:v>
                </c:pt>
                <c:pt idx="101">
                  <c:v>4787.7117544418497</c:v>
                </c:pt>
                <c:pt idx="102">
                  <c:v>3519.4809357436111</c:v>
                </c:pt>
                <c:pt idx="103">
                  <c:v>3519.4809357436111</c:v>
                </c:pt>
                <c:pt idx="104">
                  <c:v>3519.4809357436111</c:v>
                </c:pt>
                <c:pt idx="105">
                  <c:v>3519.4809357436111</c:v>
                </c:pt>
                <c:pt idx="106">
                  <c:v>2576.9084079161844</c:v>
                </c:pt>
                <c:pt idx="107">
                  <c:v>2576.9084079161844</c:v>
                </c:pt>
                <c:pt idx="108">
                  <c:v>3765.0805592057754</c:v>
                </c:pt>
                <c:pt idx="109">
                  <c:v>3765.0805592057754</c:v>
                </c:pt>
                <c:pt idx="110">
                  <c:v>3765.0805592057754</c:v>
                </c:pt>
                <c:pt idx="111">
                  <c:v>3765.0805592057754</c:v>
                </c:pt>
                <c:pt idx="112">
                  <c:v>4268.3209942008389</c:v>
                </c:pt>
                <c:pt idx="113">
                  <c:v>3765.0805592057754</c:v>
                </c:pt>
                <c:pt idx="114">
                  <c:v>4525.9903380692704</c:v>
                </c:pt>
                <c:pt idx="115">
                  <c:v>4656.3436320190485</c:v>
                </c:pt>
                <c:pt idx="116">
                  <c:v>7937.5585984900545</c:v>
                </c:pt>
                <c:pt idx="117">
                  <c:v>7937.5585984900545</c:v>
                </c:pt>
                <c:pt idx="118">
                  <c:v>7937.5585984900545</c:v>
                </c:pt>
                <c:pt idx="119">
                  <c:v>7937.5585984900545</c:v>
                </c:pt>
                <c:pt idx="120">
                  <c:v>8723.2345272427265</c:v>
                </c:pt>
                <c:pt idx="121">
                  <c:v>10542.449759101921</c:v>
                </c:pt>
                <c:pt idx="122">
                  <c:v>10886.542860302259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A57-4871-8A18-DD8D1315A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61632"/>
        <c:axId val="118267904"/>
      </c:scatterChart>
      <c:valAx>
        <c:axId val="118261632"/>
        <c:scaling>
          <c:orientation val="minMax"/>
          <c:max val="65000"/>
          <c:min val="0"/>
        </c:scaling>
        <c:delete val="0"/>
        <c:axPos val="b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True Cooling Capacity [kW]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18267904"/>
        <c:crosses val="autoZero"/>
        <c:crossBetween val="midCat"/>
        <c:majorUnit val="10000"/>
      </c:valAx>
      <c:valAx>
        <c:axId val="118267904"/>
        <c:scaling>
          <c:orientation val="minMax"/>
          <c:max val="65000"/>
          <c:min val="0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Predicted Cooling</a:t>
                </a:r>
                <a:r>
                  <a:rPr lang="de-DE" sz="1200" baseline="0"/>
                  <a:t> Capacity [kW]</a:t>
                </a:r>
                <a:endParaRPr lang="de-DE" sz="1200"/>
              </a:p>
            </c:rich>
          </c:tx>
          <c:layout>
            <c:manualLayout>
              <c:xMode val="edge"/>
              <c:yMode val="edge"/>
              <c:x val="3.04916618879159E-2"/>
              <c:y val="0.209539727069775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8261632"/>
        <c:crosses val="autoZero"/>
        <c:crossBetween val="midCat"/>
        <c:majorUnit val="10000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9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65883228570188535"/>
          <c:y val="0.69390957390174823"/>
          <c:w val="0.31993573168439776"/>
          <c:h val="0.16995751794041863"/>
        </c:manualLayout>
      </c:layout>
      <c:overlay val="1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10388</xdr:colOff>
      <xdr:row>20</xdr:row>
      <xdr:rowOff>22237</xdr:rowOff>
    </xdr:from>
    <xdr:to>
      <xdr:col>26</xdr:col>
      <xdr:colOff>548183</xdr:colOff>
      <xdr:row>50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394608</xdr:colOff>
      <xdr:row>3</xdr:row>
      <xdr:rowOff>163286</xdr:rowOff>
    </xdr:from>
    <xdr:to>
      <xdr:col>24</xdr:col>
      <xdr:colOff>625380</xdr:colOff>
      <xdr:row>6</xdr:row>
      <xdr:rowOff>45902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37287" y="802822"/>
          <a:ext cx="3274962" cy="452211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55</xdr:row>
      <xdr:rowOff>108857</xdr:rowOff>
    </xdr:from>
    <xdr:to>
      <xdr:col>26</xdr:col>
      <xdr:colOff>537795</xdr:colOff>
      <xdr:row>87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708515</xdr:colOff>
      <xdr:row>17</xdr:row>
      <xdr:rowOff>180241</xdr:rowOff>
    </xdr:from>
    <xdr:to>
      <xdr:col>24</xdr:col>
      <xdr:colOff>741485</xdr:colOff>
      <xdr:row>41</xdr:row>
      <xdr:rowOff>116497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695325</xdr:colOff>
      <xdr:row>12</xdr:row>
      <xdr:rowOff>80962</xdr:rowOff>
    </xdr:from>
    <xdr:to>
      <xdr:col>25</xdr:col>
      <xdr:colOff>150762</xdr:colOff>
      <xdr:row>14</xdr:row>
      <xdr:rowOff>152173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50125" y="2452687"/>
          <a:ext cx="3274962" cy="452211"/>
        </a:xfrm>
        <a:prstGeom prst="rect">
          <a:avLst/>
        </a:prstGeom>
      </xdr:spPr>
    </xdr:pic>
    <xdr:clientData/>
  </xdr:twoCellAnchor>
  <xdr:twoCellAnchor>
    <xdr:from>
      <xdr:col>17</xdr:col>
      <xdr:colOff>762000</xdr:colOff>
      <xdr:row>44</xdr:row>
      <xdr:rowOff>0</xdr:rowOff>
    </xdr:from>
    <xdr:to>
      <xdr:col>25</xdr:col>
      <xdr:colOff>32970</xdr:colOff>
      <xdr:row>67</xdr:row>
      <xdr:rowOff>126756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2:K126" totalsRowCount="1">
  <autoFilter ref="B2:K125" xr:uid="{00000000-0009-0000-0100-000001000000}"/>
  <sortState ref="B2:C126">
    <sortCondition ref="B1:B126"/>
  </sortState>
  <tableColumns count="10">
    <tableColumn id="1" xr3:uid="{00000000-0010-0000-0000-000001000000}" name="Image" dataDxfId="36" totalsRowDxfId="35"/>
    <tableColumn id="2" xr3:uid="{00000000-0010-0000-0000-000002000000}" name="Predicted Size" dataDxfId="34" totalsRowDxfId="33"/>
    <tableColumn id="3" xr3:uid="{00000000-0010-0000-0000-000003000000}" name="True Size X" dataDxfId="32" totalsRowDxfId="31"/>
    <tableColumn id="4" xr3:uid="{00000000-0010-0000-0000-000004000000}" name="True Size Y" dataDxfId="30" totalsRowDxfId="29"/>
    <tableColumn id="5" xr3:uid="{00000000-0010-0000-0000-000005000000}" name="True Mean Size " totalsRowLabel="RMSE (Pixel)" dataDxfId="28" totalsRowDxfId="27">
      <calculatedColumnFormula>(Tabelle1[[#This Row],[True Size X]]+Tabelle1[[#This Row],[True Size Y]])/2</calculatedColumnFormula>
    </tableColumn>
    <tableColumn id="6" xr3:uid="{00000000-0010-0000-0000-000006000000}" name="(pred-true)^2" totalsRowFunction="custom" dataDxfId="26" totalsRowDxfId="25">
      <calculatedColumnFormula>(Tabelle1[[#This Row],[Predicted Size]]-Tabelle1[[#This Row],[True Mean Size ]])^2</calculatedColumnFormula>
      <totalsRowFormula>SQRT(SUM(Tabelle1[(pred-true)^2])/COUNTA(Tabelle1[(pred-true)^2]))</totalsRowFormula>
    </tableColumn>
    <tableColumn id="7" xr3:uid="{00000000-0010-0000-0000-000007000000}" name="Predicted Cooling Capacity [kW]" dataDxfId="24">
      <calculatedColumnFormula>220.55*(C3*0.09)^2 + 1518*(C3*0.09) - 1386.6</calculatedColumnFormula>
    </tableColumn>
    <tableColumn id="8" xr3:uid="{00000000-0010-0000-0000-000008000000}" name="True Cooling Capacity [kW]" totalsRowLabel="RMSE (kW)" dataDxfId="23" totalsRowDxfId="22">
      <calculatedColumnFormula>220.55*(F3*0.09)^2 + 1518*(F3*0.09) - 1386.6</calculatedColumnFormula>
    </tableColumn>
    <tableColumn id="9" xr3:uid="{00000000-0010-0000-0000-000009000000}" name="(pred-true)^22" totalsRowFunction="custom" dataDxfId="21" totalsRowDxfId="20">
      <calculatedColumnFormula>(Tabelle1[[#This Row],[Predicted Cooling Capacity '[kW']]]-Tabelle1[[#This Row],[True Cooling Capacity '[kW']]])^2</calculatedColumnFormula>
      <totalsRowFormula>SQRT(SUM(Tabelle1[(pred-true)^22])/COUNTA(Tabelle1[(pred-true)^22]))</totalsRowFormula>
    </tableColumn>
    <tableColumn id="10" xr3:uid="{00000000-0010-0000-0000-00000A000000}" name="Relative Deviation(Pred-True)" dataDxfId="19">
      <calculatedColumnFormula>100/Tabelle1[[#This Row],[True Cooling Capacity '[kW']]]*Tabelle1[[#This Row],[Predicted Cooling Capacity '[kW']]]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13" displayName="Tabelle13" ref="B2:K126" totalsRowCount="1">
  <autoFilter ref="B2:K125" xr:uid="{00000000-0009-0000-0100-000002000000}"/>
  <sortState ref="B2:C126">
    <sortCondition ref="B1:B126"/>
  </sortState>
  <tableColumns count="10">
    <tableColumn id="1" xr3:uid="{00000000-0010-0000-0100-000001000000}" name="Image" dataDxfId="18" totalsRowDxfId="17"/>
    <tableColumn id="2" xr3:uid="{00000000-0010-0000-0100-000002000000}" name="Predicted Size" dataDxfId="16" totalsRowDxfId="15"/>
    <tableColumn id="10" xr3:uid="{00000000-0010-0000-0100-00000A000000}" name="Correlation Function Predicted  Size" dataDxfId="14" totalsRowDxfId="13">
      <calculatedColumnFormula>(2*(5000*(Tabelle13[[#This Row],[Predicted Size]]/0.861448297))-22199)/10577</calculatedColumnFormula>
    </tableColumn>
    <tableColumn id="3" xr3:uid="{00000000-0010-0000-0100-000003000000}" name="True Size X" dataDxfId="12" totalsRowDxfId="11"/>
    <tableColumn id="4" xr3:uid="{00000000-0010-0000-0100-000004000000}" name="True Size Y" dataDxfId="10" totalsRowDxfId="9"/>
    <tableColumn id="5" xr3:uid="{00000000-0010-0000-0100-000005000000}" name="True Mean Size " totalsRowLabel="RMSE (Pixel)" dataDxfId="8" totalsRowDxfId="7">
      <calculatedColumnFormula>(Tabelle13[[#This Row],[True Size X]]+Tabelle13[[#This Row],[True Size Y]])/2</calculatedColumnFormula>
    </tableColumn>
    <tableColumn id="6" xr3:uid="{00000000-0010-0000-0100-000006000000}" name="(pred-true)^2" totalsRowFunction="custom" dataDxfId="6" totalsRowDxfId="5">
      <calculatedColumnFormula>(Tabelle13[[#This Row],[Correlation Function Predicted  Size]]-Tabelle13[[#This Row],[True Mean Size ]])^2</calculatedColumnFormula>
      <totalsRowFormula>SQRT(SUM(Tabelle13[(pred-true)^2])/COUNTA(Tabelle13[(pred-true)^2]))</totalsRowFormula>
    </tableColumn>
    <tableColumn id="7" xr3:uid="{00000000-0010-0000-0100-000007000000}" name="Predicted Cooling Capacity [kW]" dataDxfId="4">
      <calculatedColumnFormula>220.55*(D3*0.09)^2 + 1518*(D3*0.09) - 1386.6</calculatedColumnFormula>
    </tableColumn>
    <tableColumn id="8" xr3:uid="{00000000-0010-0000-0100-000008000000}" name="True Cooling Capacity [kW]" totalsRowLabel="RMSE (kW)" dataDxfId="3" totalsRowDxfId="2">
      <calculatedColumnFormula>220.55*(G3*0.09)^2 + 1518*(G3*0.09) - 1386.6</calculatedColumnFormula>
    </tableColumn>
    <tableColumn id="9" xr3:uid="{00000000-0010-0000-0100-000009000000}" name="(pred-true)^22" totalsRowFunction="custom" dataDxfId="1" totalsRowDxfId="0">
      <calculatedColumnFormula>(Tabelle13[[#This Row],[Predicted Cooling Capacity '[kW']]]-Tabelle13[[#This Row],[True Cooling Capacity '[kW']]])^2</calculatedColumnFormula>
      <totalsRowFormula>SQRT(SUM(Tabelle13[(pred-true)^22])/COUNTA(Tabelle13[(pred-true)^22]))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"/>
  <sheetViews>
    <sheetView tabSelected="1" topLeftCell="E112" zoomScale="85" zoomScaleNormal="85" workbookViewId="0">
      <selection activeCell="I138" sqref="I138"/>
    </sheetView>
  </sheetViews>
  <sheetFormatPr baseColWidth="10" defaultRowHeight="14.4" x14ac:dyDescent="0.3"/>
  <cols>
    <col min="1" max="1" width="3.44140625" customWidth="1"/>
    <col min="2" max="2" width="15" style="3" bestFit="1" customWidth="1"/>
    <col min="3" max="3" width="15.44140625" style="4" bestFit="1" customWidth="1"/>
    <col min="4" max="4" width="11.44140625" style="3"/>
    <col min="5" max="5" width="11.44140625" style="4"/>
    <col min="7" max="7" width="15.33203125" bestFit="1" customWidth="1"/>
    <col min="8" max="8" width="30.5546875" customWidth="1"/>
    <col min="9" max="9" width="26" customWidth="1"/>
    <col min="10" max="10" width="22.44140625" bestFit="1" customWidth="1"/>
    <col min="14" max="14" width="29.6640625" customWidth="1"/>
    <col min="17" max="17" width="21.109375" customWidth="1"/>
  </cols>
  <sheetData>
    <row r="1" spans="1:24" ht="18.600000000000001" thickBot="1" x14ac:dyDescent="0.4">
      <c r="M1" s="45" t="s">
        <v>292</v>
      </c>
      <c r="N1" s="46"/>
      <c r="O1" s="47"/>
      <c r="P1" s="36"/>
      <c r="Q1" s="36"/>
    </row>
    <row r="2" spans="1:24" ht="15" thickBot="1" x14ac:dyDescent="0.35">
      <c r="A2" t="s">
        <v>0</v>
      </c>
      <c r="B2" s="1" t="s">
        <v>126</v>
      </c>
      <c r="C2" s="2" t="s">
        <v>254</v>
      </c>
      <c r="D2" s="1" t="s">
        <v>250</v>
      </c>
      <c r="E2" s="2" t="s">
        <v>251</v>
      </c>
      <c r="F2" t="s">
        <v>262</v>
      </c>
      <c r="G2" t="s">
        <v>252</v>
      </c>
      <c r="H2" t="s">
        <v>255</v>
      </c>
      <c r="I2" t="s">
        <v>256</v>
      </c>
      <c r="J2" t="s">
        <v>259</v>
      </c>
      <c r="K2" t="s">
        <v>270</v>
      </c>
      <c r="M2" s="30" t="s">
        <v>273</v>
      </c>
      <c r="N2" s="43" t="s">
        <v>275</v>
      </c>
      <c r="O2" s="44" t="s">
        <v>276</v>
      </c>
      <c r="P2" s="48" t="s">
        <v>293</v>
      </c>
      <c r="Q2" s="48" t="s">
        <v>294</v>
      </c>
      <c r="T2" t="s">
        <v>257</v>
      </c>
    </row>
    <row r="3" spans="1:24" x14ac:dyDescent="0.3">
      <c r="A3" t="s">
        <v>1</v>
      </c>
      <c r="B3" s="3" t="s">
        <v>183</v>
      </c>
      <c r="C3" s="4">
        <v>38.334449216499998</v>
      </c>
      <c r="D3" s="3">
        <v>37</v>
      </c>
      <c r="E3" s="4">
        <v>36</v>
      </c>
      <c r="F3">
        <f>(Tabelle1[[#This Row],[True Size X]]+Tabelle1[[#This Row],[True Size Y]])/2</f>
        <v>36.5</v>
      </c>
      <c r="G3" s="10">
        <f>(Tabelle1[[#This Row],[Predicted Size]]-Tabelle1[[#This Row],[True Mean Size ]])^2</f>
        <v>3.3652039279174555</v>
      </c>
      <c r="H3" s="5">
        <f>220.55*(C3*0.09)^2 + 1518*(C3*0.09) - 1386.6</f>
        <v>6475.9016622708386</v>
      </c>
      <c r="I3" s="5">
        <f t="shared" ref="I3:I34" si="0">220.55*(F3*0.09)^2 + 1518*(F3*0.09) - 1386.6</f>
        <v>5980.0346737499985</v>
      </c>
      <c r="J3" s="9">
        <f>(Tabelle1[[#This Row],[Predicted Cooling Capacity '[kW']]]-Tabelle1[[#This Row],[True Cooling Capacity '[kW']]])^2</f>
        <v>245884.07030472695</v>
      </c>
      <c r="K3" s="5">
        <f>100/Tabelle1[[#This Row],[True Cooling Capacity '[kW']]]*Tabelle1[[#This Row],[Predicted Cooling Capacity '[kW']]]</f>
        <v>108.29204202941334</v>
      </c>
      <c r="M3" s="40">
        <f t="array" ref="M3:M125">TREND(H3:H125,I3:I125)</f>
        <v>6041.0496729477118</v>
      </c>
      <c r="N3" s="41">
        <f>M3-$T$17*$T$18*SQRT(1+1/$T$14+(Tabelle1[[#This Row],[True Cooling Capacity '[kW']]]-$T$15)^2/$T$16)</f>
        <v>5027.1122438326338</v>
      </c>
      <c r="O3" s="42">
        <f>M3+$T$17*$T$18*SQRT(1+1/$T$14+(Tabelle1[[#This Row],[True Cooling Capacity '[kW']]]-$T$15)^2/$T$16)</f>
        <v>7054.9871020627897</v>
      </c>
      <c r="P3" s="5">
        <f>M3-$T$17*$T$18*SQRT(1/$T$14+(Tabelle1[[#This Row],[True Cooling Capacity '[kW']]]-$T$15)^2/$T$16)</f>
        <v>5949.4234581553801</v>
      </c>
      <c r="Q3" s="5">
        <f>M3+$T$17*$T$18*SQRT(1/$T$14+(Tabelle1[[#This Row],[True Cooling Capacity '[kW']]]-$T$15)^2/$T$16)</f>
        <v>6132.6758877400434</v>
      </c>
      <c r="R3" s="5"/>
      <c r="T3" t="s">
        <v>258</v>
      </c>
    </row>
    <row r="4" spans="1:24" x14ac:dyDescent="0.3">
      <c r="A4" t="s">
        <v>2</v>
      </c>
      <c r="B4" s="3" t="s">
        <v>154</v>
      </c>
      <c r="C4" s="4">
        <v>37.903725068</v>
      </c>
      <c r="D4" s="3">
        <v>37</v>
      </c>
      <c r="E4" s="4">
        <v>36</v>
      </c>
      <c r="F4">
        <f>(Tabelle1[[#This Row],[True Size X]]+Tabelle1[[#This Row],[True Size Y]])/2</f>
        <v>36.5</v>
      </c>
      <c r="G4" s="10">
        <f>(Tabelle1[[#This Row],[Predicted Size]]-Tabelle1[[#This Row],[True Mean Size ]])^2</f>
        <v>1.9704440665316045</v>
      </c>
      <c r="H4" s="5">
        <f t="shared" ref="H4:H34" si="1">220.55*(C4*0.09)^2 + 1518*(C4*0.09) - 1386.6</f>
        <v>6358.3931938388723</v>
      </c>
      <c r="I4" s="5">
        <f t="shared" si="0"/>
        <v>5980.0346737499985</v>
      </c>
      <c r="J4" s="9">
        <f>(Tabelle1[[#This Row],[Predicted Cooling Capacity '[kW']]]-Tabelle1[[#This Row],[True Cooling Capacity '[kW']]])^2</f>
        <v>143155.1697238427</v>
      </c>
      <c r="K4" s="5">
        <f>100/Tabelle1[[#This Row],[True Cooling Capacity '[kW']]]*Tabelle1[[#This Row],[Predicted Cooling Capacity '[kW']]]</f>
        <v>106.32702886740306</v>
      </c>
      <c r="M4" s="40">
        <v>6041.0496729477118</v>
      </c>
      <c r="N4" s="41">
        <f>M4-$T$17*$T$18*SQRT(1+1/$T$14+(Tabelle1[[#This Row],[True Cooling Capacity '[kW']]]-$T$15)^2/$T$16)</f>
        <v>5027.1122438326338</v>
      </c>
      <c r="O4" s="42">
        <f>M4+$T$17*$T$18*SQRT(1+1/$T$14+(Tabelle1[[#This Row],[True Cooling Capacity '[kW']]]-$T$15)^2/$T$16)</f>
        <v>7054.9871020627897</v>
      </c>
      <c r="P4" s="5">
        <f>M4-$T$17*$T$18*SQRT(1/$T$14+(Tabelle1[[#This Row],[True Cooling Capacity '[kW']]]-$T$15)^2/$T$16)</f>
        <v>5949.4234581553801</v>
      </c>
      <c r="Q4" s="5">
        <f>M4+$T$17*$T$18*SQRT(1/$T$14+(Tabelle1[[#This Row],[True Cooling Capacity '[kW']]]-$T$15)^2/$T$16)</f>
        <v>6132.6758877400434</v>
      </c>
      <c r="R4" s="5"/>
      <c r="T4">
        <v>0</v>
      </c>
    </row>
    <row r="5" spans="1:24" x14ac:dyDescent="0.3">
      <c r="A5" t="s">
        <v>3</v>
      </c>
      <c r="B5" s="3" t="s">
        <v>199</v>
      </c>
      <c r="C5" s="4">
        <v>36.180828474000002</v>
      </c>
      <c r="D5" s="3">
        <v>35</v>
      </c>
      <c r="E5" s="4">
        <v>35</v>
      </c>
      <c r="F5">
        <f>(Tabelle1[[#This Row],[True Size X]]+Tabelle1[[#This Row],[True Size Y]])/2</f>
        <v>35</v>
      </c>
      <c r="G5" s="10">
        <f>(Tabelle1[[#This Row],[Predicted Size]]-Tabelle1[[#This Row],[True Mean Size ]])^2</f>
        <v>1.3943558850091731</v>
      </c>
      <c r="H5" s="5">
        <f t="shared" si="1"/>
        <v>5894.987900366812</v>
      </c>
      <c r="I5" s="5">
        <f t="shared" si="0"/>
        <v>5583.5073749999992</v>
      </c>
      <c r="J5" s="9">
        <f>(Tabelle1[[#This Row],[Predicted Cooling Capacity '[kW']]]-Tabelle1[[#This Row],[True Cooling Capacity '[kW']]])^2</f>
        <v>97020.117682785713</v>
      </c>
      <c r="K5" s="5">
        <f>100/Tabelle1[[#This Row],[True Cooling Capacity '[kW']]]*Tabelle1[[#This Row],[Predicted Cooling Capacity '[kW']]]</f>
        <v>105.57858178465848</v>
      </c>
      <c r="M5" s="40">
        <v>5663.5053568315134</v>
      </c>
      <c r="N5" s="41">
        <f>M5-$T$17*$T$18*SQRT(1+1/$T$14+(Tabelle1[[#This Row],[True Cooling Capacity '[kW']]]-$T$15)^2/$T$16)</f>
        <v>4649.6140931426626</v>
      </c>
      <c r="O5" s="42">
        <f>M5+$T$17*$T$18*SQRT(1+1/$T$14+(Tabelle1[[#This Row],[True Cooling Capacity '[kW']]]-$T$15)^2/$T$16)</f>
        <v>6677.3966205203642</v>
      </c>
      <c r="P5" s="5">
        <f>M5-$T$17*$T$18*SQRT(1/$T$14+(Tabelle1[[#This Row],[True Cooling Capacity '[kW']]]-$T$15)^2/$T$16)</f>
        <v>5572.3914300077186</v>
      </c>
      <c r="Q5" s="5">
        <f>M5+$T$17*$T$18*SQRT(1/$T$14+(Tabelle1[[#This Row],[True Cooling Capacity '[kW']]]-$T$15)^2/$T$16)</f>
        <v>5754.6192836553082</v>
      </c>
      <c r="R5" s="5"/>
      <c r="T5">
        <v>120</v>
      </c>
    </row>
    <row r="6" spans="1:24" x14ac:dyDescent="0.3">
      <c r="A6" t="s">
        <v>4</v>
      </c>
      <c r="B6" s="3" t="s">
        <v>151</v>
      </c>
      <c r="C6" s="4">
        <v>37.042276770999997</v>
      </c>
      <c r="D6" s="3">
        <v>35</v>
      </c>
      <c r="E6" s="4">
        <v>35</v>
      </c>
      <c r="F6">
        <f>(Tabelle1[[#This Row],[True Size X]]+Tabelle1[[#This Row],[True Size Y]])/2</f>
        <v>35</v>
      </c>
      <c r="G6" s="10">
        <f>(Tabelle1[[#This Row],[Predicted Size]]-Tabelle1[[#This Row],[True Mean Size ]])^2</f>
        <v>4.1708944093661762</v>
      </c>
      <c r="H6" s="5">
        <f t="shared" si="1"/>
        <v>6125.3648310516783</v>
      </c>
      <c r="I6" s="5">
        <f t="shared" si="0"/>
        <v>5583.5073749999992</v>
      </c>
      <c r="J6" s="9">
        <f>(Tabelle1[[#This Row],[Predicted Cooling Capacity '[kW']]]-Tabelle1[[#This Row],[True Cooling Capacity '[kW']]])^2</f>
        <v>293609.50267879729</v>
      </c>
      <c r="K6" s="5">
        <f>100/Tabelle1[[#This Row],[True Cooling Capacity '[kW']]]*Tabelle1[[#This Row],[Predicted Cooling Capacity '[kW']]]</f>
        <v>109.70460715208922</v>
      </c>
      <c r="M6" s="40">
        <v>5663.5053568315134</v>
      </c>
      <c r="N6" s="41">
        <f>M6-$T$17*$T$18*SQRT(1+1/$T$14+(Tabelle1[[#This Row],[True Cooling Capacity '[kW']]]-$T$15)^2/$T$16)</f>
        <v>4649.6140931426626</v>
      </c>
      <c r="O6" s="42">
        <f>M6+$T$17*$T$18*SQRT(1+1/$T$14+(Tabelle1[[#This Row],[True Cooling Capacity '[kW']]]-$T$15)^2/$T$16)</f>
        <v>6677.3966205203642</v>
      </c>
      <c r="P6" s="5">
        <f>M6-$T$17*$T$18*SQRT(1/$T$14+(Tabelle1[[#This Row],[True Cooling Capacity '[kW']]]-$T$15)^2/$T$16)</f>
        <v>5572.3914300077186</v>
      </c>
      <c r="Q6" s="5">
        <f>M6+$T$17*$T$18*SQRT(1/$T$14+(Tabelle1[[#This Row],[True Cooling Capacity '[kW']]]-$T$15)^2/$T$16)</f>
        <v>5754.6192836553082</v>
      </c>
      <c r="R6" s="5"/>
    </row>
    <row r="7" spans="1:24" ht="15" thickBot="1" x14ac:dyDescent="0.35">
      <c r="A7" t="s">
        <v>5</v>
      </c>
      <c r="B7" s="3" t="s">
        <v>206</v>
      </c>
      <c r="C7" s="4">
        <v>37.042276770999997</v>
      </c>
      <c r="D7" s="3">
        <v>35</v>
      </c>
      <c r="E7" s="4">
        <v>35</v>
      </c>
      <c r="F7">
        <f>(Tabelle1[[#This Row],[True Size X]]+Tabelle1[[#This Row],[True Size Y]])/2</f>
        <v>35</v>
      </c>
      <c r="G7" s="10">
        <f>(Tabelle1[[#This Row],[Predicted Size]]-Tabelle1[[#This Row],[True Mean Size ]])^2</f>
        <v>4.1708944093661762</v>
      </c>
      <c r="H7" s="5">
        <f t="shared" si="1"/>
        <v>6125.3648310516783</v>
      </c>
      <c r="I7" s="5">
        <f t="shared" si="0"/>
        <v>5583.5073749999992</v>
      </c>
      <c r="J7" s="9">
        <f>(Tabelle1[[#This Row],[Predicted Cooling Capacity '[kW']]]-Tabelle1[[#This Row],[True Cooling Capacity '[kW']]])^2</f>
        <v>293609.50267879729</v>
      </c>
      <c r="K7" s="5">
        <f>100/Tabelle1[[#This Row],[True Cooling Capacity '[kW']]]*Tabelle1[[#This Row],[Predicted Cooling Capacity '[kW']]]</f>
        <v>109.70460715208922</v>
      </c>
      <c r="M7" s="40">
        <v>5663.5053568315134</v>
      </c>
      <c r="N7" s="41">
        <f>M7-$T$17*$T$18*SQRT(1+1/$T$14+(Tabelle1[[#This Row],[True Cooling Capacity '[kW']]]-$T$15)^2/$T$16)</f>
        <v>4649.6140931426626</v>
      </c>
      <c r="O7" s="42">
        <f>M7+$T$17*$T$18*SQRT(1+1/$T$14+(Tabelle1[[#This Row],[True Cooling Capacity '[kW']]]-$T$15)^2/$T$16)</f>
        <v>6677.3966205203642</v>
      </c>
      <c r="P7" s="5">
        <f>M7-$T$17*$T$18*SQRT(1/$T$14+(Tabelle1[[#This Row],[True Cooling Capacity '[kW']]]-$T$15)^2/$T$16)</f>
        <v>5572.3914300077186</v>
      </c>
      <c r="Q7" s="5">
        <f>M7+$T$17*$T$18*SQRT(1/$T$14+(Tabelle1[[#This Row],[True Cooling Capacity '[kW']]]-$T$15)^2/$T$16)</f>
        <v>5754.6192836553082</v>
      </c>
      <c r="R7" s="5"/>
    </row>
    <row r="8" spans="1:24" x14ac:dyDescent="0.3">
      <c r="A8" t="s">
        <v>6</v>
      </c>
      <c r="B8" s="3" t="s">
        <v>195</v>
      </c>
      <c r="C8" s="4">
        <v>24.551276464499999</v>
      </c>
      <c r="D8" s="3">
        <v>21</v>
      </c>
      <c r="E8" s="4">
        <v>23</v>
      </c>
      <c r="F8">
        <f>(Tabelle1[[#This Row],[True Size X]]+Tabelle1[[#This Row],[True Size Y]])/2</f>
        <v>22</v>
      </c>
      <c r="G8" s="10">
        <f>(Tabelle1[[#This Row],[Predicted Size]]-Tabelle1[[#This Row],[True Mean Size ]])^2</f>
        <v>6.5090115983116146</v>
      </c>
      <c r="H8" s="5">
        <f t="shared" si="1"/>
        <v>3044.4082531359386</v>
      </c>
      <c r="I8" s="5">
        <f t="shared" si="0"/>
        <v>2483.6842200000001</v>
      </c>
      <c r="J8" s="9">
        <f>(Tabelle1[[#This Row],[Predicted Cooling Capacity '[kW']]]-Tabelle1[[#This Row],[True Cooling Capacity '[kW']]])^2</f>
        <v>314411.44133623305</v>
      </c>
      <c r="K8" s="5">
        <f>100/Tabelle1[[#This Row],[True Cooling Capacity '[kW']]]*Tabelle1[[#This Row],[Predicted Cooling Capacity '[kW']]]</f>
        <v>122.57630131160306</v>
      </c>
      <c r="M8" s="40">
        <v>2712.0802801093982</v>
      </c>
      <c r="N8" s="41">
        <f>M8-$T$17*$T$18*SQRT(1+1/$T$14+(Tabelle1[[#This Row],[True Cooling Capacity '[kW']]]-$T$15)^2/$T$16)</f>
        <v>1696.9602367717459</v>
      </c>
      <c r="O8" s="42">
        <f>M8+$T$17*$T$18*SQRT(1+1/$T$14+(Tabelle1[[#This Row],[True Cooling Capacity '[kW']]]-$T$15)^2/$T$16)</f>
        <v>3727.2003234470503</v>
      </c>
      <c r="P8" s="5">
        <f>M8-$T$17*$T$18*SQRT(1/$T$14+(Tabelle1[[#This Row],[True Cooling Capacity '[kW']]]-$T$15)^2/$T$16)</f>
        <v>2608.1815050323339</v>
      </c>
      <c r="Q8" s="5">
        <f>M8+$T$17*$T$18*SQRT(1/$T$14+(Tabelle1[[#This Row],[True Cooling Capacity '[kW']]]-$T$15)^2/$T$16)</f>
        <v>2815.9790551864626</v>
      </c>
      <c r="R8" s="5"/>
      <c r="S8" s="1" t="s">
        <v>277</v>
      </c>
      <c r="T8" s="37">
        <f t="array" ref="T8:U12">LINEST(H3:H125,I3:I125,TRUE,TRUE)</f>
        <v>0.95212692116370634</v>
      </c>
      <c r="U8" s="37">
        <v>347.29767057791651</v>
      </c>
      <c r="V8" s="2" t="s">
        <v>278</v>
      </c>
    </row>
    <row r="9" spans="1:24" x14ac:dyDescent="0.3">
      <c r="A9" t="s">
        <v>7</v>
      </c>
      <c r="B9" s="3" t="s">
        <v>132</v>
      </c>
      <c r="C9" s="4">
        <v>23.6898281675</v>
      </c>
      <c r="D9" s="3">
        <v>20</v>
      </c>
      <c r="E9" s="4">
        <v>22</v>
      </c>
      <c r="F9">
        <f>(Tabelle1[[#This Row],[True Size X]]+Tabelle1[[#This Row],[True Size Y]])/2</f>
        <v>21</v>
      </c>
      <c r="G9" s="10">
        <f>(Tabelle1[[#This Row],[Predicted Size]]-Tabelle1[[#This Row],[True Mean Size ]])^2</f>
        <v>7.2351755706764083</v>
      </c>
      <c r="H9" s="5">
        <f t="shared" si="1"/>
        <v>2852.4770879347529</v>
      </c>
      <c r="I9" s="5">
        <f t="shared" si="0"/>
        <v>2270.2466549999999</v>
      </c>
      <c r="J9" s="9">
        <f>(Tabelle1[[#This Row],[Predicted Cooling Capacity '[kW']]]-Tabelle1[[#This Row],[True Cooling Capacity '[kW']]])^2</f>
        <v>338992.27703538997</v>
      </c>
      <c r="K9" s="5">
        <f>100/Tabelle1[[#This Row],[True Cooling Capacity '[kW']]]*Tabelle1[[#This Row],[Predicted Cooling Capacity '[kW']]]</f>
        <v>125.64613107797985</v>
      </c>
      <c r="M9" s="40">
        <v>2508.8606284852694</v>
      </c>
      <c r="N9" s="41">
        <f>M9-$T$17*$T$18*SQRT(1+1/$T$14+(Tabelle1[[#This Row],[True Cooling Capacity '[kW']]]-$T$15)^2/$T$16)</f>
        <v>1493.552398125365</v>
      </c>
      <c r="O9" s="42">
        <f>M9+$T$17*$T$18*SQRT(1+1/$T$14+(Tabelle1[[#This Row],[True Cooling Capacity '[kW']]]-$T$15)^2/$T$16)</f>
        <v>3524.1688588451739</v>
      </c>
      <c r="P9" s="5">
        <f>M9-$T$17*$T$18*SQRT(1/$T$14+(Tabelle1[[#This Row],[True Cooling Capacity '[kW']]]-$T$15)^2/$T$16)</f>
        <v>2403.139033183088</v>
      </c>
      <c r="Q9" s="5">
        <f>M9+$T$17*$T$18*SQRT(1/$T$14+(Tabelle1[[#This Row],[True Cooling Capacity '[kW']]]-$T$15)^2/$T$16)</f>
        <v>2614.5822237874509</v>
      </c>
      <c r="R9" s="5"/>
      <c r="S9" s="3" t="s">
        <v>279</v>
      </c>
      <c r="T9" s="38">
        <v>8.7132122386518185E-3</v>
      </c>
      <c r="U9" s="38">
        <v>65.70158479603414</v>
      </c>
      <c r="V9" s="4" t="s">
        <v>280</v>
      </c>
    </row>
    <row r="10" spans="1:24" x14ac:dyDescent="0.3">
      <c r="A10" t="s">
        <v>8</v>
      </c>
      <c r="B10" s="3" t="s">
        <v>245</v>
      </c>
      <c r="C10" s="4">
        <v>21.536207425000001</v>
      </c>
      <c r="D10" s="3">
        <v>29</v>
      </c>
      <c r="E10" s="4">
        <v>21</v>
      </c>
      <c r="F10">
        <f>(Tabelle1[[#This Row],[True Size X]]+Tabelle1[[#This Row],[True Size Y]])/2</f>
        <v>25</v>
      </c>
      <c r="G10" s="10">
        <f>(Tabelle1[[#This Row],[Predicted Size]]-Tabelle1[[#This Row],[True Mean Size ]])^2</f>
        <v>11.997859002625127</v>
      </c>
      <c r="H10" s="5">
        <f t="shared" si="1"/>
        <v>2384.2491903794539</v>
      </c>
      <c r="I10" s="5">
        <f t="shared" si="0"/>
        <v>3145.4343750000003</v>
      </c>
      <c r="J10" s="9">
        <f>(Tabelle1[[#This Row],[Predicted Cooling Capacity '[kW']]]-Tabelle1[[#This Row],[True Cooling Capacity '[kW']]])^2</f>
        <v>579402.88528581522</v>
      </c>
      <c r="K10" s="5">
        <f>100/Tabelle1[[#This Row],[True Cooling Capacity '[kW']]]*Tabelle1[[#This Row],[Predicted Cooling Capacity '[kW']]]</f>
        <v>75.800315826950097</v>
      </c>
      <c r="M10" s="40">
        <v>3342.1504177691536</v>
      </c>
      <c r="N10" s="41">
        <f>M10-$T$17*$T$18*SQRT(1+1/$T$14+(Tabelle1[[#This Row],[True Cooling Capacity '[kW']]]-$T$15)^2/$T$16)</f>
        <v>2327.529128378545</v>
      </c>
      <c r="O10" s="42">
        <f>M10+$T$17*$T$18*SQRT(1+1/$T$14+(Tabelle1[[#This Row],[True Cooling Capacity '[kW']]]-$T$15)^2/$T$16)</f>
        <v>4356.7717071597626</v>
      </c>
      <c r="P10" s="5">
        <f>M10-$T$17*$T$18*SQRT(1/$T$14+(Tabelle1[[#This Row],[True Cooling Capacity '[kW']]]-$T$15)^2/$T$16)</f>
        <v>3243.2433201404274</v>
      </c>
      <c r="Q10" s="5">
        <f>M10+$T$17*$T$18*SQRT(1/$T$14+(Tabelle1[[#This Row],[True Cooling Capacity '[kW']]]-$T$15)^2/$T$16)</f>
        <v>3441.0575153978798</v>
      </c>
      <c r="R10" s="5"/>
      <c r="S10" s="3" t="s">
        <v>281</v>
      </c>
      <c r="T10" s="38">
        <v>0.9899683224484882</v>
      </c>
      <c r="U10" s="38">
        <v>510.05528068631571</v>
      </c>
      <c r="V10" s="4" t="s">
        <v>283</v>
      </c>
    </row>
    <row r="11" spans="1:24" x14ac:dyDescent="0.3">
      <c r="A11" t="s">
        <v>9</v>
      </c>
      <c r="B11" s="3" t="s">
        <v>175</v>
      </c>
      <c r="C11" s="4">
        <v>21.966931573499998</v>
      </c>
      <c r="D11" s="3">
        <v>29</v>
      </c>
      <c r="E11" s="4">
        <v>21</v>
      </c>
      <c r="F11">
        <f>(Tabelle1[[#This Row],[True Size X]]+Tabelle1[[#This Row],[True Size Y]])/2</f>
        <v>25</v>
      </c>
      <c r="G11" s="10">
        <f>(Tabelle1[[#This Row],[Predicted Size]]-Tabelle1[[#This Row],[True Mean Size ]])^2</f>
        <v>9.1995040798311951</v>
      </c>
      <c r="H11" s="5">
        <f t="shared" si="1"/>
        <v>2476.5690538393524</v>
      </c>
      <c r="I11" s="5">
        <f t="shared" si="0"/>
        <v>3145.4343750000003</v>
      </c>
      <c r="J11" s="9">
        <f>(Tabelle1[[#This Row],[Predicted Cooling Capacity '[kW']]]-Tabelle1[[#This Row],[True Cooling Capacity '[kW']]])^2</f>
        <v>447380.81785133667</v>
      </c>
      <c r="K11" s="5">
        <f>100/Tabelle1[[#This Row],[True Cooling Capacity '[kW']]]*Tabelle1[[#This Row],[Predicted Cooling Capacity '[kW']]]</f>
        <v>78.735359208991682</v>
      </c>
      <c r="M11" s="40">
        <v>3342.1504177691536</v>
      </c>
      <c r="N11" s="41">
        <f>M11-$T$17*$T$18*SQRT(1+1/$T$14+(Tabelle1[[#This Row],[True Cooling Capacity '[kW']]]-$T$15)^2/$T$16)</f>
        <v>2327.529128378545</v>
      </c>
      <c r="O11" s="42">
        <f>M11+$T$17*$T$18*SQRT(1+1/$T$14+(Tabelle1[[#This Row],[True Cooling Capacity '[kW']]]-$T$15)^2/$T$16)</f>
        <v>4356.7717071597626</v>
      </c>
      <c r="P11" s="5">
        <f>M11-$T$17*$T$18*SQRT(1/$T$14+(Tabelle1[[#This Row],[True Cooling Capacity '[kW']]]-$T$15)^2/$T$16)</f>
        <v>3243.2433201404274</v>
      </c>
      <c r="Q11" s="5">
        <f>M11+$T$17*$T$18*SQRT(1/$T$14+(Tabelle1[[#This Row],[True Cooling Capacity '[kW']]]-$T$15)^2/$T$16)</f>
        <v>3441.0575153978798</v>
      </c>
      <c r="R11" s="5"/>
      <c r="S11" s="3" t="s">
        <v>282</v>
      </c>
      <c r="T11" s="38">
        <v>11940.791198797486</v>
      </c>
      <c r="U11" s="38">
        <v>121</v>
      </c>
      <c r="V11" s="4" t="s">
        <v>284</v>
      </c>
    </row>
    <row r="12" spans="1:24" ht="15" thickBot="1" x14ac:dyDescent="0.35">
      <c r="A12" t="s">
        <v>10</v>
      </c>
      <c r="B12" s="3" t="s">
        <v>137</v>
      </c>
      <c r="C12" s="4">
        <v>18.951862534</v>
      </c>
      <c r="D12" s="3">
        <v>19</v>
      </c>
      <c r="E12" s="4">
        <v>19</v>
      </c>
      <c r="F12">
        <f>(Tabelle1[[#This Row],[True Size X]]+Tabelle1[[#This Row],[True Size Y]])/2</f>
        <v>19</v>
      </c>
      <c r="G12" s="10">
        <f>(Tabelle1[[#This Row],[Predicted Size]]-Tabelle1[[#This Row],[True Mean Size ]])^2</f>
        <v>2.3172156329011578E-3</v>
      </c>
      <c r="H12" s="5">
        <f t="shared" si="1"/>
        <v>1844.2500281572579</v>
      </c>
      <c r="I12" s="5">
        <f t="shared" si="0"/>
        <v>1854.0902549999996</v>
      </c>
      <c r="J12" s="9">
        <f>(Tabelle1[[#This Row],[Predicted Cooling Capacity '[kW']]]-Tabelle1[[#This Row],[True Cooling Capacity '[kW']]])^2</f>
        <v>96.830064316613999</v>
      </c>
      <c r="K12" s="5">
        <f>100/Tabelle1[[#This Row],[True Cooling Capacity '[kW']]]*Tabelle1[[#This Row],[Predicted Cooling Capacity '[kW']]]</f>
        <v>99.469269264740205</v>
      </c>
      <c r="M12" s="40">
        <v>2112.6269166306975</v>
      </c>
      <c r="N12" s="41">
        <f>M12-$T$17*$T$18*SQRT(1+1/$T$14+(Tabelle1[[#This Row],[True Cooling Capacity '[kW']]]-$T$15)^2/$T$16)</f>
        <v>1096.9134829348452</v>
      </c>
      <c r="O12" s="42">
        <f>M12+$T$17*$T$18*SQRT(1+1/$T$14+(Tabelle1[[#This Row],[True Cooling Capacity '[kW']]]-$T$15)^2/$T$16)</f>
        <v>3128.3403503265499</v>
      </c>
      <c r="P12" s="5">
        <f>M12-$T$17*$T$18*SQRT(1/$T$14+(Tabelle1[[#This Row],[True Cooling Capacity '[kW']]]-$T$15)^2/$T$16)</f>
        <v>2003.0822569393383</v>
      </c>
      <c r="Q12" s="5">
        <f>M12+$T$17*$T$18*SQRT(1/$T$14+(Tabelle1[[#This Row],[True Cooling Capacity '[kW']]]-$T$15)^2/$T$16)</f>
        <v>2222.1715763220568</v>
      </c>
      <c r="R12" s="5"/>
      <c r="S12" s="31" t="s">
        <v>286</v>
      </c>
      <c r="T12" s="39">
        <v>3106473124.3330126</v>
      </c>
      <c r="U12" s="39">
        <v>31478923.112075552</v>
      </c>
      <c r="V12" s="32" t="s">
        <v>285</v>
      </c>
    </row>
    <row r="13" spans="1:24" x14ac:dyDescent="0.3">
      <c r="A13" t="s">
        <v>11</v>
      </c>
      <c r="B13" s="3" t="s">
        <v>127</v>
      </c>
      <c r="C13" s="4">
        <v>31.873586989</v>
      </c>
      <c r="D13" s="3">
        <v>33</v>
      </c>
      <c r="E13" s="4">
        <v>31</v>
      </c>
      <c r="F13">
        <f>(Tabelle1[[#This Row],[True Size X]]+Tabelle1[[#This Row],[True Size Y]])/2</f>
        <v>32</v>
      </c>
      <c r="G13" s="10">
        <f>(Tabelle1[[#This Row],[Predicted Size]]-Tabelle1[[#This Row],[True Mean Size ]])^2</f>
        <v>1.5980249350086208E-2</v>
      </c>
      <c r="H13" s="5">
        <f t="shared" si="1"/>
        <v>4782.874728477309</v>
      </c>
      <c r="I13" s="5">
        <f t="shared" si="0"/>
        <v>4814.5699199999999</v>
      </c>
      <c r="J13" s="9">
        <f>(Tabelle1[[#This Row],[Predicted Cooling Capacity '[kW']]]-Tabelle1[[#This Row],[True Cooling Capacity '[kW']]])^2</f>
        <v>1004.5851656600602</v>
      </c>
      <c r="K13" s="5">
        <f>100/Tabelle1[[#This Row],[True Cooling Capacity '[kW']]]*Tabelle1[[#This Row],[Predicted Cooling Capacity '[kW']]]</f>
        <v>99.34168176910201</v>
      </c>
      <c r="M13" s="40">
        <v>4931.3793052349083</v>
      </c>
      <c r="N13" s="41">
        <f>M13-$T$17*$T$18*SQRT(1+1/$T$14+(Tabelle1[[#This Row],[True Cooling Capacity '[kW']]]-$T$15)^2/$T$16)</f>
        <v>3917.4460595025348</v>
      </c>
      <c r="O13" s="42">
        <f>M13+$T$17*$T$18*SQRT(1+1/$T$14+(Tabelle1[[#This Row],[True Cooling Capacity '[kW']]]-$T$15)^2/$T$16)</f>
        <v>5945.3125509672818</v>
      </c>
      <c r="P13" s="5">
        <f>M13-$T$17*$T$18*SQRT(1/$T$14+(Tabelle1[[#This Row],[True Cooling Capacity '[kW']]]-$T$15)^2/$T$16)</f>
        <v>4839.7993954398953</v>
      </c>
      <c r="Q13" s="5">
        <f>M13+$T$17*$T$18*SQRT(1/$T$14+(Tabelle1[[#This Row],[True Cooling Capacity '[kW']]]-$T$15)^2/$T$16)</f>
        <v>5022.9592150299213</v>
      </c>
      <c r="R13" s="5"/>
    </row>
    <row r="14" spans="1:24" x14ac:dyDescent="0.3">
      <c r="A14" t="s">
        <v>12</v>
      </c>
      <c r="B14" s="3" t="s">
        <v>150</v>
      </c>
      <c r="C14" s="4">
        <v>32.304311137500001</v>
      </c>
      <c r="D14" s="3">
        <v>33</v>
      </c>
      <c r="E14" s="4">
        <v>31</v>
      </c>
      <c r="F14">
        <f>(Tabelle1[[#This Row],[True Size X]]+Tabelle1[[#This Row],[True Size Y]])/2</f>
        <v>32</v>
      </c>
      <c r="G14" s="10">
        <f>(Tabelle1[[#This Row],[Predicted Size]]-Tabelle1[[#This Row],[True Mean Size ]])^2</f>
        <v>9.2605268406544483E-2</v>
      </c>
      <c r="H14" s="5">
        <f t="shared" si="1"/>
        <v>4891.1031845511443</v>
      </c>
      <c r="I14" s="5">
        <f t="shared" si="0"/>
        <v>4814.5699199999999</v>
      </c>
      <c r="J14" s="9">
        <f>(Tabelle1[[#This Row],[Predicted Cooling Capacity '[kW']]]-Tabelle1[[#This Row],[True Cooling Capacity '[kW']]])^2</f>
        <v>5857.3405828554532</v>
      </c>
      <c r="K14" s="5">
        <f>100/Tabelle1[[#This Row],[True Cooling Capacity '[kW']]]*Tabelle1[[#This Row],[Predicted Cooling Capacity '[kW']]]</f>
        <v>101.58961788535296</v>
      </c>
      <c r="M14" s="40">
        <v>4931.3793052349083</v>
      </c>
      <c r="N14" s="41">
        <f>M14-$T$17*$T$18*SQRT(1+1/$T$14+(Tabelle1[[#This Row],[True Cooling Capacity '[kW']]]-$T$15)^2/$T$16)</f>
        <v>3917.4460595025348</v>
      </c>
      <c r="O14" s="42">
        <f>M14+$T$17*$T$18*SQRT(1+1/$T$14+(Tabelle1[[#This Row],[True Cooling Capacity '[kW']]]-$T$15)^2/$T$16)</f>
        <v>5945.3125509672818</v>
      </c>
      <c r="P14" s="5">
        <f>M14-$T$17*$T$18*SQRT(1/$T$14+(Tabelle1[[#This Row],[True Cooling Capacity '[kW']]]-$T$15)^2/$T$16)</f>
        <v>4839.7993954398953</v>
      </c>
      <c r="Q14" s="5">
        <f>M14+$T$17*$T$18*SQRT(1/$T$14+(Tabelle1[[#This Row],[True Cooling Capacity '[kW']]]-$T$15)^2/$T$16)</f>
        <v>5022.9592150299213</v>
      </c>
      <c r="R14" s="5"/>
      <c r="S14" t="s">
        <v>287</v>
      </c>
      <c r="T14">
        <f>COUNT(Tabelle1[True Cooling Capacity '[kW']])</f>
        <v>123</v>
      </c>
    </row>
    <row r="15" spans="1:24" x14ac:dyDescent="0.3">
      <c r="A15" t="s">
        <v>13</v>
      </c>
      <c r="B15" s="3" t="s">
        <v>237</v>
      </c>
      <c r="C15" s="4">
        <v>31.442862840499998</v>
      </c>
      <c r="D15" s="3">
        <v>32</v>
      </c>
      <c r="E15" s="4">
        <v>30</v>
      </c>
      <c r="F15">
        <f>(Tabelle1[[#This Row],[True Size X]]+Tabelle1[[#This Row],[True Size Y]])/2</f>
        <v>31</v>
      </c>
      <c r="G15" s="10">
        <f>(Tabelle1[[#This Row],[Predicted Size]]-Tabelle1[[#This Row],[True Mean Size ]])^2</f>
        <v>0.19612749549572697</v>
      </c>
      <c r="H15" s="5">
        <f t="shared" si="1"/>
        <v>4675.3091304290519</v>
      </c>
      <c r="I15" s="5">
        <f t="shared" si="0"/>
        <v>4565.4032550000011</v>
      </c>
      <c r="J15" s="9">
        <f>(Tabelle1[[#This Row],[Predicted Cooling Capacity '[kW']]]-Tabelle1[[#This Row],[True Cooling Capacity '[kW']]])^2</f>
        <v>12079.301453826047</v>
      </c>
      <c r="K15" s="5">
        <f>100/Tabelle1[[#This Row],[True Cooling Capacity '[kW']]]*Tabelle1[[#This Row],[Predicted Cooling Capacity '[kW']]]</f>
        <v>102.40736402219635</v>
      </c>
      <c r="M15" s="40">
        <v>4694.1410156318307</v>
      </c>
      <c r="N15" s="41">
        <f>M15-$T$17*$T$18*SQRT(1+1/$T$14+(Tabelle1[[#This Row],[True Cooling Capacity '[kW']]]-$T$15)^2/$T$16)</f>
        <v>3680.1569433217169</v>
      </c>
      <c r="O15" s="42">
        <f>M15+$T$17*$T$18*SQRT(1+1/$T$14+(Tabelle1[[#This Row],[True Cooling Capacity '[kW']]]-$T$15)^2/$T$16)</f>
        <v>5708.1250879419449</v>
      </c>
      <c r="P15" s="5">
        <f>M15-$T$17*$T$18*SQRT(1/$T$14+(Tabelle1[[#This Row],[True Cooling Capacity '[kW']]]-$T$15)^2/$T$16)</f>
        <v>4602.0000802378408</v>
      </c>
      <c r="Q15" s="5">
        <f>M15+$T$17*$T$18*SQRT(1/$T$14+(Tabelle1[[#This Row],[True Cooling Capacity '[kW']]]-$T$15)^2/$T$16)</f>
        <v>4786.2819510258205</v>
      </c>
      <c r="R15" s="5"/>
      <c r="S15" t="s">
        <v>288</v>
      </c>
      <c r="T15">
        <f>AVERAGE(Tabelle1[True Cooling Capacity '[kW']])</f>
        <v>5385.0714822256086</v>
      </c>
    </row>
    <row r="16" spans="1:24" x14ac:dyDescent="0.3">
      <c r="A16" t="s">
        <v>14</v>
      </c>
      <c r="B16" s="3" t="s">
        <v>191</v>
      </c>
      <c r="C16" s="4">
        <v>31.873586989</v>
      </c>
      <c r="D16" s="3">
        <v>33</v>
      </c>
      <c r="E16" s="4">
        <v>31</v>
      </c>
      <c r="F16">
        <f>(Tabelle1[[#This Row],[True Size X]]+Tabelle1[[#This Row],[True Size Y]])/2</f>
        <v>32</v>
      </c>
      <c r="G16" s="10">
        <f>(Tabelle1[[#This Row],[Predicted Size]]-Tabelle1[[#This Row],[True Mean Size ]])^2</f>
        <v>1.5980249350086208E-2</v>
      </c>
      <c r="H16" s="5">
        <f t="shared" si="1"/>
        <v>4782.874728477309</v>
      </c>
      <c r="I16" s="5">
        <f t="shared" si="0"/>
        <v>4814.5699199999999</v>
      </c>
      <c r="J16" s="9">
        <f>(Tabelle1[[#This Row],[Predicted Cooling Capacity '[kW']]]-Tabelle1[[#This Row],[True Cooling Capacity '[kW']]])^2</f>
        <v>1004.5851656600602</v>
      </c>
      <c r="K16" s="5">
        <f>100/Tabelle1[[#This Row],[True Cooling Capacity '[kW']]]*Tabelle1[[#This Row],[Predicted Cooling Capacity '[kW']]]</f>
        <v>99.34168176910201</v>
      </c>
      <c r="M16" s="40">
        <v>4931.3793052349083</v>
      </c>
      <c r="N16" s="41">
        <f>M16-$T$17*$T$18*SQRT(1+1/$T$14+(Tabelle1[[#This Row],[True Cooling Capacity '[kW']]]-$T$15)^2/$T$16)</f>
        <v>3917.4460595025348</v>
      </c>
      <c r="O16" s="42">
        <f>M16+$T$17*$T$18*SQRT(1+1/$T$14+(Tabelle1[[#This Row],[True Cooling Capacity '[kW']]]-$T$15)^2/$T$16)</f>
        <v>5945.3125509672818</v>
      </c>
      <c r="P16" s="5">
        <f>M16-$T$17*$T$18*SQRT(1/$T$14+(Tabelle1[[#This Row],[True Cooling Capacity '[kW']]]-$T$15)^2/$T$16)</f>
        <v>4839.7993954398953</v>
      </c>
      <c r="Q16" s="5">
        <f>M16+$T$17*$T$18*SQRT(1/$T$14+(Tabelle1[[#This Row],[True Cooling Capacity '[kW']]]-$T$15)^2/$T$16)</f>
        <v>5022.9592150299213</v>
      </c>
      <c r="R16" s="5"/>
      <c r="S16" t="s">
        <v>289</v>
      </c>
      <c r="T16">
        <f>DEVSQ(Tabelle1[True Cooling Capacity '[kW']])</f>
        <v>3426714409.8875027</v>
      </c>
      <c r="X16">
        <v>0</v>
      </c>
    </row>
    <row r="17" spans="1:30" x14ac:dyDescent="0.3">
      <c r="A17" t="s">
        <v>15</v>
      </c>
      <c r="B17" s="3" t="s">
        <v>176</v>
      </c>
      <c r="C17" s="4">
        <v>32.304311137500001</v>
      </c>
      <c r="D17" s="3">
        <v>33</v>
      </c>
      <c r="E17" s="4">
        <v>31</v>
      </c>
      <c r="F17">
        <f>(Tabelle1[[#This Row],[True Size X]]+Tabelle1[[#This Row],[True Size Y]])/2</f>
        <v>32</v>
      </c>
      <c r="G17" s="10">
        <f>(Tabelle1[[#This Row],[Predicted Size]]-Tabelle1[[#This Row],[True Mean Size ]])^2</f>
        <v>9.2605268406544483E-2</v>
      </c>
      <c r="H17" s="5">
        <f t="shared" si="1"/>
        <v>4891.1031845511443</v>
      </c>
      <c r="I17" s="5">
        <f t="shared" si="0"/>
        <v>4814.5699199999999</v>
      </c>
      <c r="J17" s="9">
        <f>(Tabelle1[[#This Row],[Predicted Cooling Capacity '[kW']]]-Tabelle1[[#This Row],[True Cooling Capacity '[kW']]])^2</f>
        <v>5857.3405828554532</v>
      </c>
      <c r="K17" s="5">
        <f>100/Tabelle1[[#This Row],[True Cooling Capacity '[kW']]]*Tabelle1[[#This Row],[Predicted Cooling Capacity '[kW']]]</f>
        <v>101.58961788535296</v>
      </c>
      <c r="M17" s="40">
        <v>4931.3793052349083</v>
      </c>
      <c r="N17" s="41">
        <f>M17-$T$17*$T$18*SQRT(1+1/$T$14+(Tabelle1[[#This Row],[True Cooling Capacity '[kW']]]-$T$15)^2/$T$16)</f>
        <v>3917.4460595025348</v>
      </c>
      <c r="O17" s="42">
        <f>M17+$T$17*$T$18*SQRT(1+1/$T$14+(Tabelle1[[#This Row],[True Cooling Capacity '[kW']]]-$T$15)^2/$T$16)</f>
        <v>5945.3125509672818</v>
      </c>
      <c r="P17" s="5">
        <f>M17-$T$17*$T$18*SQRT(1/$T$14+(Tabelle1[[#This Row],[True Cooling Capacity '[kW']]]-$T$15)^2/$T$16)</f>
        <v>4839.7993954398953</v>
      </c>
      <c r="Q17" s="5">
        <f>M17+$T$17*$T$18*SQRT(1/$T$14+(Tabelle1[[#This Row],[True Cooling Capacity '[kW']]]-$T$15)^2/$T$16)</f>
        <v>5022.9592150299213</v>
      </c>
      <c r="R17" s="5"/>
      <c r="S17" t="s">
        <v>290</v>
      </c>
      <c r="T17">
        <f>_xlfn.T.INV.2T(0.05,U11)</f>
        <v>1.9797637625053852</v>
      </c>
      <c r="X17">
        <v>70000</v>
      </c>
    </row>
    <row r="18" spans="1:30" x14ac:dyDescent="0.3">
      <c r="A18" t="s">
        <v>16</v>
      </c>
      <c r="B18" s="3" t="s">
        <v>233</v>
      </c>
      <c r="C18" s="4">
        <v>29.7199662465</v>
      </c>
      <c r="D18" s="3">
        <v>33</v>
      </c>
      <c r="E18" s="4">
        <v>28</v>
      </c>
      <c r="F18">
        <f>(Tabelle1[[#This Row],[True Size X]]+Tabelle1[[#This Row],[True Size Y]])/2</f>
        <v>30.5</v>
      </c>
      <c r="G18" s="10">
        <f>(Tabelle1[[#This Row],[Predicted Size]]-Tabelle1[[#This Row],[True Mean Size ]])^2</f>
        <v>0.60845265659929826</v>
      </c>
      <c r="H18" s="5">
        <f t="shared" si="1"/>
        <v>4251.6753184918362</v>
      </c>
      <c r="I18" s="5">
        <f t="shared" si="0"/>
        <v>4442.1597637499999</v>
      </c>
      <c r="J18" s="9">
        <f>(Tabelle1[[#This Row],[Predicted Cooling Capacity '[kW']]]-Tabelle1[[#This Row],[True Cooling Capacity '[kW']]])^2</f>
        <v>36284.323885310383</v>
      </c>
      <c r="K18" s="5">
        <f>100/Tabelle1[[#This Row],[True Cooling Capacity '[kW']]]*Tabelle1[[#This Row],[Predicted Cooling Capacity '[kW']]]</f>
        <v>95.711895668125194</v>
      </c>
      <c r="M18" s="40">
        <v>4576.7975697545007</v>
      </c>
      <c r="N18" s="41">
        <f>M18-$T$17*$T$18*SQRT(1+1/$T$14+(Tabelle1[[#This Row],[True Cooling Capacity '[kW']]]-$T$15)^2/$T$16)</f>
        <v>3562.7816240593211</v>
      </c>
      <c r="O18" s="42">
        <f>M18+$T$17*$T$18*SQRT(1+1/$T$14+(Tabelle1[[#This Row],[True Cooling Capacity '[kW']]]-$T$15)^2/$T$16)</f>
        <v>5590.8135154496804</v>
      </c>
      <c r="P18" s="5">
        <f>M18-$T$17*$T$18*SQRT(1/$T$14+(Tabelle1[[#This Row],[True Cooling Capacity '[kW']]]-$T$15)^2/$T$16)</f>
        <v>4484.3065366714673</v>
      </c>
      <c r="Q18" s="5">
        <f>M18+$T$17*$T$18*SQRT(1/$T$14+(Tabelle1[[#This Row],[True Cooling Capacity '[kW']]]-$T$15)^2/$T$16)</f>
        <v>4669.2886028375342</v>
      </c>
      <c r="R18" s="5"/>
      <c r="S18" t="s">
        <v>291</v>
      </c>
      <c r="T18">
        <f>SQRT(U12/U11)</f>
        <v>510.05528068631571</v>
      </c>
      <c r="AB18" t="s">
        <v>295</v>
      </c>
    </row>
    <row r="19" spans="1:30" x14ac:dyDescent="0.3">
      <c r="A19" t="s">
        <v>17</v>
      </c>
      <c r="B19" s="3" t="s">
        <v>179</v>
      </c>
      <c r="C19" s="4">
        <v>26.704897206999998</v>
      </c>
      <c r="D19" s="3">
        <v>26</v>
      </c>
      <c r="E19" s="4">
        <v>25</v>
      </c>
      <c r="F19">
        <f>(Tabelle1[[#This Row],[True Size X]]+Tabelle1[[#This Row],[True Size Y]])/2</f>
        <v>25.5</v>
      </c>
      <c r="G19" s="10">
        <f>(Tabelle1[[#This Row],[Predicted Size]]-Tabelle1[[#This Row],[True Mean Size ]])^2</f>
        <v>1.451777279436397</v>
      </c>
      <c r="H19" s="5">
        <f t="shared" si="1"/>
        <v>3535.8361815865651</v>
      </c>
      <c r="I19" s="5">
        <f t="shared" si="0"/>
        <v>3258.8523637499998</v>
      </c>
      <c r="J19" s="9">
        <f>(Tabelle1[[#This Row],[Predicted Cooling Capacity '[kW']]]-Tabelle1[[#This Row],[True Cooling Capacity '[kW']]])^2</f>
        <v>76720.0353433196</v>
      </c>
      <c r="K19" s="5">
        <f>100/Tabelle1[[#This Row],[True Cooling Capacity '[kW']]]*Tabelle1[[#This Row],[Predicted Cooling Capacity '[kW']]]</f>
        <v>108.49942823177902</v>
      </c>
      <c r="M19" s="40">
        <v>3450.1387382022708</v>
      </c>
      <c r="N19" s="41">
        <f>M19-$T$17*$T$18*SQRT(1+1/$T$14+(Tabelle1[[#This Row],[True Cooling Capacity '[kW']]]-$T$15)^2/$T$16)</f>
        <v>2435.5900621281312</v>
      </c>
      <c r="O19" s="42">
        <f>M19+$T$17*$T$18*SQRT(1+1/$T$14+(Tabelle1[[#This Row],[True Cooling Capacity '[kW']]]-$T$15)^2/$T$16)</f>
        <v>4464.68741427641</v>
      </c>
      <c r="P19" s="5">
        <f>M19-$T$17*$T$18*SQRT(1/$T$14+(Tabelle1[[#This Row],[True Cooling Capacity '[kW']]]-$T$15)^2/$T$16)</f>
        <v>3351.979331111218</v>
      </c>
      <c r="Q19" s="5">
        <f>M19+$T$17*$T$18*SQRT(1/$T$14+(Tabelle1[[#This Row],[True Cooling Capacity '[kW']]]-$T$15)^2/$T$16)</f>
        <v>3548.2981452933236</v>
      </c>
      <c r="R19" s="5"/>
      <c r="X19" s="52">
        <f xml:space="preserve"> 0.9367*1000 + 383.15</f>
        <v>1319.85</v>
      </c>
      <c r="AB19">
        <v>1000</v>
      </c>
      <c r="AC19" s="52">
        <f xml:space="preserve"> 0.9521*AB19 + 347.3</f>
        <v>1299.3999999999999</v>
      </c>
    </row>
    <row r="20" spans="1:30" x14ac:dyDescent="0.3">
      <c r="A20" t="s">
        <v>18</v>
      </c>
      <c r="B20" s="3" t="s">
        <v>224</v>
      </c>
      <c r="C20" s="4">
        <v>25.412724761500002</v>
      </c>
      <c r="D20" s="3">
        <v>24</v>
      </c>
      <c r="E20" s="4">
        <v>25</v>
      </c>
      <c r="F20">
        <f>(Tabelle1[[#This Row],[True Size X]]+Tabelle1[[#This Row],[True Size Y]])/2</f>
        <v>24.5</v>
      </c>
      <c r="G20" s="10">
        <f>(Tabelle1[[#This Row],[Predicted Size]]-Tabelle1[[#This Row],[True Mean Size ]])^2</f>
        <v>0.83306649025523483</v>
      </c>
      <c r="H20" s="5">
        <f t="shared" si="1"/>
        <v>3238.9908504394475</v>
      </c>
      <c r="I20" s="5">
        <f t="shared" si="0"/>
        <v>3032.9096137500005</v>
      </c>
      <c r="J20" s="9">
        <f>(Tabelle1[[#This Row],[Predicted Cooling Capacity '[kW']]]-Tabelle1[[#This Row],[True Cooling Capacity '[kW']]])^2</f>
        <v>42469.476115451878</v>
      </c>
      <c r="K20" s="5">
        <f>100/Tabelle1[[#This Row],[True Cooling Capacity '[kW']]]*Tabelle1[[#This Row],[Predicted Cooling Capacity '[kW']]]</f>
        <v>106.79483607935947</v>
      </c>
      <c r="M20" s="40">
        <v>3235.0125632855102</v>
      </c>
      <c r="N20" s="41">
        <f>M20-$T$17*$T$18*SQRT(1+1/$T$14+(Tabelle1[[#This Row],[True Cooling Capacity '[kW']]]-$T$15)^2/$T$16)</f>
        <v>2220.3155096824853</v>
      </c>
      <c r="O20" s="42">
        <f>M20+$T$17*$T$18*SQRT(1+1/$T$14+(Tabelle1[[#This Row],[True Cooling Capacity '[kW']]]-$T$15)^2/$T$16)</f>
        <v>4249.7096168885346</v>
      </c>
      <c r="P20" s="5">
        <f>M20-$T$17*$T$18*SQRT(1/$T$14+(Tabelle1[[#This Row],[True Cooling Capacity '[kW']]]-$T$15)^2/$T$16)</f>
        <v>3135.3312527637422</v>
      </c>
      <c r="Q20" s="5">
        <f>M20+$T$17*$T$18*SQRT(1/$T$14+(Tabelle1[[#This Row],[True Cooling Capacity '[kW']]]-$T$15)^2/$T$16)</f>
        <v>3334.6938738072781</v>
      </c>
      <c r="R20" s="5"/>
      <c r="X20" s="52">
        <f xml:space="preserve"> 0.9367*70000 + 383.15</f>
        <v>65952.149999999994</v>
      </c>
      <c r="AB20">
        <v>60000</v>
      </c>
      <c r="AC20" s="52">
        <f xml:space="preserve"> 0.9521*AB20 + 347.3</f>
        <v>57473.3</v>
      </c>
    </row>
    <row r="21" spans="1:30" x14ac:dyDescent="0.3">
      <c r="A21" t="s">
        <v>19</v>
      </c>
      <c r="B21" s="3" t="s">
        <v>152</v>
      </c>
      <c r="C21" s="4">
        <v>28.427793801</v>
      </c>
      <c r="D21" s="3">
        <v>28</v>
      </c>
      <c r="E21" s="4">
        <v>27</v>
      </c>
      <c r="F21">
        <f>(Tabelle1[[#This Row],[True Size X]]+Tabelle1[[#This Row],[True Size Y]])/2</f>
        <v>27.5</v>
      </c>
      <c r="G21" s="10">
        <f>(Tabelle1[[#This Row],[Predicted Size]]-Tabelle1[[#This Row],[True Mean Size ]])^2</f>
        <v>0.86080133717402751</v>
      </c>
      <c r="H21" s="5">
        <f t="shared" si="1"/>
        <v>3940.9099688075207</v>
      </c>
      <c r="I21" s="5">
        <f t="shared" si="0"/>
        <v>3721.4565937500006</v>
      </c>
      <c r="J21" s="9">
        <f>(Tabelle1[[#This Row],[Predicted Cooling Capacity '[kW']]]-Tabelle1[[#This Row],[True Cooling Capacity '[kW']]])^2</f>
        <v>48159.783824136597</v>
      </c>
      <c r="K21" s="5">
        <f>100/Tabelle1[[#This Row],[True Cooling Capacity '[kW']]]*Tabelle1[[#This Row],[Predicted Cooling Capacity '[kW']]]</f>
        <v>105.89697527108287</v>
      </c>
      <c r="M21" s="40">
        <v>3890.5966794294786</v>
      </c>
      <c r="N21" s="41">
        <f>M21-$T$17*$T$18*SQRT(1+1/$T$14+(Tabelle1[[#This Row],[True Cooling Capacity '[kW']]]-$T$15)^2/$T$16)</f>
        <v>2876.3051407684297</v>
      </c>
      <c r="O21" s="42">
        <f>M21+$T$17*$T$18*SQRT(1+1/$T$14+(Tabelle1[[#This Row],[True Cooling Capacity '[kW']]]-$T$15)^2/$T$16)</f>
        <v>4904.8882180905275</v>
      </c>
      <c r="P21" s="5">
        <f>M21-$T$17*$T$18*SQRT(1/$T$14+(Tabelle1[[#This Row],[True Cooling Capacity '[kW']]]-$T$15)^2/$T$16)</f>
        <v>3795.1316152642266</v>
      </c>
      <c r="Q21" s="5">
        <f>M21+$T$17*$T$18*SQRT(1/$T$14+(Tabelle1[[#This Row],[True Cooling Capacity '[kW']]]-$T$15)^2/$T$16)</f>
        <v>3986.0617435947306</v>
      </c>
      <c r="R21" s="5"/>
    </row>
    <row r="22" spans="1:30" x14ac:dyDescent="0.3">
      <c r="A22" t="s">
        <v>20</v>
      </c>
      <c r="B22" s="3" t="s">
        <v>235</v>
      </c>
      <c r="C22" s="4">
        <v>27.566345504000001</v>
      </c>
      <c r="D22" s="3">
        <v>28</v>
      </c>
      <c r="E22" s="4">
        <v>27</v>
      </c>
      <c r="F22">
        <f>(Tabelle1[[#This Row],[True Size X]]+Tabelle1[[#This Row],[True Size Y]])/2</f>
        <v>27.5</v>
      </c>
      <c r="G22" s="10">
        <f>(Tabelle1[[#This Row],[Predicted Size]]-Tabelle1[[#This Row],[True Mean Size ]])^2</f>
        <v>4.4017259010141413E-3</v>
      </c>
      <c r="H22" s="5">
        <f t="shared" si="1"/>
        <v>3737.0473591458826</v>
      </c>
      <c r="I22" s="5">
        <f t="shared" si="0"/>
        <v>3721.4565937500006</v>
      </c>
      <c r="J22" s="9">
        <f>(Tabelle1[[#This Row],[Predicted Cooling Capacity '[kW']]]-Tabelle1[[#This Row],[True Cooling Capacity '[kW']]])^2</f>
        <v>243.07196562943301</v>
      </c>
      <c r="K22" s="5">
        <f>100/Tabelle1[[#This Row],[True Cooling Capacity '[kW']]]*Tabelle1[[#This Row],[Predicted Cooling Capacity '[kW']]]</f>
        <v>100.41894255658029</v>
      </c>
      <c r="M22" s="40">
        <v>3890.5966794294786</v>
      </c>
      <c r="N22" s="41">
        <f>M22-$T$17*$T$18*SQRT(1+1/$T$14+(Tabelle1[[#This Row],[True Cooling Capacity '[kW']]]-$T$15)^2/$T$16)</f>
        <v>2876.3051407684297</v>
      </c>
      <c r="O22" s="42">
        <f>M22+$T$17*$T$18*SQRT(1+1/$T$14+(Tabelle1[[#This Row],[True Cooling Capacity '[kW']]]-$T$15)^2/$T$16)</f>
        <v>4904.8882180905275</v>
      </c>
      <c r="P22" s="5">
        <f>M22-$T$17*$T$18*SQRT(1/$T$14+(Tabelle1[[#This Row],[True Cooling Capacity '[kW']]]-$T$15)^2/$T$16)</f>
        <v>3795.1316152642266</v>
      </c>
      <c r="Q22" s="5">
        <f>M22+$T$17*$T$18*SQRT(1/$T$14+(Tabelle1[[#This Row],[True Cooling Capacity '[kW']]]-$T$15)^2/$T$16)</f>
        <v>3986.0617435947306</v>
      </c>
      <c r="R22" s="5"/>
      <c r="AB22" t="s">
        <v>297</v>
      </c>
    </row>
    <row r="23" spans="1:30" x14ac:dyDescent="0.3">
      <c r="A23" t="s">
        <v>21</v>
      </c>
      <c r="B23" s="3" t="s">
        <v>165</v>
      </c>
      <c r="C23" s="4">
        <v>27.997069652499999</v>
      </c>
      <c r="D23" s="3">
        <v>28</v>
      </c>
      <c r="E23" s="4">
        <v>27</v>
      </c>
      <c r="F23">
        <f>(Tabelle1[[#This Row],[True Size X]]+Tabelle1[[#This Row],[True Size Y]])/2</f>
        <v>27.5</v>
      </c>
      <c r="G23" s="10">
        <f>(Tabelle1[[#This Row],[Predicted Size]]-Tabelle1[[#This Row],[True Mean Size ]])^2</f>
        <v>0.24707823943646945</v>
      </c>
      <c r="H23" s="5">
        <f t="shared" si="1"/>
        <v>3838.6472349639121</v>
      </c>
      <c r="I23" s="5">
        <f t="shared" si="0"/>
        <v>3721.4565937500006</v>
      </c>
      <c r="J23" s="9">
        <f>(Tabelle1[[#This Row],[Predicted Cooling Capacity '[kW']]]-Tabelle1[[#This Row],[True Cooling Capacity '[kW']]])^2</f>
        <v>13733.646388127727</v>
      </c>
      <c r="K23" s="5">
        <f>100/Tabelle1[[#This Row],[True Cooling Capacity '[kW']]]*Tabelle1[[#This Row],[Predicted Cooling Capacity '[kW']]]</f>
        <v>103.14905301893693</v>
      </c>
      <c r="M23" s="40">
        <v>3890.5966794294786</v>
      </c>
      <c r="N23" s="41">
        <f>M23-$T$17*$T$18*SQRT(1+1/$T$14+(Tabelle1[[#This Row],[True Cooling Capacity '[kW']]]-$T$15)^2/$T$16)</f>
        <v>2876.3051407684297</v>
      </c>
      <c r="O23" s="42">
        <f>M23+$T$17*$T$18*SQRT(1+1/$T$14+(Tabelle1[[#This Row],[True Cooling Capacity '[kW']]]-$T$15)^2/$T$16)</f>
        <v>4904.8882180905275</v>
      </c>
      <c r="P23" s="5">
        <f>M23-$T$17*$T$18*SQRT(1/$T$14+(Tabelle1[[#This Row],[True Cooling Capacity '[kW']]]-$T$15)^2/$T$16)</f>
        <v>3795.1316152642266</v>
      </c>
      <c r="Q23" s="5">
        <f>M23+$T$17*$T$18*SQRT(1/$T$14+(Tabelle1[[#This Row],[True Cooling Capacity '[kW']]]-$T$15)^2/$T$16)</f>
        <v>3986.0617435947306</v>
      </c>
      <c r="R23" s="5"/>
      <c r="AB23">
        <v>1000</v>
      </c>
      <c r="AC23" s="52">
        <f xml:space="preserve"> 0.9554*AB23 + 1347.4</f>
        <v>2302.8000000000002</v>
      </c>
    </row>
    <row r="24" spans="1:30" x14ac:dyDescent="0.3">
      <c r="A24" t="s">
        <v>22</v>
      </c>
      <c r="B24" s="3" t="s">
        <v>240</v>
      </c>
      <c r="C24" s="4">
        <v>28.427793801</v>
      </c>
      <c r="D24" s="3">
        <v>28</v>
      </c>
      <c r="E24" s="4">
        <v>27</v>
      </c>
      <c r="F24">
        <f>(Tabelle1[[#This Row],[True Size X]]+Tabelle1[[#This Row],[True Size Y]])/2</f>
        <v>27.5</v>
      </c>
      <c r="G24" s="10">
        <f>(Tabelle1[[#This Row],[Predicted Size]]-Tabelle1[[#This Row],[True Mean Size ]])^2</f>
        <v>0.86080133717402751</v>
      </c>
      <c r="H24" s="5">
        <f t="shared" si="1"/>
        <v>3940.9099688075207</v>
      </c>
      <c r="I24" s="5">
        <f t="shared" si="0"/>
        <v>3721.4565937500006</v>
      </c>
      <c r="J24" s="9">
        <f>(Tabelle1[[#This Row],[Predicted Cooling Capacity '[kW']]]-Tabelle1[[#This Row],[True Cooling Capacity '[kW']]])^2</f>
        <v>48159.783824136597</v>
      </c>
      <c r="K24" s="5">
        <f>100/Tabelle1[[#This Row],[True Cooling Capacity '[kW']]]*Tabelle1[[#This Row],[Predicted Cooling Capacity '[kW']]]</f>
        <v>105.89697527108287</v>
      </c>
      <c r="M24" s="40">
        <v>3890.5966794294786</v>
      </c>
      <c r="N24" s="41">
        <f>M24-$T$17*$T$18*SQRT(1+1/$T$14+(Tabelle1[[#This Row],[True Cooling Capacity '[kW']]]-$T$15)^2/$T$16)</f>
        <v>2876.3051407684297</v>
      </c>
      <c r="O24" s="42">
        <f>M24+$T$17*$T$18*SQRT(1+1/$T$14+(Tabelle1[[#This Row],[True Cooling Capacity '[kW']]]-$T$15)^2/$T$16)</f>
        <v>4904.8882180905275</v>
      </c>
      <c r="P24" s="5">
        <f>M24-$T$17*$T$18*SQRT(1/$T$14+(Tabelle1[[#This Row],[True Cooling Capacity '[kW']]]-$T$15)^2/$T$16)</f>
        <v>3795.1316152642266</v>
      </c>
      <c r="Q24" s="5">
        <f>M24+$T$17*$T$18*SQRT(1/$T$14+(Tabelle1[[#This Row],[True Cooling Capacity '[kW']]]-$T$15)^2/$T$16)</f>
        <v>3986.0617435947306</v>
      </c>
      <c r="R24" s="5"/>
      <c r="AB24">
        <v>60000</v>
      </c>
      <c r="AC24" s="52">
        <f xml:space="preserve"> 0.9554*AB24 + 1347.4</f>
        <v>58671.4</v>
      </c>
    </row>
    <row r="25" spans="1:30" x14ac:dyDescent="0.3">
      <c r="A25" t="s">
        <v>23</v>
      </c>
      <c r="B25" s="3" t="s">
        <v>166</v>
      </c>
      <c r="C25" s="4">
        <v>27.1356213555</v>
      </c>
      <c r="D25" s="3">
        <v>28</v>
      </c>
      <c r="E25" s="4">
        <v>27</v>
      </c>
      <c r="F25">
        <f>(Tabelle1[[#This Row],[True Size X]]+Tabelle1[[#This Row],[True Size Y]])/2</f>
        <v>27.5</v>
      </c>
      <c r="G25" s="10">
        <f>(Tabelle1[[#This Row],[Predicted Size]]-Tabelle1[[#This Row],[True Mean Size ]])^2</f>
        <v>0.13277179656765764</v>
      </c>
      <c r="H25" s="5">
        <f t="shared" si="1"/>
        <v>3636.1103413534333</v>
      </c>
      <c r="I25" s="5">
        <f t="shared" si="0"/>
        <v>3721.4565937500006</v>
      </c>
      <c r="J25" s="9">
        <f>(Tabelle1[[#This Row],[Predicted Cooling Capacity '[kW']]]-Tabelle1[[#This Row],[True Cooling Capacity '[kW']]])^2</f>
        <v>7283.9827981385615</v>
      </c>
      <c r="K25" s="5">
        <f>100/Tabelle1[[#This Row],[True Cooling Capacity '[kW']]]*Tabelle1[[#This Row],[Predicted Cooling Capacity '[kW']]]</f>
        <v>97.70664388401299</v>
      </c>
      <c r="M25" s="40">
        <v>3890.5966794294786</v>
      </c>
      <c r="N25" s="41">
        <f>M25-$T$17*$T$18*SQRT(1+1/$T$14+(Tabelle1[[#This Row],[True Cooling Capacity '[kW']]]-$T$15)^2/$T$16)</f>
        <v>2876.3051407684297</v>
      </c>
      <c r="O25" s="42">
        <f>M25+$T$17*$T$18*SQRT(1+1/$T$14+(Tabelle1[[#This Row],[True Cooling Capacity '[kW']]]-$T$15)^2/$T$16)</f>
        <v>4904.8882180905275</v>
      </c>
      <c r="P25" s="5">
        <f>M25-$T$17*$T$18*SQRT(1/$T$14+(Tabelle1[[#This Row],[True Cooling Capacity '[kW']]]-$T$15)^2/$T$16)</f>
        <v>3795.1316152642266</v>
      </c>
      <c r="Q25" s="5">
        <f>M25+$T$17*$T$18*SQRT(1/$T$14+(Tabelle1[[#This Row],[True Cooling Capacity '[kW']]]-$T$15)^2/$T$16)</f>
        <v>3986.0617435947306</v>
      </c>
      <c r="R25" s="5"/>
      <c r="AB25" t="s">
        <v>298</v>
      </c>
    </row>
    <row r="26" spans="1:30" x14ac:dyDescent="0.3">
      <c r="A26" t="s">
        <v>24</v>
      </c>
      <c r="B26" s="3" t="s">
        <v>162</v>
      </c>
      <c r="C26" s="4">
        <v>27.566345504000001</v>
      </c>
      <c r="D26" s="3">
        <v>28</v>
      </c>
      <c r="E26" s="4">
        <v>26</v>
      </c>
      <c r="F26">
        <f>(Tabelle1[[#This Row],[True Size X]]+Tabelle1[[#This Row],[True Size Y]])/2</f>
        <v>27</v>
      </c>
      <c r="G26" s="10">
        <f>(Tabelle1[[#This Row],[Predicted Size]]-Tabelle1[[#This Row],[True Mean Size ]])^2</f>
        <v>0.32074722990101506</v>
      </c>
      <c r="H26" s="5">
        <f t="shared" si="1"/>
        <v>3737.0473591458826</v>
      </c>
      <c r="I26" s="5">
        <f t="shared" si="0"/>
        <v>3604.4656949999994</v>
      </c>
      <c r="J26" s="9">
        <f>(Tabelle1[[#This Row],[Predicted Cooling Capacity '[kW']]]-Tabelle1[[#This Row],[True Cooling Capacity '[kW']]])^2</f>
        <v>17577.897667691777</v>
      </c>
      <c r="K26" s="5">
        <f>100/Tabelle1[[#This Row],[True Cooling Capacity '[kW']]]*Tabelle1[[#This Row],[Predicted Cooling Capacity '[kW']]]</f>
        <v>103.67826122828124</v>
      </c>
      <c r="M26" s="40">
        <v>3779.2064951984648</v>
      </c>
      <c r="N26" s="41">
        <f>M26-$T$17*$T$18*SQRT(1+1/$T$14+(Tabelle1[[#This Row],[True Cooling Capacity '[kW']]]-$T$15)^2/$T$16)</f>
        <v>2764.8558519864487</v>
      </c>
      <c r="O26" s="42">
        <f>M26+$T$17*$T$18*SQRT(1+1/$T$14+(Tabelle1[[#This Row],[True Cooling Capacity '[kW']]]-$T$15)^2/$T$16)</f>
        <v>4793.5571384104805</v>
      </c>
      <c r="P26" s="5">
        <f>M26-$T$17*$T$18*SQRT(1/$T$14+(Tabelle1[[#This Row],[True Cooling Capacity '[kW']]]-$T$15)^2/$T$16)</f>
        <v>3683.1154942602507</v>
      </c>
      <c r="Q26" s="5">
        <f>M26+$T$17*$T$18*SQRT(1/$T$14+(Tabelle1[[#This Row],[True Cooling Capacity '[kW']]]-$T$15)^2/$T$16)</f>
        <v>3875.297496136679</v>
      </c>
      <c r="R26" s="5"/>
      <c r="AB26">
        <v>1000</v>
      </c>
      <c r="AC26" s="52">
        <f xml:space="preserve"> 0.9488*AB26 - 652.77</f>
        <v>296.02999999999997</v>
      </c>
      <c r="AD26" s="52"/>
    </row>
    <row r="27" spans="1:30" x14ac:dyDescent="0.3">
      <c r="A27" t="s">
        <v>25</v>
      </c>
      <c r="B27" s="3" t="s">
        <v>186</v>
      </c>
      <c r="C27" s="4">
        <v>23.259104018999999</v>
      </c>
      <c r="D27" s="3">
        <v>24</v>
      </c>
      <c r="E27" s="4">
        <v>25</v>
      </c>
      <c r="F27">
        <f>(Tabelle1[[#This Row],[True Size X]]+Tabelle1[[#This Row],[True Size Y]])/2</f>
        <v>24.5</v>
      </c>
      <c r="G27" s="10">
        <f>(Tabelle1[[#This Row],[Predicted Size]]-Tabelle1[[#This Row],[True Mean Size ]])^2</f>
        <v>1.5398228356619557</v>
      </c>
      <c r="H27" s="5">
        <f t="shared" si="1"/>
        <v>2757.5057923725321</v>
      </c>
      <c r="I27" s="5">
        <f t="shared" si="0"/>
        <v>3032.9096137500005</v>
      </c>
      <c r="J27" s="9">
        <f>(Tabelle1[[#This Row],[Predicted Cooling Capacity '[kW']]]-Tabelle1[[#This Row],[True Cooling Capacity '[kW']]])^2</f>
        <v>75847.264829312509</v>
      </c>
      <c r="K27" s="5">
        <f>100/Tabelle1[[#This Row],[True Cooling Capacity '[kW']]]*Tabelle1[[#This Row],[Predicted Cooling Capacity '[kW']]]</f>
        <v>90.919484704427148</v>
      </c>
      <c r="M27" s="40">
        <v>3235.0125632855102</v>
      </c>
      <c r="N27" s="41">
        <f>M27-$T$17*$T$18*SQRT(1+1/$T$14+(Tabelle1[[#This Row],[True Cooling Capacity '[kW']]]-$T$15)^2/$T$16)</f>
        <v>2220.3155096824853</v>
      </c>
      <c r="O27" s="42">
        <f>M27+$T$17*$T$18*SQRT(1+1/$T$14+(Tabelle1[[#This Row],[True Cooling Capacity '[kW']]]-$T$15)^2/$T$16)</f>
        <v>4249.7096168885346</v>
      </c>
      <c r="P27" s="5">
        <f>M27-$T$17*$T$18*SQRT(1/$T$14+(Tabelle1[[#This Row],[True Cooling Capacity '[kW']]]-$T$15)^2/$T$16)</f>
        <v>3135.3312527637422</v>
      </c>
      <c r="Q27" s="5">
        <f>M27+$T$17*$T$18*SQRT(1/$T$14+(Tabelle1[[#This Row],[True Cooling Capacity '[kW']]]-$T$15)^2/$T$16)</f>
        <v>3334.6938738072781</v>
      </c>
      <c r="R27" s="5"/>
      <c r="AB27">
        <v>60000</v>
      </c>
      <c r="AC27" s="52">
        <f xml:space="preserve"> 0.9488*AB27 - 652.77</f>
        <v>56275.23</v>
      </c>
    </row>
    <row r="28" spans="1:30" x14ac:dyDescent="0.3">
      <c r="A28" t="s">
        <v>26</v>
      </c>
      <c r="B28" s="3" t="s">
        <v>247</v>
      </c>
      <c r="C28" s="4">
        <v>22.828379870500001</v>
      </c>
      <c r="D28" s="3">
        <v>23</v>
      </c>
      <c r="E28" s="4">
        <v>24</v>
      </c>
      <c r="F28">
        <f>(Tabelle1[[#This Row],[True Size X]]+Tabelle1[[#This Row],[True Size Y]])/2</f>
        <v>23.5</v>
      </c>
      <c r="G28" s="10">
        <f>(Tabelle1[[#This Row],[Predicted Size]]-Tabelle1[[#This Row],[True Mean Size ]])^2</f>
        <v>0.45107359834959548</v>
      </c>
      <c r="H28" s="5">
        <f t="shared" si="1"/>
        <v>2663.1973548358915</v>
      </c>
      <c r="I28" s="5">
        <f t="shared" si="0"/>
        <v>2810.5397737499993</v>
      </c>
      <c r="J28" s="9">
        <f>(Tabelle1[[#This Row],[Predicted Cooling Capacity '[kW']]]-Tabelle1[[#This Row],[True Cooling Capacity '[kW']]])^2</f>
        <v>21709.788411460442</v>
      </c>
      <c r="K28" s="5">
        <f>100/Tabelle1[[#This Row],[True Cooling Capacity '[kW']]]*Tabelle1[[#This Row],[Predicted Cooling Capacity '[kW']]]</f>
        <v>94.757504580071682</v>
      </c>
      <c r="M28" s="40">
        <v>3023.2882521666434</v>
      </c>
      <c r="N28" s="41">
        <f>M28-$T$17*$T$18*SQRT(1+1/$T$14+(Tabelle1[[#This Row],[True Cooling Capacity '[kW']]]-$T$15)^2/$T$16)</f>
        <v>2008.4305732478806</v>
      </c>
      <c r="O28" s="42">
        <f>M28+$T$17*$T$18*SQRT(1+1/$T$14+(Tabelle1[[#This Row],[True Cooling Capacity '[kW']]]-$T$15)^2/$T$16)</f>
        <v>4038.1459310854061</v>
      </c>
      <c r="P28" s="5">
        <f>M28-$T$17*$T$18*SQRT(1/$T$14+(Tabelle1[[#This Row],[True Cooling Capacity '[kW']]]-$T$15)^2/$T$16)</f>
        <v>2921.984937625331</v>
      </c>
      <c r="Q28" s="5">
        <f>M28+$T$17*$T$18*SQRT(1/$T$14+(Tabelle1[[#This Row],[True Cooling Capacity '[kW']]]-$T$15)^2/$T$16)</f>
        <v>3124.5915667079557</v>
      </c>
      <c r="R28" s="5"/>
    </row>
    <row r="29" spans="1:30" x14ac:dyDescent="0.3">
      <c r="A29" t="s">
        <v>27</v>
      </c>
      <c r="B29" s="3" t="s">
        <v>208</v>
      </c>
      <c r="C29" s="4">
        <v>27.997069652499999</v>
      </c>
      <c r="D29" s="3">
        <v>29</v>
      </c>
      <c r="E29" s="4">
        <v>26</v>
      </c>
      <c r="F29">
        <f>(Tabelle1[[#This Row],[True Size X]]+Tabelle1[[#This Row],[True Size Y]])/2</f>
        <v>27.5</v>
      </c>
      <c r="G29" s="10">
        <f>(Tabelle1[[#This Row],[Predicted Size]]-Tabelle1[[#This Row],[True Mean Size ]])^2</f>
        <v>0.24707823943646945</v>
      </c>
      <c r="H29" s="5">
        <f t="shared" si="1"/>
        <v>3838.6472349639121</v>
      </c>
      <c r="I29" s="5">
        <f t="shared" si="0"/>
        <v>3721.4565937500006</v>
      </c>
      <c r="J29" s="9">
        <f>(Tabelle1[[#This Row],[Predicted Cooling Capacity '[kW']]]-Tabelle1[[#This Row],[True Cooling Capacity '[kW']]])^2</f>
        <v>13733.646388127727</v>
      </c>
      <c r="K29" s="5">
        <f>100/Tabelle1[[#This Row],[True Cooling Capacity '[kW']]]*Tabelle1[[#This Row],[Predicted Cooling Capacity '[kW']]]</f>
        <v>103.14905301893693</v>
      </c>
      <c r="M29" s="40">
        <v>3890.5966794294786</v>
      </c>
      <c r="N29" s="41">
        <f>M29-$T$17*$T$18*SQRT(1+1/$T$14+(Tabelle1[[#This Row],[True Cooling Capacity '[kW']]]-$T$15)^2/$T$16)</f>
        <v>2876.3051407684297</v>
      </c>
      <c r="O29" s="42">
        <f>M29+$T$17*$T$18*SQRT(1+1/$T$14+(Tabelle1[[#This Row],[True Cooling Capacity '[kW']]]-$T$15)^2/$T$16)</f>
        <v>4904.8882180905275</v>
      </c>
      <c r="P29" s="5">
        <f>M29-$T$17*$T$18*SQRT(1/$T$14+(Tabelle1[[#This Row],[True Cooling Capacity '[kW']]]-$T$15)^2/$T$16)</f>
        <v>3795.1316152642266</v>
      </c>
      <c r="Q29" s="5">
        <f>M29+$T$17*$T$18*SQRT(1/$T$14+(Tabelle1[[#This Row],[True Cooling Capacity '[kW']]]-$T$15)^2/$T$16)</f>
        <v>3986.0617435947306</v>
      </c>
      <c r="R29" s="5"/>
    </row>
    <row r="30" spans="1:30" x14ac:dyDescent="0.3">
      <c r="A30" t="s">
        <v>28</v>
      </c>
      <c r="B30" s="3" t="s">
        <v>249</v>
      </c>
      <c r="C30" s="4">
        <v>25.843448909999999</v>
      </c>
      <c r="D30" s="3">
        <v>27</v>
      </c>
      <c r="E30" s="4">
        <v>23</v>
      </c>
      <c r="F30">
        <f>(Tabelle1[[#This Row],[True Size X]]+Tabelle1[[#This Row],[True Size Y]])/2</f>
        <v>25</v>
      </c>
      <c r="G30" s="10">
        <f>(Tabelle1[[#This Row],[Predicted Size]]-Tabelle1[[#This Row],[True Mean Size ]])^2</f>
        <v>0.711406063780187</v>
      </c>
      <c r="H30" s="5">
        <f t="shared" si="1"/>
        <v>3337.2764361295726</v>
      </c>
      <c r="I30" s="5">
        <f t="shared" si="0"/>
        <v>3145.4343750000003</v>
      </c>
      <c r="J30" s="9">
        <f>(Tabelle1[[#This Row],[Predicted Cooling Capacity '[kW']]]-Tabelle1[[#This Row],[True Cooling Capacity '[kW']]])^2</f>
        <v>36803.376418442575</v>
      </c>
      <c r="K30" s="5">
        <f>100/Tabelle1[[#This Row],[True Cooling Capacity '[kW']]]*Tabelle1[[#This Row],[Predicted Cooling Capacity '[kW']]]</f>
        <v>106.0990641755027</v>
      </c>
      <c r="M30" s="40">
        <v>3342.1504177691536</v>
      </c>
      <c r="N30" s="41">
        <f>M30-$T$17*$T$18*SQRT(1+1/$T$14+(Tabelle1[[#This Row],[True Cooling Capacity '[kW']]]-$T$15)^2/$T$16)</f>
        <v>2327.529128378545</v>
      </c>
      <c r="O30" s="42">
        <f>M30+$T$17*$T$18*SQRT(1+1/$T$14+(Tabelle1[[#This Row],[True Cooling Capacity '[kW']]]-$T$15)^2/$T$16)</f>
        <v>4356.7717071597626</v>
      </c>
      <c r="P30" s="5">
        <f>M30-$T$17*$T$18*SQRT(1/$T$14+(Tabelle1[[#This Row],[True Cooling Capacity '[kW']]]-$T$15)^2/$T$16)</f>
        <v>3243.2433201404274</v>
      </c>
      <c r="Q30" s="5">
        <f>M30+$T$17*$T$18*SQRT(1/$T$14+(Tabelle1[[#This Row],[True Cooling Capacity '[kW']]]-$T$15)^2/$T$16)</f>
        <v>3441.0575153978798</v>
      </c>
      <c r="R30" s="5"/>
    </row>
    <row r="31" spans="1:30" x14ac:dyDescent="0.3">
      <c r="A31" t="s">
        <v>29</v>
      </c>
      <c r="B31" s="3" t="s">
        <v>172</v>
      </c>
      <c r="C31" s="4">
        <v>29.289242097999999</v>
      </c>
      <c r="D31" s="3">
        <v>28</v>
      </c>
      <c r="E31" s="4">
        <v>27</v>
      </c>
      <c r="F31">
        <f>(Tabelle1[[#This Row],[True Size X]]+Tabelle1[[#This Row],[True Size Y]])/2</f>
        <v>27.5</v>
      </c>
      <c r="G31" s="10">
        <f>(Tabelle1[[#This Row],[Predicted Size]]-Tabelle1[[#This Row],[True Mean Size ]])^2</f>
        <v>3.2013872852554379</v>
      </c>
      <c r="H31" s="5">
        <f t="shared" si="1"/>
        <v>4147.4240105714834</v>
      </c>
      <c r="I31" s="5">
        <f t="shared" si="0"/>
        <v>3721.4565937500006</v>
      </c>
      <c r="J31" s="9">
        <f>(Tabelle1[[#This Row],[Predicted Cooling Capacity '[kW']]]-Tabelle1[[#This Row],[True Cooling Capacity '[kW']]])^2</f>
        <v>181448.24019356692</v>
      </c>
      <c r="K31" s="5">
        <f>100/Tabelle1[[#This Row],[True Cooling Capacity '[kW']]]*Tabelle1[[#This Row],[Predicted Cooling Capacity '[kW']]]</f>
        <v>111.44625514474289</v>
      </c>
      <c r="M31" s="40">
        <v>3890.5966794294786</v>
      </c>
      <c r="N31" s="41">
        <f>M31-$T$17*$T$18*SQRT(1+1/$T$14+(Tabelle1[[#This Row],[True Cooling Capacity '[kW']]]-$T$15)^2/$T$16)</f>
        <v>2876.3051407684297</v>
      </c>
      <c r="O31" s="42">
        <f>M31+$T$17*$T$18*SQRT(1+1/$T$14+(Tabelle1[[#This Row],[True Cooling Capacity '[kW']]]-$T$15)^2/$T$16)</f>
        <v>4904.8882180905275</v>
      </c>
      <c r="P31" s="5">
        <f>M31-$T$17*$T$18*SQRT(1/$T$14+(Tabelle1[[#This Row],[True Cooling Capacity '[kW']]]-$T$15)^2/$T$16)</f>
        <v>3795.1316152642266</v>
      </c>
      <c r="Q31" s="5">
        <f>M31+$T$17*$T$18*SQRT(1/$T$14+(Tabelle1[[#This Row],[True Cooling Capacity '[kW']]]-$T$15)^2/$T$16)</f>
        <v>3986.0617435947306</v>
      </c>
      <c r="R31" s="5"/>
      <c r="AC31">
        <f>AC23+AC26</f>
        <v>2598.83</v>
      </c>
    </row>
    <row r="32" spans="1:30" x14ac:dyDescent="0.3">
      <c r="A32" t="s">
        <v>30</v>
      </c>
      <c r="B32" s="3" t="s">
        <v>149</v>
      </c>
      <c r="C32" s="4">
        <v>22.828379870500001</v>
      </c>
      <c r="D32" s="3">
        <v>23</v>
      </c>
      <c r="E32" s="4">
        <v>23</v>
      </c>
      <c r="F32">
        <f>(Tabelle1[[#This Row],[True Size X]]+Tabelle1[[#This Row],[True Size Y]])/2</f>
        <v>23</v>
      </c>
      <c r="G32" s="10">
        <f>(Tabelle1[[#This Row],[Predicted Size]]-Tabelle1[[#This Row],[True Mean Size ]])^2</f>
        <v>2.9453468849596445E-2</v>
      </c>
      <c r="H32" s="5">
        <f t="shared" si="1"/>
        <v>2663.1973548358915</v>
      </c>
      <c r="I32" s="5">
        <f t="shared" si="0"/>
        <v>2700.6946949999997</v>
      </c>
      <c r="J32" s="9">
        <f>(Tabelle1[[#This Row],[Predicted Cooling Capacity '[kW']]]-Tabelle1[[#This Row],[True Cooling Capacity '[kW']]])^2</f>
        <v>1406.0505193828426</v>
      </c>
      <c r="K32" s="5">
        <f>100/Tabelle1[[#This Row],[True Cooling Capacity '[kW']]]*Tabelle1[[#This Row],[Predicted Cooling Capacity '[kW']]]</f>
        <v>98.611566859685041</v>
      </c>
      <c r="M32" s="40">
        <v>2918.7017955314213</v>
      </c>
      <c r="N32" s="41">
        <f>M32-$T$17*$T$18*SQRT(1+1/$T$14+(Tabelle1[[#This Row],[True Cooling Capacity '[kW']]]-$T$15)^2/$T$16)</f>
        <v>1903.759431652325</v>
      </c>
      <c r="O32" s="42">
        <f>M32+$T$17*$T$18*SQRT(1+1/$T$14+(Tabelle1[[#This Row],[True Cooling Capacity '[kW']]]-$T$15)^2/$T$16)</f>
        <v>3933.6441594105177</v>
      </c>
      <c r="P32" s="5">
        <f>M32-$T$17*$T$18*SQRT(1/$T$14+(Tabelle1[[#This Row],[True Cooling Capacity '[kW']]]-$T$15)^2/$T$16)</f>
        <v>2816.5535940143841</v>
      </c>
      <c r="Q32" s="5">
        <f>M32+$T$17*$T$18*SQRT(1/$T$14+(Tabelle1[[#This Row],[True Cooling Capacity '[kW']]]-$T$15)^2/$T$16)</f>
        <v>3020.8499970484586</v>
      </c>
      <c r="R32" s="5"/>
    </row>
    <row r="33" spans="1:18" x14ac:dyDescent="0.3">
      <c r="A33" t="s">
        <v>31</v>
      </c>
      <c r="B33" s="3" t="s">
        <v>145</v>
      </c>
      <c r="C33" s="4">
        <v>22.397655722</v>
      </c>
      <c r="D33" s="3">
        <v>23</v>
      </c>
      <c r="E33" s="4">
        <v>22</v>
      </c>
      <c r="F33">
        <f>(Tabelle1[[#This Row],[True Size X]]+Tabelle1[[#This Row],[True Size Y]])/2</f>
        <v>22.5</v>
      </c>
      <c r="G33" s="10">
        <f>(Tabelle1[[#This Row],[Predicted Size]]-Tabelle1[[#This Row],[True Mean Size ]])^2</f>
        <v>1.0474351239341354E-2</v>
      </c>
      <c r="H33" s="5">
        <f t="shared" si="1"/>
        <v>2569.5517753248305</v>
      </c>
      <c r="I33" s="5">
        <f t="shared" si="0"/>
        <v>2591.7428437499998</v>
      </c>
      <c r="J33" s="9">
        <f>(Tabelle1[[#This Row],[Predicted Cooling Capacity '[kW']]]-Tabelle1[[#This Row],[True Cooling Capacity '[kW']]])^2</f>
        <v>492.44351785054613</v>
      </c>
      <c r="K33" s="5">
        <f>100/Tabelle1[[#This Row],[True Cooling Capacity '[kW']]]*Tabelle1[[#This Row],[Predicted Cooling Capacity '[kW']]]</f>
        <v>99.143778153813258</v>
      </c>
      <c r="M33" s="40">
        <v>2814.9658048456727</v>
      </c>
      <c r="N33" s="41">
        <f>M33-$T$17*$T$18*SQRT(1+1/$T$14+(Tabelle1[[#This Row],[True Cooling Capacity '[kW']]]-$T$15)^2/$T$16)</f>
        <v>1799.9359573916668</v>
      </c>
      <c r="O33" s="42">
        <f>M33+$T$17*$T$18*SQRT(1+1/$T$14+(Tabelle1[[#This Row],[True Cooling Capacity '[kW']]]-$T$15)^2/$T$16)</f>
        <v>3829.9956522996786</v>
      </c>
      <c r="P33" s="5">
        <f>M33-$T$17*$T$18*SQRT(1/$T$14+(Tabelle1[[#This Row],[True Cooling Capacity '[kW']]]-$T$15)^2/$T$16)</f>
        <v>2711.9519984934177</v>
      </c>
      <c r="Q33" s="5">
        <f>M33+$T$17*$T$18*SQRT(1/$T$14+(Tabelle1[[#This Row],[True Cooling Capacity '[kW']]]-$T$15)^2/$T$16)</f>
        <v>2917.9796111979276</v>
      </c>
      <c r="R33" s="5"/>
    </row>
    <row r="34" spans="1:18" x14ac:dyDescent="0.3">
      <c r="A34" t="s">
        <v>32</v>
      </c>
      <c r="B34" s="3" t="s">
        <v>141</v>
      </c>
      <c r="C34" s="4">
        <v>23.6898281675</v>
      </c>
      <c r="D34" s="3">
        <v>23</v>
      </c>
      <c r="E34" s="4">
        <v>23</v>
      </c>
      <c r="F34">
        <f>(Tabelle1[[#This Row],[True Size X]]+Tabelle1[[#This Row],[True Size Y]])/2</f>
        <v>23</v>
      </c>
      <c r="G34" s="10">
        <f>(Tabelle1[[#This Row],[Predicted Size]]-Tabelle1[[#This Row],[True Mean Size ]])^2</f>
        <v>0.47586290067640802</v>
      </c>
      <c r="H34" s="5">
        <f t="shared" si="1"/>
        <v>2852.4770879347529</v>
      </c>
      <c r="I34" s="5">
        <f t="shared" si="0"/>
        <v>2700.6946949999997</v>
      </c>
      <c r="J34" s="9">
        <f>(Tabelle1[[#This Row],[Predicted Cooling Capacity '[kW']]]-Tabelle1[[#This Row],[True Cooling Capacity '[kW']]])^2</f>
        <v>23037.894804999836</v>
      </c>
      <c r="K34" s="5">
        <f>100/Tabelle1[[#This Row],[True Cooling Capacity '[kW']]]*Tabelle1[[#This Row],[Predicted Cooling Capacity '[kW']]]</f>
        <v>105.62012408199119</v>
      </c>
      <c r="M34" s="40">
        <v>2918.7017955314213</v>
      </c>
      <c r="N34" s="41">
        <f>M34-$T$17*$T$18*SQRT(1+1/$T$14+(Tabelle1[[#This Row],[True Cooling Capacity '[kW']]]-$T$15)^2/$T$16)</f>
        <v>1903.759431652325</v>
      </c>
      <c r="O34" s="42">
        <f>M34+$T$17*$T$18*SQRT(1+1/$T$14+(Tabelle1[[#This Row],[True Cooling Capacity '[kW']]]-$T$15)^2/$T$16)</f>
        <v>3933.6441594105177</v>
      </c>
      <c r="P34" s="5">
        <f>M34-$T$17*$T$18*SQRT(1/$T$14+(Tabelle1[[#This Row],[True Cooling Capacity '[kW']]]-$T$15)^2/$T$16)</f>
        <v>2816.5535940143841</v>
      </c>
      <c r="Q34" s="5">
        <f>M34+$T$17*$T$18*SQRT(1/$T$14+(Tabelle1[[#This Row],[True Cooling Capacity '[kW']]]-$T$15)^2/$T$16)</f>
        <v>3020.8499970484586</v>
      </c>
      <c r="R34" s="5"/>
    </row>
    <row r="35" spans="1:18" x14ac:dyDescent="0.3">
      <c r="A35" t="s">
        <v>33</v>
      </c>
      <c r="B35" s="3" t="s">
        <v>171</v>
      </c>
      <c r="C35" s="4">
        <v>25.843448909999999</v>
      </c>
      <c r="D35" s="3">
        <v>27</v>
      </c>
      <c r="E35" s="4">
        <v>25</v>
      </c>
      <c r="F35">
        <f>(Tabelle1[[#This Row],[True Size X]]+Tabelle1[[#This Row],[True Size Y]])/2</f>
        <v>26</v>
      </c>
      <c r="G35" s="10">
        <f>(Tabelle1[[#This Row],[Predicted Size]]-Tabelle1[[#This Row],[True Mean Size ]])^2</f>
        <v>2.4508243780188309E-2</v>
      </c>
      <c r="H35" s="5">
        <f t="shared" ref="H35:H66" si="2">220.55*(C35*0.09)^2 + 1518*(C35*0.09) - 1386.6</f>
        <v>3337.2764361295726</v>
      </c>
      <c r="I35" s="5">
        <f t="shared" ref="I35:I66" si="3">220.55*(F35*0.09)^2 + 1518*(F35*0.09) - 1386.6</f>
        <v>3373.1635799999999</v>
      </c>
      <c r="J35" s="9">
        <f>(Tabelle1[[#This Row],[Predicted Cooling Capacity '[kW']]]-Tabelle1[[#This Row],[True Cooling Capacity '[kW']]])^2</f>
        <v>1287.8870951767462</v>
      </c>
      <c r="K35" s="5">
        <f>100/Tabelle1[[#This Row],[True Cooling Capacity '[kW']]]*Tabelle1[[#This Row],[Predicted Cooling Capacity '[kW']]]</f>
        <v>98.936098323745469</v>
      </c>
      <c r="M35" s="40">
        <v>3558.9775245848618</v>
      </c>
      <c r="N35" s="41">
        <f>M35-$T$17*$T$18*SQRT(1+1/$T$14+(Tabelle1[[#This Row],[True Cooling Capacity '[kW']]]-$T$15)^2/$T$16)</f>
        <v>2544.498221107915</v>
      </c>
      <c r="O35" s="42">
        <f>M35+$T$17*$T$18*SQRT(1+1/$T$14+(Tabelle1[[#This Row],[True Cooling Capacity '[kW']]]-$T$15)^2/$T$16)</f>
        <v>4573.4568280618087</v>
      </c>
      <c r="P35" s="5">
        <f>M35-$T$17*$T$18*SQRT(1/$T$14+(Tabelle1[[#This Row],[True Cooling Capacity '[kW']]]-$T$15)^2/$T$16)</f>
        <v>3461.5377469796754</v>
      </c>
      <c r="Q35" s="5">
        <f>M35+$T$17*$T$18*SQRT(1/$T$14+(Tabelle1[[#This Row],[True Cooling Capacity '[kW']]]-$T$15)^2/$T$16)</f>
        <v>3656.4173021900483</v>
      </c>
      <c r="R35" s="5"/>
    </row>
    <row r="36" spans="1:18" x14ac:dyDescent="0.3">
      <c r="A36" t="s">
        <v>34</v>
      </c>
      <c r="B36" s="3" t="s">
        <v>161</v>
      </c>
      <c r="C36" s="4">
        <v>42.210966552999999</v>
      </c>
      <c r="D36" s="3">
        <v>38</v>
      </c>
      <c r="E36" s="4">
        <v>40</v>
      </c>
      <c r="F36">
        <f>(Tabelle1[[#This Row],[True Size X]]+Tabelle1[[#This Row],[True Size Y]])/2</f>
        <v>39</v>
      </c>
      <c r="G36" s="10">
        <f>(Tabelle1[[#This Row],[Predicted Size]]-Tabelle1[[#This Row],[True Mean Size ]])^2</f>
        <v>10.310306204484693</v>
      </c>
      <c r="H36" s="5">
        <f t="shared" si="2"/>
        <v>7563.3064893096835</v>
      </c>
      <c r="I36" s="5">
        <f t="shared" si="3"/>
        <v>6658.7780549999989</v>
      </c>
      <c r="J36" s="9">
        <f>(Tabelle1[[#This Row],[Predicted Cooling Capacity '[kW']]]-Tabelle1[[#This Row],[True Cooling Capacity '[kW']]])^2</f>
        <v>818171.68847472942</v>
      </c>
      <c r="K36" s="5">
        <f>100/Tabelle1[[#This Row],[True Cooling Capacity '[kW']]]*Tabelle1[[#This Row],[Predicted Cooling Capacity '[kW']]]</f>
        <v>113.58400035019164</v>
      </c>
      <c r="M36" s="40">
        <v>6687.2995187975184</v>
      </c>
      <c r="N36" s="41">
        <f>M36-$T$17*$T$18*SQRT(1+1/$T$14+(Tabelle1[[#This Row],[True Cooling Capacity '[kW']]]-$T$15)^2/$T$16)</f>
        <v>5673.1759922037718</v>
      </c>
      <c r="O36" s="42">
        <f>M36+$T$17*$T$18*SQRT(1+1/$T$14+(Tabelle1[[#This Row],[True Cooling Capacity '[kW']]]-$T$15)^2/$T$16)</f>
        <v>7701.4230453912651</v>
      </c>
      <c r="P36" s="5">
        <f>M36-$T$17*$T$18*SQRT(1/$T$14+(Tabelle1[[#This Row],[True Cooling Capacity '[kW']]]-$T$15)^2/$T$16)</f>
        <v>6593.6363976258754</v>
      </c>
      <c r="Q36" s="5">
        <f>M36+$T$17*$T$18*SQRT(1/$T$14+(Tabelle1[[#This Row],[True Cooling Capacity '[kW']]]-$T$15)^2/$T$16)</f>
        <v>6780.9626399691615</v>
      </c>
      <c r="R36" s="5"/>
    </row>
    <row r="37" spans="1:18" x14ac:dyDescent="0.3">
      <c r="A37" t="s">
        <v>35</v>
      </c>
      <c r="B37" s="3" t="s">
        <v>134</v>
      </c>
      <c r="C37" s="4">
        <v>43.072414850000001</v>
      </c>
      <c r="D37" s="3">
        <v>39</v>
      </c>
      <c r="E37" s="4">
        <v>40</v>
      </c>
      <c r="F37">
        <f>(Tabelle1[[#This Row],[True Size X]]+Tabelle1[[#This Row],[True Size Y]])/2</f>
        <v>39.5</v>
      </c>
      <c r="G37" s="10">
        <f>(Tabelle1[[#This Row],[Predicted Size]]-Tabelle1[[#This Row],[True Mean Size ]])^2</f>
        <v>12.762147860500532</v>
      </c>
      <c r="H37" s="5">
        <f t="shared" si="2"/>
        <v>7812.2434447108153</v>
      </c>
      <c r="I37" s="5">
        <f t="shared" si="3"/>
        <v>6797.2064137499983</v>
      </c>
      <c r="J37" s="9">
        <f>(Tabelle1[[#This Row],[Predicted Cooling Capacity '[kW']]]-Tabelle1[[#This Row],[True Cooling Capacity '[kW']]])^2</f>
        <v>1030300.1742217506</v>
      </c>
      <c r="K37" s="5">
        <f>100/Tabelle1[[#This Row],[True Cooling Capacity '[kW']]]*Tabelle1[[#This Row],[Predicted Cooling Capacity '[kW']]]</f>
        <v>114.93315002038939</v>
      </c>
      <c r="M37" s="40">
        <v>6819.1008858159003</v>
      </c>
      <c r="N37" s="41">
        <f>M37-$T$17*$T$18*SQRT(1+1/$T$14+(Tabelle1[[#This Row],[True Cooling Capacity '[kW']]]-$T$15)^2/$T$16)</f>
        <v>5804.9228140590676</v>
      </c>
      <c r="O37" s="42">
        <f>M37+$T$17*$T$18*SQRT(1+1/$T$14+(Tabelle1[[#This Row],[True Cooling Capacity '[kW']]]-$T$15)^2/$T$16)</f>
        <v>7833.2789575727329</v>
      </c>
      <c r="P37" s="5">
        <f>M37-$T$17*$T$18*SQRT(1/$T$14+(Tabelle1[[#This Row],[True Cooling Capacity '[kW']]]-$T$15)^2/$T$16)</f>
        <v>6724.8490194731839</v>
      </c>
      <c r="Q37" s="5">
        <f>M37+$T$17*$T$18*SQRT(1/$T$14+(Tabelle1[[#This Row],[True Cooling Capacity '[kW']]]-$T$15)^2/$T$16)</f>
        <v>6913.3527521586166</v>
      </c>
      <c r="R37" s="5"/>
    </row>
    <row r="38" spans="1:18" x14ac:dyDescent="0.3">
      <c r="A38" t="s">
        <v>36</v>
      </c>
      <c r="B38" s="3" t="s">
        <v>214</v>
      </c>
      <c r="C38" s="4">
        <v>33.165759434500004</v>
      </c>
      <c r="D38" s="3">
        <v>28</v>
      </c>
      <c r="E38" s="4">
        <v>31</v>
      </c>
      <c r="F38">
        <f>(Tabelle1[[#This Row],[True Size X]]+Tabelle1[[#This Row],[True Size Y]])/2</f>
        <v>29.5</v>
      </c>
      <c r="G38" s="10">
        <f>(Tabelle1[[#This Row],[Predicted Size]]-Tabelle1[[#This Row],[True Mean Size ]])^2</f>
        <v>13.437792231625785</v>
      </c>
      <c r="H38" s="5">
        <f t="shared" si="2"/>
        <v>5109.5486707755626</v>
      </c>
      <c r="I38" s="5">
        <f t="shared" si="3"/>
        <v>4198.3524637499995</v>
      </c>
      <c r="J38" s="9">
        <f>(Tabelle1[[#This Row],[Predicted Cooling Capacity '[kW']]]-Tabelle1[[#This Row],[True Cooling Capacity '[kW']]])^2</f>
        <v>830278.52769777295</v>
      </c>
      <c r="K38" s="5">
        <f>100/Tabelle1[[#This Row],[True Cooling Capacity '[kW']]]*Tabelle1[[#This Row],[Predicted Cooling Capacity '[kW']]]</f>
        <v>121.70366149324384</v>
      </c>
      <c r="M38" s="40">
        <v>4344.6620758482641</v>
      </c>
      <c r="N38" s="41">
        <f>M38-$T$17*$T$18*SQRT(1+1/$T$14+(Tabelle1[[#This Row],[True Cooling Capacity '[kW']]]-$T$15)^2/$T$16)</f>
        <v>3330.569949753763</v>
      </c>
      <c r="O38" s="42">
        <f>M38+$T$17*$T$18*SQRT(1+1/$T$14+(Tabelle1[[#This Row],[True Cooling Capacity '[kW']]]-$T$15)^2/$T$16)</f>
        <v>5358.7542019427656</v>
      </c>
      <c r="P38" s="5">
        <f>M38-$T$17*$T$18*SQRT(1/$T$14+(Tabelle1[[#This Row],[True Cooling Capacity '[kW']]]-$T$15)^2/$T$16)</f>
        <v>4251.3395529315376</v>
      </c>
      <c r="Q38" s="5">
        <f>M38+$T$17*$T$18*SQRT(1/$T$14+(Tabelle1[[#This Row],[True Cooling Capacity '[kW']]]-$T$15)^2/$T$16)</f>
        <v>4437.9845987649906</v>
      </c>
      <c r="R38" s="5"/>
    </row>
    <row r="39" spans="1:18" x14ac:dyDescent="0.3">
      <c r="A39" t="s">
        <v>37</v>
      </c>
      <c r="B39" s="3" t="s">
        <v>213</v>
      </c>
      <c r="C39" s="4">
        <v>33.165759434500004</v>
      </c>
      <c r="D39" s="3">
        <v>29</v>
      </c>
      <c r="E39" s="4">
        <v>31</v>
      </c>
      <c r="F39">
        <f>(Tabelle1[[#This Row],[True Size X]]+Tabelle1[[#This Row],[True Size Y]])/2</f>
        <v>30</v>
      </c>
      <c r="G39" s="10">
        <f>(Tabelle1[[#This Row],[Predicted Size]]-Tabelle1[[#This Row],[True Mean Size ]])^2</f>
        <v>10.022032797125782</v>
      </c>
      <c r="H39" s="5">
        <f t="shared" si="2"/>
        <v>5109.5486707755626</v>
      </c>
      <c r="I39" s="5">
        <f t="shared" si="3"/>
        <v>4319.8094999999994</v>
      </c>
      <c r="J39" s="9">
        <f>(Tabelle1[[#This Row],[Predicted Cooling Capacity '[kW']]]-Tabelle1[[#This Row],[True Cooling Capacity '[kW']]])^2</f>
        <v>623687.95785727422</v>
      </c>
      <c r="K39" s="5">
        <f>100/Tabelle1[[#This Row],[True Cooling Capacity '[kW']]]*Tabelle1[[#This Row],[Predicted Cooling Capacity '[kW']]]</f>
        <v>118.28180550034818</v>
      </c>
      <c r="M39" s="40">
        <v>4460.3045898266455</v>
      </c>
      <c r="N39" s="41">
        <f>M39-$T$17*$T$18*SQRT(1+1/$T$14+(Tabelle1[[#This Row],[True Cooling Capacity '[kW']]]-$T$15)^2/$T$16)</f>
        <v>3446.2525939867814</v>
      </c>
      <c r="O39" s="42">
        <f>M39+$T$17*$T$18*SQRT(1+1/$T$14+(Tabelle1[[#This Row],[True Cooling Capacity '[kW']]]-$T$15)^2/$T$16)</f>
        <v>5474.35658566651</v>
      </c>
      <c r="P39" s="5">
        <f>M39-$T$17*$T$18*SQRT(1/$T$14+(Tabelle1[[#This Row],[True Cooling Capacity '[kW']]]-$T$15)^2/$T$16)</f>
        <v>4367.4191585497801</v>
      </c>
      <c r="Q39" s="5">
        <f>M39+$T$17*$T$18*SQRT(1/$T$14+(Tabelle1[[#This Row],[True Cooling Capacity '[kW']]]-$T$15)^2/$T$16)</f>
        <v>4553.1900211035108</v>
      </c>
      <c r="R39" s="5"/>
    </row>
    <row r="40" spans="1:18" x14ac:dyDescent="0.3">
      <c r="A40" t="s">
        <v>38</v>
      </c>
      <c r="B40" s="3" t="s">
        <v>148</v>
      </c>
      <c r="C40" s="4">
        <v>24.120552316000001</v>
      </c>
      <c r="D40" s="3">
        <v>25</v>
      </c>
      <c r="E40" s="4">
        <v>24</v>
      </c>
      <c r="F40">
        <f>(Tabelle1[[#This Row],[True Size X]]+Tabelle1[[#This Row],[True Size Y]])/2</f>
        <v>24.5</v>
      </c>
      <c r="G40" s="10">
        <f>(Tabelle1[[#This Row],[Predicted Size]]-Tabelle1[[#This Row],[True Mean Size ]])^2</f>
        <v>0.14398054489296289</v>
      </c>
      <c r="H40" s="5">
        <f t="shared" si="2"/>
        <v>2948.1112415225557</v>
      </c>
      <c r="I40" s="5">
        <f t="shared" si="3"/>
        <v>3032.9096137500005</v>
      </c>
      <c r="J40" s="9">
        <f>(Tabelle1[[#This Row],[Predicted Cooling Capacity '[kW']]]-Tabelle1[[#This Row],[True Cooling Capacity '[kW']]])^2</f>
        <v>7190.7639324242846</v>
      </c>
      <c r="K40" s="5">
        <f>100/Tabelle1[[#This Row],[True Cooling Capacity '[kW']]]*Tabelle1[[#This Row],[Predicted Cooling Capacity '[kW']]]</f>
        <v>97.204058708409818</v>
      </c>
      <c r="M40" s="40">
        <v>3235.0125632855102</v>
      </c>
      <c r="N40" s="41">
        <f>M40-$T$17*$T$18*SQRT(1+1/$T$14+(Tabelle1[[#This Row],[True Cooling Capacity '[kW']]]-$T$15)^2/$T$16)</f>
        <v>2220.3155096824853</v>
      </c>
      <c r="O40" s="42">
        <f>M40+$T$17*$T$18*SQRT(1+1/$T$14+(Tabelle1[[#This Row],[True Cooling Capacity '[kW']]]-$T$15)^2/$T$16)</f>
        <v>4249.7096168885346</v>
      </c>
      <c r="P40" s="5">
        <f>M40-$T$17*$T$18*SQRT(1/$T$14+(Tabelle1[[#This Row],[True Cooling Capacity '[kW']]]-$T$15)^2/$T$16)</f>
        <v>3135.3312527637422</v>
      </c>
      <c r="Q40" s="5">
        <f>M40+$T$17*$T$18*SQRT(1/$T$14+(Tabelle1[[#This Row],[True Cooling Capacity '[kW']]]-$T$15)^2/$T$16)</f>
        <v>3334.6938738072781</v>
      </c>
      <c r="R40" s="5"/>
    </row>
    <row r="41" spans="1:18" x14ac:dyDescent="0.3">
      <c r="A41" t="s">
        <v>39</v>
      </c>
      <c r="B41" s="3" t="s">
        <v>200</v>
      </c>
      <c r="C41" s="4">
        <v>45.226035592499997</v>
      </c>
      <c r="D41" s="3">
        <v>44</v>
      </c>
      <c r="E41" s="4">
        <v>45</v>
      </c>
      <c r="F41">
        <f>(Tabelle1[[#This Row],[True Size X]]+Tabelle1[[#This Row],[True Size Y]])/2</f>
        <v>44.5</v>
      </c>
      <c r="G41" s="10">
        <f>(Tabelle1[[#This Row],[Predicted Size]]-Tabelle1[[#This Row],[True Mean Size ]])^2</f>
        <v>0.52712768157682177</v>
      </c>
      <c r="H41" s="5">
        <f t="shared" si="2"/>
        <v>8446.1858486613037</v>
      </c>
      <c r="I41" s="5">
        <f t="shared" si="3"/>
        <v>8230.6175137499995</v>
      </c>
      <c r="J41" s="9">
        <f>(Tabelle1[[#This Row],[Predicted Cooling Capacity '[kW']]]-Tabelle1[[#This Row],[True Cooling Capacity '[kW']]])^2</f>
        <v>46469.707016432207</v>
      </c>
      <c r="K41" s="5">
        <f>100/Tabelle1[[#This Row],[True Cooling Capacity '[kW']]]*Tabelle1[[#This Row],[Predicted Cooling Capacity '[kW']]]</f>
        <v>102.61910281398907</v>
      </c>
      <c r="M41" s="40">
        <v>8183.890183220783</v>
      </c>
      <c r="N41" s="41">
        <f>M41-$T$17*$T$18*SQRT(1+1/$T$14+(Tabelle1[[#This Row],[True Cooling Capacity '[kW']]]-$T$15)^2/$T$16)</f>
        <v>7168.8171766137648</v>
      </c>
      <c r="O41" s="42">
        <f>M41+$T$17*$T$18*SQRT(1+1/$T$14+(Tabelle1[[#This Row],[True Cooling Capacity '[kW']]]-$T$15)^2/$T$16)</f>
        <v>9198.9631898278021</v>
      </c>
      <c r="P41" s="5">
        <f>M41-$T$17*$T$18*SQRT(1/$T$14+(Tabelle1[[#This Row],[True Cooling Capacity '[kW']]]-$T$15)^2/$T$16)</f>
        <v>8080.4519803221947</v>
      </c>
      <c r="Q41" s="5">
        <f>M41+$T$17*$T$18*SQRT(1/$T$14+(Tabelle1[[#This Row],[True Cooling Capacity '[kW']]]-$T$15)^2/$T$16)</f>
        <v>8287.3283861193704</v>
      </c>
      <c r="R41" s="5"/>
    </row>
    <row r="42" spans="1:18" x14ac:dyDescent="0.3">
      <c r="A42" t="s">
        <v>40</v>
      </c>
      <c r="B42" s="3" t="s">
        <v>207</v>
      </c>
      <c r="C42" s="4">
        <v>45.226035592499997</v>
      </c>
      <c r="D42" s="3">
        <v>44</v>
      </c>
      <c r="E42" s="4">
        <v>45</v>
      </c>
      <c r="F42">
        <f>(Tabelle1[[#This Row],[True Size X]]+Tabelle1[[#This Row],[True Size Y]])/2</f>
        <v>44.5</v>
      </c>
      <c r="G42" s="10">
        <f>(Tabelle1[[#This Row],[Predicted Size]]-Tabelle1[[#This Row],[True Mean Size ]])^2</f>
        <v>0.52712768157682177</v>
      </c>
      <c r="H42" s="5">
        <f t="shared" si="2"/>
        <v>8446.1858486613037</v>
      </c>
      <c r="I42" s="5">
        <f t="shared" si="3"/>
        <v>8230.6175137499995</v>
      </c>
      <c r="J42" s="9">
        <f>(Tabelle1[[#This Row],[Predicted Cooling Capacity '[kW']]]-Tabelle1[[#This Row],[True Cooling Capacity '[kW']]])^2</f>
        <v>46469.707016432207</v>
      </c>
      <c r="K42" s="5">
        <f>100/Tabelle1[[#This Row],[True Cooling Capacity '[kW']]]*Tabelle1[[#This Row],[Predicted Cooling Capacity '[kW']]]</f>
        <v>102.61910281398907</v>
      </c>
      <c r="M42" s="40">
        <v>8183.890183220783</v>
      </c>
      <c r="N42" s="41">
        <f>M42-$T$17*$T$18*SQRT(1+1/$T$14+(Tabelle1[[#This Row],[True Cooling Capacity '[kW']]]-$T$15)^2/$T$16)</f>
        <v>7168.8171766137648</v>
      </c>
      <c r="O42" s="42">
        <f>M42+$T$17*$T$18*SQRT(1+1/$T$14+(Tabelle1[[#This Row],[True Cooling Capacity '[kW']]]-$T$15)^2/$T$16)</f>
        <v>9198.9631898278021</v>
      </c>
      <c r="P42" s="5">
        <f>M42-$T$17*$T$18*SQRT(1/$T$14+(Tabelle1[[#This Row],[True Cooling Capacity '[kW']]]-$T$15)^2/$T$16)</f>
        <v>8080.4519803221947</v>
      </c>
      <c r="Q42" s="5">
        <f>M42+$T$17*$T$18*SQRT(1/$T$14+(Tabelle1[[#This Row],[True Cooling Capacity '[kW']]]-$T$15)^2/$T$16)</f>
        <v>8287.3283861193704</v>
      </c>
      <c r="R42" s="5"/>
    </row>
    <row r="43" spans="1:18" x14ac:dyDescent="0.3">
      <c r="A43" t="s">
        <v>41</v>
      </c>
      <c r="B43" s="3" t="s">
        <v>168</v>
      </c>
      <c r="C43" s="4">
        <v>50.394725374499998</v>
      </c>
      <c r="D43" s="3">
        <v>51</v>
      </c>
      <c r="E43" s="4">
        <v>51</v>
      </c>
      <c r="F43">
        <f>(Tabelle1[[#This Row],[True Size X]]+Tabelle1[[#This Row],[True Size Y]])/2</f>
        <v>51</v>
      </c>
      <c r="G43" s="10">
        <f>(Tabelle1[[#This Row],[Predicted Size]]-Tabelle1[[#This Row],[True Mean Size ]])^2</f>
        <v>0.36635737227416726</v>
      </c>
      <c r="H43" s="5">
        <f t="shared" si="2"/>
        <v>10035.25913675172</v>
      </c>
      <c r="I43" s="5">
        <f t="shared" si="3"/>
        <v>10227.589454999999</v>
      </c>
      <c r="J43" s="9">
        <f>(Tabelle1[[#This Row],[Predicted Cooling Capacity '[kW']]]-Tabelle1[[#This Row],[True Cooling Capacity '[kW']]])^2</f>
        <v>36990.951317484505</v>
      </c>
      <c r="K43" s="5">
        <f>100/Tabelle1[[#This Row],[True Cooling Capacity '[kW']]]*Tabelle1[[#This Row],[Predicted Cooling Capacity '[kW']]]</f>
        <v>98.119495125469143</v>
      </c>
      <c r="M43" s="40">
        <v>10085.260929293456</v>
      </c>
      <c r="N43" s="41">
        <f>M43-$T$17*$T$18*SQRT(1+1/$T$14+(Tabelle1[[#This Row],[True Cooling Capacity '[kW']]]-$T$15)^2/$T$16)</f>
        <v>9067.9400877938369</v>
      </c>
      <c r="O43" s="42">
        <f>M43+$T$17*$T$18*SQRT(1+1/$T$14+(Tabelle1[[#This Row],[True Cooling Capacity '[kW']]]-$T$15)^2/$T$16)</f>
        <v>11102.581770793075</v>
      </c>
      <c r="P43" s="5">
        <f>M43-$T$17*$T$18*SQRT(1/$T$14+(Tabelle1[[#This Row],[True Cooling Capacity '[kW']]]-$T$15)^2/$T$16)</f>
        <v>9961.6973924948943</v>
      </c>
      <c r="Q43" s="5">
        <f>M43+$T$17*$T$18*SQRT(1/$T$14+(Tabelle1[[#This Row],[True Cooling Capacity '[kW']]]-$T$15)^2/$T$16)</f>
        <v>10208.824466092017</v>
      </c>
      <c r="R43" s="5"/>
    </row>
    <row r="44" spans="1:18" x14ac:dyDescent="0.3">
      <c r="A44" t="s">
        <v>42</v>
      </c>
      <c r="B44" s="3" t="s">
        <v>133</v>
      </c>
      <c r="C44" s="4">
        <v>52.117621968500004</v>
      </c>
      <c r="D44" s="3">
        <v>51</v>
      </c>
      <c r="E44" s="4">
        <v>51</v>
      </c>
      <c r="F44">
        <f>(Tabelle1[[#This Row],[True Size X]]+Tabelle1[[#This Row],[True Size Y]])/2</f>
        <v>51</v>
      </c>
      <c r="G44" s="10">
        <f>(Tabelle1[[#This Row],[Predicted Size]]-Tabelle1[[#This Row],[True Mean Size ]])^2</f>
        <v>1.2490788644738229</v>
      </c>
      <c r="H44" s="5">
        <f t="shared" si="2"/>
        <v>10586.161689600443</v>
      </c>
      <c r="I44" s="5">
        <f t="shared" si="3"/>
        <v>10227.589454999999</v>
      </c>
      <c r="J44" s="9">
        <f>(Tabelle1[[#This Row],[Predicted Cooling Capacity '[kW']]]-Tabelle1[[#This Row],[True Cooling Capacity '[kW']]])^2</f>
        <v>128574.0474263559</v>
      </c>
      <c r="K44" s="5">
        <f>100/Tabelle1[[#This Row],[True Cooling Capacity '[kW']]]*Tabelle1[[#This Row],[Predicted Cooling Capacity '[kW']]]</f>
        <v>103.50593105225931</v>
      </c>
      <c r="M44" s="40">
        <v>10085.260929293456</v>
      </c>
      <c r="N44" s="41">
        <f>M44-$T$17*$T$18*SQRT(1+1/$T$14+(Tabelle1[[#This Row],[True Cooling Capacity '[kW']]]-$T$15)^2/$T$16)</f>
        <v>9067.9400877938369</v>
      </c>
      <c r="O44" s="42">
        <f>M44+$T$17*$T$18*SQRT(1+1/$T$14+(Tabelle1[[#This Row],[True Cooling Capacity '[kW']]]-$T$15)^2/$T$16)</f>
        <v>11102.581770793075</v>
      </c>
      <c r="P44" s="5">
        <f>M44-$T$17*$T$18*SQRT(1/$T$14+(Tabelle1[[#This Row],[True Cooling Capacity '[kW']]]-$T$15)^2/$T$16)</f>
        <v>9961.6973924948943</v>
      </c>
      <c r="Q44" s="5">
        <f>M44+$T$17*$T$18*SQRT(1/$T$14+(Tabelle1[[#This Row],[True Cooling Capacity '[kW']]]-$T$15)^2/$T$16)</f>
        <v>10208.824466092017</v>
      </c>
      <c r="R44" s="5"/>
    </row>
    <row r="45" spans="1:18" x14ac:dyDescent="0.3">
      <c r="A45" t="s">
        <v>43</v>
      </c>
      <c r="B45" s="3" t="s">
        <v>169</v>
      </c>
      <c r="C45" s="4">
        <v>104.23524393700001</v>
      </c>
      <c r="D45" s="3">
        <v>105</v>
      </c>
      <c r="E45" s="4">
        <v>105</v>
      </c>
      <c r="F45">
        <f>(Tabelle1[[#This Row],[True Size X]]+Tabelle1[[#This Row],[True Size Y]])/2</f>
        <v>105</v>
      </c>
      <c r="G45" s="10">
        <f>(Tabelle1[[#This Row],[Predicted Size]]-Tabelle1[[#This Row],[True Mean Size ]])^2</f>
        <v>0.58485183589524925</v>
      </c>
      <c r="H45" s="5">
        <f t="shared" si="2"/>
        <v>32263.827731728838</v>
      </c>
      <c r="I45" s="5">
        <f t="shared" si="3"/>
        <v>32654.166374999993</v>
      </c>
      <c r="J45" s="9">
        <f>(Tabelle1[[#This Row],[Predicted Cooling Capacity '[kW']]]-Tabelle1[[#This Row],[True Cooling Capacity '[kW']]])^2</f>
        <v>152364.25643076669</v>
      </c>
      <c r="K45" s="5">
        <f>100/Tabelle1[[#This Row],[True Cooling Capacity '[kW']]]*Tabelle1[[#This Row],[Predicted Cooling Capacity '[kW']]]</f>
        <v>98.804628362615318</v>
      </c>
      <c r="M45" s="40">
        <v>31438.208564374087</v>
      </c>
      <c r="N45" s="41">
        <f>M45-$T$17*$T$18*SQRT(1+1/$T$14+(Tabelle1[[#This Row],[True Cooling Capacity '[kW']]]-$T$15)^2/$T$16)</f>
        <v>30320.516783325962</v>
      </c>
      <c r="O45" s="42">
        <f>M45+$T$17*$T$18*SQRT(1+1/$T$14+(Tabelle1[[#This Row],[True Cooling Capacity '[kW']]]-$T$15)^2/$T$16)</f>
        <v>32555.900345422211</v>
      </c>
      <c r="P45" s="5">
        <f>M45-$T$17*$T$18*SQRT(1/$T$14+(Tabelle1[[#This Row],[True Cooling Capacity '[kW']]]-$T$15)^2/$T$16)</f>
        <v>30959.083141860101</v>
      </c>
      <c r="Q45" s="5">
        <f>M45+$T$17*$T$18*SQRT(1/$T$14+(Tabelle1[[#This Row],[True Cooling Capacity '[kW']]]-$T$15)^2/$T$16)</f>
        <v>31917.333986888072</v>
      </c>
      <c r="R45" s="5"/>
    </row>
    <row r="46" spans="1:18" x14ac:dyDescent="0.3">
      <c r="A46" t="s">
        <v>44</v>
      </c>
      <c r="B46" s="3" t="s">
        <v>155</v>
      </c>
      <c r="C46" s="4">
        <v>102.0816231945</v>
      </c>
      <c r="D46" s="3">
        <v>105</v>
      </c>
      <c r="E46" s="4">
        <v>105</v>
      </c>
      <c r="F46">
        <f>(Tabelle1[[#This Row],[True Size X]]+Tabelle1[[#This Row],[True Size Y]])/2</f>
        <v>105</v>
      </c>
      <c r="G46" s="10">
        <f>(Tabelle1[[#This Row],[Predicted Size]]-Tabelle1[[#This Row],[True Mean Size ]])^2</f>
        <v>8.5169231788804023</v>
      </c>
      <c r="H46" s="5">
        <f t="shared" si="2"/>
        <v>31175.827580255514</v>
      </c>
      <c r="I46" s="5">
        <f t="shared" si="3"/>
        <v>32654.166374999993</v>
      </c>
      <c r="J46" s="9">
        <f>(Tabelle1[[#This Row],[Predicted Cooling Capacity '[kW']]]-Tabelle1[[#This Row],[True Cooling Capacity '[kW']]])^2</f>
        <v>2185485.5920465589</v>
      </c>
      <c r="K46" s="5">
        <f>100/Tabelle1[[#This Row],[True Cooling Capacity '[kW']]]*Tabelle1[[#This Row],[Predicted Cooling Capacity '[kW']]]</f>
        <v>95.472740667248218</v>
      </c>
      <c r="M46" s="40">
        <v>31438.208564374087</v>
      </c>
      <c r="N46" s="41">
        <f>M46-$T$17*$T$18*SQRT(1+1/$T$14+(Tabelle1[[#This Row],[True Cooling Capacity '[kW']]]-$T$15)^2/$T$16)</f>
        <v>30320.516783325962</v>
      </c>
      <c r="O46" s="42">
        <f>M46+$T$17*$T$18*SQRT(1+1/$T$14+(Tabelle1[[#This Row],[True Cooling Capacity '[kW']]]-$T$15)^2/$T$16)</f>
        <v>32555.900345422211</v>
      </c>
      <c r="P46" s="5">
        <f>M46-$T$17*$T$18*SQRT(1/$T$14+(Tabelle1[[#This Row],[True Cooling Capacity '[kW']]]-$T$15)^2/$T$16)</f>
        <v>30959.083141860101</v>
      </c>
      <c r="Q46" s="5">
        <f>M46+$T$17*$T$18*SQRT(1/$T$14+(Tabelle1[[#This Row],[True Cooling Capacity '[kW']]]-$T$15)^2/$T$16)</f>
        <v>31917.333986888072</v>
      </c>
      <c r="R46" s="5"/>
    </row>
    <row r="47" spans="1:18" x14ac:dyDescent="0.3">
      <c r="A47" t="s">
        <v>45</v>
      </c>
      <c r="B47" s="3" t="s">
        <v>197</v>
      </c>
      <c r="C47" s="4">
        <v>96.912933412499996</v>
      </c>
      <c r="D47" s="3">
        <v>105</v>
      </c>
      <c r="E47" s="4">
        <v>105</v>
      </c>
      <c r="F47">
        <f>(Tabelle1[[#This Row],[True Size X]]+Tabelle1[[#This Row],[True Size Y]])/2</f>
        <v>105</v>
      </c>
      <c r="G47" s="10">
        <f>(Tabelle1[[#This Row],[Predicted Size]]-Tabelle1[[#This Row],[True Mean Size ]])^2</f>
        <v>65.400645990658958</v>
      </c>
      <c r="H47" s="5">
        <f t="shared" si="2"/>
        <v>28632.2387353288</v>
      </c>
      <c r="I47" s="5">
        <f t="shared" si="3"/>
        <v>32654.166374999993</v>
      </c>
      <c r="J47" s="9">
        <f>(Tabelle1[[#This Row],[Predicted Cooling Capacity '[kW']]]-Tabelle1[[#This Row],[True Cooling Capacity '[kW']]])^2</f>
        <v>16175901.938751101</v>
      </c>
      <c r="K47" s="5">
        <f>100/Tabelle1[[#This Row],[True Cooling Capacity '[kW']]]*Tabelle1[[#This Row],[Predicted Cooling Capacity '[kW']]]</f>
        <v>87.683263466341685</v>
      </c>
      <c r="M47" s="40">
        <v>31438.208564374087</v>
      </c>
      <c r="N47" s="41">
        <f>M47-$T$17*$T$18*SQRT(1+1/$T$14+(Tabelle1[[#This Row],[True Cooling Capacity '[kW']]]-$T$15)^2/$T$16)</f>
        <v>30320.516783325962</v>
      </c>
      <c r="O47" s="42">
        <f>M47+$T$17*$T$18*SQRT(1+1/$T$14+(Tabelle1[[#This Row],[True Cooling Capacity '[kW']]]-$T$15)^2/$T$16)</f>
        <v>32555.900345422211</v>
      </c>
      <c r="P47" s="5">
        <f>M47-$T$17*$T$18*SQRT(1/$T$14+(Tabelle1[[#This Row],[True Cooling Capacity '[kW']]]-$T$15)^2/$T$16)</f>
        <v>30959.083141860101</v>
      </c>
      <c r="Q47" s="5">
        <f>M47+$T$17*$T$18*SQRT(1/$T$14+(Tabelle1[[#This Row],[True Cooling Capacity '[kW']]]-$T$15)^2/$T$16)</f>
        <v>31917.333986888072</v>
      </c>
      <c r="R47" s="5"/>
    </row>
    <row r="48" spans="1:18" x14ac:dyDescent="0.3">
      <c r="A48" t="s">
        <v>46</v>
      </c>
      <c r="B48" s="3" t="s">
        <v>218</v>
      </c>
      <c r="C48" s="4">
        <v>103.8045197885</v>
      </c>
      <c r="D48" s="3">
        <v>105</v>
      </c>
      <c r="E48" s="4">
        <v>105</v>
      </c>
      <c r="F48">
        <f>(Tabelle1[[#This Row],[True Size X]]+Tabelle1[[#This Row],[True Size Y]])/2</f>
        <v>105</v>
      </c>
      <c r="G48" s="10">
        <f>(Tabelle1[[#This Row],[Predicted Size]]-Tabelle1[[#This Row],[True Mean Size ]])^2</f>
        <v>1.4291729360880796</v>
      </c>
      <c r="H48" s="5">
        <f t="shared" si="2"/>
        <v>32044.90198538301</v>
      </c>
      <c r="I48" s="5">
        <f t="shared" si="3"/>
        <v>32654.166374999993</v>
      </c>
      <c r="J48" s="9">
        <f>(Tabelle1[[#This Row],[Predicted Cooling Capacity '[kW']]]-Tabelle1[[#This Row],[True Cooling Capacity '[kW']]])^2</f>
        <v>371203.09645535483</v>
      </c>
      <c r="K48" s="5">
        <f>100/Tabelle1[[#This Row],[True Cooling Capacity '[kW']]]*Tabelle1[[#This Row],[Predicted Cooling Capacity '[kW']]]</f>
        <v>98.134190955542394</v>
      </c>
      <c r="M48" s="40">
        <v>31438.208564374087</v>
      </c>
      <c r="N48" s="41">
        <f>M48-$T$17*$T$18*SQRT(1+1/$T$14+(Tabelle1[[#This Row],[True Cooling Capacity '[kW']]]-$T$15)^2/$T$16)</f>
        <v>30320.516783325962</v>
      </c>
      <c r="O48" s="42">
        <f>M48+$T$17*$T$18*SQRT(1+1/$T$14+(Tabelle1[[#This Row],[True Cooling Capacity '[kW']]]-$T$15)^2/$T$16)</f>
        <v>32555.900345422211</v>
      </c>
      <c r="P48" s="5">
        <f>M48-$T$17*$T$18*SQRT(1/$T$14+(Tabelle1[[#This Row],[True Cooling Capacity '[kW']]]-$T$15)^2/$T$16)</f>
        <v>30959.083141860101</v>
      </c>
      <c r="Q48" s="5">
        <f>M48+$T$17*$T$18*SQRT(1/$T$14+(Tabelle1[[#This Row],[True Cooling Capacity '[kW']]]-$T$15)^2/$T$16)</f>
        <v>31917.333986888072</v>
      </c>
      <c r="R48" s="5"/>
    </row>
    <row r="49" spans="1:18" x14ac:dyDescent="0.3">
      <c r="A49" t="s">
        <v>47</v>
      </c>
      <c r="B49" s="3" t="s">
        <v>167</v>
      </c>
      <c r="C49" s="4">
        <v>25.412724761500002</v>
      </c>
      <c r="D49" s="3">
        <v>25</v>
      </c>
      <c r="E49" s="4">
        <v>24</v>
      </c>
      <c r="F49">
        <f>(Tabelle1[[#This Row],[True Size X]]+Tabelle1[[#This Row],[True Size Y]])/2</f>
        <v>24.5</v>
      </c>
      <c r="G49" s="10">
        <f>(Tabelle1[[#This Row],[Predicted Size]]-Tabelle1[[#This Row],[True Mean Size ]])^2</f>
        <v>0.83306649025523483</v>
      </c>
      <c r="H49" s="5">
        <f t="shared" si="2"/>
        <v>3238.9908504394475</v>
      </c>
      <c r="I49" s="5">
        <f t="shared" si="3"/>
        <v>3032.9096137500005</v>
      </c>
      <c r="J49" s="9">
        <f>(Tabelle1[[#This Row],[Predicted Cooling Capacity '[kW']]]-Tabelle1[[#This Row],[True Cooling Capacity '[kW']]])^2</f>
        <v>42469.476115451878</v>
      </c>
      <c r="K49" s="5">
        <f>100/Tabelle1[[#This Row],[True Cooling Capacity '[kW']]]*Tabelle1[[#This Row],[Predicted Cooling Capacity '[kW']]]</f>
        <v>106.79483607935947</v>
      </c>
      <c r="M49" s="40">
        <v>3235.0125632855102</v>
      </c>
      <c r="N49" s="41">
        <f>M49-$T$17*$T$18*SQRT(1+1/$T$14+(Tabelle1[[#This Row],[True Cooling Capacity '[kW']]]-$T$15)^2/$T$16)</f>
        <v>2220.3155096824853</v>
      </c>
      <c r="O49" s="42">
        <f>M49+$T$17*$T$18*SQRT(1+1/$T$14+(Tabelle1[[#This Row],[True Cooling Capacity '[kW']]]-$T$15)^2/$T$16)</f>
        <v>4249.7096168885346</v>
      </c>
      <c r="P49" s="5">
        <f>M49-$T$17*$T$18*SQRT(1/$T$14+(Tabelle1[[#This Row],[True Cooling Capacity '[kW']]]-$T$15)^2/$T$16)</f>
        <v>3135.3312527637422</v>
      </c>
      <c r="Q49" s="5">
        <f>M49+$T$17*$T$18*SQRT(1/$T$14+(Tabelle1[[#This Row],[True Cooling Capacity '[kW']]]-$T$15)^2/$T$16)</f>
        <v>3334.6938738072781</v>
      </c>
      <c r="R49" s="5"/>
    </row>
    <row r="50" spans="1:18" x14ac:dyDescent="0.3">
      <c r="A50" t="s">
        <v>48</v>
      </c>
      <c r="B50" s="3" t="s">
        <v>225</v>
      </c>
      <c r="C50" s="4">
        <v>24.120552316000001</v>
      </c>
      <c r="D50" s="3">
        <v>24</v>
      </c>
      <c r="E50" s="4">
        <v>23</v>
      </c>
      <c r="F50">
        <f>(Tabelle1[[#This Row],[True Size X]]+Tabelle1[[#This Row],[True Size Y]])/2</f>
        <v>23.5</v>
      </c>
      <c r="G50" s="10">
        <f>(Tabelle1[[#This Row],[Predicted Size]]-Tabelle1[[#This Row],[True Mean Size ]])^2</f>
        <v>0.38508517689296545</v>
      </c>
      <c r="H50" s="5">
        <f t="shared" si="2"/>
        <v>2948.1112415225557</v>
      </c>
      <c r="I50" s="5">
        <f t="shared" si="3"/>
        <v>2810.5397737499993</v>
      </c>
      <c r="J50" s="9">
        <f>(Tabelle1[[#This Row],[Predicted Cooling Capacity '[kW']]]-Tabelle1[[#This Row],[True Cooling Capacity '[kW']]])^2</f>
        <v>18925.908745095519</v>
      </c>
      <c r="K50" s="5">
        <f>100/Tabelle1[[#This Row],[True Cooling Capacity '[kW']]]*Tabelle1[[#This Row],[Predicted Cooling Capacity '[kW']]]</f>
        <v>104.8948415196772</v>
      </c>
      <c r="M50" s="40">
        <v>3023.2882521666434</v>
      </c>
      <c r="N50" s="41">
        <f>M50-$T$17*$T$18*SQRT(1+1/$T$14+(Tabelle1[[#This Row],[True Cooling Capacity '[kW']]]-$T$15)^2/$T$16)</f>
        <v>2008.4305732478806</v>
      </c>
      <c r="O50" s="42">
        <f>M50+$T$17*$T$18*SQRT(1+1/$T$14+(Tabelle1[[#This Row],[True Cooling Capacity '[kW']]]-$T$15)^2/$T$16)</f>
        <v>4038.1459310854061</v>
      </c>
      <c r="P50" s="5">
        <f>M50-$T$17*$T$18*SQRT(1/$T$14+(Tabelle1[[#This Row],[True Cooling Capacity '[kW']]]-$T$15)^2/$T$16)</f>
        <v>2921.984937625331</v>
      </c>
      <c r="Q50" s="5">
        <f>M50+$T$17*$T$18*SQRT(1/$T$14+(Tabelle1[[#This Row],[True Cooling Capacity '[kW']]]-$T$15)^2/$T$16)</f>
        <v>3124.5915667079557</v>
      </c>
      <c r="R50" s="5"/>
    </row>
    <row r="51" spans="1:18" x14ac:dyDescent="0.3">
      <c r="A51" t="s">
        <v>49</v>
      </c>
      <c r="B51" s="3" t="s">
        <v>194</v>
      </c>
      <c r="C51" s="4">
        <v>25.412724761500002</v>
      </c>
      <c r="D51" s="3">
        <v>25</v>
      </c>
      <c r="E51" s="4">
        <v>24</v>
      </c>
      <c r="F51">
        <f>(Tabelle1[[#This Row],[True Size X]]+Tabelle1[[#This Row],[True Size Y]])/2</f>
        <v>24.5</v>
      </c>
      <c r="G51" s="10">
        <f>(Tabelle1[[#This Row],[Predicted Size]]-Tabelle1[[#This Row],[True Mean Size ]])^2</f>
        <v>0.83306649025523483</v>
      </c>
      <c r="H51" s="5">
        <f t="shared" si="2"/>
        <v>3238.9908504394475</v>
      </c>
      <c r="I51" s="5">
        <f t="shared" si="3"/>
        <v>3032.9096137500005</v>
      </c>
      <c r="J51" s="9">
        <f>(Tabelle1[[#This Row],[Predicted Cooling Capacity '[kW']]]-Tabelle1[[#This Row],[True Cooling Capacity '[kW']]])^2</f>
        <v>42469.476115451878</v>
      </c>
      <c r="K51" s="5">
        <f>100/Tabelle1[[#This Row],[True Cooling Capacity '[kW']]]*Tabelle1[[#This Row],[Predicted Cooling Capacity '[kW']]]</f>
        <v>106.79483607935947</v>
      </c>
      <c r="M51" s="40">
        <v>3235.0125632855102</v>
      </c>
      <c r="N51" s="41">
        <f>M51-$T$17*$T$18*SQRT(1+1/$T$14+(Tabelle1[[#This Row],[True Cooling Capacity '[kW']]]-$T$15)^2/$T$16)</f>
        <v>2220.3155096824853</v>
      </c>
      <c r="O51" s="42">
        <f>M51+$T$17*$T$18*SQRT(1+1/$T$14+(Tabelle1[[#This Row],[True Cooling Capacity '[kW']]]-$T$15)^2/$T$16)</f>
        <v>4249.7096168885346</v>
      </c>
      <c r="P51" s="5">
        <f>M51-$T$17*$T$18*SQRT(1/$T$14+(Tabelle1[[#This Row],[True Cooling Capacity '[kW']]]-$T$15)^2/$T$16)</f>
        <v>3135.3312527637422</v>
      </c>
      <c r="Q51" s="5">
        <f>M51+$T$17*$T$18*SQRT(1/$T$14+(Tabelle1[[#This Row],[True Cooling Capacity '[kW']]]-$T$15)^2/$T$16)</f>
        <v>3334.6938738072781</v>
      </c>
      <c r="R51" s="5"/>
    </row>
    <row r="52" spans="1:18" x14ac:dyDescent="0.3">
      <c r="A52" t="s">
        <v>50</v>
      </c>
      <c r="B52" s="3" t="s">
        <v>187</v>
      </c>
      <c r="C52" s="4">
        <v>23.259104018999999</v>
      </c>
      <c r="D52" s="3">
        <v>24</v>
      </c>
      <c r="E52" s="4">
        <v>24</v>
      </c>
      <c r="F52">
        <f>(Tabelle1[[#This Row],[True Size X]]+Tabelle1[[#This Row],[True Size Y]])/2</f>
        <v>24</v>
      </c>
      <c r="G52" s="10">
        <f>(Tabelle1[[#This Row],[Predicted Size]]-Tabelle1[[#This Row],[True Mean Size ]])^2</f>
        <v>0.54892685466195434</v>
      </c>
      <c r="H52" s="5">
        <f t="shared" si="2"/>
        <v>2757.5057923725321</v>
      </c>
      <c r="I52" s="5">
        <f t="shared" si="3"/>
        <v>2921.2780800000005</v>
      </c>
      <c r="J52" s="9">
        <f>(Tabelle1[[#This Row],[Predicted Cooling Capacity '[kW']]]-Tabelle1[[#This Row],[True Cooling Capacity '[kW']]])^2</f>
        <v>26821.362194734225</v>
      </c>
      <c r="K52" s="5">
        <f>100/Tabelle1[[#This Row],[True Cooling Capacity '[kW']]]*Tabelle1[[#This Row],[Predicted Cooling Capacity '[kW']]]</f>
        <v>94.393813832763627</v>
      </c>
      <c r="M52" s="40">
        <v>3128.7251747513405</v>
      </c>
      <c r="N52" s="41">
        <f>M52-$T$17*$T$18*SQRT(1+1/$T$14+(Tabelle1[[#This Row],[True Cooling Capacity '[kW']]]-$T$15)^2/$T$16)</f>
        <v>2113.9492951644984</v>
      </c>
      <c r="O52" s="42">
        <f>M52+$T$17*$T$18*SQRT(1+1/$T$14+(Tabelle1[[#This Row],[True Cooling Capacity '[kW']]]-$T$15)^2/$T$16)</f>
        <v>4143.5010543381823</v>
      </c>
      <c r="P52" s="5">
        <f>M52-$T$17*$T$18*SQRT(1/$T$14+(Tabelle1[[#This Row],[True Cooling Capacity '[kW']]]-$T$15)^2/$T$16)</f>
        <v>3028.2446350039536</v>
      </c>
      <c r="Q52" s="5">
        <f>M52+$T$17*$T$18*SQRT(1/$T$14+(Tabelle1[[#This Row],[True Cooling Capacity '[kW']]]-$T$15)^2/$T$16)</f>
        <v>3229.2057144987275</v>
      </c>
      <c r="R52" s="5"/>
    </row>
    <row r="53" spans="1:18" x14ac:dyDescent="0.3">
      <c r="A53" t="s">
        <v>51</v>
      </c>
      <c r="B53" s="3" t="s">
        <v>178</v>
      </c>
      <c r="C53" s="4">
        <v>31.442862840499998</v>
      </c>
      <c r="D53" s="3">
        <v>31</v>
      </c>
      <c r="E53" s="4">
        <v>30</v>
      </c>
      <c r="F53">
        <f>(Tabelle1[[#This Row],[True Size X]]+Tabelle1[[#This Row],[True Size Y]])/2</f>
        <v>30.5</v>
      </c>
      <c r="G53" s="10">
        <f>(Tabelle1[[#This Row],[Predicted Size]]-Tabelle1[[#This Row],[True Mean Size ]])^2</f>
        <v>0.8889903359957253</v>
      </c>
      <c r="H53" s="5">
        <f t="shared" si="2"/>
        <v>4675.3091304290519</v>
      </c>
      <c r="I53" s="5">
        <f t="shared" si="3"/>
        <v>4442.1597637499999</v>
      </c>
      <c r="J53" s="9">
        <f>(Tabelle1[[#This Row],[Predicted Cooling Capacity '[kW']]]-Tabelle1[[#This Row],[True Cooling Capacity '[kW']]])^2</f>
        <v>54358.627182843062</v>
      </c>
      <c r="K53" s="5">
        <f>100/Tabelle1[[#This Row],[True Cooling Capacity '[kW']]]*Tabelle1[[#This Row],[Predicted Cooling Capacity '[kW']]]</f>
        <v>105.24855878848966</v>
      </c>
      <c r="M53" s="40">
        <v>4576.7975697545007</v>
      </c>
      <c r="N53" s="41">
        <f>M53-$T$17*$T$18*SQRT(1+1/$T$14+(Tabelle1[[#This Row],[True Cooling Capacity '[kW']]]-$T$15)^2/$T$16)</f>
        <v>3562.7816240593211</v>
      </c>
      <c r="O53" s="42">
        <f>M53+$T$17*$T$18*SQRT(1+1/$T$14+(Tabelle1[[#This Row],[True Cooling Capacity '[kW']]]-$T$15)^2/$T$16)</f>
        <v>5590.8135154496804</v>
      </c>
      <c r="P53" s="5">
        <f>M53-$T$17*$T$18*SQRT(1/$T$14+(Tabelle1[[#This Row],[True Cooling Capacity '[kW']]]-$T$15)^2/$T$16)</f>
        <v>4484.3065366714673</v>
      </c>
      <c r="Q53" s="5">
        <f>M53+$T$17*$T$18*SQRT(1/$T$14+(Tabelle1[[#This Row],[True Cooling Capacity '[kW']]]-$T$15)^2/$T$16)</f>
        <v>4669.2886028375342</v>
      </c>
      <c r="R53" s="5"/>
    </row>
    <row r="54" spans="1:18" x14ac:dyDescent="0.3">
      <c r="A54" t="s">
        <v>52</v>
      </c>
      <c r="B54" s="3" t="s">
        <v>153</v>
      </c>
      <c r="C54" s="4">
        <v>30.581414543499999</v>
      </c>
      <c r="D54" s="3">
        <v>31</v>
      </c>
      <c r="E54" s="4">
        <v>30</v>
      </c>
      <c r="F54">
        <f>(Tabelle1[[#This Row],[True Size X]]+Tabelle1[[#This Row],[True Size Y]])/2</f>
        <v>30.5</v>
      </c>
      <c r="G54" s="10">
        <f>(Tabelle1[[#This Row],[Predicted Size]]-Tabelle1[[#This Row],[True Mean Size ]])^2</f>
        <v>6.6283278933132826E-3</v>
      </c>
      <c r="H54" s="5">
        <f t="shared" si="2"/>
        <v>4462.166508409282</v>
      </c>
      <c r="I54" s="5">
        <f t="shared" si="3"/>
        <v>4442.1597637499999</v>
      </c>
      <c r="J54" s="9">
        <f>(Tabelle1[[#This Row],[Predicted Cooling Capacity '[kW']]]-Tabelle1[[#This Row],[True Cooling Capacity '[kW']]])^2</f>
        <v>400.26983186171077</v>
      </c>
      <c r="K54" s="5">
        <f>100/Tabelle1[[#This Row],[True Cooling Capacity '[kW']]]*Tabelle1[[#This Row],[Predicted Cooling Capacity '[kW']]]</f>
        <v>100.45038327577829</v>
      </c>
      <c r="M54" s="40">
        <v>4576.7975697545007</v>
      </c>
      <c r="N54" s="41">
        <f>M54-$T$17*$T$18*SQRT(1+1/$T$14+(Tabelle1[[#This Row],[True Cooling Capacity '[kW']]]-$T$15)^2/$T$16)</f>
        <v>3562.7816240593211</v>
      </c>
      <c r="O54" s="42">
        <f>M54+$T$17*$T$18*SQRT(1+1/$T$14+(Tabelle1[[#This Row],[True Cooling Capacity '[kW']]]-$T$15)^2/$T$16)</f>
        <v>5590.8135154496804</v>
      </c>
      <c r="P54" s="5">
        <f>M54-$T$17*$T$18*SQRT(1/$T$14+(Tabelle1[[#This Row],[True Cooling Capacity '[kW']]]-$T$15)^2/$T$16)</f>
        <v>4484.3065366714673</v>
      </c>
      <c r="Q54" s="5">
        <f>M54+$T$17*$T$18*SQRT(1/$T$14+(Tabelle1[[#This Row],[True Cooling Capacity '[kW']]]-$T$15)^2/$T$16)</f>
        <v>4669.2886028375342</v>
      </c>
      <c r="R54" s="5"/>
    </row>
    <row r="55" spans="1:18" x14ac:dyDescent="0.3">
      <c r="A55" t="s">
        <v>53</v>
      </c>
      <c r="B55" s="3" t="s">
        <v>193</v>
      </c>
      <c r="C55" s="4">
        <v>29.289242097999999</v>
      </c>
      <c r="D55" s="3">
        <v>29</v>
      </c>
      <c r="E55" s="4">
        <v>28</v>
      </c>
      <c r="F55">
        <f>(Tabelle1[[#This Row],[True Size X]]+Tabelle1[[#This Row],[True Size Y]])/2</f>
        <v>28.5</v>
      </c>
      <c r="G55" s="10">
        <f>(Tabelle1[[#This Row],[Predicted Size]]-Tabelle1[[#This Row],[True Mean Size ]])^2</f>
        <v>0.62290308925544002</v>
      </c>
      <c r="H55" s="5">
        <f t="shared" si="2"/>
        <v>4147.4240105714834</v>
      </c>
      <c r="I55" s="5">
        <f t="shared" si="3"/>
        <v>3958.1180737500003</v>
      </c>
      <c r="J55" s="9">
        <f>(Tabelle1[[#This Row],[Predicted Cooling Capacity '[kW']]]-Tabelle1[[#This Row],[True Cooling Capacity '[kW']]])^2</f>
        <v>35836.737715859352</v>
      </c>
      <c r="K55" s="5">
        <f>100/Tabelle1[[#This Row],[True Cooling Capacity '[kW']]]*Tabelle1[[#This Row],[Predicted Cooling Capacity '[kW']]]</f>
        <v>104.78272586350944</v>
      </c>
      <c r="M55" s="40">
        <v>4115.9284457399244</v>
      </c>
      <c r="N55" s="41">
        <f>M55-$T$17*$T$18*SQRT(1+1/$T$14+(Tabelle1[[#This Row],[True Cooling Capacity '[kW']]]-$T$15)^2/$T$16)</f>
        <v>3101.7442020633662</v>
      </c>
      <c r="O55" s="42">
        <f>M55+$T$17*$T$18*SQRT(1+1/$T$14+(Tabelle1[[#This Row],[True Cooling Capacity '[kW']]]-$T$15)^2/$T$16)</f>
        <v>5130.1126894164827</v>
      </c>
      <c r="P55" s="5">
        <f>M55-$T$17*$T$18*SQRT(1/$T$14+(Tabelle1[[#This Row],[True Cooling Capacity '[kW']]]-$T$15)^2/$T$16)</f>
        <v>4021.6101908871665</v>
      </c>
      <c r="Q55" s="5">
        <f>M55+$T$17*$T$18*SQRT(1/$T$14+(Tabelle1[[#This Row],[True Cooling Capacity '[kW']]]-$T$15)^2/$T$16)</f>
        <v>4210.2467005926819</v>
      </c>
      <c r="R55" s="5"/>
    </row>
    <row r="56" spans="1:18" x14ac:dyDescent="0.3">
      <c r="A56" t="s">
        <v>54</v>
      </c>
      <c r="B56" s="3" t="s">
        <v>243</v>
      </c>
      <c r="C56" s="4">
        <v>24.120552316000001</v>
      </c>
      <c r="D56" s="3">
        <v>23</v>
      </c>
      <c r="E56" s="4">
        <v>23</v>
      </c>
      <c r="F56">
        <f>(Tabelle1[[#This Row],[True Size X]]+Tabelle1[[#This Row],[True Size Y]])/2</f>
        <v>23</v>
      </c>
      <c r="G56" s="10">
        <f>(Tabelle1[[#This Row],[Predicted Size]]-Tabelle1[[#This Row],[True Mean Size ]])^2</f>
        <v>1.2556374928929668</v>
      </c>
      <c r="H56" s="5">
        <f t="shared" si="2"/>
        <v>2948.1112415225557</v>
      </c>
      <c r="I56" s="5">
        <f t="shared" si="3"/>
        <v>2700.6946949999997</v>
      </c>
      <c r="J56" s="9">
        <f>(Tabelle1[[#This Row],[Predicted Cooling Capacity '[kW']]]-Tabelle1[[#This Row],[True Cooling Capacity '[kW']]])^2</f>
        <v>61214.947493148124</v>
      </c>
      <c r="K56" s="5">
        <f>100/Tabelle1[[#This Row],[True Cooling Capacity '[kW']]]*Tabelle1[[#This Row],[Predicted Cooling Capacity '[kW']]]</f>
        <v>109.16121866646449</v>
      </c>
      <c r="M56" s="40">
        <v>2918.7017955314213</v>
      </c>
      <c r="N56" s="41">
        <f>M56-$T$17*$T$18*SQRT(1+1/$T$14+(Tabelle1[[#This Row],[True Cooling Capacity '[kW']]]-$T$15)^2/$T$16)</f>
        <v>1903.759431652325</v>
      </c>
      <c r="O56" s="42">
        <f>M56+$T$17*$T$18*SQRT(1+1/$T$14+(Tabelle1[[#This Row],[True Cooling Capacity '[kW']]]-$T$15)^2/$T$16)</f>
        <v>3933.6441594105177</v>
      </c>
      <c r="P56" s="5">
        <f>M56-$T$17*$T$18*SQRT(1/$T$14+(Tabelle1[[#This Row],[True Cooling Capacity '[kW']]]-$T$15)^2/$T$16)</f>
        <v>2816.5535940143841</v>
      </c>
      <c r="Q56" s="5">
        <f>M56+$T$17*$T$18*SQRT(1/$T$14+(Tabelle1[[#This Row],[True Cooling Capacity '[kW']]]-$T$15)^2/$T$16)</f>
        <v>3020.8499970484586</v>
      </c>
      <c r="R56" s="5"/>
    </row>
    <row r="57" spans="1:18" x14ac:dyDescent="0.3">
      <c r="A57" t="s">
        <v>55</v>
      </c>
      <c r="B57" s="3" t="s">
        <v>146</v>
      </c>
      <c r="C57" s="4">
        <v>22.828379870500001</v>
      </c>
      <c r="D57" s="3">
        <v>23</v>
      </c>
      <c r="E57" s="4">
        <v>23</v>
      </c>
      <c r="F57">
        <f>(Tabelle1[[#This Row],[True Size X]]+Tabelle1[[#This Row],[True Size Y]])/2</f>
        <v>23</v>
      </c>
      <c r="G57" s="10">
        <f>(Tabelle1[[#This Row],[Predicted Size]]-Tabelle1[[#This Row],[True Mean Size ]])^2</f>
        <v>2.9453468849596445E-2</v>
      </c>
      <c r="H57" s="5">
        <f t="shared" si="2"/>
        <v>2663.1973548358915</v>
      </c>
      <c r="I57" s="5">
        <f t="shared" si="3"/>
        <v>2700.6946949999997</v>
      </c>
      <c r="J57" s="9">
        <f>(Tabelle1[[#This Row],[Predicted Cooling Capacity '[kW']]]-Tabelle1[[#This Row],[True Cooling Capacity '[kW']]])^2</f>
        <v>1406.0505193828426</v>
      </c>
      <c r="K57" s="5">
        <f>100/Tabelle1[[#This Row],[True Cooling Capacity '[kW']]]*Tabelle1[[#This Row],[Predicted Cooling Capacity '[kW']]]</f>
        <v>98.611566859685041</v>
      </c>
      <c r="M57" s="40">
        <v>2918.7017955314213</v>
      </c>
      <c r="N57" s="41">
        <f>M57-$T$17*$T$18*SQRT(1+1/$T$14+(Tabelle1[[#This Row],[True Cooling Capacity '[kW']]]-$T$15)^2/$T$16)</f>
        <v>1903.759431652325</v>
      </c>
      <c r="O57" s="42">
        <f>M57+$T$17*$T$18*SQRT(1+1/$T$14+(Tabelle1[[#This Row],[True Cooling Capacity '[kW']]]-$T$15)^2/$T$16)</f>
        <v>3933.6441594105177</v>
      </c>
      <c r="P57" s="5">
        <f>M57-$T$17*$T$18*SQRT(1/$T$14+(Tabelle1[[#This Row],[True Cooling Capacity '[kW']]]-$T$15)^2/$T$16)</f>
        <v>2816.5535940143841</v>
      </c>
      <c r="Q57" s="5">
        <f>M57+$T$17*$T$18*SQRT(1/$T$14+(Tabelle1[[#This Row],[True Cooling Capacity '[kW']]]-$T$15)^2/$T$16)</f>
        <v>3020.8499970484586</v>
      </c>
      <c r="R57" s="5"/>
    </row>
    <row r="58" spans="1:18" x14ac:dyDescent="0.3">
      <c r="A58" t="s">
        <v>56</v>
      </c>
      <c r="B58" s="3" t="s">
        <v>143</v>
      </c>
      <c r="C58" s="4">
        <v>31.012138692000001</v>
      </c>
      <c r="D58" s="3">
        <v>30</v>
      </c>
      <c r="E58" s="4">
        <v>31</v>
      </c>
      <c r="F58">
        <f>(Tabelle1[[#This Row],[True Size X]]+Tabelle1[[#This Row],[True Size Y]])/2</f>
        <v>30.5</v>
      </c>
      <c r="G58" s="10">
        <f>(Tabelle1[[#This Row],[Predicted Size]]-Tabelle1[[#This Row],[True Mean Size ]])^2</f>
        <v>0.26228603984347149</v>
      </c>
      <c r="H58" s="5">
        <f t="shared" si="2"/>
        <v>4568.4063904063769</v>
      </c>
      <c r="I58" s="5">
        <f t="shared" si="3"/>
        <v>4442.1597637499999</v>
      </c>
      <c r="J58" s="9">
        <f>(Tabelle1[[#This Row],[Predicted Cooling Capacity '[kW']]]-Tabelle1[[#This Row],[True Cooling Capacity '[kW']]])^2</f>
        <v>15938.210742114634</v>
      </c>
      <c r="K58" s="5">
        <f>100/Tabelle1[[#This Row],[True Cooling Capacity '[kW']]]*Tabelle1[[#This Row],[Predicted Cooling Capacity '[kW']]]</f>
        <v>102.8420100440017</v>
      </c>
      <c r="M58" s="40">
        <v>4576.7975697545007</v>
      </c>
      <c r="N58" s="41">
        <f>M58-$T$17*$T$18*SQRT(1+1/$T$14+(Tabelle1[[#This Row],[True Cooling Capacity '[kW']]]-$T$15)^2/$T$16)</f>
        <v>3562.7816240593211</v>
      </c>
      <c r="O58" s="42">
        <f>M58+$T$17*$T$18*SQRT(1+1/$T$14+(Tabelle1[[#This Row],[True Cooling Capacity '[kW']]]-$T$15)^2/$T$16)</f>
        <v>5590.8135154496804</v>
      </c>
      <c r="P58" s="5">
        <f>M58-$T$17*$T$18*SQRT(1/$T$14+(Tabelle1[[#This Row],[True Cooling Capacity '[kW']]]-$T$15)^2/$T$16)</f>
        <v>4484.3065366714673</v>
      </c>
      <c r="Q58" s="5">
        <f>M58+$T$17*$T$18*SQRT(1/$T$14+(Tabelle1[[#This Row],[True Cooling Capacity '[kW']]]-$T$15)^2/$T$16)</f>
        <v>4669.2886028375342</v>
      </c>
      <c r="R58" s="5"/>
    </row>
    <row r="59" spans="1:18" x14ac:dyDescent="0.3">
      <c r="A59" t="s">
        <v>57</v>
      </c>
      <c r="B59" s="3" t="s">
        <v>159</v>
      </c>
      <c r="C59" s="4">
        <v>31.012138692000001</v>
      </c>
      <c r="D59" s="3">
        <v>30</v>
      </c>
      <c r="E59" s="4">
        <v>31</v>
      </c>
      <c r="F59">
        <f>(Tabelle1[[#This Row],[True Size X]]+Tabelle1[[#This Row],[True Size Y]])/2</f>
        <v>30.5</v>
      </c>
      <c r="G59" s="10">
        <f>(Tabelle1[[#This Row],[Predicted Size]]-Tabelle1[[#This Row],[True Mean Size ]])^2</f>
        <v>0.26228603984347149</v>
      </c>
      <c r="H59" s="5">
        <f t="shared" si="2"/>
        <v>4568.4063904063769</v>
      </c>
      <c r="I59" s="5">
        <f t="shared" si="3"/>
        <v>4442.1597637499999</v>
      </c>
      <c r="J59" s="9">
        <f>(Tabelle1[[#This Row],[Predicted Cooling Capacity '[kW']]]-Tabelle1[[#This Row],[True Cooling Capacity '[kW']]])^2</f>
        <v>15938.210742114634</v>
      </c>
      <c r="K59" s="5">
        <f>100/Tabelle1[[#This Row],[True Cooling Capacity '[kW']]]*Tabelle1[[#This Row],[Predicted Cooling Capacity '[kW']]]</f>
        <v>102.8420100440017</v>
      </c>
      <c r="M59" s="40">
        <v>4576.7975697545007</v>
      </c>
      <c r="N59" s="41">
        <f>M59-$T$17*$T$18*SQRT(1+1/$T$14+(Tabelle1[[#This Row],[True Cooling Capacity '[kW']]]-$T$15)^2/$T$16)</f>
        <v>3562.7816240593211</v>
      </c>
      <c r="O59" s="42">
        <f>M59+$T$17*$T$18*SQRT(1+1/$T$14+(Tabelle1[[#This Row],[True Cooling Capacity '[kW']]]-$T$15)^2/$T$16)</f>
        <v>5590.8135154496804</v>
      </c>
      <c r="P59" s="5">
        <f>M59-$T$17*$T$18*SQRT(1/$T$14+(Tabelle1[[#This Row],[True Cooling Capacity '[kW']]]-$T$15)^2/$T$16)</f>
        <v>4484.3065366714673</v>
      </c>
      <c r="Q59" s="5">
        <f>M59+$T$17*$T$18*SQRT(1/$T$14+(Tabelle1[[#This Row],[True Cooling Capacity '[kW']]]-$T$15)^2/$T$16)</f>
        <v>4669.2886028375342</v>
      </c>
      <c r="R59" s="5"/>
    </row>
    <row r="60" spans="1:18" x14ac:dyDescent="0.3">
      <c r="A60" t="s">
        <v>58</v>
      </c>
      <c r="B60" s="3" t="s">
        <v>142</v>
      </c>
      <c r="C60" s="4">
        <v>32.304311137500001</v>
      </c>
      <c r="D60" s="3">
        <v>31</v>
      </c>
      <c r="E60" s="4">
        <v>31</v>
      </c>
      <c r="F60">
        <f>(Tabelle1[[#This Row],[True Size X]]+Tabelle1[[#This Row],[True Size Y]])/2</f>
        <v>31</v>
      </c>
      <c r="G60" s="10">
        <f>(Tabelle1[[#This Row],[Predicted Size]]-Tabelle1[[#This Row],[True Mean Size ]])^2</f>
        <v>1.7012275434065462</v>
      </c>
      <c r="H60" s="5">
        <f t="shared" si="2"/>
        <v>4891.1031845511443</v>
      </c>
      <c r="I60" s="5">
        <f t="shared" si="3"/>
        <v>4565.4032550000011</v>
      </c>
      <c r="J60" s="9">
        <f>(Tabelle1[[#This Row],[Predicted Cooling Capacity '[kW']]]-Tabelle1[[#This Row],[True Cooling Capacity '[kW']]])^2</f>
        <v>106080.44410961965</v>
      </c>
      <c r="K60" s="5">
        <f>100/Tabelle1[[#This Row],[True Cooling Capacity '[kW']]]*Tabelle1[[#This Row],[Predicted Cooling Capacity '[kW']]]</f>
        <v>107.13408895905174</v>
      </c>
      <c r="M60" s="40">
        <v>4694.1410156318307</v>
      </c>
      <c r="N60" s="41">
        <f>M60-$T$17*$T$18*SQRT(1+1/$T$14+(Tabelle1[[#This Row],[True Cooling Capacity '[kW']]]-$T$15)^2/$T$16)</f>
        <v>3680.1569433217169</v>
      </c>
      <c r="O60" s="42">
        <f>M60+$T$17*$T$18*SQRT(1+1/$T$14+(Tabelle1[[#This Row],[True Cooling Capacity '[kW']]]-$T$15)^2/$T$16)</f>
        <v>5708.1250879419449</v>
      </c>
      <c r="P60" s="5">
        <f>M60-$T$17*$T$18*SQRT(1/$T$14+(Tabelle1[[#This Row],[True Cooling Capacity '[kW']]]-$T$15)^2/$T$16)</f>
        <v>4602.0000802378408</v>
      </c>
      <c r="Q60" s="5">
        <f>M60+$T$17*$T$18*SQRT(1/$T$14+(Tabelle1[[#This Row],[True Cooling Capacity '[kW']]]-$T$15)^2/$T$16)</f>
        <v>4786.2819510258205</v>
      </c>
      <c r="R60" s="5"/>
    </row>
    <row r="61" spans="1:18" x14ac:dyDescent="0.3">
      <c r="A61" t="s">
        <v>59</v>
      </c>
      <c r="B61" s="3" t="s">
        <v>216</v>
      </c>
      <c r="C61" s="4">
        <v>31.442862840499998</v>
      </c>
      <c r="D61" s="3">
        <v>31</v>
      </c>
      <c r="E61" s="4">
        <v>31</v>
      </c>
      <c r="F61">
        <f>(Tabelle1[[#This Row],[True Size X]]+Tabelle1[[#This Row],[True Size Y]])/2</f>
        <v>31</v>
      </c>
      <c r="G61" s="10">
        <f>(Tabelle1[[#This Row],[Predicted Size]]-Tabelle1[[#This Row],[True Mean Size ]])^2</f>
        <v>0.19612749549572697</v>
      </c>
      <c r="H61" s="5">
        <f t="shared" si="2"/>
        <v>4675.3091304290519</v>
      </c>
      <c r="I61" s="5">
        <f t="shared" si="3"/>
        <v>4565.4032550000011</v>
      </c>
      <c r="J61" s="9">
        <f>(Tabelle1[[#This Row],[Predicted Cooling Capacity '[kW']]]-Tabelle1[[#This Row],[True Cooling Capacity '[kW']]])^2</f>
        <v>12079.301453826047</v>
      </c>
      <c r="K61" s="5">
        <f>100/Tabelle1[[#This Row],[True Cooling Capacity '[kW']]]*Tabelle1[[#This Row],[Predicted Cooling Capacity '[kW']]]</f>
        <v>102.40736402219635</v>
      </c>
      <c r="M61" s="40">
        <v>4694.1410156318307</v>
      </c>
      <c r="N61" s="41">
        <f>M61-$T$17*$T$18*SQRT(1+1/$T$14+(Tabelle1[[#This Row],[True Cooling Capacity '[kW']]]-$T$15)^2/$T$16)</f>
        <v>3680.1569433217169</v>
      </c>
      <c r="O61" s="42">
        <f>M61+$T$17*$T$18*SQRT(1+1/$T$14+(Tabelle1[[#This Row],[True Cooling Capacity '[kW']]]-$T$15)^2/$T$16)</f>
        <v>5708.1250879419449</v>
      </c>
      <c r="P61" s="5">
        <f>M61-$T$17*$T$18*SQRT(1/$T$14+(Tabelle1[[#This Row],[True Cooling Capacity '[kW']]]-$T$15)^2/$T$16)</f>
        <v>4602.0000802378408</v>
      </c>
      <c r="Q61" s="5">
        <f>M61+$T$17*$T$18*SQRT(1/$T$14+(Tabelle1[[#This Row],[True Cooling Capacity '[kW']]]-$T$15)^2/$T$16)</f>
        <v>4786.2819510258205</v>
      </c>
      <c r="R61" s="5"/>
    </row>
    <row r="62" spans="1:18" x14ac:dyDescent="0.3">
      <c r="A62" t="s">
        <v>60</v>
      </c>
      <c r="B62" s="3" t="s">
        <v>190</v>
      </c>
      <c r="C62" s="4">
        <v>28.858517949500001</v>
      </c>
      <c r="D62" s="3">
        <v>28</v>
      </c>
      <c r="E62" s="4">
        <v>28</v>
      </c>
      <c r="F62">
        <f>(Tabelle1[[#This Row],[True Size X]]+Tabelle1[[#This Row],[True Size Y]])/2</f>
        <v>28</v>
      </c>
      <c r="G62" s="10">
        <f>(Tabelle1[[#This Row],[Predicted Size]]-Tabelle1[[#This Row],[True Mean Size ]])^2</f>
        <v>0.73705306961368677</v>
      </c>
      <c r="H62" s="5">
        <f t="shared" si="2"/>
        <v>4043.8355606767122</v>
      </c>
      <c r="I62" s="5">
        <f t="shared" si="3"/>
        <v>3839.3407200000006</v>
      </c>
      <c r="J62" s="9">
        <f>(Tabelle1[[#This Row],[Predicted Cooling Capacity '[kW']]]-Tabelle1[[#This Row],[True Cooling Capacity '[kW']]])^2</f>
        <v>41818.139863393677</v>
      </c>
      <c r="K62" s="5">
        <f>100/Tabelle1[[#This Row],[True Cooling Capacity '[kW']]]*Tabelle1[[#This Row],[Predicted Cooling Capacity '[kW']]]</f>
        <v>105.32630093524784</v>
      </c>
      <c r="M62" s="40">
        <v>4002.8373296099644</v>
      </c>
      <c r="N62" s="41">
        <f>M62-$T$17*$T$18*SQRT(1+1/$T$14+(Tabelle1[[#This Row],[True Cooling Capacity '[kW']]]-$T$15)^2/$T$16)</f>
        <v>2988.6012885528062</v>
      </c>
      <c r="O62" s="42">
        <f>M62+$T$17*$T$18*SQRT(1+1/$T$14+(Tabelle1[[#This Row],[True Cooling Capacity '[kW']]]-$T$15)^2/$T$16)</f>
        <v>5017.0733706671226</v>
      </c>
      <c r="P62" s="5">
        <f>M62-$T$17*$T$18*SQRT(1/$T$14+(Tabelle1[[#This Row],[True Cooling Capacity '[kW']]]-$T$15)^2/$T$16)</f>
        <v>3907.9637291935423</v>
      </c>
      <c r="Q62" s="5">
        <f>M62+$T$17*$T$18*SQRT(1/$T$14+(Tabelle1[[#This Row],[True Cooling Capacity '[kW']]]-$T$15)^2/$T$16)</f>
        <v>4097.7109300263864</v>
      </c>
      <c r="R62" s="5"/>
    </row>
    <row r="63" spans="1:18" x14ac:dyDescent="0.3">
      <c r="A63" t="s">
        <v>61</v>
      </c>
      <c r="B63" s="3" t="s">
        <v>242</v>
      </c>
      <c r="C63" s="4">
        <v>28.858517949500001</v>
      </c>
      <c r="D63" s="3">
        <v>28</v>
      </c>
      <c r="E63" s="4">
        <v>28</v>
      </c>
      <c r="F63">
        <f>(Tabelle1[[#This Row],[True Size X]]+Tabelle1[[#This Row],[True Size Y]])/2</f>
        <v>28</v>
      </c>
      <c r="G63" s="10">
        <f>(Tabelle1[[#This Row],[Predicted Size]]-Tabelle1[[#This Row],[True Mean Size ]])^2</f>
        <v>0.73705306961368677</v>
      </c>
      <c r="H63" s="5">
        <f t="shared" si="2"/>
        <v>4043.8355606767122</v>
      </c>
      <c r="I63" s="5">
        <f t="shared" si="3"/>
        <v>3839.3407200000006</v>
      </c>
      <c r="J63" s="9">
        <f>(Tabelle1[[#This Row],[Predicted Cooling Capacity '[kW']]]-Tabelle1[[#This Row],[True Cooling Capacity '[kW']]])^2</f>
        <v>41818.139863393677</v>
      </c>
      <c r="K63" s="5">
        <f>100/Tabelle1[[#This Row],[True Cooling Capacity '[kW']]]*Tabelle1[[#This Row],[Predicted Cooling Capacity '[kW']]]</f>
        <v>105.32630093524784</v>
      </c>
      <c r="M63" s="40">
        <v>4002.8373296099644</v>
      </c>
      <c r="N63" s="41">
        <f>M63-$T$17*$T$18*SQRT(1+1/$T$14+(Tabelle1[[#This Row],[True Cooling Capacity '[kW']]]-$T$15)^2/$T$16)</f>
        <v>2988.6012885528062</v>
      </c>
      <c r="O63" s="42">
        <f>M63+$T$17*$T$18*SQRT(1+1/$T$14+(Tabelle1[[#This Row],[True Cooling Capacity '[kW']]]-$T$15)^2/$T$16)</f>
        <v>5017.0733706671226</v>
      </c>
      <c r="P63" s="5">
        <f>M63-$T$17*$T$18*SQRT(1/$T$14+(Tabelle1[[#This Row],[True Cooling Capacity '[kW']]]-$T$15)^2/$T$16)</f>
        <v>3907.9637291935423</v>
      </c>
      <c r="Q63" s="5">
        <f>M63+$T$17*$T$18*SQRT(1/$T$14+(Tabelle1[[#This Row],[True Cooling Capacity '[kW']]]-$T$15)^2/$T$16)</f>
        <v>4097.7109300263864</v>
      </c>
      <c r="R63" s="5"/>
    </row>
    <row r="64" spans="1:18" x14ac:dyDescent="0.3">
      <c r="A64" t="s">
        <v>62</v>
      </c>
      <c r="B64" s="3" t="s">
        <v>231</v>
      </c>
      <c r="C64" s="4">
        <v>34.027207731499999</v>
      </c>
      <c r="D64" s="3">
        <v>34</v>
      </c>
      <c r="E64" s="4">
        <v>34</v>
      </c>
      <c r="F64">
        <f>(Tabelle1[[#This Row],[True Size X]]+Tabelle1[[#This Row],[True Size Y]])/2</f>
        <v>34</v>
      </c>
      <c r="G64" s="10">
        <f>(Tabelle1[[#This Row],[Predicted Size]]-Tabelle1[[#This Row],[True Mean Size ]])^2</f>
        <v>7.4026065337603781E-4</v>
      </c>
      <c r="H64" s="5">
        <f t="shared" si="2"/>
        <v>5330.6455891022997</v>
      </c>
      <c r="I64" s="5">
        <f t="shared" si="3"/>
        <v>5323.6219799999999</v>
      </c>
      <c r="J64" s="9">
        <f>(Tabelle1[[#This Row],[Predicted Cooling Capacity '[kW']]]-Tabelle1[[#This Row],[True Cooling Capacity '[kW']]])^2</f>
        <v>49.331084821908817</v>
      </c>
      <c r="K64" s="5">
        <f>100/Tabelle1[[#This Row],[True Cooling Capacity '[kW']]]*Tabelle1[[#This Row],[Predicted Cooling Capacity '[kW']]]</f>
        <v>100.13193290449033</v>
      </c>
      <c r="M64" s="40">
        <v>5416.061475834751</v>
      </c>
      <c r="N64" s="41">
        <f>M64-$T$17*$T$18*SQRT(1+1/$T$14+(Tabelle1[[#This Row],[True Cooling Capacity '[kW']]]-$T$15)^2/$T$16)</f>
        <v>4402.175436376825</v>
      </c>
      <c r="O64" s="42">
        <f>M64+$T$17*$T$18*SQRT(1+1/$T$14+(Tabelle1[[#This Row],[True Cooling Capacity '[kW']]]-$T$15)^2/$T$16)</f>
        <v>6429.9475152926771</v>
      </c>
      <c r="P64" s="5">
        <f>M64-$T$17*$T$18*SQRT(1/$T$14+(Tabelle1[[#This Row],[True Cooling Capacity '[kW']]]-$T$15)^2/$T$16)</f>
        <v>5325.0057012547968</v>
      </c>
      <c r="Q64" s="5">
        <f>M64+$T$17*$T$18*SQRT(1/$T$14+(Tabelle1[[#This Row],[True Cooling Capacity '[kW']]]-$T$15)^2/$T$16)</f>
        <v>5507.1172504147053</v>
      </c>
      <c r="R64" s="5"/>
    </row>
    <row r="65" spans="1:18" x14ac:dyDescent="0.3">
      <c r="A65" t="s">
        <v>63</v>
      </c>
      <c r="B65" s="3" t="s">
        <v>226</v>
      </c>
      <c r="C65" s="4">
        <v>34.027207731499999</v>
      </c>
      <c r="D65" s="3">
        <v>34</v>
      </c>
      <c r="E65" s="4">
        <v>34</v>
      </c>
      <c r="F65">
        <f>(Tabelle1[[#This Row],[True Size X]]+Tabelle1[[#This Row],[True Size Y]])/2</f>
        <v>34</v>
      </c>
      <c r="G65" s="10">
        <f>(Tabelle1[[#This Row],[Predicted Size]]-Tabelle1[[#This Row],[True Mean Size ]])^2</f>
        <v>7.4026065337603781E-4</v>
      </c>
      <c r="H65" s="5">
        <f t="shared" si="2"/>
        <v>5330.6455891022997</v>
      </c>
      <c r="I65" s="5">
        <f t="shared" si="3"/>
        <v>5323.6219799999999</v>
      </c>
      <c r="J65" s="9">
        <f>(Tabelle1[[#This Row],[Predicted Cooling Capacity '[kW']]]-Tabelle1[[#This Row],[True Cooling Capacity '[kW']]])^2</f>
        <v>49.331084821908817</v>
      </c>
      <c r="K65" s="5">
        <f>100/Tabelle1[[#This Row],[True Cooling Capacity '[kW']]]*Tabelle1[[#This Row],[Predicted Cooling Capacity '[kW']]]</f>
        <v>100.13193290449033</v>
      </c>
      <c r="M65" s="40">
        <v>5416.061475834751</v>
      </c>
      <c r="N65" s="41">
        <f>M65-$T$17*$T$18*SQRT(1+1/$T$14+(Tabelle1[[#This Row],[True Cooling Capacity '[kW']]]-$T$15)^2/$T$16)</f>
        <v>4402.175436376825</v>
      </c>
      <c r="O65" s="42">
        <f>M65+$T$17*$T$18*SQRT(1+1/$T$14+(Tabelle1[[#This Row],[True Cooling Capacity '[kW']]]-$T$15)^2/$T$16)</f>
        <v>6429.9475152926771</v>
      </c>
      <c r="P65" s="5">
        <f>M65-$T$17*$T$18*SQRT(1/$T$14+(Tabelle1[[#This Row],[True Cooling Capacity '[kW']]]-$T$15)^2/$T$16)</f>
        <v>5325.0057012547968</v>
      </c>
      <c r="Q65" s="5">
        <f>M65+$T$17*$T$18*SQRT(1/$T$14+(Tabelle1[[#This Row],[True Cooling Capacity '[kW']]]-$T$15)^2/$T$16)</f>
        <v>5507.1172504147053</v>
      </c>
      <c r="R65" s="5"/>
    </row>
    <row r="66" spans="1:18" x14ac:dyDescent="0.3">
      <c r="A66" t="s">
        <v>64</v>
      </c>
      <c r="B66" s="3" t="s">
        <v>220</v>
      </c>
      <c r="C66" s="4">
        <v>34.888656028500002</v>
      </c>
      <c r="D66" s="3">
        <v>34</v>
      </c>
      <c r="E66" s="4">
        <v>34</v>
      </c>
      <c r="F66">
        <f>(Tabelle1[[#This Row],[True Size X]]+Tabelle1[[#This Row],[True Size Y]])/2</f>
        <v>34</v>
      </c>
      <c r="G66" s="10">
        <f>(Tabelle1[[#This Row],[Predicted Size]]-Tabelle1[[#This Row],[True Mean Size ]])^2</f>
        <v>0.78970953698939561</v>
      </c>
      <c r="H66" s="5">
        <f t="shared" si="2"/>
        <v>5554.393939531361</v>
      </c>
      <c r="I66" s="5">
        <f t="shared" si="3"/>
        <v>5323.6219799999999</v>
      </c>
      <c r="J66" s="9">
        <f>(Tabelle1[[#This Row],[Predicted Cooling Capacity '[kW']]]-Tabelle1[[#This Row],[True Cooling Capacity '[kW']]])^2</f>
        <v>53255.697305944152</v>
      </c>
      <c r="K66" s="5">
        <f>100/Tabelle1[[#This Row],[True Cooling Capacity '[kW']]]*Tabelle1[[#This Row],[Predicted Cooling Capacity '[kW']]]</f>
        <v>104.33486750934485</v>
      </c>
      <c r="M66" s="40">
        <v>5416.061475834751</v>
      </c>
      <c r="N66" s="41">
        <f>M66-$T$17*$T$18*SQRT(1+1/$T$14+(Tabelle1[[#This Row],[True Cooling Capacity '[kW']]]-$T$15)^2/$T$16)</f>
        <v>4402.175436376825</v>
      </c>
      <c r="O66" s="42">
        <f>M66+$T$17*$T$18*SQRT(1+1/$T$14+(Tabelle1[[#This Row],[True Cooling Capacity '[kW']]]-$T$15)^2/$T$16)</f>
        <v>6429.9475152926771</v>
      </c>
      <c r="P66" s="5">
        <f>M66-$T$17*$T$18*SQRT(1/$T$14+(Tabelle1[[#This Row],[True Cooling Capacity '[kW']]]-$T$15)^2/$T$16)</f>
        <v>5325.0057012547968</v>
      </c>
      <c r="Q66" s="5">
        <f>M66+$T$17*$T$18*SQRT(1/$T$14+(Tabelle1[[#This Row],[True Cooling Capacity '[kW']]]-$T$15)^2/$T$16)</f>
        <v>5507.1172504147053</v>
      </c>
      <c r="R66" s="5"/>
    </row>
    <row r="67" spans="1:18" x14ac:dyDescent="0.3">
      <c r="A67" t="s">
        <v>65</v>
      </c>
      <c r="B67" s="3" t="s">
        <v>211</v>
      </c>
      <c r="C67" s="4">
        <v>34.457931879999997</v>
      </c>
      <c r="D67" s="3">
        <v>34</v>
      </c>
      <c r="E67" s="4">
        <v>34</v>
      </c>
      <c r="F67">
        <f>(Tabelle1[[#This Row],[True Size X]]+Tabelle1[[#This Row],[True Size Y]])/2</f>
        <v>34</v>
      </c>
      <c r="G67" s="10">
        <f>(Tabelle1[[#This Row],[Predicted Size]]-Tabelle1[[#This Row],[True Mean Size ]])^2</f>
        <v>0.20970160672033142</v>
      </c>
      <c r="H67" s="5">
        <f t="shared" ref="H67:H98" si="4">220.55*(C67*0.09)^2 + 1518*(C67*0.09) - 1386.6</f>
        <v>5442.1883353040394</v>
      </c>
      <c r="I67" s="5">
        <f t="shared" ref="I67:I98" si="5">220.55*(F67*0.09)^2 + 1518*(F67*0.09) - 1386.6</f>
        <v>5323.6219799999999</v>
      </c>
      <c r="J67" s="9">
        <f>(Tabelle1[[#This Row],[Predicted Cooling Capacity '[kW']]]-Tabelle1[[#This Row],[True Cooling Capacity '[kW']]])^2</f>
        <v>14057.980610083727</v>
      </c>
      <c r="K67" s="5">
        <f>100/Tabelle1[[#This Row],[True Cooling Capacity '[kW']]]*Tabelle1[[#This Row],[Predicted Cooling Capacity '[kW']]]</f>
        <v>102.22717457681019</v>
      </c>
      <c r="M67" s="40">
        <v>5416.061475834751</v>
      </c>
      <c r="N67" s="41">
        <f>M67-$T$17*$T$18*SQRT(1+1/$T$14+(Tabelle1[[#This Row],[True Cooling Capacity '[kW']]]-$T$15)^2/$T$16)</f>
        <v>4402.175436376825</v>
      </c>
      <c r="O67" s="42">
        <f>M67+$T$17*$T$18*SQRT(1+1/$T$14+(Tabelle1[[#This Row],[True Cooling Capacity '[kW']]]-$T$15)^2/$T$16)</f>
        <v>6429.9475152926771</v>
      </c>
      <c r="P67" s="5">
        <f>M67-$T$17*$T$18*SQRT(1/$T$14+(Tabelle1[[#This Row],[True Cooling Capacity '[kW']]]-$T$15)^2/$T$16)</f>
        <v>5325.0057012547968</v>
      </c>
      <c r="Q67" s="5">
        <f>M67+$T$17*$T$18*SQRT(1/$T$14+(Tabelle1[[#This Row],[True Cooling Capacity '[kW']]]-$T$15)^2/$T$16)</f>
        <v>5507.1172504147053</v>
      </c>
      <c r="R67" s="5"/>
    </row>
    <row r="68" spans="1:18" x14ac:dyDescent="0.3">
      <c r="A68" t="s">
        <v>66</v>
      </c>
      <c r="B68" s="3" t="s">
        <v>156</v>
      </c>
      <c r="C68" s="4">
        <v>37.473000919500002</v>
      </c>
      <c r="D68" s="3">
        <v>36</v>
      </c>
      <c r="E68" s="4">
        <v>36</v>
      </c>
      <c r="F68">
        <f>(Tabelle1[[#This Row],[True Size X]]+Tabelle1[[#This Row],[True Size Y]])/2</f>
        <v>36</v>
      </c>
      <c r="G68" s="10">
        <f>(Tabelle1[[#This Row],[Predicted Size]]-Tabelle1[[#This Row],[True Mean Size ]])^2</f>
        <v>2.169731708847852</v>
      </c>
      <c r="H68" s="5">
        <f t="shared" si="4"/>
        <v>6241.547583432488</v>
      </c>
      <c r="I68" s="5">
        <f t="shared" si="5"/>
        <v>5846.9656799999993</v>
      </c>
      <c r="J68" s="9">
        <f>(Tabelle1[[#This Row],[Predicted Cooling Capacity '[kW']]]-Tabelle1[[#This Row],[True Cooling Capacity '[kW']]])^2</f>
        <v>155694.87851640576</v>
      </c>
      <c r="K68" s="5">
        <f>100/Tabelle1[[#This Row],[True Cooling Capacity '[kW']]]*Tabelle1[[#This Row],[Predicted Cooling Capacity '[kW']]]</f>
        <v>106.7484901575904</v>
      </c>
      <c r="M68" s="40">
        <v>5914.3511016261727</v>
      </c>
      <c r="N68" s="41">
        <f>M68-$T$17*$T$18*SQRT(1+1/$T$14+(Tabelle1[[#This Row],[True Cooling Capacity '[kW']]]-$T$15)^2/$T$16)</f>
        <v>4900.4343091923756</v>
      </c>
      <c r="O68" s="42">
        <f>M68+$T$17*$T$18*SQRT(1+1/$T$14+(Tabelle1[[#This Row],[True Cooling Capacity '[kW']]]-$T$15)^2/$T$16)</f>
        <v>6928.2678940599699</v>
      </c>
      <c r="P68" s="5">
        <f>M68-$T$17*$T$18*SQRT(1/$T$14+(Tabelle1[[#This Row],[True Cooling Capacity '[kW']]]-$T$15)^2/$T$16)</f>
        <v>5822.9535357071845</v>
      </c>
      <c r="Q68" s="5">
        <f>M68+$T$17*$T$18*SQRT(1/$T$14+(Tabelle1[[#This Row],[True Cooling Capacity '[kW']]]-$T$15)^2/$T$16)</f>
        <v>6005.748667545161</v>
      </c>
      <c r="R68" s="5"/>
    </row>
    <row r="69" spans="1:18" x14ac:dyDescent="0.3">
      <c r="A69" t="s">
        <v>67</v>
      </c>
      <c r="B69" s="3" t="s">
        <v>219</v>
      </c>
      <c r="C69" s="4">
        <v>21.536207425000001</v>
      </c>
      <c r="D69" s="3">
        <v>20</v>
      </c>
      <c r="E69" s="4">
        <v>20</v>
      </c>
      <c r="F69">
        <f>(Tabelle1[[#This Row],[True Size X]]+Tabelle1[[#This Row],[True Size Y]])/2</f>
        <v>20</v>
      </c>
      <c r="G69" s="10">
        <f>(Tabelle1[[#This Row],[Predicted Size]]-Tabelle1[[#This Row],[True Mean Size ]])^2</f>
        <v>2.3599332526251326</v>
      </c>
      <c r="H69" s="5">
        <f t="shared" si="4"/>
        <v>2384.2491903794539</v>
      </c>
      <c r="I69" s="5">
        <f t="shared" si="5"/>
        <v>2060.3819999999996</v>
      </c>
      <c r="J69" s="9">
        <f>(Tabelle1[[#This Row],[Predicted Cooling Capacity '[kW']]]-Tabelle1[[#This Row],[True Cooling Capacity '[kW']]])^2</f>
        <v>104889.95700428171</v>
      </c>
      <c r="K69" s="5">
        <f>100/Tabelle1[[#This Row],[True Cooling Capacity '[kW']]]*Tabelle1[[#This Row],[Predicted Cooling Capacity '[kW']]]</f>
        <v>115.71879342662935</v>
      </c>
      <c r="M69" s="40">
        <v>2309.0428406590354</v>
      </c>
      <c r="N69" s="41">
        <f>M69-$T$17*$T$18*SQRT(1+1/$T$14+(Tabelle1[[#This Row],[True Cooling Capacity '[kW']]]-$T$15)^2/$T$16)</f>
        <v>1293.5365919250703</v>
      </c>
      <c r="O69" s="42">
        <f>M69+$T$17*$T$18*SQRT(1+1/$T$14+(Tabelle1[[#This Row],[True Cooling Capacity '[kW']]]-$T$15)^2/$T$16)</f>
        <v>3324.5490893930005</v>
      </c>
      <c r="P69" s="5">
        <f>M69-$T$17*$T$18*SQRT(1/$T$14+(Tabelle1[[#This Row],[True Cooling Capacity '[kW']]]-$T$15)^2/$T$16)</f>
        <v>2201.4361759286071</v>
      </c>
      <c r="Q69" s="5">
        <f>M69+$T$17*$T$18*SQRT(1/$T$14+(Tabelle1[[#This Row],[True Cooling Capacity '[kW']]]-$T$15)^2/$T$16)</f>
        <v>2416.6495053894637</v>
      </c>
      <c r="R69" s="5"/>
    </row>
    <row r="70" spans="1:18" x14ac:dyDescent="0.3">
      <c r="A70" t="s">
        <v>68</v>
      </c>
      <c r="B70" s="3" t="s">
        <v>204</v>
      </c>
      <c r="C70" s="4">
        <v>20.674759128000002</v>
      </c>
      <c r="D70" s="3">
        <v>20</v>
      </c>
      <c r="E70" s="4">
        <v>20</v>
      </c>
      <c r="F70">
        <f>(Tabelle1[[#This Row],[True Size X]]+Tabelle1[[#This Row],[True Size Y]])/2</f>
        <v>20</v>
      </c>
      <c r="G70" s="10">
        <f>(Tabelle1[[#This Row],[Predicted Size]]-Tabelle1[[#This Row],[True Mean Size ]])^2</f>
        <v>0.45529988081932254</v>
      </c>
      <c r="H70" s="5">
        <f t="shared" si="4"/>
        <v>2201.5980375363993</v>
      </c>
      <c r="I70" s="5">
        <f t="shared" si="5"/>
        <v>2060.3819999999996</v>
      </c>
      <c r="J70" s="9">
        <f>(Tabelle1[[#This Row],[Predicted Cooling Capacity '[kW']]]-Tabelle1[[#This Row],[True Cooling Capacity '[kW']]])^2</f>
        <v>19941.969257481836</v>
      </c>
      <c r="K70" s="5">
        <f>100/Tabelle1[[#This Row],[True Cooling Capacity '[kW']]]*Tabelle1[[#This Row],[Predicted Cooling Capacity '[kW']]]</f>
        <v>106.85387649166026</v>
      </c>
      <c r="M70" s="40">
        <v>2309.0428406590354</v>
      </c>
      <c r="N70" s="41">
        <f>M70-$T$17*$T$18*SQRT(1+1/$T$14+(Tabelle1[[#This Row],[True Cooling Capacity '[kW']]]-$T$15)^2/$T$16)</f>
        <v>1293.5365919250703</v>
      </c>
      <c r="O70" s="42">
        <f>M70+$T$17*$T$18*SQRT(1+1/$T$14+(Tabelle1[[#This Row],[True Cooling Capacity '[kW']]]-$T$15)^2/$T$16)</f>
        <v>3324.5490893930005</v>
      </c>
      <c r="P70" s="5">
        <f>M70-$T$17*$T$18*SQRT(1/$T$14+(Tabelle1[[#This Row],[True Cooling Capacity '[kW']]]-$T$15)^2/$T$16)</f>
        <v>2201.4361759286071</v>
      </c>
      <c r="Q70" s="5">
        <f>M70+$T$17*$T$18*SQRT(1/$T$14+(Tabelle1[[#This Row],[True Cooling Capacity '[kW']]]-$T$15)^2/$T$16)</f>
        <v>2416.6495053894637</v>
      </c>
      <c r="R70" s="5"/>
    </row>
    <row r="71" spans="1:18" x14ac:dyDescent="0.3">
      <c r="A71" t="s">
        <v>69</v>
      </c>
      <c r="B71" s="3" t="s">
        <v>158</v>
      </c>
      <c r="C71" s="4">
        <v>25.412724761500002</v>
      </c>
      <c r="D71" s="3">
        <v>25</v>
      </c>
      <c r="E71" s="4">
        <v>25</v>
      </c>
      <c r="F71">
        <f>(Tabelle1[[#This Row],[True Size X]]+Tabelle1[[#This Row],[True Size Y]])/2</f>
        <v>25</v>
      </c>
      <c r="G71" s="10">
        <f>(Tabelle1[[#This Row],[Predicted Size]]-Tabelle1[[#This Row],[True Mean Size ]])^2</f>
        <v>0.17034172875523321</v>
      </c>
      <c r="H71" s="5">
        <f t="shared" si="4"/>
        <v>3238.9908504394475</v>
      </c>
      <c r="I71" s="5">
        <f t="shared" si="5"/>
        <v>3145.4343750000003</v>
      </c>
      <c r="J71" s="9">
        <f>(Tabelle1[[#This Row],[Predicted Cooling Capacity '[kW']]]-Tabelle1[[#This Row],[True Cooling Capacity '[kW']]])^2</f>
        <v>8752.8140966518949</v>
      </c>
      <c r="K71" s="5">
        <f>100/Tabelle1[[#This Row],[True Cooling Capacity '[kW']]]*Tabelle1[[#This Row],[Predicted Cooling Capacity '[kW']]]</f>
        <v>102.97435788783378</v>
      </c>
      <c r="M71" s="40">
        <v>3342.1504177691536</v>
      </c>
      <c r="N71" s="41">
        <f>M71-$T$17*$T$18*SQRT(1+1/$T$14+(Tabelle1[[#This Row],[True Cooling Capacity '[kW']]]-$T$15)^2/$T$16)</f>
        <v>2327.529128378545</v>
      </c>
      <c r="O71" s="42">
        <f>M71+$T$17*$T$18*SQRT(1+1/$T$14+(Tabelle1[[#This Row],[True Cooling Capacity '[kW']]]-$T$15)^2/$T$16)</f>
        <v>4356.7717071597626</v>
      </c>
      <c r="P71" s="5">
        <f>M71-$T$17*$T$18*SQRT(1/$T$14+(Tabelle1[[#This Row],[True Cooling Capacity '[kW']]]-$T$15)^2/$T$16)</f>
        <v>3243.2433201404274</v>
      </c>
      <c r="Q71" s="5">
        <f>M71+$T$17*$T$18*SQRT(1/$T$14+(Tabelle1[[#This Row],[True Cooling Capacity '[kW']]]-$T$15)^2/$T$16)</f>
        <v>3441.0575153978798</v>
      </c>
      <c r="R71" s="5"/>
    </row>
    <row r="72" spans="1:18" x14ac:dyDescent="0.3">
      <c r="A72" t="s">
        <v>70</v>
      </c>
      <c r="B72" s="3" t="s">
        <v>239</v>
      </c>
      <c r="C72" s="4">
        <v>24.120552316000001</v>
      </c>
      <c r="D72" s="3">
        <v>24</v>
      </c>
      <c r="E72" s="4">
        <v>24</v>
      </c>
      <c r="F72">
        <f>(Tabelle1[[#This Row],[True Size X]]+Tabelle1[[#This Row],[True Size Y]])/2</f>
        <v>24</v>
      </c>
      <c r="G72" s="10">
        <f>(Tabelle1[[#This Row],[Predicted Size]]-Tabelle1[[#This Row],[True Mean Size ]])^2</f>
        <v>1.4532860892964163E-2</v>
      </c>
      <c r="H72" s="5">
        <f t="shared" si="4"/>
        <v>2948.1112415225557</v>
      </c>
      <c r="I72" s="5">
        <f t="shared" si="5"/>
        <v>2921.2780800000005</v>
      </c>
      <c r="J72" s="9">
        <f>(Tabelle1[[#This Row],[Predicted Cooling Capacity '[kW']]]-Tabelle1[[#This Row],[True Cooling Capacity '[kW']]])^2</f>
        <v>720.01855729553699</v>
      </c>
      <c r="K72" s="5">
        <f>100/Tabelle1[[#This Row],[True Cooling Capacity '[kW']]]*Tabelle1[[#This Row],[Predicted Cooling Capacity '[kW']]]</f>
        <v>100.91854184325223</v>
      </c>
      <c r="M72" s="40">
        <v>3128.7251747513405</v>
      </c>
      <c r="N72" s="41">
        <f>M72-$T$17*$T$18*SQRT(1+1/$T$14+(Tabelle1[[#This Row],[True Cooling Capacity '[kW']]]-$T$15)^2/$T$16)</f>
        <v>2113.9492951644984</v>
      </c>
      <c r="O72" s="42">
        <f>M72+$T$17*$T$18*SQRT(1+1/$T$14+(Tabelle1[[#This Row],[True Cooling Capacity '[kW']]]-$T$15)^2/$T$16)</f>
        <v>4143.5010543381823</v>
      </c>
      <c r="P72" s="5">
        <f>M72-$T$17*$T$18*SQRT(1/$T$14+(Tabelle1[[#This Row],[True Cooling Capacity '[kW']]]-$T$15)^2/$T$16)</f>
        <v>3028.2446350039536</v>
      </c>
      <c r="Q72" s="5">
        <f>M72+$T$17*$T$18*SQRT(1/$T$14+(Tabelle1[[#This Row],[True Cooling Capacity '[kW']]]-$T$15)^2/$T$16)</f>
        <v>3229.2057144987275</v>
      </c>
      <c r="R72" s="5"/>
    </row>
    <row r="73" spans="1:18" x14ac:dyDescent="0.3">
      <c r="A73" t="s">
        <v>71</v>
      </c>
      <c r="B73" s="3" t="s">
        <v>192</v>
      </c>
      <c r="C73" s="4">
        <v>31.873586989</v>
      </c>
      <c r="D73" s="3">
        <v>32</v>
      </c>
      <c r="E73" s="4">
        <v>32</v>
      </c>
      <c r="F73">
        <f>(Tabelle1[[#This Row],[True Size X]]+Tabelle1[[#This Row],[True Size Y]])/2</f>
        <v>32</v>
      </c>
      <c r="G73" s="10">
        <f>(Tabelle1[[#This Row],[Predicted Size]]-Tabelle1[[#This Row],[True Mean Size ]])^2</f>
        <v>1.5980249350086208E-2</v>
      </c>
      <c r="H73" s="5">
        <f t="shared" si="4"/>
        <v>4782.874728477309</v>
      </c>
      <c r="I73" s="5">
        <f t="shared" si="5"/>
        <v>4814.5699199999999</v>
      </c>
      <c r="J73" s="9">
        <f>(Tabelle1[[#This Row],[Predicted Cooling Capacity '[kW']]]-Tabelle1[[#This Row],[True Cooling Capacity '[kW']]])^2</f>
        <v>1004.5851656600602</v>
      </c>
      <c r="K73" s="5">
        <f>100/Tabelle1[[#This Row],[True Cooling Capacity '[kW']]]*Tabelle1[[#This Row],[Predicted Cooling Capacity '[kW']]]</f>
        <v>99.34168176910201</v>
      </c>
      <c r="M73" s="40">
        <v>4931.3793052349083</v>
      </c>
      <c r="N73" s="41">
        <f>M73-$T$17*$T$18*SQRT(1+1/$T$14+(Tabelle1[[#This Row],[True Cooling Capacity '[kW']]]-$T$15)^2/$T$16)</f>
        <v>3917.4460595025348</v>
      </c>
      <c r="O73" s="42">
        <f>M73+$T$17*$T$18*SQRT(1+1/$T$14+(Tabelle1[[#This Row],[True Cooling Capacity '[kW']]]-$T$15)^2/$T$16)</f>
        <v>5945.3125509672818</v>
      </c>
      <c r="P73" s="5">
        <f>M73-$T$17*$T$18*SQRT(1/$T$14+(Tabelle1[[#This Row],[True Cooling Capacity '[kW']]]-$T$15)^2/$T$16)</f>
        <v>4839.7993954398953</v>
      </c>
      <c r="Q73" s="5">
        <f>M73+$T$17*$T$18*SQRT(1/$T$14+(Tabelle1[[#This Row],[True Cooling Capacity '[kW']]]-$T$15)^2/$T$16)</f>
        <v>5022.9592150299213</v>
      </c>
      <c r="R73" s="5"/>
    </row>
    <row r="74" spans="1:18" x14ac:dyDescent="0.3">
      <c r="A74" t="s">
        <v>72</v>
      </c>
      <c r="B74" s="3" t="s">
        <v>228</v>
      </c>
      <c r="C74" s="4">
        <v>30.581414543499999</v>
      </c>
      <c r="D74" s="3">
        <v>31</v>
      </c>
      <c r="E74" s="4">
        <v>32</v>
      </c>
      <c r="F74">
        <f>(Tabelle1[[#This Row],[True Size X]]+Tabelle1[[#This Row],[True Size Y]])/2</f>
        <v>31.5</v>
      </c>
      <c r="G74" s="10">
        <f>(Tabelle1[[#This Row],[Predicted Size]]-Tabelle1[[#This Row],[True Mean Size ]])^2</f>
        <v>0.84379924089331459</v>
      </c>
      <c r="H74" s="5">
        <f t="shared" si="4"/>
        <v>4462.166508409282</v>
      </c>
      <c r="I74" s="5">
        <f t="shared" si="5"/>
        <v>4689.5399737499993</v>
      </c>
      <c r="J74" s="9">
        <f>(Tabelle1[[#This Row],[Predicted Cooling Capacity '[kW']]]-Tabelle1[[#This Row],[True Cooling Capacity '[kW']]])^2</f>
        <v>51698.692741046376</v>
      </c>
      <c r="K74" s="5">
        <f>100/Tabelle1[[#This Row],[True Cooling Capacity '[kW']]]*Tabelle1[[#This Row],[Predicted Cooling Capacity '[kW']]]</f>
        <v>95.151476123170838</v>
      </c>
      <c r="M74" s="40">
        <v>4812.3349274586317</v>
      </c>
      <c r="N74" s="41">
        <f>M74-$T$17*$T$18*SQRT(1+1/$T$14+(Tabelle1[[#This Row],[True Cooling Capacity '[kW']]]-$T$15)^2/$T$16)</f>
        <v>3798.3784544605342</v>
      </c>
      <c r="O74" s="42">
        <f>M74+$T$17*$T$18*SQRT(1+1/$T$14+(Tabelle1[[#This Row],[True Cooling Capacity '[kW']]]-$T$15)^2/$T$16)</f>
        <v>5826.2914004567292</v>
      </c>
      <c r="P74" s="5">
        <f>M74-$T$17*$T$18*SQRT(1/$T$14+(Tabelle1[[#This Row],[True Cooling Capacity '[kW']]]-$T$15)^2/$T$16)</f>
        <v>4720.498212516196</v>
      </c>
      <c r="Q74" s="5">
        <f>M74+$T$17*$T$18*SQRT(1/$T$14+(Tabelle1[[#This Row],[True Cooling Capacity '[kW']]]-$T$15)^2/$T$16)</f>
        <v>4904.1716424010674</v>
      </c>
      <c r="R74" s="5"/>
    </row>
    <row r="75" spans="1:18" x14ac:dyDescent="0.3">
      <c r="A75" t="s">
        <v>73</v>
      </c>
      <c r="B75" s="3" t="s">
        <v>138</v>
      </c>
      <c r="C75" s="4">
        <v>31.442862840499998</v>
      </c>
      <c r="D75" s="3">
        <v>31</v>
      </c>
      <c r="E75" s="4">
        <v>32</v>
      </c>
      <c r="F75">
        <f>(Tabelle1[[#This Row],[True Size X]]+Tabelle1[[#This Row],[True Size Y]])/2</f>
        <v>31.5</v>
      </c>
      <c r="G75" s="10">
        <f>(Tabelle1[[#This Row],[Predicted Size]]-Tabelle1[[#This Row],[True Mean Size ]])^2</f>
        <v>3.2646549957286281E-3</v>
      </c>
      <c r="H75" s="5">
        <f t="shared" si="4"/>
        <v>4675.3091304290519</v>
      </c>
      <c r="I75" s="5">
        <f t="shared" si="5"/>
        <v>4689.5399737499993</v>
      </c>
      <c r="J75" s="9">
        <f>(Tabelle1[[#This Row],[Predicted Cooling Capacity '[kW']]]-Tabelle1[[#This Row],[True Cooling Capacity '[kW']]])^2</f>
        <v>202.51690162535081</v>
      </c>
      <c r="K75" s="5">
        <f>100/Tabelle1[[#This Row],[True Cooling Capacity '[kW']]]*Tabelle1[[#This Row],[Predicted Cooling Capacity '[kW']]]</f>
        <v>99.69654073959056</v>
      </c>
      <c r="M75" s="40">
        <v>4812.3349274586317</v>
      </c>
      <c r="N75" s="41">
        <f>M75-$T$17*$T$18*SQRT(1+1/$T$14+(Tabelle1[[#This Row],[True Cooling Capacity '[kW']]]-$T$15)^2/$T$16)</f>
        <v>3798.3784544605342</v>
      </c>
      <c r="O75" s="42">
        <f>M75+$T$17*$T$18*SQRT(1+1/$T$14+(Tabelle1[[#This Row],[True Cooling Capacity '[kW']]]-$T$15)^2/$T$16)</f>
        <v>5826.2914004567292</v>
      </c>
      <c r="P75" s="5">
        <f>M75-$T$17*$T$18*SQRT(1/$T$14+(Tabelle1[[#This Row],[True Cooling Capacity '[kW']]]-$T$15)^2/$T$16)</f>
        <v>4720.498212516196</v>
      </c>
      <c r="Q75" s="5">
        <f>M75+$T$17*$T$18*SQRT(1/$T$14+(Tabelle1[[#This Row],[True Cooling Capacity '[kW']]]-$T$15)^2/$T$16)</f>
        <v>4904.1716424010674</v>
      </c>
      <c r="R75" s="5"/>
    </row>
    <row r="76" spans="1:18" x14ac:dyDescent="0.3">
      <c r="A76" t="s">
        <v>74</v>
      </c>
      <c r="B76" s="3" t="s">
        <v>238</v>
      </c>
      <c r="C76" s="4">
        <v>26.704897206999998</v>
      </c>
      <c r="D76" s="3">
        <v>26</v>
      </c>
      <c r="E76" s="4">
        <v>26</v>
      </c>
      <c r="F76">
        <f>(Tabelle1[[#This Row],[True Size X]]+Tabelle1[[#This Row],[True Size Y]])/2</f>
        <v>26</v>
      </c>
      <c r="G76" s="10">
        <f>(Tabelle1[[#This Row],[Predicted Size]]-Tabelle1[[#This Row],[True Mean Size ]])^2</f>
        <v>0.49688007243639853</v>
      </c>
      <c r="H76" s="5">
        <f t="shared" si="4"/>
        <v>3535.8361815865651</v>
      </c>
      <c r="I76" s="5">
        <f t="shared" si="5"/>
        <v>3373.1635799999999</v>
      </c>
      <c r="J76" s="9">
        <f>(Tabelle1[[#This Row],[Predicted Cooling Capacity '[kW']]]-Tabelle1[[#This Row],[True Cooling Capacity '[kW']]])^2</f>
        <v>26462.375306941369</v>
      </c>
      <c r="K76" s="5">
        <f>100/Tabelle1[[#This Row],[True Cooling Capacity '[kW']]]*Tabelle1[[#This Row],[Predicted Cooling Capacity '[kW']]]</f>
        <v>104.8225530048728</v>
      </c>
      <c r="M76" s="40">
        <v>3558.9775245848618</v>
      </c>
      <c r="N76" s="41">
        <f>M76-$T$17*$T$18*SQRT(1+1/$T$14+(Tabelle1[[#This Row],[True Cooling Capacity '[kW']]]-$T$15)^2/$T$16)</f>
        <v>2544.498221107915</v>
      </c>
      <c r="O76" s="42">
        <f>M76+$T$17*$T$18*SQRT(1+1/$T$14+(Tabelle1[[#This Row],[True Cooling Capacity '[kW']]]-$T$15)^2/$T$16)</f>
        <v>4573.4568280618087</v>
      </c>
      <c r="P76" s="5">
        <f>M76-$T$17*$T$18*SQRT(1/$T$14+(Tabelle1[[#This Row],[True Cooling Capacity '[kW']]]-$T$15)^2/$T$16)</f>
        <v>3461.5377469796754</v>
      </c>
      <c r="Q76" s="5">
        <f>M76+$T$17*$T$18*SQRT(1/$T$14+(Tabelle1[[#This Row],[True Cooling Capacity '[kW']]]-$T$15)^2/$T$16)</f>
        <v>3656.4173021900483</v>
      </c>
      <c r="R76" s="5"/>
    </row>
    <row r="77" spans="1:18" x14ac:dyDescent="0.3">
      <c r="A77" t="s">
        <v>75</v>
      </c>
      <c r="B77" s="3" t="s">
        <v>203</v>
      </c>
      <c r="C77" s="4">
        <v>26.274173058500001</v>
      </c>
      <c r="D77" s="3">
        <v>24</v>
      </c>
      <c r="E77" s="4">
        <v>25</v>
      </c>
      <c r="F77">
        <f>(Tabelle1[[#This Row],[True Size X]]+Tabelle1[[#This Row],[True Size Y]])/2</f>
        <v>24.5</v>
      </c>
      <c r="G77" s="10">
        <f>(Tabelle1[[#This Row],[Predicted Size]]-Tabelle1[[#This Row],[True Mean Size ]])^2</f>
        <v>3.1476900415072464</v>
      </c>
      <c r="H77" s="5">
        <f t="shared" si="4"/>
        <v>3436.2248798452797</v>
      </c>
      <c r="I77" s="5">
        <f t="shared" si="5"/>
        <v>3032.9096137500005</v>
      </c>
      <c r="J77" s="9">
        <f>(Tabelle1[[#This Row],[Predicted Cooling Capacity '[kW']]]-Tabelle1[[#This Row],[True Cooling Capacity '[kW']]])^2</f>
        <v>162663.20386550584</v>
      </c>
      <c r="K77" s="5">
        <f>100/Tabelle1[[#This Row],[True Cooling Capacity '[kW']]]*Tabelle1[[#This Row],[Predicted Cooling Capacity '[kW']]]</f>
        <v>113.29796523664302</v>
      </c>
      <c r="M77" s="40">
        <v>3235.0125632855102</v>
      </c>
      <c r="N77" s="41">
        <f>M77-$T$17*$T$18*SQRT(1+1/$T$14+(Tabelle1[[#This Row],[True Cooling Capacity '[kW']]]-$T$15)^2/$T$16)</f>
        <v>2220.3155096824853</v>
      </c>
      <c r="O77" s="42">
        <f>M77+$T$17*$T$18*SQRT(1+1/$T$14+(Tabelle1[[#This Row],[True Cooling Capacity '[kW']]]-$T$15)^2/$T$16)</f>
        <v>4249.7096168885346</v>
      </c>
      <c r="P77" s="5">
        <f>M77-$T$17*$T$18*SQRT(1/$T$14+(Tabelle1[[#This Row],[True Cooling Capacity '[kW']]]-$T$15)^2/$T$16)</f>
        <v>3135.3312527637422</v>
      </c>
      <c r="Q77" s="5">
        <f>M77+$T$17*$T$18*SQRT(1/$T$14+(Tabelle1[[#This Row],[True Cooling Capacity '[kW']]]-$T$15)^2/$T$16)</f>
        <v>3334.6938738072781</v>
      </c>
      <c r="R77" s="5"/>
    </row>
    <row r="78" spans="1:18" x14ac:dyDescent="0.3">
      <c r="A78" t="s">
        <v>76</v>
      </c>
      <c r="B78" s="3" t="s">
        <v>227</v>
      </c>
      <c r="C78" s="4">
        <v>27.1356213555</v>
      </c>
      <c r="D78" s="3">
        <v>26</v>
      </c>
      <c r="E78" s="4">
        <v>26</v>
      </c>
      <c r="F78">
        <f>(Tabelle1[[#This Row],[True Size X]]+Tabelle1[[#This Row],[True Size Y]])/2</f>
        <v>26</v>
      </c>
      <c r="G78" s="10">
        <f>(Tabelle1[[#This Row],[Predicted Size]]-Tabelle1[[#This Row],[True Mean Size ]])^2</f>
        <v>1.2896358630676565</v>
      </c>
      <c r="H78" s="5">
        <f t="shared" si="4"/>
        <v>3636.1103413534333</v>
      </c>
      <c r="I78" s="5">
        <f t="shared" si="5"/>
        <v>3373.1635799999999</v>
      </c>
      <c r="J78" s="9">
        <f>(Tabelle1[[#This Row],[Predicted Cooling Capacity '[kW']]]-Tabelle1[[#This Row],[True Cooling Capacity '[kW']]])^2</f>
        <v>69140.999306259473</v>
      </c>
      <c r="K78" s="5">
        <f>100/Tabelle1[[#This Row],[True Cooling Capacity '[kW']]]*Tabelle1[[#This Row],[Predicted Cooling Capacity '[kW']]]</f>
        <v>107.79525674095632</v>
      </c>
      <c r="M78" s="40">
        <v>3558.9775245848618</v>
      </c>
      <c r="N78" s="41">
        <f>M78-$T$17*$T$18*SQRT(1+1/$T$14+(Tabelle1[[#This Row],[True Cooling Capacity '[kW']]]-$T$15)^2/$T$16)</f>
        <v>2544.498221107915</v>
      </c>
      <c r="O78" s="42">
        <f>M78+$T$17*$T$18*SQRT(1+1/$T$14+(Tabelle1[[#This Row],[True Cooling Capacity '[kW']]]-$T$15)^2/$T$16)</f>
        <v>4573.4568280618087</v>
      </c>
      <c r="P78" s="5">
        <f>M78-$T$17*$T$18*SQRT(1/$T$14+(Tabelle1[[#This Row],[True Cooling Capacity '[kW']]]-$T$15)^2/$T$16)</f>
        <v>3461.5377469796754</v>
      </c>
      <c r="Q78" s="5">
        <f>M78+$T$17*$T$18*SQRT(1/$T$14+(Tabelle1[[#This Row],[True Cooling Capacity '[kW']]]-$T$15)^2/$T$16)</f>
        <v>3656.4173021900483</v>
      </c>
      <c r="R78" s="5"/>
    </row>
    <row r="79" spans="1:18" x14ac:dyDescent="0.3">
      <c r="A79" t="s">
        <v>77</v>
      </c>
      <c r="B79" s="3" t="s">
        <v>188</v>
      </c>
      <c r="C79" s="4">
        <v>34.457931879999997</v>
      </c>
      <c r="D79" s="3">
        <v>33</v>
      </c>
      <c r="E79" s="4">
        <v>34</v>
      </c>
      <c r="F79">
        <f>(Tabelle1[[#This Row],[True Size X]]+Tabelle1[[#This Row],[True Size Y]])/2</f>
        <v>33.5</v>
      </c>
      <c r="G79" s="10">
        <f>(Tabelle1[[#This Row],[Predicted Size]]-Tabelle1[[#This Row],[True Mean Size ]])^2</f>
        <v>0.91763348672032818</v>
      </c>
      <c r="H79" s="5">
        <f t="shared" si="4"/>
        <v>5442.1883353040394</v>
      </c>
      <c r="I79" s="5">
        <f t="shared" si="5"/>
        <v>5195.0191237499985</v>
      </c>
      <c r="J79" s="9">
        <f>(Tabelle1[[#This Row],[Predicted Cooling Capacity '[kW']]]-Tabelle1[[#This Row],[True Cooling Capacity '[kW']]])^2</f>
        <v>61092.619140246221</v>
      </c>
      <c r="K79" s="5">
        <f>100/Tabelle1[[#This Row],[True Cooling Capacity '[kW']]]*Tabelle1[[#This Row],[Predicted Cooling Capacity '[kW']]]</f>
        <v>104.75781138945302</v>
      </c>
      <c r="M79" s="40">
        <v>5293.6152342605783</v>
      </c>
      <c r="N79" s="41">
        <f>M79-$T$17*$T$18*SQRT(1+1/$T$14+(Tabelle1[[#This Row],[True Cooling Capacity '[kW']]]-$T$15)^2/$T$16)</f>
        <v>4279.7244485048031</v>
      </c>
      <c r="O79" s="42">
        <f>M79+$T$17*$T$18*SQRT(1+1/$T$14+(Tabelle1[[#This Row],[True Cooling Capacity '[kW']]]-$T$15)^2/$T$16)</f>
        <v>6307.5060200163534</v>
      </c>
      <c r="P79" s="5">
        <f>M79-$T$17*$T$18*SQRT(1/$T$14+(Tabelle1[[#This Row],[True Cooling Capacity '[kW']]]-$T$15)^2/$T$16)</f>
        <v>5202.5066259014366</v>
      </c>
      <c r="Q79" s="5">
        <f>M79+$T$17*$T$18*SQRT(1/$T$14+(Tabelle1[[#This Row],[True Cooling Capacity '[kW']]]-$T$15)^2/$T$16)</f>
        <v>5384.72384261972</v>
      </c>
      <c r="R79" s="5"/>
    </row>
    <row r="80" spans="1:18" x14ac:dyDescent="0.3">
      <c r="A80" t="s">
        <v>78</v>
      </c>
      <c r="B80" s="3" t="s">
        <v>234</v>
      </c>
      <c r="C80" s="4">
        <v>34.888656028500002</v>
      </c>
      <c r="D80" s="3">
        <v>34</v>
      </c>
      <c r="E80" s="4">
        <v>35</v>
      </c>
      <c r="F80">
        <f>(Tabelle1[[#This Row],[True Size X]]+Tabelle1[[#This Row],[True Size Y]])/2</f>
        <v>34.5</v>
      </c>
      <c r="G80" s="10">
        <f>(Tabelle1[[#This Row],[Predicted Size]]-Tabelle1[[#This Row],[True Mean Size ]])^2</f>
        <v>0.15105350848939406</v>
      </c>
      <c r="H80" s="5">
        <f t="shared" si="4"/>
        <v>5554.393939531361</v>
      </c>
      <c r="I80" s="5">
        <f t="shared" si="5"/>
        <v>5453.1180637500001</v>
      </c>
      <c r="J80" s="9">
        <f>(Tabelle1[[#This Row],[Predicted Cooling Capacity '[kW']]]-Tabelle1[[#This Row],[True Cooling Capacity '[kW']]])^2</f>
        <v>10256.803015281625</v>
      </c>
      <c r="K80" s="5">
        <f>100/Tabelle1[[#This Row],[True Cooling Capacity '[kW']]]*Tabelle1[[#This Row],[Predicted Cooling Capacity '[kW']]]</f>
        <v>101.85721039958037</v>
      </c>
      <c r="M80" s="40">
        <v>5539.3581833583958</v>
      </c>
      <c r="N80" s="41">
        <f>M80-$T$17*$T$18*SQRT(1+1/$T$14+(Tabelle1[[#This Row],[True Cooling Capacity '[kW']]]-$T$15)^2/$T$16)</f>
        <v>4525.4720185365686</v>
      </c>
      <c r="O80" s="42">
        <f>M80+$T$17*$T$18*SQRT(1+1/$T$14+(Tabelle1[[#This Row],[True Cooling Capacity '[kW']]]-$T$15)^2/$T$16)</f>
        <v>6553.2443481802229</v>
      </c>
      <c r="P80" s="5">
        <f>M80-$T$17*$T$18*SQRT(1/$T$14+(Tabelle1[[#This Row],[True Cooling Capacity '[kW']]]-$T$15)^2/$T$16)</f>
        <v>5448.3010128895594</v>
      </c>
      <c r="Q80" s="5">
        <f>M80+$T$17*$T$18*SQRT(1/$T$14+(Tabelle1[[#This Row],[True Cooling Capacity '[kW']]]-$T$15)^2/$T$16)</f>
        <v>5630.4153538272321</v>
      </c>
      <c r="R80" s="5"/>
    </row>
    <row r="81" spans="1:18" x14ac:dyDescent="0.3">
      <c r="A81" t="s">
        <v>79</v>
      </c>
      <c r="B81" s="3" t="s">
        <v>130</v>
      </c>
      <c r="C81" s="4">
        <v>35.750104325499997</v>
      </c>
      <c r="D81" s="3">
        <v>34</v>
      </c>
      <c r="E81" s="4">
        <v>35</v>
      </c>
      <c r="F81">
        <f>(Tabelle1[[#This Row],[True Size X]]+Tabelle1[[#This Row],[True Size Y]])/2</f>
        <v>34.5</v>
      </c>
      <c r="G81" s="10">
        <f>(Tabelle1[[#This Row],[Predicted Size]]-Tabelle1[[#This Row],[True Mean Size ]])^2</f>
        <v>1.5627608246338025</v>
      </c>
      <c r="H81" s="5">
        <f t="shared" si="4"/>
        <v>5780.7937220627446</v>
      </c>
      <c r="I81" s="5">
        <f t="shared" si="5"/>
        <v>5453.1180637500001</v>
      </c>
      <c r="J81" s="9">
        <f>(Tabelle1[[#This Row],[Predicted Cooling Capacity '[kW']]]-Tabelle1[[#This Row],[True Cooling Capacity '[kW']]])^2</f>
        <v>107371.33705069043</v>
      </c>
      <c r="K81" s="5">
        <f>100/Tabelle1[[#This Row],[True Cooling Capacity '[kW']]]*Tabelle1[[#This Row],[Predicted Cooling Capacity '[kW']]]</f>
        <v>106.00895954354982</v>
      </c>
      <c r="M81" s="40">
        <v>5539.3581833583958</v>
      </c>
      <c r="N81" s="41">
        <f>M81-$T$17*$T$18*SQRT(1+1/$T$14+(Tabelle1[[#This Row],[True Cooling Capacity '[kW']]]-$T$15)^2/$T$16)</f>
        <v>4525.4720185365686</v>
      </c>
      <c r="O81" s="42">
        <f>M81+$T$17*$T$18*SQRT(1+1/$T$14+(Tabelle1[[#This Row],[True Cooling Capacity '[kW']]]-$T$15)^2/$T$16)</f>
        <v>6553.2443481802229</v>
      </c>
      <c r="P81" s="5">
        <f>M81-$T$17*$T$18*SQRT(1/$T$14+(Tabelle1[[#This Row],[True Cooling Capacity '[kW']]]-$T$15)^2/$T$16)</f>
        <v>5448.3010128895594</v>
      </c>
      <c r="Q81" s="5">
        <f>M81+$T$17*$T$18*SQRT(1/$T$14+(Tabelle1[[#This Row],[True Cooling Capacity '[kW']]]-$T$15)^2/$T$16)</f>
        <v>5630.4153538272321</v>
      </c>
      <c r="R81" s="5"/>
    </row>
    <row r="82" spans="1:18" x14ac:dyDescent="0.3">
      <c r="A82" t="s">
        <v>80</v>
      </c>
      <c r="B82" s="3" t="s">
        <v>174</v>
      </c>
      <c r="C82" s="4">
        <v>39.626621661999998</v>
      </c>
      <c r="D82" s="3">
        <v>37</v>
      </c>
      <c r="E82" s="4">
        <v>39</v>
      </c>
      <c r="F82">
        <f>(Tabelle1[[#This Row],[True Size X]]+Tabelle1[[#This Row],[True Size Y]])/2</f>
        <v>38</v>
      </c>
      <c r="G82" s="10">
        <f>(Tabelle1[[#This Row],[Predicted Size]]-Tabelle1[[#This Row],[True Mean Size ]])^2</f>
        <v>2.6458980312876359</v>
      </c>
      <c r="H82" s="5">
        <f t="shared" si="4"/>
        <v>6832.4042157202257</v>
      </c>
      <c r="I82" s="5">
        <f t="shared" si="5"/>
        <v>6384.6010200000001</v>
      </c>
      <c r="J82" s="9">
        <f>(Tabelle1[[#This Row],[Predicted Cooling Capacity '[kW']]]-Tabelle1[[#This Row],[True Cooling Capacity '[kW']]])^2</f>
        <v>200527.70209724671</v>
      </c>
      <c r="K82" s="5">
        <f>100/Tabelle1[[#This Row],[True Cooling Capacity '[kW']]]*Tabelle1[[#This Row],[Predicted Cooling Capacity '[kW']]]</f>
        <v>107.01380077341506</v>
      </c>
      <c r="M82" s="40">
        <v>6426.2481826091753</v>
      </c>
      <c r="N82" s="41">
        <f>M82-$T$17*$T$18*SQRT(1+1/$T$14+(Tabelle1[[#This Row],[True Cooling Capacity '[kW']]]-$T$15)^2/$T$16)</f>
        <v>5412.2161005336111</v>
      </c>
      <c r="O82" s="42">
        <f>M82+$T$17*$T$18*SQRT(1+1/$T$14+(Tabelle1[[#This Row],[True Cooling Capacity '[kW']]]-$T$15)^2/$T$16)</f>
        <v>7440.2802646847394</v>
      </c>
      <c r="P82" s="5">
        <f>M82-$T$17*$T$18*SQRT(1/$T$14+(Tabelle1[[#This Row],[True Cooling Capacity '[kW']]]-$T$15)^2/$T$16)</f>
        <v>6333.5804074379694</v>
      </c>
      <c r="Q82" s="5">
        <f>M82+$T$17*$T$18*SQRT(1/$T$14+(Tabelle1[[#This Row],[True Cooling Capacity '[kW']]]-$T$15)^2/$T$16)</f>
        <v>6518.9159577803812</v>
      </c>
      <c r="R82" s="5"/>
    </row>
    <row r="83" spans="1:18" x14ac:dyDescent="0.3">
      <c r="A83" t="s">
        <v>81</v>
      </c>
      <c r="B83" s="3" t="s">
        <v>217</v>
      </c>
      <c r="C83" s="4">
        <v>40.057345810500003</v>
      </c>
      <c r="D83" s="3">
        <v>38</v>
      </c>
      <c r="E83" s="4">
        <v>39</v>
      </c>
      <c r="F83">
        <f>(Tabelle1[[#This Row],[True Size X]]+Tabelle1[[#This Row],[True Size Y]])/2</f>
        <v>38.5</v>
      </c>
      <c r="G83" s="10">
        <f>(Tabelle1[[#This Row],[Predicted Size]]-Tabelle1[[#This Row],[True Mean Size ]])^2</f>
        <v>2.425325973481911</v>
      </c>
      <c r="H83" s="5">
        <f t="shared" si="4"/>
        <v>6952.5641162545198</v>
      </c>
      <c r="I83" s="5">
        <f t="shared" si="5"/>
        <v>6521.24292375</v>
      </c>
      <c r="J83" s="9">
        <f>(Tabelle1[[#This Row],[Predicted Cooling Capacity '[kW']]]-Tabelle1[[#This Row],[True Cooling Capacity '[kW']]])^2</f>
        <v>186037.97110352101</v>
      </c>
      <c r="K83" s="5">
        <f>100/Tabelle1[[#This Row],[True Cooling Capacity '[kW']]]*Tabelle1[[#This Row],[Predicted Cooling Capacity '[kW']]]</f>
        <v>106.6140948519748</v>
      </c>
      <c r="M83" s="40">
        <v>6556.3486177286104</v>
      </c>
      <c r="N83" s="41">
        <f>M83-$T$17*$T$18*SQRT(1+1/$T$14+(Tabelle1[[#This Row],[True Cooling Capacity '[kW']]]-$T$15)^2/$T$16)</f>
        <v>5542.273718595563</v>
      </c>
      <c r="O83" s="42">
        <f>M83+$T$17*$T$18*SQRT(1+1/$T$14+(Tabelle1[[#This Row],[True Cooling Capacity '[kW']]]-$T$15)^2/$T$16)</f>
        <v>7570.4235168616578</v>
      </c>
      <c r="P83" s="5">
        <f>M83-$T$17*$T$18*SQRT(1/$T$14+(Tabelle1[[#This Row],[True Cooling Capacity '[kW']]]-$T$15)^2/$T$16)</f>
        <v>6463.2134786651059</v>
      </c>
      <c r="Q83" s="5">
        <f>M83+$T$17*$T$18*SQRT(1/$T$14+(Tabelle1[[#This Row],[True Cooling Capacity '[kW']]]-$T$15)^2/$T$16)</f>
        <v>6649.4837567921149</v>
      </c>
      <c r="R83" s="5"/>
    </row>
    <row r="84" spans="1:18" x14ac:dyDescent="0.3">
      <c r="A84" t="s">
        <v>82</v>
      </c>
      <c r="B84" s="3" t="s">
        <v>136</v>
      </c>
      <c r="C84" s="4">
        <v>40.057345810500003</v>
      </c>
      <c r="D84" s="3">
        <v>38</v>
      </c>
      <c r="E84" s="4">
        <v>39</v>
      </c>
      <c r="F84">
        <f>(Tabelle1[[#This Row],[True Size X]]+Tabelle1[[#This Row],[True Size Y]])/2</f>
        <v>38.5</v>
      </c>
      <c r="G84" s="10">
        <f>(Tabelle1[[#This Row],[Predicted Size]]-Tabelle1[[#This Row],[True Mean Size ]])^2</f>
        <v>2.425325973481911</v>
      </c>
      <c r="H84" s="5">
        <f t="shared" si="4"/>
        <v>6952.5641162545198</v>
      </c>
      <c r="I84" s="5">
        <f t="shared" si="5"/>
        <v>6521.24292375</v>
      </c>
      <c r="J84" s="9">
        <f>(Tabelle1[[#This Row],[Predicted Cooling Capacity '[kW']]]-Tabelle1[[#This Row],[True Cooling Capacity '[kW']]])^2</f>
        <v>186037.97110352101</v>
      </c>
      <c r="K84" s="5">
        <f>100/Tabelle1[[#This Row],[True Cooling Capacity '[kW']]]*Tabelle1[[#This Row],[Predicted Cooling Capacity '[kW']]]</f>
        <v>106.6140948519748</v>
      </c>
      <c r="M84" s="40">
        <v>6556.3486177286104</v>
      </c>
      <c r="N84" s="41">
        <f>M84-$T$17*$T$18*SQRT(1+1/$T$14+(Tabelle1[[#This Row],[True Cooling Capacity '[kW']]]-$T$15)^2/$T$16)</f>
        <v>5542.273718595563</v>
      </c>
      <c r="O84" s="42">
        <f>M84+$T$17*$T$18*SQRT(1+1/$T$14+(Tabelle1[[#This Row],[True Cooling Capacity '[kW']]]-$T$15)^2/$T$16)</f>
        <v>7570.4235168616578</v>
      </c>
      <c r="P84" s="5">
        <f>M84-$T$17*$T$18*SQRT(1/$T$14+(Tabelle1[[#This Row],[True Cooling Capacity '[kW']]]-$T$15)^2/$T$16)</f>
        <v>6463.2134786651059</v>
      </c>
      <c r="Q84" s="5">
        <f>M84+$T$17*$T$18*SQRT(1/$T$14+(Tabelle1[[#This Row],[True Cooling Capacity '[kW']]]-$T$15)^2/$T$16)</f>
        <v>6649.4837567921149</v>
      </c>
      <c r="R84" s="5"/>
    </row>
    <row r="85" spans="1:18" x14ac:dyDescent="0.3">
      <c r="A85" t="s">
        <v>83</v>
      </c>
      <c r="B85" s="3" t="s">
        <v>244</v>
      </c>
      <c r="C85" s="4">
        <v>22.828379870500001</v>
      </c>
      <c r="D85" s="3">
        <v>23</v>
      </c>
      <c r="E85" s="4">
        <v>21</v>
      </c>
      <c r="F85">
        <f>(Tabelle1[[#This Row],[True Size X]]+Tabelle1[[#This Row],[True Size Y]])/2</f>
        <v>22</v>
      </c>
      <c r="G85" s="10">
        <f>(Tabelle1[[#This Row],[Predicted Size]]-Tabelle1[[#This Row],[True Mean Size ]])^2</f>
        <v>0.68621320984959833</v>
      </c>
      <c r="H85" s="5">
        <f t="shared" si="4"/>
        <v>2663.1973548358915</v>
      </c>
      <c r="I85" s="5">
        <f t="shared" si="5"/>
        <v>2483.6842200000001</v>
      </c>
      <c r="J85" s="9">
        <f>(Tabelle1[[#This Row],[Predicted Cooling Capacity '[kW']]]-Tabelle1[[#This Row],[True Cooling Capacity '[kW']]])^2</f>
        <v>32224.965578608917</v>
      </c>
      <c r="K85" s="5">
        <f>100/Tabelle1[[#This Row],[True Cooling Capacity '[kW']]]*Tabelle1[[#This Row],[Predicted Cooling Capacity '[kW']]]</f>
        <v>107.22769558989634</v>
      </c>
      <c r="M85" s="40">
        <v>2712.0802801093982</v>
      </c>
      <c r="N85" s="41">
        <f>M85-$T$17*$T$18*SQRT(1+1/$T$14+(Tabelle1[[#This Row],[True Cooling Capacity '[kW']]]-$T$15)^2/$T$16)</f>
        <v>1696.9602367717459</v>
      </c>
      <c r="O85" s="42">
        <f>M85+$T$17*$T$18*SQRT(1+1/$T$14+(Tabelle1[[#This Row],[True Cooling Capacity '[kW']]]-$T$15)^2/$T$16)</f>
        <v>3727.2003234470503</v>
      </c>
      <c r="P85" s="5">
        <f>M85-$T$17*$T$18*SQRT(1/$T$14+(Tabelle1[[#This Row],[True Cooling Capacity '[kW']]]-$T$15)^2/$T$16)</f>
        <v>2608.1815050323339</v>
      </c>
      <c r="Q85" s="5">
        <f>M85+$T$17*$T$18*SQRT(1/$T$14+(Tabelle1[[#This Row],[True Cooling Capacity '[kW']]]-$T$15)^2/$T$16)</f>
        <v>2815.9790551864626</v>
      </c>
      <c r="R85" s="5"/>
    </row>
    <row r="86" spans="1:18" x14ac:dyDescent="0.3">
      <c r="A86" t="s">
        <v>84</v>
      </c>
      <c r="B86" s="3" t="s">
        <v>147</v>
      </c>
      <c r="C86" s="4">
        <v>22.397655722</v>
      </c>
      <c r="D86" s="3">
        <v>23</v>
      </c>
      <c r="E86" s="4">
        <v>21</v>
      </c>
      <c r="F86">
        <f>(Tabelle1[[#This Row],[True Size X]]+Tabelle1[[#This Row],[True Size Y]])/2</f>
        <v>22</v>
      </c>
      <c r="G86" s="10">
        <f>(Tabelle1[[#This Row],[Predicted Size]]-Tabelle1[[#This Row],[True Mean Size ]])^2</f>
        <v>0.158130073239341</v>
      </c>
      <c r="H86" s="5">
        <f t="shared" si="4"/>
        <v>2569.5517753248305</v>
      </c>
      <c r="I86" s="5">
        <f t="shared" si="5"/>
        <v>2483.6842200000001</v>
      </c>
      <c r="J86" s="9">
        <f>(Tabelle1[[#This Row],[Predicted Cooling Capacity '[kW']]]-Tabelle1[[#This Row],[True Cooling Capacity '[kW']]])^2</f>
        <v>7373.2370574628085</v>
      </c>
      <c r="K86" s="5">
        <f>100/Tabelle1[[#This Row],[True Cooling Capacity '[kW']]]*Tabelle1[[#This Row],[Predicted Cooling Capacity '[kW']]]</f>
        <v>103.4572654056976</v>
      </c>
      <c r="M86" s="40">
        <v>2712.0802801093982</v>
      </c>
      <c r="N86" s="41">
        <f>M86-$T$17*$T$18*SQRT(1+1/$T$14+(Tabelle1[[#This Row],[True Cooling Capacity '[kW']]]-$T$15)^2/$T$16)</f>
        <v>1696.9602367717459</v>
      </c>
      <c r="O86" s="42">
        <f>M86+$T$17*$T$18*SQRT(1+1/$T$14+(Tabelle1[[#This Row],[True Cooling Capacity '[kW']]]-$T$15)^2/$T$16)</f>
        <v>3727.2003234470503</v>
      </c>
      <c r="P86" s="5">
        <f>M86-$T$17*$T$18*SQRT(1/$T$14+(Tabelle1[[#This Row],[True Cooling Capacity '[kW']]]-$T$15)^2/$T$16)</f>
        <v>2608.1815050323339</v>
      </c>
      <c r="Q86" s="5">
        <f>M86+$T$17*$T$18*SQRT(1/$T$14+(Tabelle1[[#This Row],[True Cooling Capacity '[kW']]]-$T$15)^2/$T$16)</f>
        <v>2815.9790551864626</v>
      </c>
      <c r="R86" s="5"/>
    </row>
    <row r="87" spans="1:18" x14ac:dyDescent="0.3">
      <c r="A87" t="s">
        <v>85</v>
      </c>
      <c r="B87" s="3" t="s">
        <v>180</v>
      </c>
      <c r="C87" s="4">
        <v>29.289242097999999</v>
      </c>
      <c r="D87" s="3">
        <v>27</v>
      </c>
      <c r="E87" s="4">
        <v>28</v>
      </c>
      <c r="F87">
        <f>(Tabelle1[[#This Row],[True Size X]]+Tabelle1[[#This Row],[True Size Y]])/2</f>
        <v>27.5</v>
      </c>
      <c r="G87" s="10">
        <f>(Tabelle1[[#This Row],[Predicted Size]]-Tabelle1[[#This Row],[True Mean Size ]])^2</f>
        <v>3.2013872852554379</v>
      </c>
      <c r="H87" s="5">
        <f t="shared" si="4"/>
        <v>4147.4240105714834</v>
      </c>
      <c r="I87" s="5">
        <f t="shared" si="5"/>
        <v>3721.4565937500006</v>
      </c>
      <c r="J87" s="9">
        <f>(Tabelle1[[#This Row],[Predicted Cooling Capacity '[kW']]]-Tabelle1[[#This Row],[True Cooling Capacity '[kW']]])^2</f>
        <v>181448.24019356692</v>
      </c>
      <c r="K87" s="5">
        <f>100/Tabelle1[[#This Row],[True Cooling Capacity '[kW']]]*Tabelle1[[#This Row],[Predicted Cooling Capacity '[kW']]]</f>
        <v>111.44625514474289</v>
      </c>
      <c r="M87" s="40">
        <v>3890.5966794294786</v>
      </c>
      <c r="N87" s="41">
        <f>M87-$T$17*$T$18*SQRT(1+1/$T$14+(Tabelle1[[#This Row],[True Cooling Capacity '[kW']]]-$T$15)^2/$T$16)</f>
        <v>2876.3051407684297</v>
      </c>
      <c r="O87" s="42">
        <f>M87+$T$17*$T$18*SQRT(1+1/$T$14+(Tabelle1[[#This Row],[True Cooling Capacity '[kW']]]-$T$15)^2/$T$16)</f>
        <v>4904.8882180905275</v>
      </c>
      <c r="P87" s="5">
        <f>M87-$T$17*$T$18*SQRT(1/$T$14+(Tabelle1[[#This Row],[True Cooling Capacity '[kW']]]-$T$15)^2/$T$16)</f>
        <v>3795.1316152642266</v>
      </c>
      <c r="Q87" s="5">
        <f>M87+$T$17*$T$18*SQRT(1/$T$14+(Tabelle1[[#This Row],[True Cooling Capacity '[kW']]]-$T$15)^2/$T$16)</f>
        <v>3986.0617435947306</v>
      </c>
      <c r="R87" s="5"/>
    </row>
    <row r="88" spans="1:18" x14ac:dyDescent="0.3">
      <c r="A88" t="s">
        <v>86</v>
      </c>
      <c r="B88" s="3" t="s">
        <v>135</v>
      </c>
      <c r="C88" s="4">
        <v>28.427793801</v>
      </c>
      <c r="D88" s="3">
        <v>27</v>
      </c>
      <c r="E88" s="4">
        <v>28</v>
      </c>
      <c r="F88">
        <f>(Tabelle1[[#This Row],[True Size X]]+Tabelle1[[#This Row],[True Size Y]])/2</f>
        <v>27.5</v>
      </c>
      <c r="G88" s="10">
        <f>(Tabelle1[[#This Row],[Predicted Size]]-Tabelle1[[#This Row],[True Mean Size ]])^2</f>
        <v>0.86080133717402751</v>
      </c>
      <c r="H88" s="5">
        <f t="shared" si="4"/>
        <v>3940.9099688075207</v>
      </c>
      <c r="I88" s="5">
        <f t="shared" si="5"/>
        <v>3721.4565937500006</v>
      </c>
      <c r="J88" s="9">
        <f>(Tabelle1[[#This Row],[Predicted Cooling Capacity '[kW']]]-Tabelle1[[#This Row],[True Cooling Capacity '[kW']]])^2</f>
        <v>48159.783824136597</v>
      </c>
      <c r="K88" s="5">
        <f>100/Tabelle1[[#This Row],[True Cooling Capacity '[kW']]]*Tabelle1[[#This Row],[Predicted Cooling Capacity '[kW']]]</f>
        <v>105.89697527108287</v>
      </c>
      <c r="M88" s="40">
        <v>3890.5966794294786</v>
      </c>
      <c r="N88" s="41">
        <f>M88-$T$17*$T$18*SQRT(1+1/$T$14+(Tabelle1[[#This Row],[True Cooling Capacity '[kW']]]-$T$15)^2/$T$16)</f>
        <v>2876.3051407684297</v>
      </c>
      <c r="O88" s="42">
        <f>M88+$T$17*$T$18*SQRT(1+1/$T$14+(Tabelle1[[#This Row],[True Cooling Capacity '[kW']]]-$T$15)^2/$T$16)</f>
        <v>4904.8882180905275</v>
      </c>
      <c r="P88" s="5">
        <f>M88-$T$17*$T$18*SQRT(1/$T$14+(Tabelle1[[#This Row],[True Cooling Capacity '[kW']]]-$T$15)^2/$T$16)</f>
        <v>3795.1316152642266</v>
      </c>
      <c r="Q88" s="5">
        <f>M88+$T$17*$T$18*SQRT(1/$T$14+(Tabelle1[[#This Row],[True Cooling Capacity '[kW']]]-$T$15)^2/$T$16)</f>
        <v>3986.0617435947306</v>
      </c>
      <c r="R88" s="5"/>
    </row>
    <row r="89" spans="1:18" x14ac:dyDescent="0.3">
      <c r="A89" t="s">
        <v>87</v>
      </c>
      <c r="B89" s="3" t="s">
        <v>198</v>
      </c>
      <c r="C89" s="4">
        <v>34.888656028500002</v>
      </c>
      <c r="D89" s="3">
        <v>34</v>
      </c>
      <c r="E89" s="4">
        <v>35</v>
      </c>
      <c r="F89">
        <f>(Tabelle1[[#This Row],[True Size X]]+Tabelle1[[#This Row],[True Size Y]])/2</f>
        <v>34.5</v>
      </c>
      <c r="G89" s="10">
        <f>(Tabelle1[[#This Row],[Predicted Size]]-Tabelle1[[#This Row],[True Mean Size ]])^2</f>
        <v>0.15105350848939406</v>
      </c>
      <c r="H89" s="5">
        <f t="shared" si="4"/>
        <v>5554.393939531361</v>
      </c>
      <c r="I89" s="5">
        <f t="shared" si="5"/>
        <v>5453.1180637500001</v>
      </c>
      <c r="J89" s="9">
        <f>(Tabelle1[[#This Row],[Predicted Cooling Capacity '[kW']]]-Tabelle1[[#This Row],[True Cooling Capacity '[kW']]])^2</f>
        <v>10256.803015281625</v>
      </c>
      <c r="K89" s="5">
        <f>100/Tabelle1[[#This Row],[True Cooling Capacity '[kW']]]*Tabelle1[[#This Row],[Predicted Cooling Capacity '[kW']]]</f>
        <v>101.85721039958037</v>
      </c>
      <c r="M89" s="40">
        <v>5539.3581833583958</v>
      </c>
      <c r="N89" s="41">
        <f>M89-$T$17*$T$18*SQRT(1+1/$T$14+(Tabelle1[[#This Row],[True Cooling Capacity '[kW']]]-$T$15)^2/$T$16)</f>
        <v>4525.4720185365686</v>
      </c>
      <c r="O89" s="42">
        <f>M89+$T$17*$T$18*SQRT(1+1/$T$14+(Tabelle1[[#This Row],[True Cooling Capacity '[kW']]]-$T$15)^2/$T$16)</f>
        <v>6553.2443481802229</v>
      </c>
      <c r="P89" s="5">
        <f>M89-$T$17*$T$18*SQRT(1/$T$14+(Tabelle1[[#This Row],[True Cooling Capacity '[kW']]]-$T$15)^2/$T$16)</f>
        <v>5448.3010128895594</v>
      </c>
      <c r="Q89" s="5">
        <f>M89+$T$17*$T$18*SQRT(1/$T$14+(Tabelle1[[#This Row],[True Cooling Capacity '[kW']]]-$T$15)^2/$T$16)</f>
        <v>5630.4153538272321</v>
      </c>
      <c r="R89" s="5"/>
    </row>
    <row r="90" spans="1:18" x14ac:dyDescent="0.3">
      <c r="A90" t="s">
        <v>88</v>
      </c>
      <c r="B90" s="3" t="s">
        <v>163</v>
      </c>
      <c r="C90" s="4">
        <v>35.750104325499997</v>
      </c>
      <c r="D90" s="3">
        <v>35</v>
      </c>
      <c r="E90" s="4">
        <v>36</v>
      </c>
      <c r="F90">
        <f>(Tabelle1[[#This Row],[True Size X]]+Tabelle1[[#This Row],[True Size Y]])/2</f>
        <v>35.5</v>
      </c>
      <c r="G90" s="10">
        <f>(Tabelle1[[#This Row],[Predicted Size]]-Tabelle1[[#This Row],[True Mean Size ]])^2</f>
        <v>6.2552173633808481E-2</v>
      </c>
      <c r="H90" s="5">
        <f t="shared" si="4"/>
        <v>5780.7937220627446</v>
      </c>
      <c r="I90" s="5">
        <f t="shared" si="5"/>
        <v>5714.789913749999</v>
      </c>
      <c r="J90" s="9">
        <f>(Tabelle1[[#This Row],[Predicted Cooling Capacity '[kW']]]-Tabelle1[[#This Row],[True Cooling Capacity '[kW']]])^2</f>
        <v>4356.5027117856662</v>
      </c>
      <c r="K90" s="5">
        <f>100/Tabelle1[[#This Row],[True Cooling Capacity '[kW']]]*Tabelle1[[#This Row],[Predicted Cooling Capacity '[kW']]]</f>
        <v>101.15496473726773</v>
      </c>
      <c r="M90" s="40">
        <v>5788.5029962541057</v>
      </c>
      <c r="N90" s="41">
        <f>M90-$T$17*$T$18*SQRT(1+1/$T$14+(Tabelle1[[#This Row],[True Cooling Capacity '[kW']]]-$T$15)^2/$T$16)</f>
        <v>4774.6015577255102</v>
      </c>
      <c r="O90" s="42">
        <f>M90+$T$17*$T$18*SQRT(1+1/$T$14+(Tabelle1[[#This Row],[True Cooling Capacity '[kW']]]-$T$15)^2/$T$16)</f>
        <v>6802.4044347827012</v>
      </c>
      <c r="P90" s="5">
        <f>M90-$T$17*$T$18*SQRT(1/$T$14+(Tabelle1[[#This Row],[True Cooling Capacity '[kW']]]-$T$15)^2/$T$16)</f>
        <v>5697.2759162447528</v>
      </c>
      <c r="Q90" s="5">
        <f>M90+$T$17*$T$18*SQRT(1/$T$14+(Tabelle1[[#This Row],[True Cooling Capacity '[kW']]]-$T$15)^2/$T$16)</f>
        <v>5879.7300762634586</v>
      </c>
      <c r="R90" s="5"/>
    </row>
    <row r="91" spans="1:18" x14ac:dyDescent="0.3">
      <c r="A91" t="s">
        <v>89</v>
      </c>
      <c r="B91" s="3" t="s">
        <v>160</v>
      </c>
      <c r="C91" s="4">
        <v>33.165759434500004</v>
      </c>
      <c r="D91" s="3">
        <v>35</v>
      </c>
      <c r="E91" s="4">
        <v>35</v>
      </c>
      <c r="F91">
        <f>(Tabelle1[[#This Row],[True Size X]]+Tabelle1[[#This Row],[True Size Y]])/2</f>
        <v>35</v>
      </c>
      <c r="G91" s="10">
        <f>(Tabelle1[[#This Row],[Predicted Size]]-Tabelle1[[#This Row],[True Mean Size ]])^2</f>
        <v>3.3644384521257469</v>
      </c>
      <c r="H91" s="5">
        <f t="shared" si="4"/>
        <v>5109.5486707755626</v>
      </c>
      <c r="I91" s="5">
        <f t="shared" si="5"/>
        <v>5583.5073749999992</v>
      </c>
      <c r="J91" s="9">
        <f>(Tabelle1[[#This Row],[Predicted Cooling Capacity '[kW']]]-Tabelle1[[#This Row],[True Cooling Capacity '[kW']]])^2</f>
        <v>224636.85331010696</v>
      </c>
      <c r="K91" s="5">
        <f>100/Tabelle1[[#This Row],[True Cooling Capacity '[kW']]]*Tabelle1[[#This Row],[Predicted Cooling Capacity '[kW']]]</f>
        <v>91.511451989002936</v>
      </c>
      <c r="M91" s="40">
        <v>5663.5053568315134</v>
      </c>
      <c r="N91" s="41">
        <f>M91-$T$17*$T$18*SQRT(1+1/$T$14+(Tabelle1[[#This Row],[True Cooling Capacity '[kW']]]-$T$15)^2/$T$16)</f>
        <v>4649.6140931426626</v>
      </c>
      <c r="O91" s="42">
        <f>M91+$T$17*$T$18*SQRT(1+1/$T$14+(Tabelle1[[#This Row],[True Cooling Capacity '[kW']]]-$T$15)^2/$T$16)</f>
        <v>6677.3966205203642</v>
      </c>
      <c r="P91" s="5">
        <f>M91-$T$17*$T$18*SQRT(1/$T$14+(Tabelle1[[#This Row],[True Cooling Capacity '[kW']]]-$T$15)^2/$T$16)</f>
        <v>5572.3914300077186</v>
      </c>
      <c r="Q91" s="5">
        <f>M91+$T$17*$T$18*SQRT(1/$T$14+(Tabelle1[[#This Row],[True Cooling Capacity '[kW']]]-$T$15)^2/$T$16)</f>
        <v>5754.6192836553082</v>
      </c>
      <c r="R91" s="5"/>
    </row>
    <row r="92" spans="1:18" x14ac:dyDescent="0.3">
      <c r="A92" t="s">
        <v>90</v>
      </c>
      <c r="B92" s="3" t="s">
        <v>177</v>
      </c>
      <c r="C92" s="4">
        <v>31.442862840499998</v>
      </c>
      <c r="D92" s="3">
        <v>32</v>
      </c>
      <c r="E92" s="4">
        <v>32</v>
      </c>
      <c r="F92">
        <f>(Tabelle1[[#This Row],[True Size X]]+Tabelle1[[#This Row],[True Size Y]])/2</f>
        <v>32</v>
      </c>
      <c r="G92" s="10">
        <f>(Tabelle1[[#This Row],[Predicted Size]]-Tabelle1[[#This Row],[True Mean Size ]])^2</f>
        <v>0.31040181449573029</v>
      </c>
      <c r="H92" s="5">
        <f t="shared" si="4"/>
        <v>4675.3091304290519</v>
      </c>
      <c r="I92" s="5">
        <f t="shared" si="5"/>
        <v>4814.5699199999999</v>
      </c>
      <c r="J92" s="9">
        <f>(Tabelle1[[#This Row],[Predicted Cooling Capacity '[kW']]]-Tabelle1[[#This Row],[True Cooling Capacity '[kW']]])^2</f>
        <v>19393.567511923848</v>
      </c>
      <c r="K92" s="5">
        <f>100/Tabelle1[[#This Row],[True Cooling Capacity '[kW']]]*Tabelle1[[#This Row],[Predicted Cooling Capacity '[kW']]]</f>
        <v>97.107513404417475</v>
      </c>
      <c r="M92" s="40">
        <v>4931.3793052349083</v>
      </c>
      <c r="N92" s="41">
        <f>M92-$T$17*$T$18*SQRT(1+1/$T$14+(Tabelle1[[#This Row],[True Cooling Capacity '[kW']]]-$T$15)^2/$T$16)</f>
        <v>3917.4460595025348</v>
      </c>
      <c r="O92" s="42">
        <f>M92+$T$17*$T$18*SQRT(1+1/$T$14+(Tabelle1[[#This Row],[True Cooling Capacity '[kW']]]-$T$15)^2/$T$16)</f>
        <v>5945.3125509672818</v>
      </c>
      <c r="P92" s="5">
        <f>M92-$T$17*$T$18*SQRT(1/$T$14+(Tabelle1[[#This Row],[True Cooling Capacity '[kW']]]-$T$15)^2/$T$16)</f>
        <v>4839.7993954398953</v>
      </c>
      <c r="Q92" s="5">
        <f>M92+$T$17*$T$18*SQRT(1/$T$14+(Tabelle1[[#This Row],[True Cooling Capacity '[kW']]]-$T$15)^2/$T$16)</f>
        <v>5022.9592150299213</v>
      </c>
      <c r="R92" s="5"/>
    </row>
    <row r="93" spans="1:18" x14ac:dyDescent="0.3">
      <c r="A93" t="s">
        <v>91</v>
      </c>
      <c r="B93" s="3" t="s">
        <v>140</v>
      </c>
      <c r="C93" s="4">
        <v>31.873586989</v>
      </c>
      <c r="D93" s="3">
        <v>32</v>
      </c>
      <c r="E93" s="4">
        <v>32</v>
      </c>
      <c r="F93">
        <f>(Tabelle1[[#This Row],[True Size X]]+Tabelle1[[#This Row],[True Size Y]])/2</f>
        <v>32</v>
      </c>
      <c r="G93" s="10">
        <f>(Tabelle1[[#This Row],[Predicted Size]]-Tabelle1[[#This Row],[True Mean Size ]])^2</f>
        <v>1.5980249350086208E-2</v>
      </c>
      <c r="H93" s="5">
        <f t="shared" si="4"/>
        <v>4782.874728477309</v>
      </c>
      <c r="I93" s="5">
        <f t="shared" si="5"/>
        <v>4814.5699199999999</v>
      </c>
      <c r="J93" s="9">
        <f>(Tabelle1[[#This Row],[Predicted Cooling Capacity '[kW']]]-Tabelle1[[#This Row],[True Cooling Capacity '[kW']]])^2</f>
        <v>1004.5851656600602</v>
      </c>
      <c r="K93" s="5">
        <f>100/Tabelle1[[#This Row],[True Cooling Capacity '[kW']]]*Tabelle1[[#This Row],[Predicted Cooling Capacity '[kW']]]</f>
        <v>99.34168176910201</v>
      </c>
      <c r="M93" s="40">
        <v>4931.3793052349083</v>
      </c>
      <c r="N93" s="41">
        <f>M93-$T$17*$T$18*SQRT(1+1/$T$14+(Tabelle1[[#This Row],[True Cooling Capacity '[kW']]]-$T$15)^2/$T$16)</f>
        <v>3917.4460595025348</v>
      </c>
      <c r="O93" s="42">
        <f>M93+$T$17*$T$18*SQRT(1+1/$T$14+(Tabelle1[[#This Row],[True Cooling Capacity '[kW']]]-$T$15)^2/$T$16)</f>
        <v>5945.3125509672818</v>
      </c>
      <c r="P93" s="5">
        <f>M93-$T$17*$T$18*SQRT(1/$T$14+(Tabelle1[[#This Row],[True Cooling Capacity '[kW']]]-$T$15)^2/$T$16)</f>
        <v>4839.7993954398953</v>
      </c>
      <c r="Q93" s="5">
        <f>M93+$T$17*$T$18*SQRT(1/$T$14+(Tabelle1[[#This Row],[True Cooling Capacity '[kW']]]-$T$15)^2/$T$16)</f>
        <v>5022.9592150299213</v>
      </c>
      <c r="R93" s="5"/>
    </row>
    <row r="94" spans="1:18" x14ac:dyDescent="0.3">
      <c r="A94" t="s">
        <v>92</v>
      </c>
      <c r="B94" s="3" t="s">
        <v>144</v>
      </c>
      <c r="C94" s="4">
        <v>33.165759434500004</v>
      </c>
      <c r="D94" s="3">
        <v>33</v>
      </c>
      <c r="E94" s="4">
        <v>34</v>
      </c>
      <c r="F94">
        <f>(Tabelle1[[#This Row],[True Size X]]+Tabelle1[[#This Row],[True Size Y]])/2</f>
        <v>33.5</v>
      </c>
      <c r="G94" s="10">
        <f>(Tabelle1[[#This Row],[Predicted Size]]-Tabelle1[[#This Row],[True Mean Size ]])^2</f>
        <v>0.11171675562575743</v>
      </c>
      <c r="H94" s="5">
        <f t="shared" si="4"/>
        <v>5109.5486707755626</v>
      </c>
      <c r="I94" s="5">
        <f t="shared" si="5"/>
        <v>5195.0191237499985</v>
      </c>
      <c r="J94" s="9">
        <f>(Tabelle1[[#This Row],[Predicted Cooling Capacity '[kW']]]-Tabelle1[[#This Row],[True Cooling Capacity '[kW']]])^2</f>
        <v>7305.1983316552469</v>
      </c>
      <c r="K94" s="5">
        <f>100/Tabelle1[[#This Row],[True Cooling Capacity '[kW']]]*Tabelle1[[#This Row],[Predicted Cooling Capacity '[kW']]]</f>
        <v>98.354761533336955</v>
      </c>
      <c r="M94" s="40">
        <v>5293.6152342605783</v>
      </c>
      <c r="N94" s="41">
        <f>M94-$T$17*$T$18*SQRT(1+1/$T$14+(Tabelle1[[#This Row],[True Cooling Capacity '[kW']]]-$T$15)^2/$T$16)</f>
        <v>4279.7244485048031</v>
      </c>
      <c r="O94" s="42">
        <f>M94+$T$17*$T$18*SQRT(1+1/$T$14+(Tabelle1[[#This Row],[True Cooling Capacity '[kW']]]-$T$15)^2/$T$16)</f>
        <v>6307.5060200163534</v>
      </c>
      <c r="P94" s="5">
        <f>M94-$T$17*$T$18*SQRT(1/$T$14+(Tabelle1[[#This Row],[True Cooling Capacity '[kW']]]-$T$15)^2/$T$16)</f>
        <v>5202.5066259014366</v>
      </c>
      <c r="Q94" s="5">
        <f>M94+$T$17*$T$18*SQRT(1/$T$14+(Tabelle1[[#This Row],[True Cooling Capacity '[kW']]]-$T$15)^2/$T$16)</f>
        <v>5384.72384261972</v>
      </c>
      <c r="R94" s="5"/>
    </row>
    <row r="95" spans="1:18" x14ac:dyDescent="0.3">
      <c r="A95" t="s">
        <v>93</v>
      </c>
      <c r="B95" s="3" t="s">
        <v>185</v>
      </c>
      <c r="C95" s="4">
        <v>32.735035285999999</v>
      </c>
      <c r="D95" s="3">
        <v>32</v>
      </c>
      <c r="E95" s="4">
        <v>30</v>
      </c>
      <c r="F95">
        <f>(Tabelle1[[#This Row],[True Size X]]+Tabelle1[[#This Row],[True Size Y]])/2</f>
        <v>31</v>
      </c>
      <c r="G95" s="10">
        <f>(Tabelle1[[#This Row],[Predicted Size]]-Tabelle1[[#This Row],[True Mean Size ]])^2</f>
        <v>3.010347443665097</v>
      </c>
      <c r="H95" s="5">
        <f t="shared" si="4"/>
        <v>4999.9944986505616</v>
      </c>
      <c r="I95" s="5">
        <f t="shared" si="5"/>
        <v>4565.4032550000011</v>
      </c>
      <c r="J95" s="9">
        <f>(Tabelle1[[#This Row],[Predicted Cooling Capacity '[kW']]]-Tabelle1[[#This Row],[True Cooling Capacity '[kW']]])^2</f>
        <v>188869.54905774083</v>
      </c>
      <c r="K95" s="5">
        <f>100/Tabelle1[[#This Row],[True Cooling Capacity '[kW']]]*Tabelle1[[#This Row],[Predicted Cooling Capacity '[kW']]]</f>
        <v>109.51923016164233</v>
      </c>
      <c r="M95" s="40">
        <v>4694.1410156318307</v>
      </c>
      <c r="N95" s="41">
        <f>M95-$T$17*$T$18*SQRT(1+1/$T$14+(Tabelle1[[#This Row],[True Cooling Capacity '[kW']]]-$T$15)^2/$T$16)</f>
        <v>3680.1569433217169</v>
      </c>
      <c r="O95" s="42">
        <f>M95+$T$17*$T$18*SQRT(1+1/$T$14+(Tabelle1[[#This Row],[True Cooling Capacity '[kW']]]-$T$15)^2/$T$16)</f>
        <v>5708.1250879419449</v>
      </c>
      <c r="P95" s="5">
        <f>M95-$T$17*$T$18*SQRT(1/$T$14+(Tabelle1[[#This Row],[True Cooling Capacity '[kW']]]-$T$15)^2/$T$16)</f>
        <v>4602.0000802378408</v>
      </c>
      <c r="Q95" s="5">
        <f>M95+$T$17*$T$18*SQRT(1/$T$14+(Tabelle1[[#This Row],[True Cooling Capacity '[kW']]]-$T$15)^2/$T$16)</f>
        <v>4786.2819510258205</v>
      </c>
      <c r="R95" s="5"/>
    </row>
    <row r="96" spans="1:18" x14ac:dyDescent="0.3">
      <c r="A96" t="s">
        <v>94</v>
      </c>
      <c r="B96" s="3" t="s">
        <v>184</v>
      </c>
      <c r="C96" s="4">
        <v>31.012138692000001</v>
      </c>
      <c r="D96" s="3">
        <v>30</v>
      </c>
      <c r="E96" s="4">
        <v>31</v>
      </c>
      <c r="F96">
        <f>(Tabelle1[[#This Row],[True Size X]]+Tabelle1[[#This Row],[True Size Y]])/2</f>
        <v>30.5</v>
      </c>
      <c r="G96" s="10">
        <f>(Tabelle1[[#This Row],[Predicted Size]]-Tabelle1[[#This Row],[True Mean Size ]])^2</f>
        <v>0.26228603984347149</v>
      </c>
      <c r="H96" s="5">
        <f t="shared" si="4"/>
        <v>4568.4063904063769</v>
      </c>
      <c r="I96" s="5">
        <f t="shared" si="5"/>
        <v>4442.1597637499999</v>
      </c>
      <c r="J96" s="9">
        <f>(Tabelle1[[#This Row],[Predicted Cooling Capacity '[kW']]]-Tabelle1[[#This Row],[True Cooling Capacity '[kW']]])^2</f>
        <v>15938.210742114634</v>
      </c>
      <c r="K96" s="5">
        <f>100/Tabelle1[[#This Row],[True Cooling Capacity '[kW']]]*Tabelle1[[#This Row],[Predicted Cooling Capacity '[kW']]]</f>
        <v>102.8420100440017</v>
      </c>
      <c r="M96" s="40">
        <v>4576.7975697545007</v>
      </c>
      <c r="N96" s="41">
        <f>M96-$T$17*$T$18*SQRT(1+1/$T$14+(Tabelle1[[#This Row],[True Cooling Capacity '[kW']]]-$T$15)^2/$T$16)</f>
        <v>3562.7816240593211</v>
      </c>
      <c r="O96" s="42">
        <f>M96+$T$17*$T$18*SQRT(1+1/$T$14+(Tabelle1[[#This Row],[True Cooling Capacity '[kW']]]-$T$15)^2/$T$16)</f>
        <v>5590.8135154496804</v>
      </c>
      <c r="P96" s="5">
        <f>M96-$T$17*$T$18*SQRT(1/$T$14+(Tabelle1[[#This Row],[True Cooling Capacity '[kW']]]-$T$15)^2/$T$16)</f>
        <v>4484.3065366714673</v>
      </c>
      <c r="Q96" s="5">
        <f>M96+$T$17*$T$18*SQRT(1/$T$14+(Tabelle1[[#This Row],[True Cooling Capacity '[kW']]]-$T$15)^2/$T$16)</f>
        <v>4669.2886028375342</v>
      </c>
      <c r="R96" s="5"/>
    </row>
    <row r="97" spans="1:18" x14ac:dyDescent="0.3">
      <c r="A97" t="s">
        <v>95</v>
      </c>
      <c r="B97" s="3" t="s">
        <v>246</v>
      </c>
      <c r="C97" s="4">
        <v>31.012138692000001</v>
      </c>
      <c r="D97" s="3">
        <v>31</v>
      </c>
      <c r="E97" s="4">
        <v>31</v>
      </c>
      <c r="F97">
        <f>(Tabelle1[[#This Row],[True Size X]]+Tabelle1[[#This Row],[True Size Y]])/2</f>
        <v>31</v>
      </c>
      <c r="G97" s="10">
        <f>(Tabelle1[[#This Row],[Predicted Size]]-Tabelle1[[#This Row],[True Mean Size ]])^2</f>
        <v>1.4734784347087898E-4</v>
      </c>
      <c r="H97" s="5">
        <f t="shared" si="4"/>
        <v>4568.4063904063769</v>
      </c>
      <c r="I97" s="5">
        <f t="shared" si="5"/>
        <v>4565.4032550000011</v>
      </c>
      <c r="J97" s="9">
        <f>(Tabelle1[[#This Row],[Predicted Cooling Capacity '[kW']]]-Tabelle1[[#This Row],[True Cooling Capacity '[kW']]])^2</f>
        <v>9.018822269027968</v>
      </c>
      <c r="K97" s="5">
        <f>100/Tabelle1[[#This Row],[True Cooling Capacity '[kW']]]*Tabelle1[[#This Row],[Predicted Cooling Capacity '[kW']]]</f>
        <v>100.06578028793156</v>
      </c>
      <c r="M97" s="40">
        <v>4694.1410156318307</v>
      </c>
      <c r="N97" s="41">
        <f>M97-$T$17*$T$18*SQRT(1+1/$T$14+(Tabelle1[[#This Row],[True Cooling Capacity '[kW']]]-$T$15)^2/$T$16)</f>
        <v>3680.1569433217169</v>
      </c>
      <c r="O97" s="42">
        <f>M97+$T$17*$T$18*SQRT(1+1/$T$14+(Tabelle1[[#This Row],[True Cooling Capacity '[kW']]]-$T$15)^2/$T$16)</f>
        <v>5708.1250879419449</v>
      </c>
      <c r="P97" s="5">
        <f>M97-$T$17*$T$18*SQRT(1/$T$14+(Tabelle1[[#This Row],[True Cooling Capacity '[kW']]]-$T$15)^2/$T$16)</f>
        <v>4602.0000802378408</v>
      </c>
      <c r="Q97" s="5">
        <f>M97+$T$17*$T$18*SQRT(1/$T$14+(Tabelle1[[#This Row],[True Cooling Capacity '[kW']]]-$T$15)^2/$T$16)</f>
        <v>4786.2819510258205</v>
      </c>
      <c r="R97" s="5"/>
    </row>
    <row r="98" spans="1:18" x14ac:dyDescent="0.3">
      <c r="A98" t="s">
        <v>96</v>
      </c>
      <c r="B98" s="3" t="s">
        <v>157</v>
      </c>
      <c r="C98" s="4">
        <v>31.873586989</v>
      </c>
      <c r="D98" s="3">
        <v>33</v>
      </c>
      <c r="E98" s="4">
        <v>31</v>
      </c>
      <c r="F98">
        <f>(Tabelle1[[#This Row],[True Size X]]+Tabelle1[[#This Row],[True Size Y]])/2</f>
        <v>32</v>
      </c>
      <c r="G98" s="10">
        <f>(Tabelle1[[#This Row],[Predicted Size]]-Tabelle1[[#This Row],[True Mean Size ]])^2</f>
        <v>1.5980249350086208E-2</v>
      </c>
      <c r="H98" s="5">
        <f t="shared" si="4"/>
        <v>4782.874728477309</v>
      </c>
      <c r="I98" s="5">
        <f t="shared" si="5"/>
        <v>4814.5699199999999</v>
      </c>
      <c r="J98" s="9">
        <f>(Tabelle1[[#This Row],[Predicted Cooling Capacity '[kW']]]-Tabelle1[[#This Row],[True Cooling Capacity '[kW']]])^2</f>
        <v>1004.5851656600602</v>
      </c>
      <c r="K98" s="5">
        <f>100/Tabelle1[[#This Row],[True Cooling Capacity '[kW']]]*Tabelle1[[#This Row],[Predicted Cooling Capacity '[kW']]]</f>
        <v>99.34168176910201</v>
      </c>
      <c r="M98" s="40">
        <v>4931.3793052349083</v>
      </c>
      <c r="N98" s="41">
        <f>M98-$T$17*$T$18*SQRT(1+1/$T$14+(Tabelle1[[#This Row],[True Cooling Capacity '[kW']]]-$T$15)^2/$T$16)</f>
        <v>3917.4460595025348</v>
      </c>
      <c r="O98" s="42">
        <f>M98+$T$17*$T$18*SQRT(1+1/$T$14+(Tabelle1[[#This Row],[True Cooling Capacity '[kW']]]-$T$15)^2/$T$16)</f>
        <v>5945.3125509672818</v>
      </c>
      <c r="P98" s="5">
        <f>M98-$T$17*$T$18*SQRT(1/$T$14+(Tabelle1[[#This Row],[True Cooling Capacity '[kW']]]-$T$15)^2/$T$16)</f>
        <v>4839.7993954398953</v>
      </c>
      <c r="Q98" s="5">
        <f>M98+$T$17*$T$18*SQRT(1/$T$14+(Tabelle1[[#This Row],[True Cooling Capacity '[kW']]]-$T$15)^2/$T$16)</f>
        <v>5022.9592150299213</v>
      </c>
      <c r="R98" s="5"/>
    </row>
    <row r="99" spans="1:18" x14ac:dyDescent="0.3">
      <c r="A99" t="s">
        <v>97</v>
      </c>
      <c r="B99" s="3" t="s">
        <v>182</v>
      </c>
      <c r="C99" s="4">
        <v>31.012138692000001</v>
      </c>
      <c r="D99" s="3">
        <v>32</v>
      </c>
      <c r="E99" s="4">
        <v>31</v>
      </c>
      <c r="F99">
        <f>(Tabelle1[[#This Row],[True Size X]]+Tabelle1[[#This Row],[True Size Y]])/2</f>
        <v>31.5</v>
      </c>
      <c r="G99" s="10">
        <f>(Tabelle1[[#This Row],[Predicted Size]]-Tabelle1[[#This Row],[True Mean Size ]])^2</f>
        <v>0.23800865584347025</v>
      </c>
      <c r="H99" s="5">
        <f t="shared" ref="H99:H125" si="6">220.55*(C99*0.09)^2 + 1518*(C99*0.09) - 1386.6</f>
        <v>4568.4063904063769</v>
      </c>
      <c r="I99" s="5">
        <f t="shared" ref="I99:I125" si="7">220.55*(F99*0.09)^2 + 1518*(F99*0.09) - 1386.6</f>
        <v>4689.5399737499993</v>
      </c>
      <c r="J99" s="9">
        <f>(Tabelle1[[#This Row],[Predicted Cooling Capacity '[kW']]]-Tabelle1[[#This Row],[True Cooling Capacity '[kW']]])^2</f>
        <v>14673.345013666309</v>
      </c>
      <c r="K99" s="5">
        <f>100/Tabelle1[[#This Row],[True Cooling Capacity '[kW']]]*Tabelle1[[#This Row],[Predicted Cooling Capacity '[kW']]]</f>
        <v>97.416941021471715</v>
      </c>
      <c r="M99" s="40">
        <v>4812.3349274586317</v>
      </c>
      <c r="N99" s="41">
        <f>M99-$T$17*$T$18*SQRT(1+1/$T$14+(Tabelle1[[#This Row],[True Cooling Capacity '[kW']]]-$T$15)^2/$T$16)</f>
        <v>3798.3784544605342</v>
      </c>
      <c r="O99" s="42">
        <f>M99+$T$17*$T$18*SQRT(1+1/$T$14+(Tabelle1[[#This Row],[True Cooling Capacity '[kW']]]-$T$15)^2/$T$16)</f>
        <v>5826.2914004567292</v>
      </c>
      <c r="P99" s="5">
        <f>M99-$T$17*$T$18*SQRT(1/$T$14+(Tabelle1[[#This Row],[True Cooling Capacity '[kW']]]-$T$15)^2/$T$16)</f>
        <v>4720.498212516196</v>
      </c>
      <c r="Q99" s="5">
        <f>M99+$T$17*$T$18*SQRT(1/$T$14+(Tabelle1[[#This Row],[True Cooling Capacity '[kW']]]-$T$15)^2/$T$16)</f>
        <v>4904.1716424010674</v>
      </c>
      <c r="R99" s="5"/>
    </row>
    <row r="100" spans="1:18" x14ac:dyDescent="0.3">
      <c r="A100" t="s">
        <v>98</v>
      </c>
      <c r="B100" s="3" t="s">
        <v>202</v>
      </c>
      <c r="C100" s="4">
        <v>30.150690395000002</v>
      </c>
      <c r="D100" s="3">
        <v>30</v>
      </c>
      <c r="E100" s="4">
        <v>30</v>
      </c>
      <c r="F100">
        <f>(Tabelle1[[#This Row],[True Size X]]+Tabelle1[[#This Row],[True Size Y]])/2</f>
        <v>30</v>
      </c>
      <c r="G100" s="10">
        <f>(Tabelle1[[#This Row],[Predicted Size]]-Tabelle1[[#This Row],[True Mean Size ]])^2</f>
        <v>2.2707595145256502E-2</v>
      </c>
      <c r="H100" s="5">
        <f t="shared" si="6"/>
        <v>4356.589484437769</v>
      </c>
      <c r="I100" s="5">
        <f t="shared" si="7"/>
        <v>4319.8094999999994</v>
      </c>
      <c r="J100" s="9">
        <f>(Tabelle1[[#This Row],[Predicted Cooling Capacity '[kW']]]-Tabelle1[[#This Row],[True Cooling Capacity '[kW']]])^2</f>
        <v>1352.7672552425738</v>
      </c>
      <c r="K100" s="5">
        <f>100/Tabelle1[[#This Row],[True Cooling Capacity '[kW']]]*Tabelle1[[#This Row],[Predicted Cooling Capacity '[kW']]]</f>
        <v>100.85142607417687</v>
      </c>
      <c r="M100" s="40">
        <v>4460.3045898266455</v>
      </c>
      <c r="N100" s="41">
        <f>M100-$T$17*$T$18*SQRT(1+1/$T$14+(Tabelle1[[#This Row],[True Cooling Capacity '[kW']]]-$T$15)^2/$T$16)</f>
        <v>3446.2525939867814</v>
      </c>
      <c r="O100" s="42">
        <f>M100+$T$17*$T$18*SQRT(1+1/$T$14+(Tabelle1[[#This Row],[True Cooling Capacity '[kW']]]-$T$15)^2/$T$16)</f>
        <v>5474.35658566651</v>
      </c>
      <c r="P100" s="5">
        <f>M100-$T$17*$T$18*SQRT(1/$T$14+(Tabelle1[[#This Row],[True Cooling Capacity '[kW']]]-$T$15)^2/$T$16)</f>
        <v>4367.4191585497801</v>
      </c>
      <c r="Q100" s="5">
        <f>M100+$T$17*$T$18*SQRT(1/$T$14+(Tabelle1[[#This Row],[True Cooling Capacity '[kW']]]-$T$15)^2/$T$16)</f>
        <v>4553.1900211035108</v>
      </c>
      <c r="R100" s="5"/>
    </row>
    <row r="101" spans="1:18" x14ac:dyDescent="0.3">
      <c r="A101" t="s">
        <v>99</v>
      </c>
      <c r="B101" s="3" t="s">
        <v>201</v>
      </c>
      <c r="C101" s="4">
        <v>29.7199662465</v>
      </c>
      <c r="D101" s="3">
        <v>30</v>
      </c>
      <c r="E101" s="4">
        <v>30</v>
      </c>
      <c r="F101">
        <f>(Tabelle1[[#This Row],[True Size X]]+Tabelle1[[#This Row],[True Size Y]])/2</f>
        <v>30</v>
      </c>
      <c r="G101" s="10">
        <f>(Tabelle1[[#This Row],[Predicted Size]]-Tabelle1[[#This Row],[True Mean Size ]])^2</f>
        <v>7.8418903099298595E-2</v>
      </c>
      <c r="H101" s="5">
        <f t="shared" si="6"/>
        <v>4251.6753184918362</v>
      </c>
      <c r="I101" s="5">
        <f t="shared" si="7"/>
        <v>4319.8094999999994</v>
      </c>
      <c r="J101" s="9">
        <f>(Tabelle1[[#This Row],[Predicted Cooling Capacity '[kW']]]-Tabelle1[[#This Row],[True Cooling Capacity '[kW']]])^2</f>
        <v>4642.2666897873332</v>
      </c>
      <c r="K101" s="5">
        <f>100/Tabelle1[[#This Row],[True Cooling Capacity '[kW']]]*Tabelle1[[#This Row],[Predicted Cooling Capacity '[kW']]]</f>
        <v>98.422750320166585</v>
      </c>
      <c r="M101" s="40">
        <v>4460.3045898266455</v>
      </c>
      <c r="N101" s="41">
        <f>M101-$T$17*$T$18*SQRT(1+1/$T$14+(Tabelle1[[#This Row],[True Cooling Capacity '[kW']]]-$T$15)^2/$T$16)</f>
        <v>3446.2525939867814</v>
      </c>
      <c r="O101" s="42">
        <f>M101+$T$17*$T$18*SQRT(1+1/$T$14+(Tabelle1[[#This Row],[True Cooling Capacity '[kW']]]-$T$15)^2/$T$16)</f>
        <v>5474.35658566651</v>
      </c>
      <c r="P101" s="5">
        <f>M101-$T$17*$T$18*SQRT(1/$T$14+(Tabelle1[[#This Row],[True Cooling Capacity '[kW']]]-$T$15)^2/$T$16)</f>
        <v>4367.4191585497801</v>
      </c>
      <c r="Q101" s="5">
        <f>M101+$T$17*$T$18*SQRT(1/$T$14+(Tabelle1[[#This Row],[True Cooling Capacity '[kW']]]-$T$15)^2/$T$16)</f>
        <v>4553.1900211035108</v>
      </c>
      <c r="R101" s="5"/>
    </row>
    <row r="102" spans="1:18" x14ac:dyDescent="0.3">
      <c r="A102" t="s">
        <v>100</v>
      </c>
      <c r="B102" s="3" t="s">
        <v>181</v>
      </c>
      <c r="C102" s="4">
        <v>30.581414543499999</v>
      </c>
      <c r="D102" s="3">
        <v>30</v>
      </c>
      <c r="E102" s="4">
        <v>30</v>
      </c>
      <c r="F102">
        <f>(Tabelle1[[#This Row],[True Size X]]+Tabelle1[[#This Row],[True Size Y]])/2</f>
        <v>30</v>
      </c>
      <c r="G102" s="10">
        <f>(Tabelle1[[#This Row],[Predicted Size]]-Tabelle1[[#This Row],[True Mean Size ]])^2</f>
        <v>0.33804287139331263</v>
      </c>
      <c r="H102" s="5">
        <f t="shared" si="6"/>
        <v>4462.166508409282</v>
      </c>
      <c r="I102" s="5">
        <f t="shared" si="7"/>
        <v>4319.8094999999994</v>
      </c>
      <c r="J102" s="9">
        <f>(Tabelle1[[#This Row],[Predicted Cooling Capacity '[kW']]]-Tabelle1[[#This Row],[True Cooling Capacity '[kW']]])^2</f>
        <v>20265.517843240548</v>
      </c>
      <c r="K102" s="5">
        <f>100/Tabelle1[[#This Row],[True Cooling Capacity '[kW']]]*Tabelle1[[#This Row],[Predicted Cooling Capacity '[kW']]]</f>
        <v>103.29544644061926</v>
      </c>
      <c r="M102" s="40">
        <v>4460.3045898266455</v>
      </c>
      <c r="N102" s="41">
        <f>M102-$T$17*$T$18*SQRT(1+1/$T$14+(Tabelle1[[#This Row],[True Cooling Capacity '[kW']]]-$T$15)^2/$T$16)</f>
        <v>3446.2525939867814</v>
      </c>
      <c r="O102" s="42">
        <f>M102+$T$17*$T$18*SQRT(1+1/$T$14+(Tabelle1[[#This Row],[True Cooling Capacity '[kW']]]-$T$15)^2/$T$16)</f>
        <v>5474.35658566651</v>
      </c>
      <c r="P102" s="5">
        <f>M102-$T$17*$T$18*SQRT(1/$T$14+(Tabelle1[[#This Row],[True Cooling Capacity '[kW']]]-$T$15)^2/$T$16)</f>
        <v>4367.4191585497801</v>
      </c>
      <c r="Q102" s="5">
        <f>M102+$T$17*$T$18*SQRT(1/$T$14+(Tabelle1[[#This Row],[True Cooling Capacity '[kW']]]-$T$15)^2/$T$16)</f>
        <v>4553.1900211035108</v>
      </c>
      <c r="R102" s="5"/>
    </row>
    <row r="103" spans="1:18" x14ac:dyDescent="0.3">
      <c r="A103" t="s">
        <v>101</v>
      </c>
      <c r="B103" s="3" t="s">
        <v>128</v>
      </c>
      <c r="C103" s="4">
        <v>29.7199662465</v>
      </c>
      <c r="D103" s="3">
        <v>30</v>
      </c>
      <c r="E103" s="4">
        <v>30</v>
      </c>
      <c r="F103">
        <f>(Tabelle1[[#This Row],[True Size X]]+Tabelle1[[#This Row],[True Size Y]])/2</f>
        <v>30</v>
      </c>
      <c r="G103" s="10">
        <f>(Tabelle1[[#This Row],[Predicted Size]]-Tabelle1[[#This Row],[True Mean Size ]])^2</f>
        <v>7.8418903099298595E-2</v>
      </c>
      <c r="H103" s="5">
        <f t="shared" si="6"/>
        <v>4251.6753184918362</v>
      </c>
      <c r="I103" s="5">
        <f t="shared" si="7"/>
        <v>4319.8094999999994</v>
      </c>
      <c r="J103" s="9">
        <f>(Tabelle1[[#This Row],[Predicted Cooling Capacity '[kW']]]-Tabelle1[[#This Row],[True Cooling Capacity '[kW']]])^2</f>
        <v>4642.2666897873332</v>
      </c>
      <c r="K103" s="5">
        <f>100/Tabelle1[[#This Row],[True Cooling Capacity '[kW']]]*Tabelle1[[#This Row],[Predicted Cooling Capacity '[kW']]]</f>
        <v>98.422750320166585</v>
      </c>
      <c r="M103" s="40">
        <v>4460.3045898266455</v>
      </c>
      <c r="N103" s="41">
        <f>M103-$T$17*$T$18*SQRT(1+1/$T$14+(Tabelle1[[#This Row],[True Cooling Capacity '[kW']]]-$T$15)^2/$T$16)</f>
        <v>3446.2525939867814</v>
      </c>
      <c r="O103" s="42">
        <f>M103+$T$17*$T$18*SQRT(1+1/$T$14+(Tabelle1[[#This Row],[True Cooling Capacity '[kW']]]-$T$15)^2/$T$16)</f>
        <v>5474.35658566651</v>
      </c>
      <c r="P103" s="5">
        <f>M103-$T$17*$T$18*SQRT(1/$T$14+(Tabelle1[[#This Row],[True Cooling Capacity '[kW']]]-$T$15)^2/$T$16)</f>
        <v>4367.4191585497801</v>
      </c>
      <c r="Q103" s="5">
        <f>M103+$T$17*$T$18*SQRT(1/$T$14+(Tabelle1[[#This Row],[True Cooling Capacity '[kW']]]-$T$15)^2/$T$16)</f>
        <v>4553.1900211035108</v>
      </c>
      <c r="R103" s="5"/>
    </row>
    <row r="104" spans="1:18" x14ac:dyDescent="0.3">
      <c r="A104" t="s">
        <v>102</v>
      </c>
      <c r="B104" s="3" t="s">
        <v>241</v>
      </c>
      <c r="C104" s="4">
        <v>30.581414543499999</v>
      </c>
      <c r="D104" s="3">
        <v>30</v>
      </c>
      <c r="E104" s="4">
        <v>30</v>
      </c>
      <c r="F104">
        <f>(Tabelle1[[#This Row],[True Size X]]+Tabelle1[[#This Row],[True Size Y]])/2</f>
        <v>30</v>
      </c>
      <c r="G104" s="10">
        <f>(Tabelle1[[#This Row],[Predicted Size]]-Tabelle1[[#This Row],[True Mean Size ]])^2</f>
        <v>0.33804287139331263</v>
      </c>
      <c r="H104" s="5">
        <f t="shared" si="6"/>
        <v>4462.166508409282</v>
      </c>
      <c r="I104" s="5">
        <f t="shared" si="7"/>
        <v>4319.8094999999994</v>
      </c>
      <c r="J104" s="9">
        <f>(Tabelle1[[#This Row],[Predicted Cooling Capacity '[kW']]]-Tabelle1[[#This Row],[True Cooling Capacity '[kW']]])^2</f>
        <v>20265.517843240548</v>
      </c>
      <c r="K104" s="5">
        <f>100/Tabelle1[[#This Row],[True Cooling Capacity '[kW']]]*Tabelle1[[#This Row],[Predicted Cooling Capacity '[kW']]]</f>
        <v>103.29544644061926</v>
      </c>
      <c r="M104" s="40">
        <v>4460.3045898266455</v>
      </c>
      <c r="N104" s="41">
        <f>M104-$T$17*$T$18*SQRT(1+1/$T$14+(Tabelle1[[#This Row],[True Cooling Capacity '[kW']]]-$T$15)^2/$T$16)</f>
        <v>3446.2525939867814</v>
      </c>
      <c r="O104" s="42">
        <f>M104+$T$17*$T$18*SQRT(1+1/$T$14+(Tabelle1[[#This Row],[True Cooling Capacity '[kW']]]-$T$15)^2/$T$16)</f>
        <v>5474.35658566651</v>
      </c>
      <c r="P104" s="5">
        <f>M104-$T$17*$T$18*SQRT(1/$T$14+(Tabelle1[[#This Row],[True Cooling Capacity '[kW']]]-$T$15)^2/$T$16)</f>
        <v>4367.4191585497801</v>
      </c>
      <c r="Q104" s="5">
        <f>M104+$T$17*$T$18*SQRT(1/$T$14+(Tabelle1[[#This Row],[True Cooling Capacity '[kW']]]-$T$15)^2/$T$16)</f>
        <v>4553.1900211035108</v>
      </c>
      <c r="R104" s="5"/>
    </row>
    <row r="105" spans="1:18" x14ac:dyDescent="0.3">
      <c r="A105" t="s">
        <v>103</v>
      </c>
      <c r="B105" s="3" t="s">
        <v>221</v>
      </c>
      <c r="C105" s="4">
        <v>24.551276464499999</v>
      </c>
      <c r="D105" s="3">
        <v>26</v>
      </c>
      <c r="E105" s="4">
        <v>24</v>
      </c>
      <c r="F105">
        <f>(Tabelle1[[#This Row],[True Size X]]+Tabelle1[[#This Row],[True Size Y]])/2</f>
        <v>25</v>
      </c>
      <c r="G105" s="10">
        <f>(Tabelle1[[#This Row],[Predicted Size]]-Tabelle1[[#This Row],[True Mean Size ]])^2</f>
        <v>0.20135281131162064</v>
      </c>
      <c r="H105" s="5">
        <f t="shared" si="6"/>
        <v>3044.4082531359386</v>
      </c>
      <c r="I105" s="5">
        <f t="shared" si="7"/>
        <v>3145.4343750000003</v>
      </c>
      <c r="J105" s="9">
        <f>(Tabelle1[[#This Row],[Predicted Cooling Capacity '[kW']]]-Tabelle1[[#This Row],[True Cooling Capacity '[kW']]])^2</f>
        <v>10206.277298892241</v>
      </c>
      <c r="K105" s="5">
        <f>100/Tabelle1[[#This Row],[True Cooling Capacity '[kW']]]*Tabelle1[[#This Row],[Predicted Cooling Capacity '[kW']]]</f>
        <v>96.788166281038329</v>
      </c>
      <c r="M105" s="40">
        <v>3342.1504177691536</v>
      </c>
      <c r="N105" s="41">
        <f>M105-$T$17*$T$18*SQRT(1+1/$T$14+(Tabelle1[[#This Row],[True Cooling Capacity '[kW']]]-$T$15)^2/$T$16)</f>
        <v>2327.529128378545</v>
      </c>
      <c r="O105" s="42">
        <f>M105+$T$17*$T$18*SQRT(1+1/$T$14+(Tabelle1[[#This Row],[True Cooling Capacity '[kW']]]-$T$15)^2/$T$16)</f>
        <v>4356.7717071597626</v>
      </c>
      <c r="P105" s="5">
        <f>M105-$T$17*$T$18*SQRT(1/$T$14+(Tabelle1[[#This Row],[True Cooling Capacity '[kW']]]-$T$15)^2/$T$16)</f>
        <v>3243.2433201404274</v>
      </c>
      <c r="Q105" s="5">
        <f>M105+$T$17*$T$18*SQRT(1/$T$14+(Tabelle1[[#This Row],[True Cooling Capacity '[kW']]]-$T$15)^2/$T$16)</f>
        <v>3441.0575153978798</v>
      </c>
      <c r="R105" s="5"/>
    </row>
    <row r="106" spans="1:18" x14ac:dyDescent="0.3">
      <c r="A106" t="s">
        <v>104</v>
      </c>
      <c r="B106" s="3" t="s">
        <v>209</v>
      </c>
      <c r="C106" s="4">
        <v>24.551276464499999</v>
      </c>
      <c r="D106" s="3">
        <v>26</v>
      </c>
      <c r="E106" s="4">
        <v>24</v>
      </c>
      <c r="F106">
        <f>(Tabelle1[[#This Row],[True Size X]]+Tabelle1[[#This Row],[True Size Y]])/2</f>
        <v>25</v>
      </c>
      <c r="G106" s="10">
        <f>(Tabelle1[[#This Row],[Predicted Size]]-Tabelle1[[#This Row],[True Mean Size ]])^2</f>
        <v>0.20135281131162064</v>
      </c>
      <c r="H106" s="5">
        <f t="shared" si="6"/>
        <v>3044.4082531359386</v>
      </c>
      <c r="I106" s="5">
        <f t="shared" si="7"/>
        <v>3145.4343750000003</v>
      </c>
      <c r="J106" s="9">
        <f>(Tabelle1[[#This Row],[Predicted Cooling Capacity '[kW']]]-Tabelle1[[#This Row],[True Cooling Capacity '[kW']]])^2</f>
        <v>10206.277298892241</v>
      </c>
      <c r="K106" s="5">
        <f>100/Tabelle1[[#This Row],[True Cooling Capacity '[kW']]]*Tabelle1[[#This Row],[Predicted Cooling Capacity '[kW']]]</f>
        <v>96.788166281038329</v>
      </c>
      <c r="M106" s="40">
        <v>3342.1504177691536</v>
      </c>
      <c r="N106" s="41">
        <f>M106-$T$17*$T$18*SQRT(1+1/$T$14+(Tabelle1[[#This Row],[True Cooling Capacity '[kW']]]-$T$15)^2/$T$16)</f>
        <v>2327.529128378545</v>
      </c>
      <c r="O106" s="42">
        <f>M106+$T$17*$T$18*SQRT(1+1/$T$14+(Tabelle1[[#This Row],[True Cooling Capacity '[kW']]]-$T$15)^2/$T$16)</f>
        <v>4356.7717071597626</v>
      </c>
      <c r="P106" s="5">
        <f>M106-$T$17*$T$18*SQRT(1/$T$14+(Tabelle1[[#This Row],[True Cooling Capacity '[kW']]]-$T$15)^2/$T$16)</f>
        <v>3243.2433201404274</v>
      </c>
      <c r="Q106" s="5">
        <f>M106+$T$17*$T$18*SQRT(1/$T$14+(Tabelle1[[#This Row],[True Cooling Capacity '[kW']]]-$T$15)^2/$T$16)</f>
        <v>3441.0575153978798</v>
      </c>
      <c r="R106" s="5"/>
    </row>
    <row r="107" spans="1:18" x14ac:dyDescent="0.3">
      <c r="A107" t="s">
        <v>105</v>
      </c>
      <c r="B107" s="3" t="s">
        <v>248</v>
      </c>
      <c r="C107" s="4">
        <v>25.412724761500002</v>
      </c>
      <c r="D107" s="3">
        <v>25</v>
      </c>
      <c r="E107" s="4">
        <v>25</v>
      </c>
      <c r="F107">
        <f>(Tabelle1[[#This Row],[True Size X]]+Tabelle1[[#This Row],[True Size Y]])/2</f>
        <v>25</v>
      </c>
      <c r="G107" s="10">
        <f>(Tabelle1[[#This Row],[Predicted Size]]-Tabelle1[[#This Row],[True Mean Size ]])^2</f>
        <v>0.17034172875523321</v>
      </c>
      <c r="H107" s="5">
        <f t="shared" si="6"/>
        <v>3238.9908504394475</v>
      </c>
      <c r="I107" s="5">
        <f t="shared" si="7"/>
        <v>3145.4343750000003</v>
      </c>
      <c r="J107" s="9">
        <f>(Tabelle1[[#This Row],[Predicted Cooling Capacity '[kW']]]-Tabelle1[[#This Row],[True Cooling Capacity '[kW']]])^2</f>
        <v>8752.8140966518949</v>
      </c>
      <c r="K107" s="5">
        <f>100/Tabelle1[[#This Row],[True Cooling Capacity '[kW']]]*Tabelle1[[#This Row],[Predicted Cooling Capacity '[kW']]]</f>
        <v>102.97435788783378</v>
      </c>
      <c r="M107" s="40">
        <v>3342.1504177691536</v>
      </c>
      <c r="N107" s="41">
        <f>M107-$T$17*$T$18*SQRT(1+1/$T$14+(Tabelle1[[#This Row],[True Cooling Capacity '[kW']]]-$T$15)^2/$T$16)</f>
        <v>2327.529128378545</v>
      </c>
      <c r="O107" s="42">
        <f>M107+$T$17*$T$18*SQRT(1+1/$T$14+(Tabelle1[[#This Row],[True Cooling Capacity '[kW']]]-$T$15)^2/$T$16)</f>
        <v>4356.7717071597626</v>
      </c>
      <c r="P107" s="5">
        <f>M107-$T$17*$T$18*SQRT(1/$T$14+(Tabelle1[[#This Row],[True Cooling Capacity '[kW']]]-$T$15)^2/$T$16)</f>
        <v>3243.2433201404274</v>
      </c>
      <c r="Q107" s="5">
        <f>M107+$T$17*$T$18*SQRT(1/$T$14+(Tabelle1[[#This Row],[True Cooling Capacity '[kW']]]-$T$15)^2/$T$16)</f>
        <v>3441.0575153978798</v>
      </c>
      <c r="R107" s="5"/>
    </row>
    <row r="108" spans="1:18" x14ac:dyDescent="0.3">
      <c r="A108" t="s">
        <v>106</v>
      </c>
      <c r="B108" s="3" t="s">
        <v>210</v>
      </c>
      <c r="C108" s="4">
        <v>24.551276464499999</v>
      </c>
      <c r="D108" s="3">
        <v>26</v>
      </c>
      <c r="E108" s="4">
        <v>24</v>
      </c>
      <c r="F108">
        <f>(Tabelle1[[#This Row],[True Size X]]+Tabelle1[[#This Row],[True Size Y]])/2</f>
        <v>25</v>
      </c>
      <c r="G108" s="10">
        <f>(Tabelle1[[#This Row],[Predicted Size]]-Tabelle1[[#This Row],[True Mean Size ]])^2</f>
        <v>0.20135281131162064</v>
      </c>
      <c r="H108" s="5">
        <f t="shared" si="6"/>
        <v>3044.4082531359386</v>
      </c>
      <c r="I108" s="5">
        <f t="shared" si="7"/>
        <v>3145.4343750000003</v>
      </c>
      <c r="J108" s="9">
        <f>(Tabelle1[[#This Row],[Predicted Cooling Capacity '[kW']]]-Tabelle1[[#This Row],[True Cooling Capacity '[kW']]])^2</f>
        <v>10206.277298892241</v>
      </c>
      <c r="K108" s="5">
        <f>100/Tabelle1[[#This Row],[True Cooling Capacity '[kW']]]*Tabelle1[[#This Row],[Predicted Cooling Capacity '[kW']]]</f>
        <v>96.788166281038329</v>
      </c>
      <c r="M108" s="40">
        <v>3342.1504177691536</v>
      </c>
      <c r="N108" s="41">
        <f>M108-$T$17*$T$18*SQRT(1+1/$T$14+(Tabelle1[[#This Row],[True Cooling Capacity '[kW']]]-$T$15)^2/$T$16)</f>
        <v>2327.529128378545</v>
      </c>
      <c r="O108" s="42">
        <f>M108+$T$17*$T$18*SQRT(1+1/$T$14+(Tabelle1[[#This Row],[True Cooling Capacity '[kW']]]-$T$15)^2/$T$16)</f>
        <v>4356.7717071597626</v>
      </c>
      <c r="P108" s="5">
        <f>M108-$T$17*$T$18*SQRT(1/$T$14+(Tabelle1[[#This Row],[True Cooling Capacity '[kW']]]-$T$15)^2/$T$16)</f>
        <v>3243.2433201404274</v>
      </c>
      <c r="Q108" s="5">
        <f>M108+$T$17*$T$18*SQRT(1/$T$14+(Tabelle1[[#This Row],[True Cooling Capacity '[kW']]]-$T$15)^2/$T$16)</f>
        <v>3441.0575153978798</v>
      </c>
      <c r="R108" s="5"/>
    </row>
    <row r="109" spans="1:18" x14ac:dyDescent="0.3">
      <c r="A109" t="s">
        <v>107</v>
      </c>
      <c r="B109" s="3" t="s">
        <v>230</v>
      </c>
      <c r="C109" s="4">
        <v>21.536207425000001</v>
      </c>
      <c r="D109" s="3">
        <v>21</v>
      </c>
      <c r="E109" s="4">
        <v>21</v>
      </c>
      <c r="F109">
        <f>(Tabelle1[[#This Row],[True Size X]]+Tabelle1[[#This Row],[True Size Y]])/2</f>
        <v>21</v>
      </c>
      <c r="G109" s="10">
        <f>(Tabelle1[[#This Row],[Predicted Size]]-Tabelle1[[#This Row],[True Mean Size ]])^2</f>
        <v>0.28751840262513129</v>
      </c>
      <c r="H109" s="5">
        <f t="shared" si="6"/>
        <v>2384.2491903794539</v>
      </c>
      <c r="I109" s="5">
        <f t="shared" si="7"/>
        <v>2270.2466549999999</v>
      </c>
      <c r="J109" s="9">
        <f>(Tabelle1[[#This Row],[Predicted Cooling Capacity '[kW']]]-Tabelle1[[#This Row],[True Cooling Capacity '[kW']]])^2</f>
        <v>12996.578072943661</v>
      </c>
      <c r="K109" s="5">
        <f>100/Tabelle1[[#This Row],[True Cooling Capacity '[kW']]]*Tabelle1[[#This Row],[Predicted Cooling Capacity '[kW']]]</f>
        <v>105.02159248328256</v>
      </c>
      <c r="M109" s="40">
        <v>2508.8606284852694</v>
      </c>
      <c r="N109" s="41">
        <f>M109-$T$17*$T$18*SQRT(1+1/$T$14+(Tabelle1[[#This Row],[True Cooling Capacity '[kW']]]-$T$15)^2/$T$16)</f>
        <v>1493.552398125365</v>
      </c>
      <c r="O109" s="42">
        <f>M109+$T$17*$T$18*SQRT(1+1/$T$14+(Tabelle1[[#This Row],[True Cooling Capacity '[kW']]]-$T$15)^2/$T$16)</f>
        <v>3524.1688588451739</v>
      </c>
      <c r="P109" s="5">
        <f>M109-$T$17*$T$18*SQRT(1/$T$14+(Tabelle1[[#This Row],[True Cooling Capacity '[kW']]]-$T$15)^2/$T$16)</f>
        <v>2403.139033183088</v>
      </c>
      <c r="Q109" s="5">
        <f>M109+$T$17*$T$18*SQRT(1/$T$14+(Tabelle1[[#This Row],[True Cooling Capacity '[kW']]]-$T$15)^2/$T$16)</f>
        <v>2614.5822237874509</v>
      </c>
      <c r="R109" s="5"/>
    </row>
    <row r="110" spans="1:18" x14ac:dyDescent="0.3">
      <c r="A110" t="s">
        <v>108</v>
      </c>
      <c r="B110" s="3" t="s">
        <v>139</v>
      </c>
      <c r="C110" s="4">
        <v>21.966931573499998</v>
      </c>
      <c r="D110" s="3">
        <v>21</v>
      </c>
      <c r="E110" s="4">
        <v>21</v>
      </c>
      <c r="F110">
        <f>(Tabelle1[[#This Row],[True Size X]]+Tabelle1[[#This Row],[True Size Y]])/2</f>
        <v>21</v>
      </c>
      <c r="G110" s="10">
        <f>(Tabelle1[[#This Row],[Predicted Size]]-Tabelle1[[#This Row],[True Mean Size ]])^2</f>
        <v>0.9349566678311827</v>
      </c>
      <c r="H110" s="5">
        <f t="shared" si="6"/>
        <v>2476.5690538393524</v>
      </c>
      <c r="I110" s="5">
        <f t="shared" si="7"/>
        <v>2270.2466549999999</v>
      </c>
      <c r="J110" s="9">
        <f>(Tabelle1[[#This Row],[Predicted Cooling Capacity '[kW']]]-Tabelle1[[#This Row],[True Cooling Capacity '[kW']]])^2</f>
        <v>42568.932262824826</v>
      </c>
      <c r="K110" s="5">
        <f>100/Tabelle1[[#This Row],[True Cooling Capacity '[kW']]]*Tabelle1[[#This Row],[Predicted Cooling Capacity '[kW']]]</f>
        <v>109.08810495920991</v>
      </c>
      <c r="M110" s="40">
        <v>2508.8606284852694</v>
      </c>
      <c r="N110" s="41">
        <f>M110-$T$17*$T$18*SQRT(1+1/$T$14+(Tabelle1[[#This Row],[True Cooling Capacity '[kW']]]-$T$15)^2/$T$16)</f>
        <v>1493.552398125365</v>
      </c>
      <c r="O110" s="42">
        <f>M110+$T$17*$T$18*SQRT(1+1/$T$14+(Tabelle1[[#This Row],[True Cooling Capacity '[kW']]]-$T$15)^2/$T$16)</f>
        <v>3524.1688588451739</v>
      </c>
      <c r="P110" s="5">
        <f>M110-$T$17*$T$18*SQRT(1/$T$14+(Tabelle1[[#This Row],[True Cooling Capacity '[kW']]]-$T$15)^2/$T$16)</f>
        <v>2403.139033183088</v>
      </c>
      <c r="Q110" s="5">
        <f>M110+$T$17*$T$18*SQRT(1/$T$14+(Tabelle1[[#This Row],[True Cooling Capacity '[kW']]]-$T$15)^2/$T$16)</f>
        <v>2614.5822237874509</v>
      </c>
      <c r="R110" s="5"/>
    </row>
    <row r="111" spans="1:18" x14ac:dyDescent="0.3">
      <c r="A111" t="s">
        <v>109</v>
      </c>
      <c r="B111" s="3" t="s">
        <v>229</v>
      </c>
      <c r="C111" s="4">
        <v>25.843448909999999</v>
      </c>
      <c r="D111" s="3">
        <v>26</v>
      </c>
      <c r="E111" s="4">
        <v>26</v>
      </c>
      <c r="F111">
        <f>(Tabelle1[[#This Row],[True Size X]]+Tabelle1[[#This Row],[True Size Y]])/2</f>
        <v>26</v>
      </c>
      <c r="G111" s="10">
        <f>(Tabelle1[[#This Row],[Predicted Size]]-Tabelle1[[#This Row],[True Mean Size ]])^2</f>
        <v>2.4508243780188309E-2</v>
      </c>
      <c r="H111" s="5">
        <f t="shared" si="6"/>
        <v>3337.2764361295726</v>
      </c>
      <c r="I111" s="5">
        <f t="shared" si="7"/>
        <v>3373.1635799999999</v>
      </c>
      <c r="J111" s="9">
        <f>(Tabelle1[[#This Row],[Predicted Cooling Capacity '[kW']]]-Tabelle1[[#This Row],[True Cooling Capacity '[kW']]])^2</f>
        <v>1287.8870951767462</v>
      </c>
      <c r="K111" s="5">
        <f>100/Tabelle1[[#This Row],[True Cooling Capacity '[kW']]]*Tabelle1[[#This Row],[Predicted Cooling Capacity '[kW']]]</f>
        <v>98.936098323745469</v>
      </c>
      <c r="M111" s="40">
        <v>3558.9775245848618</v>
      </c>
      <c r="N111" s="41">
        <f>M111-$T$17*$T$18*SQRT(1+1/$T$14+(Tabelle1[[#This Row],[True Cooling Capacity '[kW']]]-$T$15)^2/$T$16)</f>
        <v>2544.498221107915</v>
      </c>
      <c r="O111" s="42">
        <f>M111+$T$17*$T$18*SQRT(1+1/$T$14+(Tabelle1[[#This Row],[True Cooling Capacity '[kW']]]-$T$15)^2/$T$16)</f>
        <v>4573.4568280618087</v>
      </c>
      <c r="P111" s="5">
        <f>M111-$T$17*$T$18*SQRT(1/$T$14+(Tabelle1[[#This Row],[True Cooling Capacity '[kW']]]-$T$15)^2/$T$16)</f>
        <v>3461.5377469796754</v>
      </c>
      <c r="Q111" s="5">
        <f>M111+$T$17*$T$18*SQRT(1/$T$14+(Tabelle1[[#This Row],[True Cooling Capacity '[kW']]]-$T$15)^2/$T$16)</f>
        <v>3656.4173021900483</v>
      </c>
      <c r="R111" s="5"/>
    </row>
    <row r="112" spans="1:18" x14ac:dyDescent="0.3">
      <c r="A112" t="s">
        <v>110</v>
      </c>
      <c r="B112" s="3" t="s">
        <v>173</v>
      </c>
      <c r="C112" s="4">
        <v>25.412724761500002</v>
      </c>
      <c r="D112" s="3">
        <v>26</v>
      </c>
      <c r="E112" s="4">
        <v>26</v>
      </c>
      <c r="F112">
        <f>(Tabelle1[[#This Row],[True Size X]]+Tabelle1[[#This Row],[True Size Y]])/2</f>
        <v>26</v>
      </c>
      <c r="G112" s="10">
        <f>(Tabelle1[[#This Row],[Predicted Size]]-Tabelle1[[#This Row],[True Mean Size ]])^2</f>
        <v>0.34489220575523</v>
      </c>
      <c r="H112" s="5">
        <f t="shared" si="6"/>
        <v>3238.9908504394475</v>
      </c>
      <c r="I112" s="5">
        <f t="shared" si="7"/>
        <v>3373.1635799999999</v>
      </c>
      <c r="J112" s="9">
        <f>(Tabelle1[[#This Row],[Predicted Cooling Capacity '[kW']]]-Tabelle1[[#This Row],[True Cooling Capacity '[kW']]])^2</f>
        <v>18002.321357729132</v>
      </c>
      <c r="K112" s="5">
        <f>100/Tabelle1[[#This Row],[True Cooling Capacity '[kW']]]*Tabelle1[[#This Row],[Predicted Cooling Capacity '[kW']]]</f>
        <v>96.02234737870161</v>
      </c>
      <c r="M112" s="40">
        <v>3558.9775245848618</v>
      </c>
      <c r="N112" s="41">
        <f>M112-$T$17*$T$18*SQRT(1+1/$T$14+(Tabelle1[[#This Row],[True Cooling Capacity '[kW']]]-$T$15)^2/$T$16)</f>
        <v>2544.498221107915</v>
      </c>
      <c r="O112" s="42">
        <f>M112+$T$17*$T$18*SQRT(1+1/$T$14+(Tabelle1[[#This Row],[True Cooling Capacity '[kW']]]-$T$15)^2/$T$16)</f>
        <v>4573.4568280618087</v>
      </c>
      <c r="P112" s="5">
        <f>M112-$T$17*$T$18*SQRT(1/$T$14+(Tabelle1[[#This Row],[True Cooling Capacity '[kW']]]-$T$15)^2/$T$16)</f>
        <v>3461.5377469796754</v>
      </c>
      <c r="Q112" s="5">
        <f>M112+$T$17*$T$18*SQRT(1/$T$14+(Tabelle1[[#This Row],[True Cooling Capacity '[kW']]]-$T$15)^2/$T$16)</f>
        <v>3656.4173021900483</v>
      </c>
      <c r="R112" s="5"/>
    </row>
    <row r="113" spans="1:18" x14ac:dyDescent="0.3">
      <c r="A113" t="s">
        <v>111</v>
      </c>
      <c r="B113" s="3" t="s">
        <v>232</v>
      </c>
      <c r="C113" s="4">
        <v>24.551276464499999</v>
      </c>
      <c r="D113" s="3">
        <v>26</v>
      </c>
      <c r="E113" s="4">
        <v>26</v>
      </c>
      <c r="F113">
        <f>(Tabelle1[[#This Row],[True Size X]]+Tabelle1[[#This Row],[True Size Y]])/2</f>
        <v>26</v>
      </c>
      <c r="G113" s="10">
        <f>(Tabelle1[[#This Row],[Predicted Size]]-Tabelle1[[#This Row],[True Mean Size ]])^2</f>
        <v>2.0987998823116225</v>
      </c>
      <c r="H113" s="5">
        <f t="shared" si="6"/>
        <v>3044.4082531359386</v>
      </c>
      <c r="I113" s="5">
        <f t="shared" si="7"/>
        <v>3373.1635799999999</v>
      </c>
      <c r="J113" s="9">
        <f>(Tabelle1[[#This Row],[Predicted Cooling Capacity '[kW']]]-Tabelle1[[#This Row],[True Cooling Capacity '[kW']]])^2</f>
        <v>108080.0649414958</v>
      </c>
      <c r="K113" s="5">
        <f>100/Tabelle1[[#This Row],[True Cooling Capacity '[kW']]]*Tabelle1[[#This Row],[Predicted Cooling Capacity '[kW']]]</f>
        <v>90.253798279653509</v>
      </c>
      <c r="M113" s="40">
        <v>3558.9775245848618</v>
      </c>
      <c r="N113" s="41">
        <f>M113-$T$17*$T$18*SQRT(1+1/$T$14+(Tabelle1[[#This Row],[True Cooling Capacity '[kW']]]-$T$15)^2/$T$16)</f>
        <v>2544.498221107915</v>
      </c>
      <c r="O113" s="42">
        <f>M113+$T$17*$T$18*SQRT(1+1/$T$14+(Tabelle1[[#This Row],[True Cooling Capacity '[kW']]]-$T$15)^2/$T$16)</f>
        <v>4573.4568280618087</v>
      </c>
      <c r="P113" s="5">
        <f>M113-$T$17*$T$18*SQRT(1/$T$14+(Tabelle1[[#This Row],[True Cooling Capacity '[kW']]]-$T$15)^2/$T$16)</f>
        <v>3461.5377469796754</v>
      </c>
      <c r="Q113" s="5">
        <f>M113+$T$17*$T$18*SQRT(1/$T$14+(Tabelle1[[#This Row],[True Cooling Capacity '[kW']]]-$T$15)^2/$T$16)</f>
        <v>3656.4173021900483</v>
      </c>
      <c r="R113" s="5"/>
    </row>
    <row r="114" spans="1:18" x14ac:dyDescent="0.3">
      <c r="A114" t="s">
        <v>112</v>
      </c>
      <c r="B114" s="3" t="s">
        <v>215</v>
      </c>
      <c r="C114" s="4">
        <v>23.259104018999999</v>
      </c>
      <c r="D114" s="3">
        <v>26</v>
      </c>
      <c r="E114" s="4">
        <v>26</v>
      </c>
      <c r="F114">
        <f>(Tabelle1[[#This Row],[True Size X]]+Tabelle1[[#This Row],[True Size Y]])/2</f>
        <v>26</v>
      </c>
      <c r="G114" s="10">
        <f>(Tabelle1[[#This Row],[Predicted Size]]-Tabelle1[[#This Row],[True Mean Size ]])^2</f>
        <v>7.5125107786619596</v>
      </c>
      <c r="H114" s="5">
        <f t="shared" si="6"/>
        <v>2757.5057923725321</v>
      </c>
      <c r="I114" s="5">
        <f t="shared" si="7"/>
        <v>3373.1635799999999</v>
      </c>
      <c r="J114" s="9">
        <f>(Tabelle1[[#This Row],[Predicted Cooling Capacity '[kW']]]-Tabelle1[[#This Row],[True Cooling Capacity '[kW']]])^2</f>
        <v>379034.51146634819</v>
      </c>
      <c r="K114" s="5">
        <f>100/Tabelle1[[#This Row],[True Cooling Capacity '[kW']]]*Tabelle1[[#This Row],[Predicted Cooling Capacity '[kW']]]</f>
        <v>81.748356608680453</v>
      </c>
      <c r="M114" s="40">
        <v>3558.9775245848618</v>
      </c>
      <c r="N114" s="41">
        <f>M114-$T$17*$T$18*SQRT(1+1/$T$14+(Tabelle1[[#This Row],[True Cooling Capacity '[kW']]]-$T$15)^2/$T$16)</f>
        <v>2544.498221107915</v>
      </c>
      <c r="O114" s="42">
        <f>M114+$T$17*$T$18*SQRT(1+1/$T$14+(Tabelle1[[#This Row],[True Cooling Capacity '[kW']]]-$T$15)^2/$T$16)</f>
        <v>4573.4568280618087</v>
      </c>
      <c r="P114" s="5">
        <f>M114-$T$17*$T$18*SQRT(1/$T$14+(Tabelle1[[#This Row],[True Cooling Capacity '[kW']]]-$T$15)^2/$T$16)</f>
        <v>3461.5377469796754</v>
      </c>
      <c r="Q114" s="5">
        <f>M114+$T$17*$T$18*SQRT(1/$T$14+(Tabelle1[[#This Row],[True Cooling Capacity '[kW']]]-$T$15)^2/$T$16)</f>
        <v>3656.4173021900483</v>
      </c>
      <c r="R114" s="5"/>
    </row>
    <row r="115" spans="1:18" x14ac:dyDescent="0.3">
      <c r="A115" t="s">
        <v>113</v>
      </c>
      <c r="B115" s="3" t="s">
        <v>223</v>
      </c>
      <c r="C115" s="4">
        <v>27.566345504000001</v>
      </c>
      <c r="D115" s="3">
        <v>27</v>
      </c>
      <c r="E115" s="4">
        <v>29</v>
      </c>
      <c r="F115">
        <f>(Tabelle1[[#This Row],[True Size X]]+Tabelle1[[#This Row],[True Size Y]])/2</f>
        <v>28</v>
      </c>
      <c r="G115" s="10">
        <f>(Tabelle1[[#This Row],[Predicted Size]]-Tabelle1[[#This Row],[True Mean Size ]])^2</f>
        <v>0.1880562219010132</v>
      </c>
      <c r="H115" s="5">
        <f t="shared" si="6"/>
        <v>3737.0473591458826</v>
      </c>
      <c r="I115" s="5">
        <f t="shared" si="7"/>
        <v>3839.3407200000006</v>
      </c>
      <c r="J115" s="9">
        <f>(Tabelle1[[#This Row],[Predicted Cooling Capacity '[kW']]]-Tabelle1[[#This Row],[True Cooling Capacity '[kW']]])^2</f>
        <v>10463.931674830794</v>
      </c>
      <c r="K115" s="5">
        <f>100/Tabelle1[[#This Row],[True Cooling Capacity '[kW']]]*Tabelle1[[#This Row],[Predicted Cooling Capacity '[kW']]]</f>
        <v>97.335652959341459</v>
      </c>
      <c r="M115" s="40">
        <v>4002.8373296099644</v>
      </c>
      <c r="N115" s="41">
        <f>M115-$T$17*$T$18*SQRT(1+1/$T$14+(Tabelle1[[#This Row],[True Cooling Capacity '[kW']]]-$T$15)^2/$T$16)</f>
        <v>2988.6012885528062</v>
      </c>
      <c r="O115" s="42">
        <f>M115+$T$17*$T$18*SQRT(1+1/$T$14+(Tabelle1[[#This Row],[True Cooling Capacity '[kW']]]-$T$15)^2/$T$16)</f>
        <v>5017.0733706671226</v>
      </c>
      <c r="P115" s="5">
        <f>M115-$T$17*$T$18*SQRT(1/$T$14+(Tabelle1[[#This Row],[True Cooling Capacity '[kW']]]-$T$15)^2/$T$16)</f>
        <v>3907.9637291935423</v>
      </c>
      <c r="Q115" s="5">
        <f>M115+$T$17*$T$18*SQRT(1/$T$14+(Tabelle1[[#This Row],[True Cooling Capacity '[kW']]]-$T$15)^2/$T$16)</f>
        <v>4097.7109300263864</v>
      </c>
      <c r="R115" s="5"/>
    </row>
    <row r="116" spans="1:18" x14ac:dyDescent="0.3">
      <c r="A116" t="s">
        <v>114</v>
      </c>
      <c r="B116" s="3" t="s">
        <v>196</v>
      </c>
      <c r="C116" s="4">
        <v>23.259104018999999</v>
      </c>
      <c r="D116" s="3">
        <v>26</v>
      </c>
      <c r="E116" s="4">
        <v>26</v>
      </c>
      <c r="F116">
        <f>(Tabelle1[[#This Row],[True Size X]]+Tabelle1[[#This Row],[True Size Y]])/2</f>
        <v>26</v>
      </c>
      <c r="G116" s="10">
        <f>(Tabelle1[[#This Row],[Predicted Size]]-Tabelle1[[#This Row],[True Mean Size ]])^2</f>
        <v>7.5125107786619596</v>
      </c>
      <c r="H116" s="5">
        <f t="shared" si="6"/>
        <v>2757.5057923725321</v>
      </c>
      <c r="I116" s="5">
        <f t="shared" si="7"/>
        <v>3373.1635799999999</v>
      </c>
      <c r="J116" s="9">
        <f>(Tabelle1[[#This Row],[Predicted Cooling Capacity '[kW']]]-Tabelle1[[#This Row],[True Cooling Capacity '[kW']]])^2</f>
        <v>379034.51146634819</v>
      </c>
      <c r="K116" s="5">
        <f>100/Tabelle1[[#This Row],[True Cooling Capacity '[kW']]]*Tabelle1[[#This Row],[Predicted Cooling Capacity '[kW']]]</f>
        <v>81.748356608680453</v>
      </c>
      <c r="M116" s="40">
        <v>3558.9775245848618</v>
      </c>
      <c r="N116" s="41">
        <f>M116-$T$17*$T$18*SQRT(1+1/$T$14+(Tabelle1[[#This Row],[True Cooling Capacity '[kW']]]-$T$15)^2/$T$16)</f>
        <v>2544.498221107915</v>
      </c>
      <c r="O116" s="42">
        <f>M116+$T$17*$T$18*SQRT(1+1/$T$14+(Tabelle1[[#This Row],[True Cooling Capacity '[kW']]]-$T$15)^2/$T$16)</f>
        <v>4573.4568280618087</v>
      </c>
      <c r="P116" s="5">
        <f>M116-$T$17*$T$18*SQRT(1/$T$14+(Tabelle1[[#This Row],[True Cooling Capacity '[kW']]]-$T$15)^2/$T$16)</f>
        <v>3461.5377469796754</v>
      </c>
      <c r="Q116" s="5">
        <f>M116+$T$17*$T$18*SQRT(1/$T$14+(Tabelle1[[#This Row],[True Cooling Capacity '[kW']]]-$T$15)^2/$T$16)</f>
        <v>3656.4173021900483</v>
      </c>
      <c r="R116" s="5"/>
    </row>
    <row r="117" spans="1:18" x14ac:dyDescent="0.3">
      <c r="A117" t="s">
        <v>115</v>
      </c>
      <c r="B117" s="3" t="s">
        <v>129</v>
      </c>
      <c r="C117" s="4">
        <v>29.289242097999999</v>
      </c>
      <c r="D117" s="3">
        <v>29</v>
      </c>
      <c r="E117" s="4">
        <v>29</v>
      </c>
      <c r="F117">
        <f>(Tabelle1[[#This Row],[True Size X]]+Tabelle1[[#This Row],[True Size Y]])/2</f>
        <v>29</v>
      </c>
      <c r="G117" s="10">
        <f>(Tabelle1[[#This Row],[Predicted Size]]-Tabelle1[[#This Row],[True Mean Size ]])^2</f>
        <v>8.3660991255441033E-2</v>
      </c>
      <c r="H117" s="5">
        <f t="shared" si="6"/>
        <v>4147.4240105714834</v>
      </c>
      <c r="I117" s="5">
        <f t="shared" si="7"/>
        <v>4077.7886549999998</v>
      </c>
      <c r="J117" s="9">
        <f>(Tabelle1[[#This Row],[Predicted Cooling Capacity '[kW']]]-Tabelle1[[#This Row],[True Cooling Capacity '[kW']]])^2</f>
        <v>4849.0827455669541</v>
      </c>
      <c r="K117" s="5">
        <f>100/Tabelle1[[#This Row],[True Cooling Capacity '[kW']]]*Tabelle1[[#This Row],[Predicted Cooling Capacity '[kW']]]</f>
        <v>101.70767446434724</v>
      </c>
      <c r="M117" s="40">
        <v>4229.8700278193573</v>
      </c>
      <c r="N117" s="41">
        <f>M117-$T$17*$T$18*SQRT(1+1/$T$14+(Tabelle1[[#This Row],[True Cooling Capacity '[kW']]]-$T$15)^2/$T$16)</f>
        <v>3215.7337873423517</v>
      </c>
      <c r="O117" s="42">
        <f>M117+$T$17*$T$18*SQRT(1+1/$T$14+(Tabelle1[[#This Row],[True Cooling Capacity '[kW']]]-$T$15)^2/$T$16)</f>
        <v>5244.0062682963635</v>
      </c>
      <c r="P117" s="5">
        <f>M117-$T$17*$T$18*SQRT(1/$T$14+(Tabelle1[[#This Row],[True Cooling Capacity '[kW']]]-$T$15)^2/$T$16)</f>
        <v>4136.0693491143902</v>
      </c>
      <c r="Q117" s="5">
        <f>M117+$T$17*$T$18*SQRT(1/$T$14+(Tabelle1[[#This Row],[True Cooling Capacity '[kW']]]-$T$15)^2/$T$16)</f>
        <v>4323.6707065243245</v>
      </c>
      <c r="R117" s="5"/>
    </row>
    <row r="118" spans="1:18" x14ac:dyDescent="0.3">
      <c r="A118" t="s">
        <v>116</v>
      </c>
      <c r="B118" s="3" t="s">
        <v>170</v>
      </c>
      <c r="C118" s="4">
        <v>30.581414543499999</v>
      </c>
      <c r="D118" s="3">
        <v>30</v>
      </c>
      <c r="E118" s="4">
        <v>29</v>
      </c>
      <c r="F118">
        <f>(Tabelle1[[#This Row],[True Size X]]+Tabelle1[[#This Row],[True Size Y]])/2</f>
        <v>29.5</v>
      </c>
      <c r="G118" s="10">
        <f>(Tabelle1[[#This Row],[Predicted Size]]-Tabelle1[[#This Row],[True Mean Size ]])^2</f>
        <v>1.1694574148933119</v>
      </c>
      <c r="H118" s="5">
        <f t="shared" si="6"/>
        <v>4462.166508409282</v>
      </c>
      <c r="I118" s="5">
        <f t="shared" si="7"/>
        <v>4198.3524637499995</v>
      </c>
      <c r="J118" s="9">
        <f>(Tabelle1[[#This Row],[Predicted Cooling Capacity '[kW']]]-Tabelle1[[#This Row],[True Cooling Capacity '[kW']]])^2</f>
        <v>69597.85015948987</v>
      </c>
      <c r="K118" s="5">
        <f>100/Tabelle1[[#This Row],[True Cooling Capacity '[kW']]]*Tabelle1[[#This Row],[Predicted Cooling Capacity '[kW']]]</f>
        <v>106.28375170825085</v>
      </c>
      <c r="M118" s="40">
        <v>4344.6620758482641</v>
      </c>
      <c r="N118" s="41">
        <f>M118-$T$17*$T$18*SQRT(1+1/$T$14+(Tabelle1[[#This Row],[True Cooling Capacity '[kW']]]-$T$15)^2/$T$16)</f>
        <v>3330.569949753763</v>
      </c>
      <c r="O118" s="42">
        <f>M118+$T$17*$T$18*SQRT(1+1/$T$14+(Tabelle1[[#This Row],[True Cooling Capacity '[kW']]]-$T$15)^2/$T$16)</f>
        <v>5358.7542019427656</v>
      </c>
      <c r="P118" s="5">
        <f>M118-$T$17*$T$18*SQRT(1/$T$14+(Tabelle1[[#This Row],[True Cooling Capacity '[kW']]]-$T$15)^2/$T$16)</f>
        <v>4251.3395529315376</v>
      </c>
      <c r="Q118" s="5">
        <f>M118+$T$17*$T$18*SQRT(1/$T$14+(Tabelle1[[#This Row],[True Cooling Capacity '[kW']]]-$T$15)^2/$T$16)</f>
        <v>4437.9845987649906</v>
      </c>
      <c r="R118" s="5"/>
    </row>
    <row r="119" spans="1:18" x14ac:dyDescent="0.3">
      <c r="A119" t="s">
        <v>117</v>
      </c>
      <c r="B119" s="3" t="s">
        <v>189</v>
      </c>
      <c r="C119" s="4">
        <v>44.795311443999999</v>
      </c>
      <c r="D119" s="3">
        <v>40</v>
      </c>
      <c r="E119" s="4">
        <v>42</v>
      </c>
      <c r="F119">
        <f>(Tabelle1[[#This Row],[True Size X]]+Tabelle1[[#This Row],[True Size Y]])/2</f>
        <v>41</v>
      </c>
      <c r="G119" s="10">
        <f>(Tabelle1[[#This Row],[Predicted Size]]-Tabelle1[[#This Row],[True Mean Size ]])^2</f>
        <v>14.40438895695736</v>
      </c>
      <c r="H119" s="5">
        <f t="shared" si="6"/>
        <v>8318.0716518200425</v>
      </c>
      <c r="I119" s="5">
        <f t="shared" si="7"/>
        <v>7217.8508549999988</v>
      </c>
      <c r="J119" s="9">
        <f>(Tabelle1[[#This Row],[Predicted Cooling Capacity '[kW']]]-Tabelle1[[#This Row],[True Cooling Capacity '[kW']]])^2</f>
        <v>1210485.8017553319</v>
      </c>
      <c r="K119" s="5">
        <f>100/Tabelle1[[#This Row],[True Cooling Capacity '[kW']]]*Tabelle1[[#This Row],[Predicted Cooling Capacity '[kW']]]</f>
        <v>115.24305252245398</v>
      </c>
      <c r="M119" s="40">
        <v>7219.6077825678904</v>
      </c>
      <c r="N119" s="41">
        <f>M119-$T$17*$T$18*SQRT(1+1/$T$14+(Tabelle1[[#This Row],[True Cooling Capacity '[kW']]]-$T$15)^2/$T$16)</f>
        <v>6205.2294875026209</v>
      </c>
      <c r="O119" s="42">
        <f>M119+$T$17*$T$18*SQRT(1+1/$T$14+(Tabelle1[[#This Row],[True Cooling Capacity '[kW']]]-$T$15)^2/$T$16)</f>
        <v>8233.9860776331589</v>
      </c>
      <c r="P119" s="5">
        <f>M119-$T$17*$T$18*SQRT(1/$T$14+(Tabelle1[[#This Row],[True Cooling Capacity '[kW']]]-$T$15)^2/$T$16)</f>
        <v>7123.2253226687999</v>
      </c>
      <c r="Q119" s="5">
        <f>M119+$T$17*$T$18*SQRT(1/$T$14+(Tabelle1[[#This Row],[True Cooling Capacity '[kW']]]-$T$15)^2/$T$16)</f>
        <v>7315.9902424669808</v>
      </c>
      <c r="R119" s="5"/>
    </row>
    <row r="120" spans="1:18" x14ac:dyDescent="0.3">
      <c r="A120" t="s">
        <v>118</v>
      </c>
      <c r="B120" s="3" t="s">
        <v>205</v>
      </c>
      <c r="C120" s="4">
        <v>43.503138998499999</v>
      </c>
      <c r="D120" s="3">
        <v>40</v>
      </c>
      <c r="E120" s="4">
        <v>42</v>
      </c>
      <c r="F120">
        <f>(Tabelle1[[#This Row],[True Size X]]+Tabelle1[[#This Row],[True Size Y]])/2</f>
        <v>41</v>
      </c>
      <c r="G120" s="10">
        <f>(Tabelle1[[#This Row],[Predicted Size]]-Tabelle1[[#This Row],[True Mean Size ]])^2</f>
        <v>6.2657048458115776</v>
      </c>
      <c r="H120" s="5">
        <f t="shared" si="6"/>
        <v>7937.7062094497505</v>
      </c>
      <c r="I120" s="5">
        <f t="shared" si="7"/>
        <v>7217.8508549999988</v>
      </c>
      <c r="J120" s="9">
        <f>(Tabelle1[[#This Row],[Predicted Cooling Capacity '[kW']]]-Tabelle1[[#This Row],[True Cooling Capacity '[kW']]])^2</f>
        <v>518191.73132997775</v>
      </c>
      <c r="K120" s="5">
        <f>100/Tabelle1[[#This Row],[True Cooling Capacity '[kW']]]*Tabelle1[[#This Row],[Predicted Cooling Capacity '[kW']]]</f>
        <v>109.97326446487999</v>
      </c>
      <c r="M120" s="40">
        <v>7219.6077825678904</v>
      </c>
      <c r="N120" s="41">
        <f>M120-$T$17*$T$18*SQRT(1+1/$T$14+(Tabelle1[[#This Row],[True Cooling Capacity '[kW']]]-$T$15)^2/$T$16)</f>
        <v>6205.2294875026209</v>
      </c>
      <c r="O120" s="42">
        <f>M120+$T$17*$T$18*SQRT(1+1/$T$14+(Tabelle1[[#This Row],[True Cooling Capacity '[kW']]]-$T$15)^2/$T$16)</f>
        <v>8233.9860776331589</v>
      </c>
      <c r="P120" s="5">
        <f>M120-$T$17*$T$18*SQRT(1/$T$14+(Tabelle1[[#This Row],[True Cooling Capacity '[kW']]]-$T$15)^2/$T$16)</f>
        <v>7123.2253226687999</v>
      </c>
      <c r="Q120" s="5">
        <f>M120+$T$17*$T$18*SQRT(1/$T$14+(Tabelle1[[#This Row],[True Cooling Capacity '[kW']]]-$T$15)^2/$T$16)</f>
        <v>7315.9902424669808</v>
      </c>
      <c r="R120" s="5"/>
    </row>
    <row r="121" spans="1:18" x14ac:dyDescent="0.3">
      <c r="A121" t="s">
        <v>119</v>
      </c>
      <c r="B121" s="3" t="s">
        <v>164</v>
      </c>
      <c r="C121" s="4">
        <v>39.626621661999998</v>
      </c>
      <c r="D121" s="3">
        <v>40</v>
      </c>
      <c r="E121" s="4">
        <v>42</v>
      </c>
      <c r="F121">
        <f>(Tabelle1[[#This Row],[True Size X]]+Tabelle1[[#This Row],[True Size Y]])/2</f>
        <v>41</v>
      </c>
      <c r="G121" s="10">
        <f>(Tabelle1[[#This Row],[Predicted Size]]-Tabelle1[[#This Row],[True Mean Size ]])^2</f>
        <v>1.8861680592876477</v>
      </c>
      <c r="H121" s="5">
        <f t="shared" si="6"/>
        <v>6832.4042157202257</v>
      </c>
      <c r="I121" s="5">
        <f t="shared" si="7"/>
        <v>7217.8508549999988</v>
      </c>
      <c r="J121" s="9">
        <f>(Tabelle1[[#This Row],[Predicted Cooling Capacity '[kW']]]-Tabelle1[[#This Row],[True Cooling Capacity '[kW']]])^2</f>
        <v>148569.1117320715</v>
      </c>
      <c r="K121" s="5">
        <f>100/Tabelle1[[#This Row],[True Cooling Capacity '[kW']]]*Tabelle1[[#This Row],[Predicted Cooling Capacity '[kW']]]</f>
        <v>94.659814298978432</v>
      </c>
      <c r="M121" s="40">
        <v>7219.6077825678904</v>
      </c>
      <c r="N121" s="41">
        <f>M121-$T$17*$T$18*SQRT(1+1/$T$14+(Tabelle1[[#This Row],[True Cooling Capacity '[kW']]]-$T$15)^2/$T$16)</f>
        <v>6205.2294875026209</v>
      </c>
      <c r="O121" s="42">
        <f>M121+$T$17*$T$18*SQRT(1+1/$T$14+(Tabelle1[[#This Row],[True Cooling Capacity '[kW']]]-$T$15)^2/$T$16)</f>
        <v>8233.9860776331589</v>
      </c>
      <c r="P121" s="5">
        <f>M121-$T$17*$T$18*SQRT(1/$T$14+(Tabelle1[[#This Row],[True Cooling Capacity '[kW']]]-$T$15)^2/$T$16)</f>
        <v>7123.2253226687999</v>
      </c>
      <c r="Q121" s="5">
        <f>M121+$T$17*$T$18*SQRT(1/$T$14+(Tabelle1[[#This Row],[True Cooling Capacity '[kW']]]-$T$15)^2/$T$16)</f>
        <v>7315.9902424669808</v>
      </c>
      <c r="R121" s="5"/>
    </row>
    <row r="122" spans="1:18" x14ac:dyDescent="0.3">
      <c r="A122" t="s">
        <v>120</v>
      </c>
      <c r="B122" s="3" t="s">
        <v>236</v>
      </c>
      <c r="C122" s="4">
        <v>40.918794107499998</v>
      </c>
      <c r="D122" s="3">
        <v>40</v>
      </c>
      <c r="E122" s="4">
        <v>42</v>
      </c>
      <c r="F122">
        <f>(Tabelle1[[#This Row],[True Size X]]+Tabelle1[[#This Row],[True Size Y]])/2</f>
        <v>41</v>
      </c>
      <c r="G122" s="10">
        <f>(Tabelle1[[#This Row],[Predicted Size]]-Tabelle1[[#This Row],[True Mean Size ]])^2</f>
        <v>6.5943969767218247E-3</v>
      </c>
      <c r="H122" s="5">
        <f t="shared" si="6"/>
        <v>7194.8724913998394</v>
      </c>
      <c r="I122" s="5">
        <f t="shared" si="7"/>
        <v>7217.8508549999988</v>
      </c>
      <c r="J122" s="9">
        <f>(Tabelle1[[#This Row],[Predicted Cooling Capacity '[kW']]]-Tabelle1[[#This Row],[True Cooling Capacity '[kW']]])^2</f>
        <v>528.00519374112844</v>
      </c>
      <c r="K122" s="5">
        <f>100/Tabelle1[[#This Row],[True Cooling Capacity '[kW']]]*Tabelle1[[#This Row],[Predicted Cooling Capacity '[kW']]]</f>
        <v>99.681645353142173</v>
      </c>
      <c r="M122" s="40">
        <v>7219.6077825678904</v>
      </c>
      <c r="N122" s="41">
        <f>M122-$T$17*$T$18*SQRT(1+1/$T$14+(Tabelle1[[#This Row],[True Cooling Capacity '[kW']]]-$T$15)^2/$T$16)</f>
        <v>6205.2294875026209</v>
      </c>
      <c r="O122" s="42">
        <f>M122+$T$17*$T$18*SQRT(1+1/$T$14+(Tabelle1[[#This Row],[True Cooling Capacity '[kW']]]-$T$15)^2/$T$16)</f>
        <v>8233.9860776331589</v>
      </c>
      <c r="P122" s="5">
        <f>M122-$T$17*$T$18*SQRT(1/$T$14+(Tabelle1[[#This Row],[True Cooling Capacity '[kW']]]-$T$15)^2/$T$16)</f>
        <v>7123.2253226687999</v>
      </c>
      <c r="Q122" s="5">
        <f>M122+$T$17*$T$18*SQRT(1/$T$14+(Tabelle1[[#This Row],[True Cooling Capacity '[kW']]]-$T$15)^2/$T$16)</f>
        <v>7315.9902424669808</v>
      </c>
      <c r="R122" s="5"/>
    </row>
    <row r="123" spans="1:18" x14ac:dyDescent="0.3">
      <c r="A123" t="s">
        <v>121</v>
      </c>
      <c r="B123" s="3" t="s">
        <v>212</v>
      </c>
      <c r="C123" s="4">
        <v>40.918794107499998</v>
      </c>
      <c r="D123" s="3">
        <v>42</v>
      </c>
      <c r="E123" s="4">
        <v>45</v>
      </c>
      <c r="F123">
        <f>(Tabelle1[[#This Row],[True Size X]]+Tabelle1[[#This Row],[True Size Y]])/2</f>
        <v>43.5</v>
      </c>
      <c r="G123" s="10">
        <f>(Tabelle1[[#This Row],[Predicted Size]]-Tabelle1[[#This Row],[True Mean Size ]])^2</f>
        <v>6.6626238594767297</v>
      </c>
      <c r="H123" s="5">
        <f t="shared" si="6"/>
        <v>7194.8724913998394</v>
      </c>
      <c r="I123" s="5">
        <f t="shared" si="7"/>
        <v>7936.789473750001</v>
      </c>
      <c r="J123" s="9">
        <f>(Tabelle1[[#This Row],[Predicted Cooling Capacity '[kW']]]-Tabelle1[[#This Row],[True Cooling Capacity '[kW']]])^2</f>
        <v>550440.8086995699</v>
      </c>
      <c r="K123" s="5">
        <f>100/Tabelle1[[#This Row],[True Cooling Capacity '[kW']]]*Tabelle1[[#This Row],[Predicted Cooling Capacity '[kW']]]</f>
        <v>90.652177624164466</v>
      </c>
      <c r="M123" s="40">
        <v>7904.128596144018</v>
      </c>
      <c r="N123" s="41">
        <f>M123-$T$17*$T$18*SQRT(1+1/$T$14+(Tabelle1[[#This Row],[True Cooling Capacity '[kW']]]-$T$15)^2/$T$16)</f>
        <v>6889.2880626269143</v>
      </c>
      <c r="O123" s="42">
        <f>M123+$T$17*$T$18*SQRT(1+1/$T$14+(Tabelle1[[#This Row],[True Cooling Capacity '[kW']]]-$T$15)^2/$T$16)</f>
        <v>8918.9691296611218</v>
      </c>
      <c r="P123" s="5">
        <f>M123-$T$17*$T$18*SQRT(1/$T$14+(Tabelle1[[#This Row],[True Cooling Capacity '[kW']]]-$T$15)^2/$T$16)</f>
        <v>7802.9971888268183</v>
      </c>
      <c r="Q123" s="5">
        <f>M123+$T$17*$T$18*SQRT(1/$T$14+(Tabelle1[[#This Row],[True Cooling Capacity '[kW']]]-$T$15)^2/$T$16)</f>
        <v>8005.2600034612178</v>
      </c>
      <c r="R123" s="5"/>
    </row>
    <row r="124" spans="1:18" x14ac:dyDescent="0.3">
      <c r="A124" t="s">
        <v>122</v>
      </c>
      <c r="B124" s="3" t="s">
        <v>222</v>
      </c>
      <c r="C124" s="4">
        <v>52.117621968500004</v>
      </c>
      <c r="D124" s="3">
        <v>49</v>
      </c>
      <c r="E124" s="4">
        <v>49</v>
      </c>
      <c r="F124">
        <f>(Tabelle1[[#This Row],[True Size X]]+Tabelle1[[#This Row],[True Size Y]])/2</f>
        <v>49</v>
      </c>
      <c r="G124" s="10">
        <f>(Tabelle1[[#This Row],[Predicted Size]]-Tabelle1[[#This Row],[True Mean Size ]])^2</f>
        <v>9.7195667384738371</v>
      </c>
      <c r="H124" s="5">
        <f t="shared" si="6"/>
        <v>10586.161689600443</v>
      </c>
      <c r="I124" s="5">
        <f t="shared" si="7"/>
        <v>9597.0584550000003</v>
      </c>
      <c r="J124" s="9">
        <f>(Tabelle1[[#This Row],[Predicted Cooling Capacity '[kW']]]-Tabelle1[[#This Row],[True Cooling Capacity '[kW']]])^2</f>
        <v>978325.20869705919</v>
      </c>
      <c r="K124" s="5">
        <f>100/Tabelle1[[#This Row],[True Cooling Capacity '[kW']]]*Tabelle1[[#This Row],[Predicted Cooling Capacity '[kW']]]</f>
        <v>110.30631666190516</v>
      </c>
      <c r="M124" s="40">
        <v>9484.9153895651834</v>
      </c>
      <c r="N124" s="41">
        <f>M124-$T$17*$T$18*SQRT(1+1/$T$14+(Tabelle1[[#This Row],[True Cooling Capacity '[kW']]]-$T$15)^2/$T$16)</f>
        <v>8468.4298526707189</v>
      </c>
      <c r="O124" s="42">
        <f>M124+$T$17*$T$18*SQRT(1+1/$T$14+(Tabelle1[[#This Row],[True Cooling Capacity '[kW']]]-$T$15)^2/$T$16)</f>
        <v>10501.400926459648</v>
      </c>
      <c r="P124" s="5">
        <f>M124-$T$17*$T$18*SQRT(1/$T$14+(Tabelle1[[#This Row],[True Cooling Capacity '[kW']]]-$T$15)^2/$T$16)</f>
        <v>9368.4289105545085</v>
      </c>
      <c r="Q124" s="5">
        <f>M124+$T$17*$T$18*SQRT(1/$T$14+(Tabelle1[[#This Row],[True Cooling Capacity '[kW']]]-$T$15)^2/$T$16)</f>
        <v>9601.4018685758583</v>
      </c>
      <c r="R124" s="5"/>
    </row>
    <row r="125" spans="1:18" ht="15" thickBot="1" x14ac:dyDescent="0.35">
      <c r="A125" t="s">
        <v>123</v>
      </c>
      <c r="B125" s="3" t="s">
        <v>131</v>
      </c>
      <c r="C125" s="4">
        <v>58.1477600475</v>
      </c>
      <c r="D125" s="3">
        <v>50</v>
      </c>
      <c r="E125" s="4">
        <v>50</v>
      </c>
      <c r="F125">
        <f>(Tabelle1[[#This Row],[True Size X]]+Tabelle1[[#This Row],[True Size Y]])/2</f>
        <v>50</v>
      </c>
      <c r="G125" s="10">
        <f>(Tabelle1[[#This Row],[Predicted Size]]-Tabelle1[[#This Row],[True Mean Size ]])^2</f>
        <v>66.385993791637205</v>
      </c>
      <c r="H125" s="5">
        <f t="shared" si="6"/>
        <v>12597.840735794149</v>
      </c>
      <c r="I125" s="5">
        <f t="shared" si="7"/>
        <v>9910.5375000000004</v>
      </c>
      <c r="J125" s="9">
        <f>(Tabelle1[[#This Row],[Predicted Cooling Capacity '[kW']]]-Tabelle1[[#This Row],[True Cooling Capacity '[kW']]])^2</f>
        <v>7221598.6811097004</v>
      </c>
      <c r="K125" s="5">
        <f>100/Tabelle1[[#This Row],[True Cooling Capacity '[kW']]]*Tabelle1[[#This Row],[Predicted Cooling Capacity '[kW']]]</f>
        <v>127.11561543250451</v>
      </c>
      <c r="M125" s="40">
        <v>9783.3872275303729</v>
      </c>
      <c r="N125" s="41">
        <f>M125-$T$17*$T$18*SQRT(1+1/$T$14+(Tabelle1[[#This Row],[True Cooling Capacity '[kW']]]-$T$15)^2/$T$16)</f>
        <v>8766.500860952312</v>
      </c>
      <c r="O125" s="42">
        <f>M125+$T$17*$T$18*SQRT(1+1/$T$14+(Tabelle1[[#This Row],[True Cooling Capacity '[kW']]]-$T$15)^2/$T$16)</f>
        <v>10800.273594108434</v>
      </c>
      <c r="P125" s="5">
        <f>M125-$T$17*$T$18*SQRT(1/$T$14+(Tabelle1[[#This Row],[True Cooling Capacity '[kW']]]-$T$15)^2/$T$16)</f>
        <v>9663.4533473754836</v>
      </c>
      <c r="Q125" s="5">
        <f>M125+$T$17*$T$18*SQRT(1/$T$14+(Tabelle1[[#This Row],[True Cooling Capacity '[kW']]]-$T$15)^2/$T$16)</f>
        <v>9903.3211076852622</v>
      </c>
      <c r="R125" s="5"/>
    </row>
    <row r="126" spans="1:18" ht="15" thickBot="1" x14ac:dyDescent="0.35">
      <c r="A126" t="s">
        <v>124</v>
      </c>
      <c r="F126" s="8" t="s">
        <v>253</v>
      </c>
      <c r="G126" s="7">
        <f>SQRT(SUM(Tabelle1[(pred-true)^2])/COUNTA(Tabelle1[(pred-true)^2]))</f>
        <v>1.7076599952342419</v>
      </c>
      <c r="I126" s="6" t="s">
        <v>260</v>
      </c>
      <c r="J126" s="13">
        <f>SQRT(SUM(Tabelle1[(pred-true)^22])/COUNTA(Tabelle1[(pred-true)^22]))</f>
        <v>572.52533067693093</v>
      </c>
      <c r="M126" s="49">
        <v>0</v>
      </c>
      <c r="N126" s="50">
        <f>M126-$T$17*$T$18*SQRT(1+1/$T$14+(M126-$T$15)^2/$T$16)</f>
        <v>-1018.1320605351343</v>
      </c>
      <c r="O126" s="51">
        <f>M126+$T$17*$T$18*SQRT(1+1/$T$14+(M126-$T$15)^2/$T$16)</f>
        <v>1018.1320605351343</v>
      </c>
      <c r="P126" s="50">
        <f>M126-$T$17*$T$18*SQRT(1/$T$14+(M126-$T$15)^2/$T$16)</f>
        <v>-130.07361671836318</v>
      </c>
      <c r="Q126" s="51">
        <f>M126+$T$17*$T$18*SQRT(1/$T$14+(M126-$T$15)^2/$T$16)</f>
        <v>130.07361671836318</v>
      </c>
      <c r="R126" s="5"/>
    </row>
    <row r="127" spans="1:18" ht="15" thickBot="1" x14ac:dyDescent="0.35">
      <c r="A127" t="s">
        <v>125</v>
      </c>
      <c r="G127" s="14" t="s">
        <v>261</v>
      </c>
      <c r="H127" s="15">
        <f>SUM(Tabelle1[Predicted Cooling Capacity '[kW']])/COUNT(Tabelle1[Predicted Cooling Capacity '[kW']])</f>
        <v>5474.5692011958618</v>
      </c>
      <c r="I127" s="16">
        <f>SUM(Tabelle1[True Cooling Capacity '[kW']])/COUNT(Tabelle1[True Cooling Capacity '[kW']])</f>
        <v>5385.0714822256086</v>
      </c>
      <c r="N127" s="50"/>
      <c r="O127" s="51"/>
      <c r="R127" s="53"/>
    </row>
    <row r="128" spans="1:18" ht="15" thickBot="1" x14ac:dyDescent="0.35">
      <c r="F128" s="18"/>
      <c r="G128" s="19"/>
      <c r="H128" s="23" t="s">
        <v>264</v>
      </c>
      <c r="I128" s="24" t="s">
        <v>265</v>
      </c>
      <c r="J128" t="s">
        <v>271</v>
      </c>
      <c r="N128" s="5"/>
    </row>
    <row r="129" spans="6:15" x14ac:dyDescent="0.3">
      <c r="F129" s="17" t="s">
        <v>263</v>
      </c>
      <c r="G129" s="20" t="s">
        <v>266</v>
      </c>
      <c r="H129" s="25">
        <f>SUM(Tabelle1[Predicted Cooling Capacity '[kW']])</f>
        <v>673372.01174709096</v>
      </c>
      <c r="I129" s="26">
        <f>SUM(Tabelle1[True Cooling Capacity '[kW']])</f>
        <v>662363.7923137499</v>
      </c>
      <c r="J129" s="1" t="s">
        <v>268</v>
      </c>
      <c r="K129" s="2">
        <f>_xlfn.STDEV.S(Tabelle1[Relative Deviation(Pred-True)])</f>
        <v>7.9230719534836167</v>
      </c>
      <c r="N129" s="5"/>
    </row>
    <row r="130" spans="6:15" ht="15" thickBot="1" x14ac:dyDescent="0.35">
      <c r="F130" s="21"/>
      <c r="G130" s="22" t="s">
        <v>267</v>
      </c>
      <c r="H130" s="27">
        <f>100/I129*H129</f>
        <v>101.6619597207884</v>
      </c>
      <c r="I130" s="28">
        <v>1</v>
      </c>
      <c r="J130" s="31" t="s">
        <v>272</v>
      </c>
      <c r="K130" s="32">
        <f>_xlfn.CONFIDENCE.NORM(0.05,K129,123)</f>
        <v>1.4001969757525119</v>
      </c>
      <c r="L130" t="s">
        <v>274</v>
      </c>
      <c r="N130" s="5"/>
    </row>
    <row r="131" spans="6:15" x14ac:dyDescent="0.3">
      <c r="O131" s="5"/>
    </row>
    <row r="132" spans="6:15" x14ac:dyDescent="0.3">
      <c r="O132" s="5"/>
    </row>
    <row r="133" spans="6:15" x14ac:dyDescent="0.3">
      <c r="O133" s="5"/>
    </row>
    <row r="134" spans="6:15" x14ac:dyDescent="0.3">
      <c r="O134" s="5"/>
    </row>
    <row r="135" spans="6:15" x14ac:dyDescent="0.3">
      <c r="O135" s="5"/>
    </row>
    <row r="136" spans="6:15" x14ac:dyDescent="0.3">
      <c r="O136" s="5"/>
    </row>
    <row r="137" spans="6:15" x14ac:dyDescent="0.3">
      <c r="O137" s="5"/>
    </row>
    <row r="138" spans="6:15" x14ac:dyDescent="0.3">
      <c r="O138" s="5"/>
    </row>
    <row r="139" spans="6:15" x14ac:dyDescent="0.3">
      <c r="O139" s="5"/>
    </row>
    <row r="140" spans="6:15" x14ac:dyDescent="0.3">
      <c r="O140" s="5"/>
    </row>
    <row r="141" spans="6:15" x14ac:dyDescent="0.3">
      <c r="O141" s="5"/>
    </row>
    <row r="142" spans="6:15" x14ac:dyDescent="0.3">
      <c r="O142" s="5"/>
    </row>
    <row r="143" spans="6:15" x14ac:dyDescent="0.3">
      <c r="O143" s="5"/>
    </row>
    <row r="144" spans="6:15" x14ac:dyDescent="0.3">
      <c r="O144" s="5"/>
    </row>
    <row r="145" spans="15:15" x14ac:dyDescent="0.3">
      <c r="O145" s="5"/>
    </row>
    <row r="146" spans="15:15" x14ac:dyDescent="0.3">
      <c r="O146" s="5"/>
    </row>
    <row r="147" spans="15:15" x14ac:dyDescent="0.3">
      <c r="O147" s="5"/>
    </row>
    <row r="148" spans="15:15" x14ac:dyDescent="0.3">
      <c r="O148" s="5"/>
    </row>
    <row r="149" spans="15:15" x14ac:dyDescent="0.3">
      <c r="O149" s="5"/>
    </row>
    <row r="150" spans="15:15" x14ac:dyDescent="0.3">
      <c r="O150" s="5"/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0"/>
  <sheetViews>
    <sheetView topLeftCell="F16" zoomScale="85" zoomScaleNormal="85" workbookViewId="0">
      <selection activeCell="I3" sqref="I3"/>
    </sheetView>
  </sheetViews>
  <sheetFormatPr baseColWidth="10" defaultRowHeight="14.4" x14ac:dyDescent="0.3"/>
  <cols>
    <col min="1" max="1" width="3.44140625" customWidth="1"/>
    <col min="2" max="2" width="15" style="3" bestFit="1" customWidth="1"/>
    <col min="3" max="3" width="15.44140625" style="4" bestFit="1" customWidth="1"/>
    <col min="4" max="4" width="26.44140625" style="11" bestFit="1" customWidth="1"/>
    <col min="5" max="5" width="11.44140625" style="3"/>
    <col min="6" max="6" width="11.44140625" style="4"/>
    <col min="7" max="7" width="20.44140625" customWidth="1"/>
    <col min="8" max="8" width="15.33203125" bestFit="1" customWidth="1"/>
    <col min="9" max="9" width="30.5546875" customWidth="1"/>
    <col min="10" max="10" width="26" customWidth="1"/>
    <col min="20" max="20" width="12" bestFit="1" customWidth="1"/>
    <col min="21" max="21" width="11.5546875" bestFit="1" customWidth="1"/>
  </cols>
  <sheetData>
    <row r="1" spans="1:23" ht="18.600000000000001" thickBot="1" x14ac:dyDescent="0.4">
      <c r="M1" s="45" t="s">
        <v>292</v>
      </c>
      <c r="N1" s="46"/>
      <c r="O1" s="47"/>
      <c r="P1" s="36"/>
      <c r="Q1" s="36"/>
    </row>
    <row r="2" spans="1:23" ht="15" thickBot="1" x14ac:dyDescent="0.35">
      <c r="A2" t="s">
        <v>0</v>
      </c>
      <c r="B2" s="1" t="s">
        <v>126</v>
      </c>
      <c r="C2" s="2" t="s">
        <v>254</v>
      </c>
      <c r="D2" s="12" t="s">
        <v>296</v>
      </c>
      <c r="E2" s="1" t="s">
        <v>250</v>
      </c>
      <c r="F2" s="2" t="s">
        <v>251</v>
      </c>
      <c r="G2" t="s">
        <v>262</v>
      </c>
      <c r="H2" t="s">
        <v>252</v>
      </c>
      <c r="I2" t="s">
        <v>255</v>
      </c>
      <c r="J2" t="s">
        <v>256</v>
      </c>
      <c r="K2" t="s">
        <v>259</v>
      </c>
      <c r="M2" s="30" t="s">
        <v>273</v>
      </c>
      <c r="N2" s="43" t="s">
        <v>275</v>
      </c>
      <c r="O2" s="44" t="s">
        <v>276</v>
      </c>
      <c r="P2" s="48" t="s">
        <v>293</v>
      </c>
      <c r="Q2" s="48" t="s">
        <v>294</v>
      </c>
      <c r="W2" t="s">
        <v>257</v>
      </c>
    </row>
    <row r="3" spans="1:23" x14ac:dyDescent="0.3">
      <c r="A3" t="s">
        <v>1</v>
      </c>
      <c r="B3" s="3" t="s">
        <v>183</v>
      </c>
      <c r="C3" s="4">
        <v>38.334449216499998</v>
      </c>
      <c r="D3" s="11">
        <f>(2*(5000*(Tabelle13[[#This Row],[Predicted Size]]/0.861448297))-22199)/10577</f>
        <v>39.973622010021742</v>
      </c>
      <c r="E3" s="3">
        <v>37</v>
      </c>
      <c r="F3" s="4">
        <v>36</v>
      </c>
      <c r="G3">
        <f>(Tabelle13[[#This Row],[True Size X]]+Tabelle13[[#This Row],[True Size Y]])/2</f>
        <v>36.5</v>
      </c>
      <c r="H3" s="10">
        <f>(Tabelle13[[#This Row],[Correlation Function Predicted  Size]]-Tabelle13[[#This Row],[True Mean Size ]])^2</f>
        <v>12.06604986850749</v>
      </c>
      <c r="I3">
        <f t="shared" ref="I3:I34" si="0">220.55*(D3*0.09)^2 + 1518*(D3*0.09) - 1386.6</f>
        <v>6929.1556346546913</v>
      </c>
      <c r="J3" s="5">
        <f t="shared" ref="J3:J34" si="1">220.55*(G3*0.09)^2 + 1518*(G3*0.09) - 1386.6</f>
        <v>5980.0346737499985</v>
      </c>
      <c r="K3" s="9">
        <f>(Tabelle13[[#This Row],[Predicted Cooling Capacity '[kW']]]-Tabelle13[[#This Row],[True Cooling Capacity '[kW']]])^2</f>
        <v>900830.59842864738</v>
      </c>
      <c r="M3" s="5">
        <f t="array" ref="M3:M125">TREND(I3:I125,J3:J125)</f>
        <v>6487.8009530728159</v>
      </c>
      <c r="N3" s="42">
        <f>M3-$T$16*$T$17*SQRT(1+1/$T$13+(Tabelle13[[#This Row],[True Cooling Capacity '[kW']]]-$T$14)^2/$T$15)</f>
        <v>5372.3393462216445</v>
      </c>
      <c r="O3" s="42">
        <f>M3+$T$16*$T$17*SQRT(1+1/$T$13+(Tabelle13[[#This Row],[True Cooling Capacity '[kW']]]-$T$14)^2/$T$15)</f>
        <v>7603.2625599239873</v>
      </c>
      <c r="P3" s="42">
        <f>M3-$T$16*$T$17*SQRT(1/$T$13+(Tabelle13[[#This Row],[True Cooling Capacity '[kW']]]-$T$14)^2/$T$15)</f>
        <v>6387.0003298320444</v>
      </c>
      <c r="Q3" s="42">
        <f>M3+$T$16*$T$17*SQRT(1/$T$13+(Tabelle13[[#This Row],[True Cooling Capacity '[kW']]]-$T$14)^2/$T$15)</f>
        <v>6588.6015763135874</v>
      </c>
      <c r="W3" t="s">
        <v>258</v>
      </c>
    </row>
    <row r="4" spans="1:23" x14ac:dyDescent="0.3">
      <c r="A4" t="s">
        <v>2</v>
      </c>
      <c r="B4" s="3" t="s">
        <v>154</v>
      </c>
      <c r="C4" s="4">
        <v>37.903725068</v>
      </c>
      <c r="D4" s="11">
        <f>(2*(5000*(Tabelle13[[#This Row],[Predicted Size]]/0.861448297))-22199)/10577</f>
        <v>39.500898175285997</v>
      </c>
      <c r="E4" s="3">
        <v>37</v>
      </c>
      <c r="F4" s="4">
        <v>36</v>
      </c>
      <c r="G4">
        <f>(Tabelle13[[#This Row],[True Size X]]+Tabelle13[[#This Row],[True Size Y]])/2</f>
        <v>36.5</v>
      </c>
      <c r="H4" s="10">
        <f>(Tabelle13[[#This Row],[Correlation Function Predicted  Size]]-Tabelle13[[#This Row],[True Mean Size ]])^2</f>
        <v>9.0053898584348246</v>
      </c>
      <c r="I4" s="5">
        <f t="shared" si="0"/>
        <v>6797.4558833274532</v>
      </c>
      <c r="J4" s="5">
        <f t="shared" si="1"/>
        <v>5980.0346737499985</v>
      </c>
      <c r="K4" s="9">
        <f>(Tabelle13[[#This Row],[Predicted Cooling Capacity '[kW']]]-Tabelle13[[#This Row],[True Cooling Capacity '[kW']]])^2</f>
        <v>668177.43386706908</v>
      </c>
      <c r="M4" s="5">
        <v>6487.8009530728159</v>
      </c>
      <c r="N4" s="42">
        <f>M4-$T$16*$T$17*SQRT(1+1/$T$13+(Tabelle13[[#This Row],[True Cooling Capacity '[kW']]]-$T$14)^2/$T$15)</f>
        <v>5372.3393462216445</v>
      </c>
      <c r="O4" s="42">
        <f>M4+$T$16*$T$17*SQRT(1+1/$T$13+(Tabelle13[[#This Row],[True Cooling Capacity '[kW']]]-$T$14)^2/$T$15)</f>
        <v>7603.2625599239873</v>
      </c>
      <c r="P4" s="42">
        <f>M4-$T$16*$T$17*SQRT(1/$T$13+(Tabelle13[[#This Row],[True Cooling Capacity '[kW']]]-$T$14)^2/$T$15)</f>
        <v>6387.0003298320444</v>
      </c>
      <c r="Q4" s="42">
        <f>M4+$T$16*$T$17*SQRT(1/$T$13+(Tabelle13[[#This Row],[True Cooling Capacity '[kW']]]-$T$14)^2/$T$15)</f>
        <v>6588.6015763135874</v>
      </c>
      <c r="W4">
        <v>0</v>
      </c>
    </row>
    <row r="5" spans="1:23" x14ac:dyDescent="0.3">
      <c r="A5" t="s">
        <v>3</v>
      </c>
      <c r="B5" s="3" t="s">
        <v>199</v>
      </c>
      <c r="C5" s="4">
        <v>36.180828474000002</v>
      </c>
      <c r="D5" s="11">
        <f>(2*(5000*(Tabelle13[[#This Row],[Predicted Size]]/0.861448297))-22199)/10577</f>
        <v>37.610002836343007</v>
      </c>
      <c r="E5" s="3">
        <v>35</v>
      </c>
      <c r="F5" s="4">
        <v>35</v>
      </c>
      <c r="G5">
        <f>(Tabelle13[[#This Row],[True Size X]]+Tabelle13[[#This Row],[True Size Y]])/2</f>
        <v>35</v>
      </c>
      <c r="H5" s="10">
        <f>(Tabelle13[[#This Row],[Correlation Function Predicted  Size]]-Tabelle13[[#This Row],[True Mean Size ]])^2</f>
        <v>6.812114805718541</v>
      </c>
      <c r="I5" s="5">
        <f t="shared" si="0"/>
        <v>6278.6411822463706</v>
      </c>
      <c r="J5" s="5">
        <f t="shared" si="1"/>
        <v>5583.5073749999992</v>
      </c>
      <c r="K5" s="9">
        <f>(Tabelle13[[#This Row],[Predicted Cooling Capacity '[kW']]]-Tabelle13[[#This Row],[True Cooling Capacity '[kW']]])^2</f>
        <v>483211.0099768354</v>
      </c>
      <c r="M5" s="5">
        <v>6057.3465201274994</v>
      </c>
      <c r="N5" s="42">
        <f>M5-$T$16*$T$17*SQRT(1+1/$T$13+(Tabelle13[[#This Row],[True Cooling Capacity '[kW']]]-$T$14)^2/$T$15)</f>
        <v>4941.9357011839847</v>
      </c>
      <c r="O5" s="42">
        <f>M5+$T$16*$T$17*SQRT(1+1/$T$13+(Tabelle13[[#This Row],[True Cooling Capacity '[kW']]]-$T$14)^2/$T$15)</f>
        <v>7172.757339071014</v>
      </c>
      <c r="P5" s="42">
        <f>M5-$T$16*$T$17*SQRT(1/$T$13+(Tabelle13[[#This Row],[True Cooling Capacity '[kW']]]-$T$14)^2/$T$15)</f>
        <v>5957.1094795538093</v>
      </c>
      <c r="Q5" s="42">
        <f>M5+$T$16*$T$17*SQRT(1/$T$13+(Tabelle13[[#This Row],[True Cooling Capacity '[kW']]]-$T$14)^2/$T$15)</f>
        <v>6157.5835607011895</v>
      </c>
      <c r="W5">
        <v>120</v>
      </c>
    </row>
    <row r="6" spans="1:23" ht="15" thickBot="1" x14ac:dyDescent="0.35">
      <c r="A6" t="s">
        <v>4</v>
      </c>
      <c r="B6" s="3" t="s">
        <v>151</v>
      </c>
      <c r="C6" s="4">
        <v>37.042276770999997</v>
      </c>
      <c r="D6" s="11">
        <f>(2*(5000*(Tabelle13[[#This Row],[Predicted Size]]/0.861448297))-22199)/10577</f>
        <v>38.555450505814498</v>
      </c>
      <c r="E6" s="3">
        <v>35</v>
      </c>
      <c r="F6" s="4">
        <v>35</v>
      </c>
      <c r="G6">
        <f>(Tabelle13[[#This Row],[True Size X]]+Tabelle13[[#This Row],[True Size Y]])/2</f>
        <v>35</v>
      </c>
      <c r="H6" s="10">
        <f>(Tabelle13[[#This Row],[Correlation Function Predicted  Size]]-Tabelle13[[#This Row],[True Mean Size ]])^2</f>
        <v>12.641228299296571</v>
      </c>
      <c r="I6" s="5">
        <f t="shared" si="0"/>
        <v>6536.451671941335</v>
      </c>
      <c r="J6" s="5">
        <f t="shared" si="1"/>
        <v>5583.5073749999992</v>
      </c>
      <c r="K6" s="9">
        <f>(Tabelle13[[#This Row],[Predicted Cooling Capacity '[kW']]]-Tabelle13[[#This Row],[True Cooling Capacity '[kW']]])^2</f>
        <v>908102.83307301672</v>
      </c>
      <c r="M6" s="5">
        <v>6057.3465201274994</v>
      </c>
      <c r="N6" s="42">
        <f>M6-$T$16*$T$17*SQRT(1+1/$T$13+(Tabelle13[[#This Row],[True Cooling Capacity '[kW']]]-$T$14)^2/$T$15)</f>
        <v>4941.9357011839847</v>
      </c>
      <c r="O6" s="42">
        <f>M6+$T$16*$T$17*SQRT(1+1/$T$13+(Tabelle13[[#This Row],[True Cooling Capacity '[kW']]]-$T$14)^2/$T$15)</f>
        <v>7172.757339071014</v>
      </c>
      <c r="P6" s="42">
        <f>M6-$T$16*$T$17*SQRT(1/$T$13+(Tabelle13[[#This Row],[True Cooling Capacity '[kW']]]-$T$14)^2/$T$15)</f>
        <v>5957.1094795538093</v>
      </c>
      <c r="Q6" s="42">
        <f>M6+$T$16*$T$17*SQRT(1/$T$13+(Tabelle13[[#This Row],[True Cooling Capacity '[kW']]]-$T$14)^2/$T$15)</f>
        <v>6157.5835607011895</v>
      </c>
    </row>
    <row r="7" spans="1:23" x14ac:dyDescent="0.3">
      <c r="A7" t="s">
        <v>5</v>
      </c>
      <c r="B7" s="3" t="s">
        <v>206</v>
      </c>
      <c r="C7" s="4">
        <v>37.042276770999997</v>
      </c>
      <c r="D7" s="11">
        <f>(2*(5000*(Tabelle13[[#This Row],[Predicted Size]]/0.861448297))-22199)/10577</f>
        <v>38.555450505814498</v>
      </c>
      <c r="E7" s="3">
        <v>35</v>
      </c>
      <c r="F7" s="4">
        <v>35</v>
      </c>
      <c r="G7">
        <f>(Tabelle13[[#This Row],[True Size X]]+Tabelle13[[#This Row],[True Size Y]])/2</f>
        <v>35</v>
      </c>
      <c r="H7" s="10">
        <f>(Tabelle13[[#This Row],[Correlation Function Predicted  Size]]-Tabelle13[[#This Row],[True Mean Size ]])^2</f>
        <v>12.641228299296571</v>
      </c>
      <c r="I7" s="5">
        <f t="shared" si="0"/>
        <v>6536.451671941335</v>
      </c>
      <c r="J7" s="5">
        <f t="shared" si="1"/>
        <v>5583.5073749999992</v>
      </c>
      <c r="K7" s="9">
        <f>(Tabelle13[[#This Row],[Predicted Cooling Capacity '[kW']]]-Tabelle13[[#This Row],[True Cooling Capacity '[kW']]])^2</f>
        <v>908102.83307301672</v>
      </c>
      <c r="M7" s="5">
        <v>6057.3465201274994</v>
      </c>
      <c r="N7" s="42">
        <f>M7-$T$16*$T$17*SQRT(1+1/$T$13+(Tabelle13[[#This Row],[True Cooling Capacity '[kW']]]-$T$14)^2/$T$15)</f>
        <v>4941.9357011839847</v>
      </c>
      <c r="O7" s="42">
        <f>M7+$T$16*$T$17*SQRT(1+1/$T$13+(Tabelle13[[#This Row],[True Cooling Capacity '[kW']]]-$T$14)^2/$T$15)</f>
        <v>7172.757339071014</v>
      </c>
      <c r="P7" s="42">
        <f>M7-$T$16*$T$17*SQRT(1/$T$13+(Tabelle13[[#This Row],[True Cooling Capacity '[kW']]]-$T$14)^2/$T$15)</f>
        <v>5957.1094795538093</v>
      </c>
      <c r="Q7" s="42">
        <f>M7+$T$16*$T$17*SQRT(1/$T$13+(Tabelle13[[#This Row],[True Cooling Capacity '[kW']]]-$T$14)^2/$T$15)</f>
        <v>6157.5835607011895</v>
      </c>
      <c r="S7" s="1" t="s">
        <v>277</v>
      </c>
      <c r="T7" s="37">
        <f t="array" ref="T7:U11">LINEST(I3:I125,J3:J125,TRUE,TRUE)</f>
        <v>1.0855606519456984</v>
      </c>
      <c r="U7" s="37">
        <v>-3.8893860211146603</v>
      </c>
      <c r="V7" s="2" t="s">
        <v>278</v>
      </c>
    </row>
    <row r="8" spans="1:23" x14ac:dyDescent="0.3">
      <c r="A8" t="s">
        <v>6</v>
      </c>
      <c r="B8" s="3" t="s">
        <v>195</v>
      </c>
      <c r="C8" s="4">
        <v>24.551276464499999</v>
      </c>
      <c r="D8" s="11">
        <f>(2*(5000*(Tabelle13[[#This Row],[Predicted Size]]/0.861448297))-22199)/10577</f>
        <v>24.846459298477825</v>
      </c>
      <c r="E8" s="3">
        <v>21</v>
      </c>
      <c r="F8" s="4">
        <v>23</v>
      </c>
      <c r="G8">
        <f>(Tabelle13[[#This Row],[True Size X]]+Tabelle13[[#This Row],[True Size Y]])/2</f>
        <v>22</v>
      </c>
      <c r="H8" s="10">
        <f>(Tabelle13[[#This Row],[Correlation Function Predicted  Size]]-Tabelle13[[#This Row],[True Mean Size ]])^2</f>
        <v>8.1023305378908717</v>
      </c>
      <c r="I8" s="5">
        <f t="shared" si="0"/>
        <v>3110.7850818858456</v>
      </c>
      <c r="J8" s="5">
        <f t="shared" si="1"/>
        <v>2483.6842200000001</v>
      </c>
      <c r="K8" s="9">
        <f>(Tabelle13[[#This Row],[Predicted Cooling Capacity '[kW']]]-Tabelle13[[#This Row],[True Cooling Capacity '[kW']]])^2</f>
        <v>393255.49097797024</v>
      </c>
      <c r="M8" s="5">
        <v>2692.300475069329</v>
      </c>
      <c r="N8" s="42">
        <f>M8-$T$16*$T$17*SQRT(1+1/$T$13+(Tabelle13[[#This Row],[True Cooling Capacity '[kW']]]-$T$14)^2/$T$15)</f>
        <v>1575.5378404395994</v>
      </c>
      <c r="O8" s="42">
        <f>M8+$T$16*$T$17*SQRT(1+1/$T$13+(Tabelle13[[#This Row],[True Cooling Capacity '[kW']]]-$T$14)^2/$T$15)</f>
        <v>3809.0631096990583</v>
      </c>
      <c r="P8" s="42">
        <f>M8-$T$16*$T$17*SQRT(1/$T$13+(Tabelle13[[#This Row],[True Cooling Capacity '[kW']]]-$T$14)^2/$T$15)</f>
        <v>2577.9984567500342</v>
      </c>
      <c r="Q8" s="42">
        <f>M8+$T$16*$T$17*SQRT(1/$T$13+(Tabelle13[[#This Row],[True Cooling Capacity '[kW']]]-$T$14)^2/$T$15)</f>
        <v>2806.6024933886238</v>
      </c>
      <c r="S8" s="3" t="s">
        <v>279</v>
      </c>
      <c r="T8" s="38">
        <v>9.585654346584694E-3</v>
      </c>
      <c r="U8" s="38">
        <v>72.280195251510847</v>
      </c>
      <c r="V8" s="4" t="s">
        <v>280</v>
      </c>
    </row>
    <row r="9" spans="1:23" x14ac:dyDescent="0.3">
      <c r="A9" t="s">
        <v>7</v>
      </c>
      <c r="B9" s="3" t="s">
        <v>132</v>
      </c>
      <c r="C9" s="4">
        <v>23.6898281675</v>
      </c>
      <c r="D9" s="11">
        <f>(2*(5000*(Tabelle13[[#This Row],[Predicted Size]]/0.861448297))-22199)/10577</f>
        <v>23.901011629006334</v>
      </c>
      <c r="E9" s="3">
        <v>20</v>
      </c>
      <c r="F9" s="4">
        <v>22</v>
      </c>
      <c r="G9">
        <f>(Tabelle13[[#This Row],[True Size X]]+Tabelle13[[#This Row],[True Size Y]])/2</f>
        <v>21</v>
      </c>
      <c r="H9" s="10">
        <f>(Tabelle13[[#This Row],[Correlation Function Predicted  Size]]-Tabelle13[[#This Row],[True Mean Size ]])^2</f>
        <v>8.4158684716299827</v>
      </c>
      <c r="I9" s="5">
        <f t="shared" si="0"/>
        <v>2899.2835567125844</v>
      </c>
      <c r="J9" s="5">
        <f t="shared" si="1"/>
        <v>2270.2466549999999</v>
      </c>
      <c r="K9" s="9">
        <f>(Tabelle13[[#This Row],[Predicted Cooling Capacity '[kW']]]-Tabelle13[[#This Row],[True Cooling Capacity '[kW']]])^2</f>
        <v>395687.42371616769</v>
      </c>
      <c r="M9" s="5">
        <v>2460.6010528582265</v>
      </c>
      <c r="N9" s="42">
        <f>M9-$T$16*$T$17*SQRT(1+1/$T$13+(Tabelle13[[#This Row],[True Cooling Capacity '[kW']]]-$T$14)^2/$T$15)</f>
        <v>1343.6313882952857</v>
      </c>
      <c r="O9" s="42">
        <f>M9+$T$16*$T$17*SQRT(1+1/$T$13+(Tabelle13[[#This Row],[True Cooling Capacity '[kW']]]-$T$14)^2/$T$15)</f>
        <v>3577.5707174211675</v>
      </c>
      <c r="P9" s="42">
        <f>M9-$T$16*$T$17*SQRT(1/$T$13+(Tabelle13[[#This Row],[True Cooling Capacity '[kW']]]-$T$14)^2/$T$15)</f>
        <v>2344.2936978002685</v>
      </c>
      <c r="Q9" s="42">
        <f>M9+$T$16*$T$17*SQRT(1/$T$13+(Tabelle13[[#This Row],[True Cooling Capacity '[kW']]]-$T$14)^2/$T$15)</f>
        <v>2576.9084079161844</v>
      </c>
      <c r="S9" s="3" t="s">
        <v>281</v>
      </c>
      <c r="T9" s="38">
        <v>0.99065363898489467</v>
      </c>
      <c r="U9" s="38">
        <v>561.12642322893282</v>
      </c>
      <c r="V9" s="4" t="s">
        <v>283</v>
      </c>
    </row>
    <row r="10" spans="1:23" x14ac:dyDescent="0.3">
      <c r="A10" t="s">
        <v>8</v>
      </c>
      <c r="B10" s="3" t="s">
        <v>245</v>
      </c>
      <c r="C10" s="4">
        <v>21.536207425000001</v>
      </c>
      <c r="D10" s="11">
        <f>(2*(5000*(Tabelle13[[#This Row],[Predicted Size]]/0.861448297))-22199)/10577</f>
        <v>21.537392455327598</v>
      </c>
      <c r="E10" s="3">
        <v>29</v>
      </c>
      <c r="F10" s="4">
        <v>21</v>
      </c>
      <c r="G10">
        <f>(Tabelle13[[#This Row],[True Size X]]+Tabelle13[[#This Row],[True Size Y]])/2</f>
        <v>25</v>
      </c>
      <c r="H10" s="10">
        <f>(Tabelle13[[#This Row],[Correlation Function Predicted  Size]]-Tabelle13[[#This Row],[True Mean Size ]])^2</f>
        <v>11.989651008422237</v>
      </c>
      <c r="I10" s="5">
        <f t="shared" si="0"/>
        <v>2384.5022761782207</v>
      </c>
      <c r="J10" s="5">
        <f t="shared" si="1"/>
        <v>3145.4343750000003</v>
      </c>
      <c r="K10" s="9">
        <f>(Tabelle13[[#This Row],[Predicted Cooling Capacity '[kW']]]-Tabelle13[[#This Row],[True Cooling Capacity '[kW']]])^2</f>
        <v>579017.65901731863</v>
      </c>
      <c r="M10" s="5">
        <v>3410.6704047562962</v>
      </c>
      <c r="N10" s="42">
        <f>M10-$T$16*$T$17*SQRT(1+1/$T$13+(Tabelle13[[#This Row],[True Cooling Capacity '[kW']]]-$T$14)^2/$T$15)</f>
        <v>2294.4564636289638</v>
      </c>
      <c r="O10" s="42">
        <f>M10+$T$16*$T$17*SQRT(1+1/$T$13+(Tabelle13[[#This Row],[True Cooling Capacity '[kW']]]-$T$14)^2/$T$15)</f>
        <v>4526.8843458836291</v>
      </c>
      <c r="P10" s="42">
        <f>M10-$T$16*$T$17*SQRT(1/$T$13+(Tabelle13[[#This Row],[True Cooling Capacity '[kW']]]-$T$14)^2/$T$15)</f>
        <v>3301.8598737689813</v>
      </c>
      <c r="Q10" s="42">
        <f>M10+$T$16*$T$17*SQRT(1/$T$13+(Tabelle13[[#This Row],[True Cooling Capacity '[kW']]]-$T$14)^2/$T$15)</f>
        <v>3519.4809357436111</v>
      </c>
      <c r="S10" s="3" t="s">
        <v>282</v>
      </c>
      <c r="T10" s="38">
        <v>12825.215088893301</v>
      </c>
      <c r="U10" s="38">
        <v>121</v>
      </c>
      <c r="V10" s="4" t="s">
        <v>284</v>
      </c>
    </row>
    <row r="11" spans="1:23" ht="15" thickBot="1" x14ac:dyDescent="0.35">
      <c r="A11" t="s">
        <v>9</v>
      </c>
      <c r="B11" s="3" t="s">
        <v>175</v>
      </c>
      <c r="C11" s="4">
        <v>21.966931573499998</v>
      </c>
      <c r="D11" s="11">
        <f>(2*(5000*(Tabelle13[[#This Row],[Predicted Size]]/0.861448297))-22199)/10577</f>
        <v>22.01011629006334</v>
      </c>
      <c r="E11" s="3">
        <v>29</v>
      </c>
      <c r="F11" s="4">
        <v>21</v>
      </c>
      <c r="G11">
        <f>(Tabelle13[[#This Row],[True Size X]]+Tabelle13[[#This Row],[True Size Y]])/2</f>
        <v>25</v>
      </c>
      <c r="H11" s="10">
        <f>(Tabelle13[[#This Row],[Correlation Function Predicted  Size]]-Tabelle13[[#This Row],[True Mean Size ]])^2</f>
        <v>8.939404598944602</v>
      </c>
      <c r="I11" s="5">
        <f t="shared" si="0"/>
        <v>2485.8616714395166</v>
      </c>
      <c r="J11" s="5">
        <f t="shared" si="1"/>
        <v>3145.4343750000003</v>
      </c>
      <c r="K11" s="9">
        <f>(Tabelle13[[#This Row],[Predicted Cooling Capacity '[kW']]]-Tabelle13[[#This Row],[True Cooling Capacity '[kW']]])^2</f>
        <v>435036.15128208563</v>
      </c>
      <c r="M11" s="5">
        <v>3410.6704047562962</v>
      </c>
      <c r="N11" s="42">
        <f>M11-$T$16*$T$17*SQRT(1+1/$T$13+(Tabelle13[[#This Row],[True Cooling Capacity '[kW']]]-$T$14)^2/$T$15)</f>
        <v>2294.4564636289638</v>
      </c>
      <c r="O11" s="42">
        <f>M11+$T$16*$T$17*SQRT(1+1/$T$13+(Tabelle13[[#This Row],[True Cooling Capacity '[kW']]]-$T$14)^2/$T$15)</f>
        <v>4526.8843458836291</v>
      </c>
      <c r="P11" s="42">
        <f>M11-$T$16*$T$17*SQRT(1/$T$13+(Tabelle13[[#This Row],[True Cooling Capacity '[kW']]]-$T$14)^2/$T$15)</f>
        <v>3301.8598737689813</v>
      </c>
      <c r="Q11" s="42">
        <f>M11+$T$16*$T$17*SQRT(1/$T$13+(Tabelle13[[#This Row],[True Cooling Capacity '[kW']]]-$T$14)^2/$T$15)</f>
        <v>3519.4809357436111</v>
      </c>
      <c r="S11" s="31" t="s">
        <v>286</v>
      </c>
      <c r="T11" s="39">
        <v>4038183939.5007553</v>
      </c>
      <c r="U11" s="39">
        <v>38098406.404329151</v>
      </c>
      <c r="V11" s="32" t="s">
        <v>285</v>
      </c>
    </row>
    <row r="12" spans="1:23" x14ac:dyDescent="0.3">
      <c r="A12" t="s">
        <v>10</v>
      </c>
      <c r="B12" s="3" t="s">
        <v>137</v>
      </c>
      <c r="C12" s="4">
        <v>18.951862534</v>
      </c>
      <c r="D12" s="11">
        <f>(2*(5000*(Tabelle13[[#This Row],[Predicted Size]]/0.861448297))-22199)/10577</f>
        <v>18.701049446913114</v>
      </c>
      <c r="E12" s="3">
        <v>19</v>
      </c>
      <c r="F12" s="4">
        <v>19</v>
      </c>
      <c r="G12">
        <f>(Tabelle13[[#This Row],[True Size X]]+Tabelle13[[#This Row],[True Size Y]])/2</f>
        <v>19</v>
      </c>
      <c r="H12" s="10">
        <f>(Tabelle13[[#This Row],[Correlation Function Predicted  Size]]-Tabelle13[[#This Row],[True Mean Size ]])^2</f>
        <v>8.9371433190955113E-2</v>
      </c>
      <c r="I12" s="5">
        <f t="shared" si="0"/>
        <v>1793.1129434889872</v>
      </c>
      <c r="J12" s="5">
        <f t="shared" si="1"/>
        <v>1854.0902549999996</v>
      </c>
      <c r="K12" s="9">
        <f>(Tabelle13[[#This Row],[Predicted Cooling Capacity '[kW']]]-Tabelle13[[#This Row],[True Cooling Capacity '[kW']]])^2</f>
        <v>3718.232519111049</v>
      </c>
      <c r="M12" s="5">
        <v>2008.8380399628511</v>
      </c>
      <c r="N12" s="42">
        <f>M12-$T$16*$T$17*SQRT(1+1/$T$13+(Tabelle13[[#This Row],[True Cooling Capacity '[kW']]]-$T$14)^2/$T$15)</f>
        <v>891.42259960424599</v>
      </c>
      <c r="O12" s="42">
        <f>M12+$T$16*$T$17*SQRT(1+1/$T$13+(Tabelle13[[#This Row],[True Cooling Capacity '[kW']]]-$T$14)^2/$T$15)</f>
        <v>3126.2534803214562</v>
      </c>
      <c r="P12" s="42">
        <f>M12-$T$16*$T$17*SQRT(1/$T$13+(Tabelle13[[#This Row],[True Cooling Capacity '[kW']]]-$T$14)^2/$T$15)</f>
        <v>1888.3248222705788</v>
      </c>
      <c r="Q12" s="42">
        <f>M12+$T$16*$T$17*SQRT(1/$T$13+(Tabelle13[[#This Row],[True Cooling Capacity '[kW']]]-$T$14)^2/$T$15)</f>
        <v>2129.3512576551234</v>
      </c>
    </row>
    <row r="13" spans="1:23" x14ac:dyDescent="0.3">
      <c r="A13" t="s">
        <v>11</v>
      </c>
      <c r="B13" s="3" t="s">
        <v>127</v>
      </c>
      <c r="C13" s="4">
        <v>31.873586989</v>
      </c>
      <c r="D13" s="11">
        <f>(2*(5000*(Tabelle13[[#This Row],[Predicted Size]]/0.861448297))-22199)/10577</f>
        <v>32.882764488985536</v>
      </c>
      <c r="E13" s="3">
        <v>33</v>
      </c>
      <c r="F13" s="4">
        <v>31</v>
      </c>
      <c r="G13">
        <f>(Tabelle13[[#This Row],[True Size X]]+Tabelle13[[#This Row],[True Size Y]])/2</f>
        <v>32</v>
      </c>
      <c r="H13" s="10">
        <f>(Tabelle13[[#This Row],[Correlation Function Predicted  Size]]-Tabelle13[[#This Row],[True Mean Size ]])^2</f>
        <v>0.77927314301389516</v>
      </c>
      <c r="I13" s="5">
        <f t="shared" si="0"/>
        <v>5037.4945591388296</v>
      </c>
      <c r="J13" s="5">
        <f t="shared" si="1"/>
        <v>4814.5699199999999</v>
      </c>
      <c r="K13" s="9">
        <f>(Tabelle13[[#This Row],[Predicted Cooling Capacity '[kW']]]-Tabelle13[[#This Row],[True Cooling Capacity '[kW']]])^2</f>
        <v>49695.394735177426</v>
      </c>
      <c r="M13" s="5">
        <v>5222.6182751722345</v>
      </c>
      <c r="N13" s="42">
        <f>M13-$T$16*$T$17*SQRT(1+1/$T$13+(Tabelle13[[#This Row],[True Cooling Capacity '[kW']]]-$T$14)^2/$T$15)</f>
        <v>4107.1612705801954</v>
      </c>
      <c r="O13" s="42">
        <f>M13+$T$16*$T$17*SQRT(1+1/$T$13+(Tabelle13[[#This Row],[True Cooling Capacity '[kW']]]-$T$14)^2/$T$15)</f>
        <v>6338.0752797642735</v>
      </c>
      <c r="P13" s="42">
        <f>M13-$T$16*$T$17*SQRT(1/$T$13+(Tabelle13[[#This Row],[True Cooling Capacity '[kW']]]-$T$14)^2/$T$15)</f>
        <v>5121.8685933852767</v>
      </c>
      <c r="Q13" s="42">
        <f>M13+$T$16*$T$17*SQRT(1/$T$13+(Tabelle13[[#This Row],[True Cooling Capacity '[kW']]]-$T$14)^2/$T$15)</f>
        <v>5323.3679569591923</v>
      </c>
      <c r="S13" t="s">
        <v>287</v>
      </c>
      <c r="T13">
        <f>COUNT(Tabelle13[True Cooling Capacity '[kW']])</f>
        <v>123</v>
      </c>
    </row>
    <row r="14" spans="1:23" x14ac:dyDescent="0.3">
      <c r="A14" t="s">
        <v>12</v>
      </c>
      <c r="B14" s="3" t="s">
        <v>150</v>
      </c>
      <c r="C14" s="4">
        <v>32.304311137500001</v>
      </c>
      <c r="D14" s="11">
        <f>(2*(5000*(Tabelle13[[#This Row],[Predicted Size]]/0.861448297))-22199)/10577</f>
        <v>33.355488323721282</v>
      </c>
      <c r="E14" s="3">
        <v>33</v>
      </c>
      <c r="F14" s="4">
        <v>31</v>
      </c>
      <c r="G14">
        <f>(Tabelle13[[#This Row],[True Size X]]+Tabelle13[[#This Row],[True Size Y]])/2</f>
        <v>32</v>
      </c>
      <c r="H14" s="10">
        <f>(Tabelle13[[#This Row],[Correlation Function Predicted  Size]]-Tabelle13[[#This Row],[True Mean Size ]])^2</f>
        <v>1.8373485957447311</v>
      </c>
      <c r="I14" s="5">
        <f t="shared" si="0"/>
        <v>5158.0162845470368</v>
      </c>
      <c r="J14" s="5">
        <f t="shared" si="1"/>
        <v>4814.5699199999999</v>
      </c>
      <c r="K14" s="9">
        <f>(Tabelle13[[#This Row],[Predicted Cooling Capacity '[kW']]]-Tabelle13[[#This Row],[True Cooling Capacity '[kW']]])^2</f>
        <v>117955.40532057614</v>
      </c>
      <c r="M14" s="5">
        <v>5222.6182751722345</v>
      </c>
      <c r="N14" s="42">
        <f>M14-$T$16*$T$17*SQRT(1+1/$T$13+(Tabelle13[[#This Row],[True Cooling Capacity '[kW']]]-$T$14)^2/$T$15)</f>
        <v>4107.1612705801954</v>
      </c>
      <c r="O14" s="42">
        <f>M14+$T$16*$T$17*SQRT(1+1/$T$13+(Tabelle13[[#This Row],[True Cooling Capacity '[kW']]]-$T$14)^2/$T$15)</f>
        <v>6338.0752797642735</v>
      </c>
      <c r="P14" s="42">
        <f>M14-$T$16*$T$17*SQRT(1/$T$13+(Tabelle13[[#This Row],[True Cooling Capacity '[kW']]]-$T$14)^2/$T$15)</f>
        <v>5121.8685933852767</v>
      </c>
      <c r="Q14" s="42">
        <f>M14+$T$16*$T$17*SQRT(1/$T$13+(Tabelle13[[#This Row],[True Cooling Capacity '[kW']]]-$T$14)^2/$T$15)</f>
        <v>5323.3679569591923</v>
      </c>
      <c r="S14" t="s">
        <v>288</v>
      </c>
      <c r="T14">
        <f>AVERAGE(Tabelle13[True Cooling Capacity '[kW']])</f>
        <v>5385.0714822256086</v>
      </c>
    </row>
    <row r="15" spans="1:23" x14ac:dyDescent="0.3">
      <c r="A15" t="s">
        <v>13</v>
      </c>
      <c r="B15" s="3" t="s">
        <v>237</v>
      </c>
      <c r="C15" s="4">
        <v>31.442862840499998</v>
      </c>
      <c r="D15" s="11">
        <f>(2*(5000*(Tabelle13[[#This Row],[Predicted Size]]/0.861448297))-22199)/10577</f>
        <v>32.410040654249791</v>
      </c>
      <c r="E15" s="3">
        <v>32</v>
      </c>
      <c r="F15" s="4">
        <v>30</v>
      </c>
      <c r="G15">
        <f>(Tabelle13[[#This Row],[True Size X]]+Tabelle13[[#This Row],[True Size Y]])/2</f>
        <v>31</v>
      </c>
      <c r="H15" s="10">
        <f>(Tabelle13[[#This Row],[Correlation Function Predicted  Size]]-Tabelle13[[#This Row],[True Mean Size ]])^2</f>
        <v>1.988214646637178</v>
      </c>
      <c r="I15" s="5">
        <f t="shared" si="0"/>
        <v>4917.771264153409</v>
      </c>
      <c r="J15" s="5">
        <f t="shared" si="1"/>
        <v>4565.4032550000011</v>
      </c>
      <c r="K15" s="9">
        <f>(Tabelle13[[#This Row],[Predicted Cooling Capacity '[kW']]]-Tabelle13[[#This Row],[True Cooling Capacity '[kW']]])^2</f>
        <v>124163.21387473616</v>
      </c>
      <c r="M15" s="5">
        <v>4952.1327478717003</v>
      </c>
      <c r="N15" s="42">
        <f>M15-$T$16*$T$17*SQRT(1+1/$T$13+(Tabelle13[[#This Row],[True Cooling Capacity '[kW']]]-$T$14)^2/$T$15)</f>
        <v>3836.61982750572</v>
      </c>
      <c r="O15" s="42">
        <f>M15+$T$16*$T$17*SQRT(1+1/$T$13+(Tabelle13[[#This Row],[True Cooling Capacity '[kW']]]-$T$14)^2/$T$15)</f>
        <v>6067.6456682376811</v>
      </c>
      <c r="P15" s="42">
        <f>M15-$T$16*$T$17*SQRT(1/$T$13+(Tabelle13[[#This Row],[True Cooling Capacity '[kW']]]-$T$14)^2/$T$15)</f>
        <v>4850.7658657544753</v>
      </c>
      <c r="Q15" s="42">
        <f>M15+$T$16*$T$17*SQRT(1/$T$13+(Tabelle13[[#This Row],[True Cooling Capacity '[kW']]]-$T$14)^2/$T$15)</f>
        <v>5053.4996299889253</v>
      </c>
      <c r="S15" t="s">
        <v>289</v>
      </c>
      <c r="T15">
        <f>DEVSQ(Tabelle13[True Cooling Capacity '[kW']])</f>
        <v>3426714409.8875027</v>
      </c>
    </row>
    <row r="16" spans="1:23" x14ac:dyDescent="0.3">
      <c r="A16" t="s">
        <v>14</v>
      </c>
      <c r="B16" s="3" t="s">
        <v>191</v>
      </c>
      <c r="C16" s="4">
        <v>31.873586989</v>
      </c>
      <c r="D16" s="11">
        <f>(2*(5000*(Tabelle13[[#This Row],[Predicted Size]]/0.861448297))-22199)/10577</f>
        <v>32.882764488985536</v>
      </c>
      <c r="E16" s="3">
        <v>33</v>
      </c>
      <c r="F16" s="4">
        <v>31</v>
      </c>
      <c r="G16">
        <f>(Tabelle13[[#This Row],[True Size X]]+Tabelle13[[#This Row],[True Size Y]])/2</f>
        <v>32</v>
      </c>
      <c r="H16" s="10">
        <f>(Tabelle13[[#This Row],[Correlation Function Predicted  Size]]-Tabelle13[[#This Row],[True Mean Size ]])^2</f>
        <v>0.77927314301389516</v>
      </c>
      <c r="I16" s="5">
        <f t="shared" si="0"/>
        <v>5037.4945591388296</v>
      </c>
      <c r="J16" s="5">
        <f t="shared" si="1"/>
        <v>4814.5699199999999</v>
      </c>
      <c r="K16" s="9">
        <f>(Tabelle13[[#This Row],[Predicted Cooling Capacity '[kW']]]-Tabelle13[[#This Row],[True Cooling Capacity '[kW']]])^2</f>
        <v>49695.394735177426</v>
      </c>
      <c r="M16" s="5">
        <v>5222.6182751722345</v>
      </c>
      <c r="N16" s="42">
        <f>M16-$T$16*$T$17*SQRT(1+1/$T$13+(Tabelle13[[#This Row],[True Cooling Capacity '[kW']]]-$T$14)^2/$T$15)</f>
        <v>4107.1612705801954</v>
      </c>
      <c r="O16" s="42">
        <f>M16+$T$16*$T$17*SQRT(1+1/$T$13+(Tabelle13[[#This Row],[True Cooling Capacity '[kW']]]-$T$14)^2/$T$15)</f>
        <v>6338.0752797642735</v>
      </c>
      <c r="P16" s="42">
        <f>M16-$T$16*$T$17*SQRT(1/$T$13+(Tabelle13[[#This Row],[True Cooling Capacity '[kW']]]-$T$14)^2/$T$15)</f>
        <v>5121.8685933852767</v>
      </c>
      <c r="Q16" s="42">
        <f>M16+$T$16*$T$17*SQRT(1/$T$13+(Tabelle13[[#This Row],[True Cooling Capacity '[kW']]]-$T$14)^2/$T$15)</f>
        <v>5323.3679569591923</v>
      </c>
      <c r="S16" t="s">
        <v>290</v>
      </c>
      <c r="T16">
        <f>_xlfn.T.INV.2T(0.05,U10)</f>
        <v>1.9797637625053852</v>
      </c>
    </row>
    <row r="17" spans="1:23" x14ac:dyDescent="0.3">
      <c r="A17" t="s">
        <v>15</v>
      </c>
      <c r="B17" s="3" t="s">
        <v>176</v>
      </c>
      <c r="C17" s="4">
        <v>32.304311137500001</v>
      </c>
      <c r="D17" s="11">
        <f>(2*(5000*(Tabelle13[[#This Row],[Predicted Size]]/0.861448297))-22199)/10577</f>
        <v>33.355488323721282</v>
      </c>
      <c r="E17" s="3">
        <v>33</v>
      </c>
      <c r="F17" s="4">
        <v>31</v>
      </c>
      <c r="G17">
        <f>(Tabelle13[[#This Row],[True Size X]]+Tabelle13[[#This Row],[True Size Y]])/2</f>
        <v>32</v>
      </c>
      <c r="H17" s="10">
        <f>(Tabelle13[[#This Row],[Correlation Function Predicted  Size]]-Tabelle13[[#This Row],[True Mean Size ]])^2</f>
        <v>1.8373485957447311</v>
      </c>
      <c r="I17" s="5">
        <f t="shared" si="0"/>
        <v>5158.0162845470368</v>
      </c>
      <c r="J17" s="5">
        <f t="shared" si="1"/>
        <v>4814.5699199999999</v>
      </c>
      <c r="K17" s="9">
        <f>(Tabelle13[[#This Row],[Predicted Cooling Capacity '[kW']]]-Tabelle13[[#This Row],[True Cooling Capacity '[kW']]])^2</f>
        <v>117955.40532057614</v>
      </c>
      <c r="M17" s="5">
        <v>5222.6182751722345</v>
      </c>
      <c r="N17" s="42">
        <f>M17-$T$16*$T$17*SQRT(1+1/$T$13+(Tabelle13[[#This Row],[True Cooling Capacity '[kW']]]-$T$14)^2/$T$15)</f>
        <v>4107.1612705801954</v>
      </c>
      <c r="O17" s="42">
        <f>M17+$T$16*$T$17*SQRT(1+1/$T$13+(Tabelle13[[#This Row],[True Cooling Capacity '[kW']]]-$T$14)^2/$T$15)</f>
        <v>6338.0752797642735</v>
      </c>
      <c r="P17" s="42">
        <f>M17-$T$16*$T$17*SQRT(1/$T$13+(Tabelle13[[#This Row],[True Cooling Capacity '[kW']]]-$T$14)^2/$T$15)</f>
        <v>5121.8685933852767</v>
      </c>
      <c r="Q17" s="42">
        <f>M17+$T$16*$T$17*SQRT(1/$T$13+(Tabelle13[[#This Row],[True Cooling Capacity '[kW']]]-$T$14)^2/$T$15)</f>
        <v>5323.3679569591923</v>
      </c>
      <c r="S17" t="s">
        <v>291</v>
      </c>
      <c r="T17">
        <f>SQRT(U11/U10)</f>
        <v>561.12642322893282</v>
      </c>
    </row>
    <row r="18" spans="1:23" x14ac:dyDescent="0.3">
      <c r="A18" t="s">
        <v>16</v>
      </c>
      <c r="B18" s="3" t="s">
        <v>233</v>
      </c>
      <c r="C18" s="4">
        <v>29.7199662465</v>
      </c>
      <c r="D18" s="11">
        <f>(2*(5000*(Tabelle13[[#This Row],[Predicted Size]]/0.861448297))-22199)/10577</f>
        <v>30.519145315306798</v>
      </c>
      <c r="E18" s="3">
        <v>33</v>
      </c>
      <c r="F18" s="4">
        <v>28</v>
      </c>
      <c r="G18">
        <f>(Tabelle13[[#This Row],[True Size X]]+Tabelle13[[#This Row],[True Size Y]])/2</f>
        <v>30.5</v>
      </c>
      <c r="H18" s="10">
        <f>(Tabelle13[[#This Row],[Correlation Function Predicted  Size]]-Tabelle13[[#This Row],[True Mean Size ]])^2</f>
        <v>3.6654309819669572E-4</v>
      </c>
      <c r="I18" s="5">
        <f t="shared" si="0"/>
        <v>4446.8623884396056</v>
      </c>
      <c r="J18" s="5">
        <f t="shared" si="1"/>
        <v>4442.1597637499999</v>
      </c>
      <c r="K18" s="9">
        <f>(Tabelle13[[#This Row],[Predicted Cooling Capacity '[kW']]]-Tabelle13[[#This Row],[True Cooling Capacity '[kW']]])^2</f>
        <v>22.114678971289365</v>
      </c>
      <c r="M18" s="5">
        <v>4818.3444631622851</v>
      </c>
      <c r="N18" s="42">
        <f>M18-$T$16*$T$17*SQRT(1+1/$T$13+(Tabelle13[[#This Row],[True Cooling Capacity '[kW']]]-$T$14)^2/$T$15)</f>
        <v>3702.7964779724798</v>
      </c>
      <c r="O18" s="42">
        <f>M18+$T$16*$T$17*SQRT(1+1/$T$13+(Tabelle13[[#This Row],[True Cooling Capacity '[kW']]]-$T$14)^2/$T$15)</f>
        <v>5933.8924483520905</v>
      </c>
      <c r="P18" s="42">
        <f>M18-$T$16*$T$17*SQRT(1/$T$13+(Tabelle13[[#This Row],[True Cooling Capacity '[kW']]]-$T$14)^2/$T$15)</f>
        <v>4716.592428549885</v>
      </c>
      <c r="Q18" s="42">
        <f>M18+$T$16*$T$17*SQRT(1/$T$13+(Tabelle13[[#This Row],[True Cooling Capacity '[kW']]]-$T$14)^2/$T$15)</f>
        <v>4920.0964977746853</v>
      </c>
    </row>
    <row r="19" spans="1:23" x14ac:dyDescent="0.3">
      <c r="A19" t="s">
        <v>17</v>
      </c>
      <c r="B19" s="3" t="s">
        <v>179</v>
      </c>
      <c r="C19" s="4">
        <v>26.704897206999998</v>
      </c>
      <c r="D19" s="11">
        <f>(2*(5000*(Tabelle13[[#This Row],[Predicted Size]]/0.861448297))-22199)/10577</f>
        <v>27.21007847215656</v>
      </c>
      <c r="E19" s="3">
        <v>26</v>
      </c>
      <c r="F19" s="4">
        <v>25</v>
      </c>
      <c r="G19">
        <f>(Tabelle13[[#This Row],[True Size X]]+Tabelle13[[#This Row],[True Size Y]])/2</f>
        <v>25.5</v>
      </c>
      <c r="H19" s="10">
        <f>(Tabelle13[[#This Row],[Correlation Function Predicted  Size]]-Tabelle13[[#This Row],[True Mean Size ]])^2</f>
        <v>2.9243683809333154</v>
      </c>
      <c r="I19" s="5">
        <f t="shared" si="0"/>
        <v>3653.5114272177893</v>
      </c>
      <c r="J19" s="5">
        <f t="shared" si="1"/>
        <v>3258.8523637499998</v>
      </c>
      <c r="K19" s="9">
        <f>(Tabelle13[[#This Row],[Predicted Cooling Capacity '[kW']]]-Tabelle13[[#This Row],[True Cooling Capacity '[kW']]])^2</f>
        <v>155755.77637727276</v>
      </c>
      <c r="M19" s="5">
        <v>3533.7925105661152</v>
      </c>
      <c r="N19" s="42">
        <f>M19-$T$16*$T$17*SQRT(1+1/$T$13+(Tabelle13[[#This Row],[True Cooling Capacity '[kW']]]-$T$14)^2/$T$15)</f>
        <v>2417.6584534280128</v>
      </c>
      <c r="O19" s="42">
        <f>M19+$T$16*$T$17*SQRT(1+1/$T$13+(Tabelle13[[#This Row],[True Cooling Capacity '[kW']]]-$T$14)^2/$T$15)</f>
        <v>4649.9265677042176</v>
      </c>
      <c r="P19" s="42">
        <f>M19-$T$16*$T$17*SQRT(1/$T$13+(Tabelle13[[#This Row],[True Cooling Capacity '[kW']]]-$T$14)^2/$T$15)</f>
        <v>3425.8045353545631</v>
      </c>
      <c r="Q19" s="42">
        <f>M19+$T$16*$T$17*SQRT(1/$T$13+(Tabelle13[[#This Row],[True Cooling Capacity '[kW']]]-$T$14)^2/$T$15)</f>
        <v>3641.7804857776673</v>
      </c>
    </row>
    <row r="20" spans="1:23" x14ac:dyDescent="0.3">
      <c r="A20" t="s">
        <v>18</v>
      </c>
      <c r="B20" s="3" t="s">
        <v>224</v>
      </c>
      <c r="C20" s="4">
        <v>25.412724761500002</v>
      </c>
      <c r="D20" s="11">
        <f>(2*(5000*(Tabelle13[[#This Row],[Predicted Size]]/0.861448297))-22199)/10577</f>
        <v>25.791906967949323</v>
      </c>
      <c r="E20" s="3">
        <v>24</v>
      </c>
      <c r="F20" s="4">
        <v>25</v>
      </c>
      <c r="G20">
        <f>(Tabelle13[[#This Row],[True Size X]]+Tabelle13[[#This Row],[True Size Y]])/2</f>
        <v>24.5</v>
      </c>
      <c r="H20" s="10">
        <f>(Tabelle13[[#This Row],[Correlation Function Predicted  Size]]-Tabelle13[[#This Row],[True Mean Size ]])^2</f>
        <v>1.6690236138360139</v>
      </c>
      <c r="I20" s="5">
        <f t="shared" si="0"/>
        <v>3325.4803287502596</v>
      </c>
      <c r="J20" s="5">
        <f t="shared" si="1"/>
        <v>3032.9096137500005</v>
      </c>
      <c r="K20" s="9">
        <f>(Tabelle13[[#This Row],[Predicted Cooling Capacity '[kW']]]-Tabelle13[[#This Row],[True Cooling Capacity '[kW']]])^2</f>
        <v>85597.623275762802</v>
      </c>
      <c r="M20" s="5">
        <v>3288.5179515737123</v>
      </c>
      <c r="N20" s="42">
        <f>M20-$T$16*$T$17*SQRT(1+1/$T$13+(Tabelle13[[#This Row],[True Cooling Capacity '[kW']]]-$T$14)^2/$T$15)</f>
        <v>2172.2206600662707</v>
      </c>
      <c r="O20" s="42">
        <f>M20+$T$16*$T$17*SQRT(1+1/$T$13+(Tabelle13[[#This Row],[True Cooling Capacity '[kW']]]-$T$14)^2/$T$15)</f>
        <v>4404.8152430811533</v>
      </c>
      <c r="P20" s="42">
        <f>M20-$T$16*$T$17*SQRT(1/$T$13+(Tabelle13[[#This Row],[True Cooling Capacity '[kW']]]-$T$14)^2/$T$15)</f>
        <v>3178.8556868078431</v>
      </c>
      <c r="Q20" s="42">
        <f>M20+$T$16*$T$17*SQRT(1/$T$13+(Tabelle13[[#This Row],[True Cooling Capacity '[kW']]]-$T$14)^2/$T$15)</f>
        <v>3398.1802163395814</v>
      </c>
    </row>
    <row r="21" spans="1:23" x14ac:dyDescent="0.3">
      <c r="A21" t="s">
        <v>19</v>
      </c>
      <c r="B21" s="3" t="s">
        <v>152</v>
      </c>
      <c r="C21" s="4">
        <v>28.427793801</v>
      </c>
      <c r="D21" s="11">
        <f>(2*(5000*(Tabelle13[[#This Row],[Predicted Size]]/0.861448297))-22199)/10577</f>
        <v>29.100973811099557</v>
      </c>
      <c r="E21" s="3">
        <v>28</v>
      </c>
      <c r="F21" s="4">
        <v>27</v>
      </c>
      <c r="G21">
        <f>(Tabelle13[[#This Row],[True Size X]]+Tabelle13[[#This Row],[True Size Y]])/2</f>
        <v>27.5</v>
      </c>
      <c r="H21" s="10">
        <f>(Tabelle13[[#This Row],[Correlation Function Predicted  Size]]-Tabelle13[[#This Row],[True Mean Size ]])^2</f>
        <v>2.56311714382664</v>
      </c>
      <c r="I21" s="5">
        <f t="shared" si="0"/>
        <v>4102.0642510935286</v>
      </c>
      <c r="J21" s="5">
        <f t="shared" si="1"/>
        <v>3721.4565937500006</v>
      </c>
      <c r="K21" s="9">
        <f>(Tabelle13[[#This Row],[Predicted Cooling Capacity '[kW']]]-Tabelle13[[#This Row],[True Cooling Capacity '[kW']]])^2</f>
        <v>144862.18882852842</v>
      </c>
      <c r="M21" s="5">
        <v>4035.9774600777541</v>
      </c>
      <c r="N21" s="42">
        <f>M21-$T$16*$T$17*SQRT(1+1/$T$13+(Tabelle13[[#This Row],[True Cooling Capacity '[kW']]]-$T$14)^2/$T$15)</f>
        <v>2920.1262871726931</v>
      </c>
      <c r="O21" s="42">
        <f>M21+$T$16*$T$17*SQRT(1+1/$T$13+(Tabelle13[[#This Row],[True Cooling Capacity '[kW']]]-$T$14)^2/$T$15)</f>
        <v>5151.8286329828152</v>
      </c>
      <c r="P21" s="42">
        <f>M21-$T$16*$T$17*SQRT(1/$T$13+(Tabelle13[[#This Row],[True Cooling Capacity '[kW']]]-$T$14)^2/$T$15)</f>
        <v>3930.953608689942</v>
      </c>
      <c r="Q21" s="42">
        <f>M21+$T$16*$T$17*SQRT(1/$T$13+(Tabelle13[[#This Row],[True Cooling Capacity '[kW']]]-$T$14)^2/$T$15)</f>
        <v>4141.0013114655667</v>
      </c>
    </row>
    <row r="22" spans="1:23" x14ac:dyDescent="0.3">
      <c r="A22" t="s">
        <v>20</v>
      </c>
      <c r="B22" s="3" t="s">
        <v>235</v>
      </c>
      <c r="C22" s="4">
        <v>27.566345504000001</v>
      </c>
      <c r="D22" s="11">
        <f>(2*(5000*(Tabelle13[[#This Row],[Predicted Size]]/0.861448297))-22199)/10577</f>
        <v>28.155526141628062</v>
      </c>
      <c r="E22" s="3">
        <v>28</v>
      </c>
      <c r="F22" s="4">
        <v>27</v>
      </c>
      <c r="G22">
        <f>(Tabelle13[[#This Row],[True Size X]]+Tabelle13[[#This Row],[True Size Y]])/2</f>
        <v>27.5</v>
      </c>
      <c r="H22" s="10">
        <f>(Tabelle13[[#This Row],[Correlation Function Predicted  Size]]-Tabelle13[[#This Row],[True Mean Size ]])^2</f>
        <v>0.4297145223577743</v>
      </c>
      <c r="I22" s="5">
        <f t="shared" si="0"/>
        <v>3876.1909783100832</v>
      </c>
      <c r="J22" s="5">
        <f t="shared" si="1"/>
        <v>3721.4565937500006</v>
      </c>
      <c r="K22" s="9">
        <f>(Tabelle13[[#This Row],[Predicted Cooling Capacity '[kW']]]-Tabelle13[[#This Row],[True Cooling Capacity '[kW']]])^2</f>
        <v>23942.729765187534</v>
      </c>
      <c r="M22" s="5">
        <v>4035.9774600777541</v>
      </c>
      <c r="N22" s="42">
        <f>M22-$T$16*$T$17*SQRT(1+1/$T$13+(Tabelle13[[#This Row],[True Cooling Capacity '[kW']]]-$T$14)^2/$T$15)</f>
        <v>2920.1262871726931</v>
      </c>
      <c r="O22" s="42">
        <f>M22+$T$16*$T$17*SQRT(1+1/$T$13+(Tabelle13[[#This Row],[True Cooling Capacity '[kW']]]-$T$14)^2/$T$15)</f>
        <v>5151.8286329828152</v>
      </c>
      <c r="P22" s="42">
        <f>M22-$T$16*$T$17*SQRT(1/$T$13+(Tabelle13[[#This Row],[True Cooling Capacity '[kW']]]-$T$14)^2/$T$15)</f>
        <v>3930.953608689942</v>
      </c>
      <c r="Q22" s="42">
        <f>M22+$T$16*$T$17*SQRT(1/$T$13+(Tabelle13[[#This Row],[True Cooling Capacity '[kW']]]-$T$14)^2/$T$15)</f>
        <v>4141.0013114655667</v>
      </c>
    </row>
    <row r="23" spans="1:23" x14ac:dyDescent="0.3">
      <c r="A23" t="s">
        <v>21</v>
      </c>
      <c r="B23" s="3" t="s">
        <v>165</v>
      </c>
      <c r="C23" s="4">
        <v>27.997069652499999</v>
      </c>
      <c r="D23" s="11">
        <f>(2*(5000*(Tabelle13[[#This Row],[Predicted Size]]/0.861448297))-22199)/10577</f>
        <v>28.628249976363808</v>
      </c>
      <c r="E23" s="3">
        <v>28</v>
      </c>
      <c r="F23" s="4">
        <v>27</v>
      </c>
      <c r="G23">
        <f>(Tabelle13[[#This Row],[True Size X]]+Tabelle13[[#This Row],[True Size Y]])/2</f>
        <v>27.5</v>
      </c>
      <c r="H23" s="10">
        <f>(Tabelle13[[#This Row],[Correlation Function Predicted  Size]]-Tabelle13[[#This Row],[True Mean Size ]])^2</f>
        <v>1.272948009164933</v>
      </c>
      <c r="I23" s="5">
        <f t="shared" si="0"/>
        <v>3988.7283994904114</v>
      </c>
      <c r="J23" s="5">
        <f t="shared" si="1"/>
        <v>3721.4565937500006</v>
      </c>
      <c r="K23" s="9">
        <f>(Tabelle13[[#This Row],[Predicted Cooling Capacity '[kW']]]-Tabelle13[[#This Row],[True Cooling Capacity '[kW']]])^2</f>
        <v>71434.218143739912</v>
      </c>
      <c r="M23" s="5">
        <v>4035.9774600777541</v>
      </c>
      <c r="N23" s="42">
        <f>M23-$T$16*$T$17*SQRT(1+1/$T$13+(Tabelle13[[#This Row],[True Cooling Capacity '[kW']]]-$T$14)^2/$T$15)</f>
        <v>2920.1262871726931</v>
      </c>
      <c r="O23" s="42">
        <f>M23+$T$16*$T$17*SQRT(1+1/$T$13+(Tabelle13[[#This Row],[True Cooling Capacity '[kW']]]-$T$14)^2/$T$15)</f>
        <v>5151.8286329828152</v>
      </c>
      <c r="P23" s="42">
        <f>M23-$T$16*$T$17*SQRT(1/$T$13+(Tabelle13[[#This Row],[True Cooling Capacity '[kW']]]-$T$14)^2/$T$15)</f>
        <v>3930.953608689942</v>
      </c>
      <c r="Q23" s="42">
        <f>M23+$T$16*$T$17*SQRT(1/$T$13+(Tabelle13[[#This Row],[True Cooling Capacity '[kW']]]-$T$14)^2/$T$15)</f>
        <v>4141.0013114655667</v>
      </c>
    </row>
    <row r="24" spans="1:23" x14ac:dyDescent="0.3">
      <c r="A24" t="s">
        <v>22</v>
      </c>
      <c r="B24" s="3" t="s">
        <v>240</v>
      </c>
      <c r="C24" s="4">
        <v>28.427793801</v>
      </c>
      <c r="D24" s="11">
        <f>(2*(5000*(Tabelle13[[#This Row],[Predicted Size]]/0.861448297))-22199)/10577</f>
        <v>29.100973811099557</v>
      </c>
      <c r="E24" s="3">
        <v>28</v>
      </c>
      <c r="F24" s="4">
        <v>27</v>
      </c>
      <c r="G24">
        <f>(Tabelle13[[#This Row],[True Size X]]+Tabelle13[[#This Row],[True Size Y]])/2</f>
        <v>27.5</v>
      </c>
      <c r="H24" s="10">
        <f>(Tabelle13[[#This Row],[Correlation Function Predicted  Size]]-Tabelle13[[#This Row],[True Mean Size ]])^2</f>
        <v>2.56311714382664</v>
      </c>
      <c r="I24" s="5">
        <f t="shared" si="0"/>
        <v>4102.0642510935286</v>
      </c>
      <c r="J24" s="5">
        <f t="shared" si="1"/>
        <v>3721.4565937500006</v>
      </c>
      <c r="K24" s="9">
        <f>(Tabelle13[[#This Row],[Predicted Cooling Capacity '[kW']]]-Tabelle13[[#This Row],[True Cooling Capacity '[kW']]])^2</f>
        <v>144862.18882852842</v>
      </c>
      <c r="M24" s="5">
        <v>4035.9774600777541</v>
      </c>
      <c r="N24" s="42">
        <f>M24-$T$16*$T$17*SQRT(1+1/$T$13+(Tabelle13[[#This Row],[True Cooling Capacity '[kW']]]-$T$14)^2/$T$15)</f>
        <v>2920.1262871726931</v>
      </c>
      <c r="O24" s="42">
        <f>M24+$T$16*$T$17*SQRT(1+1/$T$13+(Tabelle13[[#This Row],[True Cooling Capacity '[kW']]]-$T$14)^2/$T$15)</f>
        <v>5151.8286329828152</v>
      </c>
      <c r="P24" s="42">
        <f>M24-$T$16*$T$17*SQRT(1/$T$13+(Tabelle13[[#This Row],[True Cooling Capacity '[kW']]]-$T$14)^2/$T$15)</f>
        <v>3930.953608689942</v>
      </c>
      <c r="Q24" s="42">
        <f>M24+$T$16*$T$17*SQRT(1/$T$13+(Tabelle13[[#This Row],[True Cooling Capacity '[kW']]]-$T$14)^2/$T$15)</f>
        <v>4141.0013114655667</v>
      </c>
    </row>
    <row r="25" spans="1:23" x14ac:dyDescent="0.3">
      <c r="A25" t="s">
        <v>23</v>
      </c>
      <c r="B25" s="3" t="s">
        <v>166</v>
      </c>
      <c r="C25" s="4">
        <v>27.1356213555</v>
      </c>
      <c r="D25" s="11">
        <f>(2*(5000*(Tabelle13[[#This Row],[Predicted Size]]/0.861448297))-22199)/10577</f>
        <v>27.682802306892313</v>
      </c>
      <c r="E25" s="3">
        <v>28</v>
      </c>
      <c r="F25" s="4">
        <v>27</v>
      </c>
      <c r="G25">
        <f>(Tabelle13[[#This Row],[True Size X]]+Tabelle13[[#This Row],[True Size Y]])/2</f>
        <v>27.5</v>
      </c>
      <c r="H25" s="10">
        <f>(Tabelle13[[#This Row],[Correlation Function Predicted  Size]]-Tabelle13[[#This Row],[True Mean Size ]])^2</f>
        <v>3.3416683405151394E-2</v>
      </c>
      <c r="I25" s="5">
        <f t="shared" si="0"/>
        <v>3764.4519875525425</v>
      </c>
      <c r="J25" s="5">
        <f t="shared" si="1"/>
        <v>3721.4565937500006</v>
      </c>
      <c r="K25" s="9">
        <f>(Tabelle13[[#This Row],[Predicted Cooling Capacity '[kW']]]-Tabelle13[[#This Row],[True Cooling Capacity '[kW']]])^2</f>
        <v>1848.6038882356595</v>
      </c>
      <c r="M25" s="5">
        <v>4035.9774600777541</v>
      </c>
      <c r="N25" s="42">
        <f>M25-$T$16*$T$17*SQRT(1+1/$T$13+(Tabelle13[[#This Row],[True Cooling Capacity '[kW']]]-$T$14)^2/$T$15)</f>
        <v>2920.1262871726931</v>
      </c>
      <c r="O25" s="42">
        <f>M25+$T$16*$T$17*SQRT(1+1/$T$13+(Tabelle13[[#This Row],[True Cooling Capacity '[kW']]]-$T$14)^2/$T$15)</f>
        <v>5151.8286329828152</v>
      </c>
      <c r="P25" s="42">
        <f>M25-$T$16*$T$17*SQRT(1/$T$13+(Tabelle13[[#This Row],[True Cooling Capacity '[kW']]]-$T$14)^2/$T$15)</f>
        <v>3930.953608689942</v>
      </c>
      <c r="Q25" s="42">
        <f>M25+$T$16*$T$17*SQRT(1/$T$13+(Tabelle13[[#This Row],[True Cooling Capacity '[kW']]]-$T$14)^2/$T$15)</f>
        <v>4141.0013114655667</v>
      </c>
    </row>
    <row r="26" spans="1:23" x14ac:dyDescent="0.3">
      <c r="A26" t="s">
        <v>24</v>
      </c>
      <c r="B26" s="3" t="s">
        <v>162</v>
      </c>
      <c r="C26" s="4">
        <v>27.566345504000001</v>
      </c>
      <c r="D26" s="11">
        <f>(2*(5000*(Tabelle13[[#This Row],[Predicted Size]]/0.861448297))-22199)/10577</f>
        <v>28.155526141628062</v>
      </c>
      <c r="E26" s="3">
        <v>28</v>
      </c>
      <c r="F26" s="4">
        <v>26</v>
      </c>
      <c r="G26">
        <f>(Tabelle13[[#This Row],[True Size X]]+Tabelle13[[#This Row],[True Size Y]])/2</f>
        <v>27</v>
      </c>
      <c r="H26" s="10">
        <f>(Tabelle13[[#This Row],[Correlation Function Predicted  Size]]-Tabelle13[[#This Row],[True Mean Size ]])^2</f>
        <v>1.3352406639858365</v>
      </c>
      <c r="I26" s="5">
        <f t="shared" si="0"/>
        <v>3876.1909783100832</v>
      </c>
      <c r="J26" s="5">
        <f t="shared" si="1"/>
        <v>3604.4656949999994</v>
      </c>
      <c r="K26" s="9">
        <f>(Tabelle13[[#This Row],[Predicted Cooling Capacity '[kW']]]-Tabelle13[[#This Row],[True Cooling Capacity '[kW']]])^2</f>
        <v>73834.629589945311</v>
      </c>
      <c r="M26" s="5">
        <v>3908.9767437589894</v>
      </c>
      <c r="N26" s="42">
        <f>M26-$T$16*$T$17*SQRT(1+1/$T$13+(Tabelle13[[#This Row],[True Cooling Capacity '[kW']]]-$T$14)^2/$T$15)</f>
        <v>2793.060548244544</v>
      </c>
      <c r="O26" s="42">
        <f>M26+$T$16*$T$17*SQRT(1+1/$T$13+(Tabelle13[[#This Row],[True Cooling Capacity '[kW']]]-$T$14)^2/$T$15)</f>
        <v>5024.8929392734353</v>
      </c>
      <c r="P26" s="42">
        <f>M26-$T$16*$T$17*SQRT(1/$T$13+(Tabelle13[[#This Row],[True Cooling Capacity '[kW']]]-$T$14)^2/$T$15)</f>
        <v>3803.2642813992311</v>
      </c>
      <c r="Q26" s="42">
        <f>M26+$T$16*$T$17*SQRT(1/$T$13+(Tabelle13[[#This Row],[True Cooling Capacity '[kW']]]-$T$14)^2/$T$15)</f>
        <v>4014.6892061187477</v>
      </c>
    </row>
    <row r="27" spans="1:23" x14ac:dyDescent="0.3">
      <c r="A27" t="s">
        <v>25</v>
      </c>
      <c r="B27" s="3" t="s">
        <v>186</v>
      </c>
      <c r="C27" s="4">
        <v>23.259104018999999</v>
      </c>
      <c r="D27" s="11">
        <f>(2*(5000*(Tabelle13[[#This Row],[Predicted Size]]/0.861448297))-22199)/10577</f>
        <v>23.428287794270581</v>
      </c>
      <c r="E27" s="3">
        <v>24</v>
      </c>
      <c r="F27" s="4">
        <v>25</v>
      </c>
      <c r="G27">
        <f>(Tabelle13[[#This Row],[True Size X]]+Tabelle13[[#This Row],[True Size Y]])/2</f>
        <v>24.5</v>
      </c>
      <c r="H27" s="10">
        <f>(Tabelle13[[#This Row],[Correlation Function Predicted  Size]]-Tabelle13[[#This Row],[True Mean Size ]])^2</f>
        <v>1.1485670519094167</v>
      </c>
      <c r="I27" s="5">
        <f t="shared" si="0"/>
        <v>2794.7304397601351</v>
      </c>
      <c r="J27" s="5">
        <f t="shared" si="1"/>
        <v>3032.9096137500005</v>
      </c>
      <c r="K27" s="9">
        <f>(Tabelle13[[#This Row],[Predicted Cooling Capacity '[kW']]]-Tabelle13[[#This Row],[True Cooling Capacity '[kW']]])^2</f>
        <v>56729.31892249456</v>
      </c>
      <c r="M27" s="5">
        <v>3288.5179515737123</v>
      </c>
      <c r="N27" s="42">
        <f>M27-$T$16*$T$17*SQRT(1+1/$T$13+(Tabelle13[[#This Row],[True Cooling Capacity '[kW']]]-$T$14)^2/$T$15)</f>
        <v>2172.2206600662707</v>
      </c>
      <c r="O27" s="42">
        <f>M27+$T$16*$T$17*SQRT(1+1/$T$13+(Tabelle13[[#This Row],[True Cooling Capacity '[kW']]]-$T$14)^2/$T$15)</f>
        <v>4404.8152430811533</v>
      </c>
      <c r="P27" s="42">
        <f>M27-$T$16*$T$17*SQRT(1/$T$13+(Tabelle13[[#This Row],[True Cooling Capacity '[kW']]]-$T$14)^2/$T$15)</f>
        <v>3178.8556868078431</v>
      </c>
      <c r="Q27" s="42">
        <f>M27+$T$16*$T$17*SQRT(1/$T$13+(Tabelle13[[#This Row],[True Cooling Capacity '[kW']]]-$T$14)^2/$T$15)</f>
        <v>3398.1802163395814</v>
      </c>
    </row>
    <row r="28" spans="1:23" x14ac:dyDescent="0.3">
      <c r="A28" t="s">
        <v>26</v>
      </c>
      <c r="B28" s="3" t="s">
        <v>247</v>
      </c>
      <c r="C28" s="4">
        <v>22.828379870500001</v>
      </c>
      <c r="D28" s="11">
        <f>(2*(5000*(Tabelle13[[#This Row],[Predicted Size]]/0.861448297))-22199)/10577</f>
        <v>22.955563959534839</v>
      </c>
      <c r="E28" s="3">
        <v>23</v>
      </c>
      <c r="F28" s="4">
        <v>24</v>
      </c>
      <c r="G28">
        <f>(Tabelle13[[#This Row],[True Size X]]+Tabelle13[[#This Row],[True Size Y]])/2</f>
        <v>23.5</v>
      </c>
      <c r="H28" s="10">
        <f>(Tabelle13[[#This Row],[Correlation Function Predicted  Size]]-Tabelle13[[#This Row],[True Mean Size ]])^2</f>
        <v>0.29641060215738257</v>
      </c>
      <c r="I28" s="5">
        <f t="shared" si="0"/>
        <v>2690.9757532304748</v>
      </c>
      <c r="J28" s="5">
        <f t="shared" si="1"/>
        <v>2810.5397737499993</v>
      </c>
      <c r="K28" s="9">
        <f>(Tabelle13[[#This Row],[Predicted Cooling Capacity '[kW']]]-Tabelle13[[#This Row],[True Cooling Capacity '[kW']]])^2</f>
        <v>14295.555002793288</v>
      </c>
      <c r="M28" s="5">
        <v>3047.1220030902505</v>
      </c>
      <c r="N28" s="42">
        <f>M28-$T$16*$T$17*SQRT(1+1/$T$13+(Tabelle13[[#This Row],[True Cooling Capacity '[kW']]]-$T$14)^2/$T$15)</f>
        <v>1930.6480030723533</v>
      </c>
      <c r="O28" s="42">
        <f>M28+$T$16*$T$17*SQRT(1+1/$T$13+(Tabelle13[[#This Row],[True Cooling Capacity '[kW']]]-$T$14)^2/$T$15)</f>
        <v>4163.5960031081477</v>
      </c>
      <c r="P28" s="42">
        <f>M28-$T$16*$T$17*SQRT(1/$T$13+(Tabelle13[[#This Row],[True Cooling Capacity '[kW']]]-$T$14)^2/$T$15)</f>
        <v>2935.6753252452245</v>
      </c>
      <c r="Q28" s="42">
        <f>M28+$T$16*$T$17*SQRT(1/$T$13+(Tabelle13[[#This Row],[True Cooling Capacity '[kW']]]-$T$14)^2/$T$15)</f>
        <v>3158.5686809352765</v>
      </c>
    </row>
    <row r="29" spans="1:23" x14ac:dyDescent="0.3">
      <c r="A29" t="s">
        <v>27</v>
      </c>
      <c r="B29" s="3" t="s">
        <v>208</v>
      </c>
      <c r="C29" s="4">
        <v>27.997069652499999</v>
      </c>
      <c r="D29" s="11">
        <f>(2*(5000*(Tabelle13[[#This Row],[Predicted Size]]/0.861448297))-22199)/10577</f>
        <v>28.628249976363808</v>
      </c>
      <c r="E29" s="3">
        <v>29</v>
      </c>
      <c r="F29" s="4">
        <v>26</v>
      </c>
      <c r="G29">
        <f>(Tabelle13[[#This Row],[True Size X]]+Tabelle13[[#This Row],[True Size Y]])/2</f>
        <v>27.5</v>
      </c>
      <c r="H29" s="10">
        <f>(Tabelle13[[#This Row],[Correlation Function Predicted  Size]]-Tabelle13[[#This Row],[True Mean Size ]])^2</f>
        <v>1.272948009164933</v>
      </c>
      <c r="I29" s="5">
        <f t="shared" si="0"/>
        <v>3988.7283994904114</v>
      </c>
      <c r="J29" s="5">
        <f t="shared" si="1"/>
        <v>3721.4565937500006</v>
      </c>
      <c r="K29" s="9">
        <f>(Tabelle13[[#This Row],[Predicted Cooling Capacity '[kW']]]-Tabelle13[[#This Row],[True Cooling Capacity '[kW']]])^2</f>
        <v>71434.218143739912</v>
      </c>
      <c r="M29" s="5">
        <v>4035.9774600777541</v>
      </c>
      <c r="N29" s="42">
        <f>M29-$T$16*$T$17*SQRT(1+1/$T$13+(Tabelle13[[#This Row],[True Cooling Capacity '[kW']]]-$T$14)^2/$T$15)</f>
        <v>2920.1262871726931</v>
      </c>
      <c r="O29" s="42">
        <f>M29+$T$16*$T$17*SQRT(1+1/$T$13+(Tabelle13[[#This Row],[True Cooling Capacity '[kW']]]-$T$14)^2/$T$15)</f>
        <v>5151.8286329828152</v>
      </c>
      <c r="P29" s="42">
        <f>M29-$T$16*$T$17*SQRT(1/$T$13+(Tabelle13[[#This Row],[True Cooling Capacity '[kW']]]-$T$14)^2/$T$15)</f>
        <v>3930.953608689942</v>
      </c>
      <c r="Q29" s="42">
        <f>M29+$T$16*$T$17*SQRT(1/$T$13+(Tabelle13[[#This Row],[True Cooling Capacity '[kW']]]-$T$14)^2/$T$15)</f>
        <v>4141.0013114655667</v>
      </c>
    </row>
    <row r="30" spans="1:23" x14ac:dyDescent="0.3">
      <c r="A30" t="s">
        <v>28</v>
      </c>
      <c r="B30" s="3" t="s">
        <v>249</v>
      </c>
      <c r="C30" s="4">
        <v>25.843448909999999</v>
      </c>
      <c r="D30" s="11">
        <f>(2*(5000*(Tabelle13[[#This Row],[Predicted Size]]/0.861448297))-22199)/10577</f>
        <v>26.264630802685065</v>
      </c>
      <c r="E30" s="3">
        <v>27</v>
      </c>
      <c r="F30" s="4">
        <v>23</v>
      </c>
      <c r="G30">
        <f>(Tabelle13[[#This Row],[True Size X]]+Tabelle13[[#This Row],[True Size Y]])/2</f>
        <v>25</v>
      </c>
      <c r="H30" s="10">
        <f>(Tabelle13[[#This Row],[Correlation Function Predicted  Size]]-Tabelle13[[#This Row],[True Mean Size ]])^2</f>
        <v>1.599291067099873</v>
      </c>
      <c r="I30" s="5">
        <f t="shared" si="0"/>
        <v>3434.0255978166474</v>
      </c>
      <c r="J30" s="5">
        <f t="shared" si="1"/>
        <v>3145.4343750000003</v>
      </c>
      <c r="K30" s="9">
        <f>(Tabelle13[[#This Row],[Predicted Cooling Capacity '[kW']]]-Tabelle13[[#This Row],[True Cooling Capacity '[kW']]])^2</f>
        <v>83284.893886807666</v>
      </c>
      <c r="M30" s="5">
        <v>3410.6704047562962</v>
      </c>
      <c r="N30" s="42">
        <f>M30-$T$16*$T$17*SQRT(1+1/$T$13+(Tabelle13[[#This Row],[True Cooling Capacity '[kW']]]-$T$14)^2/$T$15)</f>
        <v>2294.4564636289638</v>
      </c>
      <c r="O30" s="42">
        <f>M30+$T$16*$T$17*SQRT(1+1/$T$13+(Tabelle13[[#This Row],[True Cooling Capacity '[kW']]]-$T$14)^2/$T$15)</f>
        <v>4526.8843458836291</v>
      </c>
      <c r="P30" s="42">
        <f>M30-$T$16*$T$17*SQRT(1/$T$13+(Tabelle13[[#This Row],[True Cooling Capacity '[kW']]]-$T$14)^2/$T$15)</f>
        <v>3301.8598737689813</v>
      </c>
      <c r="Q30" s="42">
        <f>M30+$T$16*$T$17*SQRT(1/$T$13+(Tabelle13[[#This Row],[True Cooling Capacity '[kW']]]-$T$14)^2/$T$15)</f>
        <v>3519.4809357436111</v>
      </c>
    </row>
    <row r="31" spans="1:23" x14ac:dyDescent="0.3">
      <c r="A31" t="s">
        <v>29</v>
      </c>
      <c r="B31" s="3" t="s">
        <v>172</v>
      </c>
      <c r="C31" s="4">
        <v>29.289242097999999</v>
      </c>
      <c r="D31" s="11">
        <f>(2*(5000*(Tabelle13[[#This Row],[Predicted Size]]/0.861448297))-22199)/10577</f>
        <v>30.046421480571052</v>
      </c>
      <c r="E31" s="3">
        <v>28</v>
      </c>
      <c r="F31" s="4">
        <v>27</v>
      </c>
      <c r="G31">
        <f>(Tabelle13[[#This Row],[True Size X]]+Tabelle13[[#This Row],[True Size Y]])/2</f>
        <v>27.5</v>
      </c>
      <c r="H31" s="10">
        <f>(Tabelle13[[#This Row],[Correlation Function Predicted  Size]]-Tabelle13[[#This Row],[True Mean Size ]])^2</f>
        <v>6.4842623567136677</v>
      </c>
      <c r="I31" s="5">
        <f t="shared" si="0"/>
        <v>4331.1312455681255</v>
      </c>
      <c r="J31" s="5">
        <f t="shared" si="1"/>
        <v>3721.4565937500006</v>
      </c>
      <c r="K31" s="9">
        <f>(Tabelle13[[#This Row],[Predicted Cooling Capacity '[kW']]]-Tabelle13[[#This Row],[True Cooling Capacity '[kW']]])^2</f>
        <v>371703.18106955179</v>
      </c>
      <c r="M31" s="5">
        <v>4035.9774600777541</v>
      </c>
      <c r="N31" s="42">
        <f>M31-$T$16*$T$17*SQRT(1+1/$T$13+(Tabelle13[[#This Row],[True Cooling Capacity '[kW']]]-$T$14)^2/$T$15)</f>
        <v>2920.1262871726931</v>
      </c>
      <c r="O31" s="42">
        <f>M31+$T$16*$T$17*SQRT(1+1/$T$13+(Tabelle13[[#This Row],[True Cooling Capacity '[kW']]]-$T$14)^2/$T$15)</f>
        <v>5151.8286329828152</v>
      </c>
      <c r="P31" s="42">
        <f>M31-$T$16*$T$17*SQRT(1/$T$13+(Tabelle13[[#This Row],[True Cooling Capacity '[kW']]]-$T$14)^2/$T$15)</f>
        <v>3930.953608689942</v>
      </c>
      <c r="Q31" s="42">
        <f>M31+$T$16*$T$17*SQRT(1/$T$13+(Tabelle13[[#This Row],[True Cooling Capacity '[kW']]]-$T$14)^2/$T$15)</f>
        <v>4141.0013114655667</v>
      </c>
      <c r="W31">
        <v>0</v>
      </c>
    </row>
    <row r="32" spans="1:23" x14ac:dyDescent="0.3">
      <c r="A32" t="s">
        <v>30</v>
      </c>
      <c r="B32" s="3" t="s">
        <v>149</v>
      </c>
      <c r="C32" s="4">
        <v>22.828379870500001</v>
      </c>
      <c r="D32" s="11">
        <f>(2*(5000*(Tabelle13[[#This Row],[Predicted Size]]/0.861448297))-22199)/10577</f>
        <v>22.955563959534839</v>
      </c>
      <c r="E32" s="3">
        <v>23</v>
      </c>
      <c r="F32" s="4">
        <v>23</v>
      </c>
      <c r="G32">
        <f>(Tabelle13[[#This Row],[True Size X]]+Tabelle13[[#This Row],[True Size Y]])/2</f>
        <v>23</v>
      </c>
      <c r="H32" s="10">
        <f>(Tabelle13[[#This Row],[Correlation Function Predicted  Size]]-Tabelle13[[#This Row],[True Mean Size ]])^2</f>
        <v>1.9745616922214383E-3</v>
      </c>
      <c r="I32" s="5">
        <f t="shared" si="0"/>
        <v>2690.9757532304748</v>
      </c>
      <c r="J32" s="5">
        <f t="shared" si="1"/>
        <v>2700.6946949999997</v>
      </c>
      <c r="K32" s="9">
        <f>(Tabelle13[[#This Row],[Predicted Cooling Capacity '[kW']]]-Tabelle13[[#This Row],[True Cooling Capacity '[kW']]])^2</f>
        <v>94.457829119416132</v>
      </c>
      <c r="M32" s="5">
        <v>2927.878507789374</v>
      </c>
      <c r="N32" s="42">
        <f>M32-$T$16*$T$17*SQRT(1+1/$T$13+(Tabelle13[[#This Row],[True Cooling Capacity '[kW']]]-$T$14)^2/$T$15)</f>
        <v>1811.311343421077</v>
      </c>
      <c r="O32" s="42">
        <f>M32+$T$16*$T$17*SQRT(1+1/$T$13+(Tabelle13[[#This Row],[True Cooling Capacity '[kW']]]-$T$14)^2/$T$15)</f>
        <v>4044.4456721576707</v>
      </c>
      <c r="P32" s="42">
        <f>M32-$T$16*$T$17*SQRT(1/$T$13+(Tabelle13[[#This Row],[True Cooling Capacity '[kW']]]-$T$14)^2/$T$15)</f>
        <v>2815.5023455831956</v>
      </c>
      <c r="Q32" s="42">
        <f>M32+$T$16*$T$17*SQRT(1/$T$13+(Tabelle13[[#This Row],[True Cooling Capacity '[kW']]]-$T$14)^2/$T$15)</f>
        <v>3040.2546699955524</v>
      </c>
      <c r="W32">
        <v>60000</v>
      </c>
    </row>
    <row r="33" spans="1:17" x14ac:dyDescent="0.3">
      <c r="A33" t="s">
        <v>31</v>
      </c>
      <c r="B33" s="3" t="s">
        <v>145</v>
      </c>
      <c r="C33" s="4">
        <v>22.397655722</v>
      </c>
      <c r="D33" s="11">
        <f>(2*(5000*(Tabelle13[[#This Row],[Predicted Size]]/0.861448297))-22199)/10577</f>
        <v>22.482840124799093</v>
      </c>
      <c r="E33" s="3">
        <v>23</v>
      </c>
      <c r="F33" s="4">
        <v>22</v>
      </c>
      <c r="G33">
        <f>(Tabelle13[[#This Row],[True Size X]]+Tabelle13[[#This Row],[True Size Y]])/2</f>
        <v>22.5</v>
      </c>
      <c r="H33" s="10">
        <f>(Tabelle13[[#This Row],[Correlation Function Predicted  Size]]-Tabelle13[[#This Row],[True Mean Size ]])^2</f>
        <v>2.9446131691069559E-4</v>
      </c>
      <c r="I33" s="5">
        <f t="shared" si="0"/>
        <v>2588.0194971236019</v>
      </c>
      <c r="J33" s="5">
        <f t="shared" si="1"/>
        <v>2591.7428437499998</v>
      </c>
      <c r="K33" s="9">
        <f>(Tabelle13[[#This Row],[Predicted Cooling Capacity '[kW']]]-Tabelle13[[#This Row],[True Cooling Capacity '[kW']]])^2</f>
        <v>13.863310100308398</v>
      </c>
      <c r="M33" s="5">
        <v>2809.6046651157335</v>
      </c>
      <c r="N33" s="42">
        <f>M33-$T$16*$T$17*SQRT(1+1/$T$13+(Tabelle13[[#This Row],[True Cooling Capacity '[kW']]]-$T$14)^2/$T$15)</f>
        <v>1692.9412575609836</v>
      </c>
      <c r="O33" s="42">
        <f>M33+$T$16*$T$17*SQRT(1+1/$T$13+(Tabelle13[[#This Row],[True Cooling Capacity '[kW']]]-$T$14)^2/$T$15)</f>
        <v>3926.2680726704834</v>
      </c>
      <c r="P33" s="42">
        <f>M33-$T$16*$T$17*SQRT(1/$T$13+(Tabelle13[[#This Row],[True Cooling Capacity '[kW']]]-$T$14)^2/$T$15)</f>
        <v>2696.2762262377755</v>
      </c>
      <c r="Q33" s="42">
        <f>M33+$T$16*$T$17*SQRT(1/$T$13+(Tabelle13[[#This Row],[True Cooling Capacity '[kW']]]-$T$14)^2/$T$15)</f>
        <v>2922.9331039936915</v>
      </c>
    </row>
    <row r="34" spans="1:17" x14ac:dyDescent="0.3">
      <c r="A34" t="s">
        <v>32</v>
      </c>
      <c r="B34" s="3" t="s">
        <v>141</v>
      </c>
      <c r="C34" s="4">
        <v>23.6898281675</v>
      </c>
      <c r="D34" s="11">
        <f>(2*(5000*(Tabelle13[[#This Row],[Predicted Size]]/0.861448297))-22199)/10577</f>
        <v>23.901011629006334</v>
      </c>
      <c r="E34" s="3">
        <v>23</v>
      </c>
      <c r="F34" s="4">
        <v>23</v>
      </c>
      <c r="G34">
        <f>(Tabelle13[[#This Row],[True Size X]]+Tabelle13[[#This Row],[True Size Y]])/2</f>
        <v>23</v>
      </c>
      <c r="H34" s="10">
        <f>(Tabelle13[[#This Row],[Correlation Function Predicted  Size]]-Tabelle13[[#This Row],[True Mean Size ]])^2</f>
        <v>0.81182195560464709</v>
      </c>
      <c r="I34" s="5">
        <f t="shared" si="0"/>
        <v>2899.2835567125844</v>
      </c>
      <c r="J34" s="5">
        <f t="shared" si="1"/>
        <v>2700.6946949999997</v>
      </c>
      <c r="K34" s="9">
        <f>(Tabelle13[[#This Row],[Predicted Cooling Capacity '[kW']]]-Tabelle13[[#This Row],[True Cooling Capacity '[kW']]])^2</f>
        <v>39437.535996300103</v>
      </c>
      <c r="M34" s="5">
        <v>2927.878507789374</v>
      </c>
      <c r="N34" s="42">
        <f>M34-$T$16*$T$17*SQRT(1+1/$T$13+(Tabelle13[[#This Row],[True Cooling Capacity '[kW']]]-$T$14)^2/$T$15)</f>
        <v>1811.311343421077</v>
      </c>
      <c r="O34" s="42">
        <f>M34+$T$16*$T$17*SQRT(1+1/$T$13+(Tabelle13[[#This Row],[True Cooling Capacity '[kW']]]-$T$14)^2/$T$15)</f>
        <v>4044.4456721576707</v>
      </c>
      <c r="P34" s="42">
        <f>M34-$T$16*$T$17*SQRT(1/$T$13+(Tabelle13[[#This Row],[True Cooling Capacity '[kW']]]-$T$14)^2/$T$15)</f>
        <v>2815.5023455831956</v>
      </c>
      <c r="Q34" s="42">
        <f>M34+$T$16*$T$17*SQRT(1/$T$13+(Tabelle13[[#This Row],[True Cooling Capacity '[kW']]]-$T$14)^2/$T$15)</f>
        <v>3040.2546699955524</v>
      </c>
    </row>
    <row r="35" spans="1:17" x14ac:dyDescent="0.3">
      <c r="A35" t="s">
        <v>33</v>
      </c>
      <c r="B35" s="3" t="s">
        <v>171</v>
      </c>
      <c r="C35" s="4">
        <v>25.843448909999999</v>
      </c>
      <c r="D35" s="11">
        <f>(2*(5000*(Tabelle13[[#This Row],[Predicted Size]]/0.861448297))-22199)/10577</f>
        <v>26.264630802685065</v>
      </c>
      <c r="E35" s="3">
        <v>27</v>
      </c>
      <c r="F35" s="4">
        <v>25</v>
      </c>
      <c r="G35">
        <f>(Tabelle13[[#This Row],[True Size X]]+Tabelle13[[#This Row],[True Size Y]])/2</f>
        <v>26</v>
      </c>
      <c r="H35" s="10">
        <f>(Tabelle13[[#This Row],[Correlation Function Predicted  Size]]-Tabelle13[[#This Row],[True Mean Size ]])^2</f>
        <v>7.0029461729742046E-2</v>
      </c>
      <c r="I35" s="5">
        <f t="shared" ref="I35:I66" si="2">220.55*(D35*0.09)^2 + 1518*(D35*0.09) - 1386.6</f>
        <v>3434.0255978166474</v>
      </c>
      <c r="J35" s="5">
        <f t="shared" ref="J35:J66" si="3">220.55*(G35*0.09)^2 + 1518*(G35*0.09) - 1386.6</f>
        <v>3373.1635799999999</v>
      </c>
      <c r="K35" s="9">
        <f>(Tabelle13[[#This Row],[Predicted Cooling Capacity '[kW']]]-Tabelle13[[#This Row],[True Cooling Capacity '[kW']]])^2</f>
        <v>3704.1852127139168</v>
      </c>
      <c r="M35" s="5">
        <v>3657.8842690031711</v>
      </c>
      <c r="N35" s="42">
        <f>M35-$T$16*$T$17*SQRT(1+1/$T$13+(Tabelle13[[#This Row],[True Cooling Capacity '[kW']]]-$T$14)^2/$T$15)</f>
        <v>2541.8265306462026</v>
      </c>
      <c r="O35" s="42">
        <f>M35+$T$16*$T$17*SQRT(1+1/$T$13+(Tabelle13[[#This Row],[True Cooling Capacity '[kW']]]-$T$14)^2/$T$15)</f>
        <v>4773.9420073601395</v>
      </c>
      <c r="P35" s="42">
        <f>M35-$T$16*$T$17*SQRT(1/$T$13+(Tabelle13[[#This Row],[True Cooling Capacity '[kW']]]-$T$14)^2/$T$15)</f>
        <v>3550.6879788005667</v>
      </c>
      <c r="Q35" s="42">
        <f>M35+$T$16*$T$17*SQRT(1/$T$13+(Tabelle13[[#This Row],[True Cooling Capacity '[kW']]]-$T$14)^2/$T$15)</f>
        <v>3765.0805592057754</v>
      </c>
    </row>
    <row r="36" spans="1:17" x14ac:dyDescent="0.3">
      <c r="A36" t="s">
        <v>34</v>
      </c>
      <c r="B36" s="3" t="s">
        <v>161</v>
      </c>
      <c r="C36" s="4">
        <v>42.210966552999999</v>
      </c>
      <c r="D36" s="11">
        <f>(2*(5000*(Tabelle13[[#This Row],[Predicted Size]]/0.861448297))-22199)/10577</f>
        <v>44.228136522643474</v>
      </c>
      <c r="E36" s="3">
        <v>38</v>
      </c>
      <c r="F36" s="4">
        <v>40</v>
      </c>
      <c r="G36">
        <f>(Tabelle13[[#This Row],[True Size X]]+Tabelle13[[#This Row],[True Size Y]])/2</f>
        <v>39</v>
      </c>
      <c r="H36" s="10">
        <f>(Tabelle13[[#This Row],[Correlation Function Predicted  Size]]-Tabelle13[[#This Row],[True Mean Size ]])^2</f>
        <v>27.333411499398601</v>
      </c>
      <c r="I36" s="5">
        <f t="shared" si="2"/>
        <v>8150.3827656253143</v>
      </c>
      <c r="J36" s="5">
        <f t="shared" si="3"/>
        <v>6658.7780549999989</v>
      </c>
      <c r="K36" s="9">
        <f>(Tabelle13[[#This Row],[Predicted Cooling Capacity '[kW']]]-Tabelle13[[#This Row],[True Cooling Capacity '[kW']]])^2</f>
        <v>2224884.6127596311</v>
      </c>
      <c r="M36" s="5">
        <v>7224.6180605263935</v>
      </c>
      <c r="N36" s="42">
        <f>M36-$T$16*$T$17*SQRT(1+1/$T$13+(Tabelle13[[#This Row],[True Cooling Capacity '[kW']]]-$T$14)^2/$T$15)</f>
        <v>6108.9517225087548</v>
      </c>
      <c r="O36" s="42">
        <f>M36+$T$16*$T$17*SQRT(1+1/$T$13+(Tabelle13[[#This Row],[True Cooling Capacity '[kW']]]-$T$14)^2/$T$15)</f>
        <v>8340.2843985440322</v>
      </c>
      <c r="P36" s="42">
        <f>M36-$T$16*$T$17*SQRT(1/$T$13+(Tabelle13[[#This Row],[True Cooling Capacity '[kW']]]-$T$14)^2/$T$15)</f>
        <v>7121.5765782368981</v>
      </c>
      <c r="Q36" s="42">
        <f>M36+$T$16*$T$17*SQRT(1/$T$13+(Tabelle13[[#This Row],[True Cooling Capacity '[kW']]]-$T$14)^2/$T$15)</f>
        <v>7327.6595428158889</v>
      </c>
    </row>
    <row r="37" spans="1:17" x14ac:dyDescent="0.3">
      <c r="A37" t="s">
        <v>35</v>
      </c>
      <c r="B37" s="3" t="s">
        <v>134</v>
      </c>
      <c r="C37" s="4">
        <v>43.072414850000001</v>
      </c>
      <c r="D37" s="11">
        <f>(2*(5000*(Tabelle13[[#This Row],[Predicted Size]]/0.861448297))-22199)/10577</f>
        <v>45.173584192114966</v>
      </c>
      <c r="E37" s="3">
        <v>39</v>
      </c>
      <c r="F37" s="4">
        <v>40</v>
      </c>
      <c r="G37">
        <f>(Tabelle13[[#This Row],[True Size X]]+Tabelle13[[#This Row],[True Size Y]])/2</f>
        <v>39.5</v>
      </c>
      <c r="H37" s="10">
        <f>(Tabelle13[[#This Row],[Correlation Function Predicted  Size]]-Tabelle13[[#This Row],[True Mean Size ]])^2</f>
        <v>32.189557585016829</v>
      </c>
      <c r="I37" s="5">
        <f t="shared" si="2"/>
        <v>8430.5493071583405</v>
      </c>
      <c r="J37" s="5">
        <f t="shared" si="3"/>
        <v>6797.2064137499983</v>
      </c>
      <c r="K37" s="9">
        <f>(Tabelle13[[#This Row],[Predicted Cooling Capacity '[kW']]]-Tabelle13[[#This Row],[True Cooling Capacity '[kW']]])^2</f>
        <v>2667809.0074475352</v>
      </c>
      <c r="M37" s="5">
        <v>7374.8904398988161</v>
      </c>
      <c r="N37" s="42">
        <f>M37-$T$16*$T$17*SQRT(1+1/$T$13+(Tabelle13[[#This Row],[True Cooling Capacity '[kW']]]-$T$14)^2/$T$15)</f>
        <v>6259.1640951849895</v>
      </c>
      <c r="O37" s="42">
        <f>M37+$T$16*$T$17*SQRT(1+1/$T$13+(Tabelle13[[#This Row],[True Cooling Capacity '[kW']]]-$T$14)^2/$T$15)</f>
        <v>8490.6167846126427</v>
      </c>
      <c r="P37" s="42">
        <f>M37-$T$16*$T$17*SQRT(1/$T$13+(Tabelle13[[#This Row],[True Cooling Capacity '[kW']]]-$T$14)^2/$T$15)</f>
        <v>7271.2012621838503</v>
      </c>
      <c r="Q37" s="42">
        <f>M37+$T$16*$T$17*SQRT(1/$T$13+(Tabelle13[[#This Row],[True Cooling Capacity '[kW']]]-$T$14)^2/$T$15)</f>
        <v>7478.5796176137819</v>
      </c>
    </row>
    <row r="38" spans="1:17" x14ac:dyDescent="0.3">
      <c r="A38" t="s">
        <v>36</v>
      </c>
      <c r="B38" s="3" t="s">
        <v>214</v>
      </c>
      <c r="C38" s="4">
        <v>33.165759434500004</v>
      </c>
      <c r="D38" s="11">
        <f>(2*(5000*(Tabelle13[[#This Row],[Predicted Size]]/0.861448297))-22199)/10577</f>
        <v>34.300935993192773</v>
      </c>
      <c r="E38" s="3">
        <v>28</v>
      </c>
      <c r="F38" s="4">
        <v>31</v>
      </c>
      <c r="G38">
        <f>(Tabelle13[[#This Row],[True Size X]]+Tabelle13[[#This Row],[True Size Y]])/2</f>
        <v>29.5</v>
      </c>
      <c r="H38" s="10">
        <f>(Tabelle13[[#This Row],[Correlation Function Predicted  Size]]-Tabelle13[[#This Row],[True Mean Size ]])^2</f>
        <v>23.048986410733882</v>
      </c>
      <c r="I38" s="5">
        <f t="shared" si="2"/>
        <v>5401.4550266318165</v>
      </c>
      <c r="J38" s="5">
        <f t="shared" si="3"/>
        <v>4198.3524637499995</v>
      </c>
      <c r="K38" s="9">
        <f>(Tabelle13[[#This Row],[Predicted Cooling Capacity '[kW']]]-Tabelle13[[#This Row],[True Cooling Capacity '[kW']]])^2</f>
        <v>1447455.7768127965</v>
      </c>
      <c r="M38" s="5">
        <v>4553.6768516251641</v>
      </c>
      <c r="N38" s="42">
        <f>M38-$T$16*$T$17*SQRT(1+1/$T$13+(Tabelle13[[#This Row],[True Cooling Capacity '[kW']]]-$T$14)^2/$T$15)</f>
        <v>3438.045058196115</v>
      </c>
      <c r="O38" s="42">
        <f>M38+$T$16*$T$17*SQRT(1+1/$T$13+(Tabelle13[[#This Row],[True Cooling Capacity '[kW']]]-$T$14)^2/$T$15)</f>
        <v>5669.3086450542132</v>
      </c>
      <c r="P38" s="42">
        <f>M38-$T$16*$T$17*SQRT(1/$T$13+(Tabelle13[[#This Row],[True Cooling Capacity '[kW']]]-$T$14)^2/$T$15)</f>
        <v>4451.0100712312797</v>
      </c>
      <c r="Q38" s="42">
        <f>M38+$T$16*$T$17*SQRT(1/$T$13+(Tabelle13[[#This Row],[True Cooling Capacity '[kW']]]-$T$14)^2/$T$15)</f>
        <v>4656.3436320190485</v>
      </c>
    </row>
    <row r="39" spans="1:17" x14ac:dyDescent="0.3">
      <c r="A39" t="s">
        <v>37</v>
      </c>
      <c r="B39" s="3" t="s">
        <v>213</v>
      </c>
      <c r="C39" s="4">
        <v>33.165759434500004</v>
      </c>
      <c r="D39" s="11">
        <f>(2*(5000*(Tabelle13[[#This Row],[Predicted Size]]/0.861448297))-22199)/10577</f>
        <v>34.300935993192773</v>
      </c>
      <c r="E39" s="3">
        <v>29</v>
      </c>
      <c r="F39" s="4">
        <v>31</v>
      </c>
      <c r="G39">
        <f>(Tabelle13[[#This Row],[True Size X]]+Tabelle13[[#This Row],[True Size Y]])/2</f>
        <v>30</v>
      </c>
      <c r="H39" s="10">
        <f>(Tabelle13[[#This Row],[Correlation Function Predicted  Size]]-Tabelle13[[#This Row],[True Mean Size ]])^2</f>
        <v>18.498050417541108</v>
      </c>
      <c r="I39" s="5">
        <f t="shared" si="2"/>
        <v>5401.4550266318165</v>
      </c>
      <c r="J39" s="5">
        <f t="shared" si="3"/>
        <v>4319.8094999999994</v>
      </c>
      <c r="K39" s="9">
        <f>(Tabelle13[[#This Row],[Predicted Cooling Capacity '[kW']]]-Tabelle13[[#This Row],[True Cooling Capacity '[kW']]])^2</f>
        <v>1169957.0452826209</v>
      </c>
      <c r="M39" s="5">
        <v>4685.5258310801064</v>
      </c>
      <c r="N39" s="42">
        <f>M39-$T$16*$T$17*SQRT(1+1/$T$13+(Tabelle13[[#This Row],[True Cooling Capacity '[kW']]]-$T$14)^2/$T$15)</f>
        <v>3569.9381860935896</v>
      </c>
      <c r="O39" s="42">
        <f>M39+$T$16*$T$17*SQRT(1+1/$T$13+(Tabelle13[[#This Row],[True Cooling Capacity '[kW']]]-$T$14)^2/$T$15)</f>
        <v>5801.1134760666228</v>
      </c>
      <c r="P39" s="42">
        <f>M39-$T$16*$T$17*SQRT(1/$T$13+(Tabelle13[[#This Row],[True Cooling Capacity '[kW']]]-$T$14)^2/$T$15)</f>
        <v>4583.3399077183631</v>
      </c>
      <c r="Q39" s="42">
        <f>M39+$T$16*$T$17*SQRT(1/$T$13+(Tabelle13[[#This Row],[True Cooling Capacity '[kW']]]-$T$14)^2/$T$15)</f>
        <v>4787.7117544418497</v>
      </c>
    </row>
    <row r="40" spans="1:17" x14ac:dyDescent="0.3">
      <c r="A40" t="s">
        <v>38</v>
      </c>
      <c r="B40" s="3" t="s">
        <v>148</v>
      </c>
      <c r="C40" s="4">
        <v>24.120552316000001</v>
      </c>
      <c r="D40" s="11">
        <f>(2*(5000*(Tabelle13[[#This Row],[Predicted Size]]/0.861448297))-22199)/10577</f>
        <v>24.373735463742083</v>
      </c>
      <c r="E40" s="3">
        <v>25</v>
      </c>
      <c r="F40" s="4">
        <v>24</v>
      </c>
      <c r="G40">
        <f>(Tabelle13[[#This Row],[True Size X]]+Tabelle13[[#This Row],[True Size Y]])/2</f>
        <v>24.5</v>
      </c>
      <c r="H40" s="10">
        <f>(Tabelle13[[#This Row],[Correlation Function Predicted  Size]]-Tabelle13[[#This Row],[True Mean Size ]])^2</f>
        <v>1.5942733116426865E-2</v>
      </c>
      <c r="I40" s="5">
        <f t="shared" si="2"/>
        <v>3004.6351040878221</v>
      </c>
      <c r="J40" s="5">
        <f t="shared" si="3"/>
        <v>3032.9096137500005</v>
      </c>
      <c r="K40" s="9">
        <f>(Tabelle13[[#This Row],[Predicted Cooling Capacity '[kW']]]-Tabelle13[[#This Row],[True Cooling Capacity '[kW']]])^2</f>
        <v>799.44789663661902</v>
      </c>
      <c r="M40" s="5">
        <v>3288.5179515737123</v>
      </c>
      <c r="N40" s="42">
        <f>M40-$T$16*$T$17*SQRT(1+1/$T$13+(Tabelle13[[#This Row],[True Cooling Capacity '[kW']]]-$T$14)^2/$T$15)</f>
        <v>2172.2206600662707</v>
      </c>
      <c r="O40" s="42">
        <f>M40+$T$16*$T$17*SQRT(1+1/$T$13+(Tabelle13[[#This Row],[True Cooling Capacity '[kW']]]-$T$14)^2/$T$15)</f>
        <v>4404.8152430811533</v>
      </c>
      <c r="P40" s="42">
        <f>M40-$T$16*$T$17*SQRT(1/$T$13+(Tabelle13[[#This Row],[True Cooling Capacity '[kW']]]-$T$14)^2/$T$15)</f>
        <v>3178.8556868078431</v>
      </c>
      <c r="Q40" s="42">
        <f>M40+$T$16*$T$17*SQRT(1/$T$13+(Tabelle13[[#This Row],[True Cooling Capacity '[kW']]]-$T$14)^2/$T$15)</f>
        <v>3398.1802163395814</v>
      </c>
    </row>
    <row r="41" spans="1:17" x14ac:dyDescent="0.3">
      <c r="A41" t="s">
        <v>39</v>
      </c>
      <c r="B41" s="3" t="s">
        <v>200</v>
      </c>
      <c r="C41" s="4">
        <v>45.226035592499997</v>
      </c>
      <c r="D41" s="11">
        <f>(2*(5000*(Tabelle13[[#This Row],[Predicted Size]]/0.861448297))-22199)/10577</f>
        <v>47.537203365793694</v>
      </c>
      <c r="E41" s="3">
        <v>44</v>
      </c>
      <c r="F41" s="4">
        <v>45</v>
      </c>
      <c r="G41">
        <f>(Tabelle13[[#This Row],[True Size X]]+Tabelle13[[#This Row],[True Size Y]])/2</f>
        <v>44.5</v>
      </c>
      <c r="H41" s="10">
        <f>(Tabelle13[[#This Row],[Correlation Function Predicted  Size]]-Tabelle13[[#This Row],[True Mean Size ]])^2</f>
        <v>9.2246042851885424</v>
      </c>
      <c r="I41" s="5">
        <f t="shared" si="2"/>
        <v>9144.9381933896984</v>
      </c>
      <c r="J41" s="5">
        <f t="shared" si="3"/>
        <v>8230.6175137499995</v>
      </c>
      <c r="K41" s="9">
        <f>(Tabelle13[[#This Row],[Predicted Cooling Capacity '[kW']]]-Tabelle13[[#This Row],[True Cooling Capacity '[kW']]])^2</f>
        <v>835982.305216801</v>
      </c>
      <c r="M41" s="5">
        <v>8930.9451281210168</v>
      </c>
      <c r="N41" s="42">
        <f>M41-$T$16*$T$17*SQRT(1+1/$T$13+(Tabelle13[[#This Row],[True Cooling Capacity '[kW']]]-$T$14)^2/$T$15)</f>
        <v>7814.2342399458785</v>
      </c>
      <c r="O41" s="42">
        <f>M41+$T$16*$T$17*SQRT(1+1/$T$13+(Tabelle13[[#This Row],[True Cooling Capacity '[kW']]]-$T$14)^2/$T$15)</f>
        <v>10047.656016296156</v>
      </c>
      <c r="P41" s="42">
        <f>M41-$T$16*$T$17*SQRT(1/$T$13+(Tabelle13[[#This Row],[True Cooling Capacity '[kW']]]-$T$14)^2/$T$15)</f>
        <v>8817.1497984469206</v>
      </c>
      <c r="Q41" s="42">
        <f>M41+$T$16*$T$17*SQRT(1/$T$13+(Tabelle13[[#This Row],[True Cooling Capacity '[kW']]]-$T$14)^2/$T$15)</f>
        <v>9044.7404577951129</v>
      </c>
    </row>
    <row r="42" spans="1:17" x14ac:dyDescent="0.3">
      <c r="A42" t="s">
        <v>40</v>
      </c>
      <c r="B42" s="3" t="s">
        <v>207</v>
      </c>
      <c r="C42" s="4">
        <v>45.226035592499997</v>
      </c>
      <c r="D42" s="11">
        <f>(2*(5000*(Tabelle13[[#This Row],[Predicted Size]]/0.861448297))-22199)/10577</f>
        <v>47.537203365793694</v>
      </c>
      <c r="E42" s="3">
        <v>44</v>
      </c>
      <c r="F42" s="4">
        <v>45</v>
      </c>
      <c r="G42">
        <f>(Tabelle13[[#This Row],[True Size X]]+Tabelle13[[#This Row],[True Size Y]])/2</f>
        <v>44.5</v>
      </c>
      <c r="H42" s="10">
        <f>(Tabelle13[[#This Row],[Correlation Function Predicted  Size]]-Tabelle13[[#This Row],[True Mean Size ]])^2</f>
        <v>9.2246042851885424</v>
      </c>
      <c r="I42" s="5">
        <f t="shared" si="2"/>
        <v>9144.9381933896984</v>
      </c>
      <c r="J42" s="5">
        <f t="shared" si="3"/>
        <v>8230.6175137499995</v>
      </c>
      <c r="K42" s="9">
        <f>(Tabelle13[[#This Row],[Predicted Cooling Capacity '[kW']]]-Tabelle13[[#This Row],[True Cooling Capacity '[kW']]])^2</f>
        <v>835982.305216801</v>
      </c>
      <c r="M42" s="5">
        <v>8930.9451281210168</v>
      </c>
      <c r="N42" s="42">
        <f>M42-$T$16*$T$17*SQRT(1+1/$T$13+(Tabelle13[[#This Row],[True Cooling Capacity '[kW']]]-$T$14)^2/$T$15)</f>
        <v>7814.2342399458785</v>
      </c>
      <c r="O42" s="42">
        <f>M42+$T$16*$T$17*SQRT(1+1/$T$13+(Tabelle13[[#This Row],[True Cooling Capacity '[kW']]]-$T$14)^2/$T$15)</f>
        <v>10047.656016296156</v>
      </c>
      <c r="P42" s="42">
        <f>M42-$T$16*$T$17*SQRT(1/$T$13+(Tabelle13[[#This Row],[True Cooling Capacity '[kW']]]-$T$14)^2/$T$15)</f>
        <v>8817.1497984469206</v>
      </c>
      <c r="Q42" s="42">
        <f>M42+$T$16*$T$17*SQRT(1/$T$13+(Tabelle13[[#This Row],[True Cooling Capacity '[kW']]]-$T$14)^2/$T$15)</f>
        <v>9044.7404577951129</v>
      </c>
    </row>
    <row r="43" spans="1:17" x14ac:dyDescent="0.3">
      <c r="A43" t="s">
        <v>41</v>
      </c>
      <c r="B43" s="3" t="s">
        <v>168</v>
      </c>
      <c r="C43" s="4">
        <v>50.394725374499998</v>
      </c>
      <c r="D43" s="11">
        <f>(2*(5000*(Tabelle13[[#This Row],[Predicted Size]]/0.861448297))-22199)/10577</f>
        <v>53.209889382622663</v>
      </c>
      <c r="E43" s="3">
        <v>51</v>
      </c>
      <c r="F43" s="4">
        <v>51</v>
      </c>
      <c r="G43">
        <f>(Tabelle13[[#This Row],[True Size X]]+Tabelle13[[#This Row],[True Size Y]])/2</f>
        <v>51</v>
      </c>
      <c r="H43" s="10">
        <f>(Tabelle13[[#This Row],[Correlation Function Predicted  Size]]-Tabelle13[[#This Row],[True Mean Size ]])^2</f>
        <v>4.8836110834283737</v>
      </c>
      <c r="I43" s="5">
        <f t="shared" si="2"/>
        <v>10940.911423469335</v>
      </c>
      <c r="J43" s="5">
        <f t="shared" si="3"/>
        <v>10227.589454999999</v>
      </c>
      <c r="K43" s="9">
        <f>(Tabelle13[[#This Row],[Predicted Cooling Capacity '[kW']]]-Tabelle13[[#This Row],[True Cooling Capacity '[kW']]])^2</f>
        <v>508828.23070096818</v>
      </c>
      <c r="M43" s="5">
        <v>11098.779290581635</v>
      </c>
      <c r="N43" s="42">
        <f>M43-$T$16*$T$17*SQRT(1+1/$T$13+(Tabelle13[[#This Row],[True Cooling Capacity '[kW']]]-$T$14)^2/$T$15)</f>
        <v>9979.5954948589133</v>
      </c>
      <c r="O43" s="42">
        <f>M43+$T$16*$T$17*SQRT(1+1/$T$13+(Tabelle13[[#This Row],[True Cooling Capacity '[kW']]]-$T$14)^2/$T$15)</f>
        <v>12217.963086304357</v>
      </c>
      <c r="P43" s="42">
        <f>M43-$T$16*$T$17*SQRT(1/$T$13+(Tabelle13[[#This Row],[True Cooling Capacity '[kW']]]-$T$14)^2/$T$15)</f>
        <v>10962.84350465663</v>
      </c>
      <c r="Q43" s="42">
        <f>M43+$T$16*$T$17*SQRT(1/$T$13+(Tabelle13[[#This Row],[True Cooling Capacity '[kW']]]-$T$14)^2/$T$15)</f>
        <v>11234.71507650664</v>
      </c>
    </row>
    <row r="44" spans="1:17" x14ac:dyDescent="0.3">
      <c r="A44" t="s">
        <v>42</v>
      </c>
      <c r="B44" s="3" t="s">
        <v>133</v>
      </c>
      <c r="C44" s="4">
        <v>52.117621968500004</v>
      </c>
      <c r="D44" s="11">
        <f>(2*(5000*(Tabelle13[[#This Row],[Predicted Size]]/0.861448297))-22199)/10577</f>
        <v>55.10078472156566</v>
      </c>
      <c r="E44" s="3">
        <v>51</v>
      </c>
      <c r="F44" s="4">
        <v>51</v>
      </c>
      <c r="G44">
        <f>(Tabelle13[[#This Row],[True Size X]]+Tabelle13[[#This Row],[True Size Y]])/2</f>
        <v>51</v>
      </c>
      <c r="H44" s="10">
        <f>(Tabelle13[[#This Row],[Correlation Function Predicted  Size]]-Tabelle13[[#This Row],[True Mean Size ]])^2</f>
        <v>16.816435332626344</v>
      </c>
      <c r="I44" s="5">
        <f t="shared" si="2"/>
        <v>11565.118940358434</v>
      </c>
      <c r="J44" s="5">
        <f t="shared" si="3"/>
        <v>10227.589454999999</v>
      </c>
      <c r="K44" s="9">
        <f>(Tabelle13[[#This Row],[Predicted Cooling Capacity '[kW']]]-Tabelle13[[#This Row],[True Cooling Capacity '[kW']]])^2</f>
        <v>1788985.1242031991</v>
      </c>
      <c r="M44" s="5">
        <v>11098.779290581635</v>
      </c>
      <c r="N44" s="42">
        <f>M44-$T$16*$T$17*SQRT(1+1/$T$13+(Tabelle13[[#This Row],[True Cooling Capacity '[kW']]]-$T$14)^2/$T$15)</f>
        <v>9979.5954948589133</v>
      </c>
      <c r="O44" s="42">
        <f>M44+$T$16*$T$17*SQRT(1+1/$T$13+(Tabelle13[[#This Row],[True Cooling Capacity '[kW']]]-$T$14)^2/$T$15)</f>
        <v>12217.963086304357</v>
      </c>
      <c r="P44" s="42">
        <f>M44-$T$16*$T$17*SQRT(1/$T$13+(Tabelle13[[#This Row],[True Cooling Capacity '[kW']]]-$T$14)^2/$T$15)</f>
        <v>10962.84350465663</v>
      </c>
      <c r="Q44" s="42">
        <f>M44+$T$16*$T$17*SQRT(1/$T$13+(Tabelle13[[#This Row],[True Cooling Capacity '[kW']]]-$T$14)^2/$T$15)</f>
        <v>11234.71507650664</v>
      </c>
    </row>
    <row r="45" spans="1:17" x14ac:dyDescent="0.3">
      <c r="A45" t="s">
        <v>43</v>
      </c>
      <c r="B45" s="3" t="s">
        <v>169</v>
      </c>
      <c r="C45" s="4">
        <v>104.23524393700001</v>
      </c>
      <c r="D45" s="11">
        <f>(2*(5000*(Tabelle13[[#This Row],[Predicted Size]]/0.861448297))-22199)/10577</f>
        <v>112.3003687245911</v>
      </c>
      <c r="E45" s="3">
        <v>105</v>
      </c>
      <c r="F45" s="4">
        <v>105</v>
      </c>
      <c r="G45">
        <f>(Tabelle13[[#This Row],[True Size X]]+Tabelle13[[#This Row],[True Size Y]])/2</f>
        <v>105</v>
      </c>
      <c r="H45" s="10">
        <f>(Tabelle13[[#This Row],[Correlation Function Predicted  Size]]-Tabelle13[[#This Row],[True Mean Size ]])^2</f>
        <v>53.295383514987819</v>
      </c>
      <c r="I45" s="5">
        <f t="shared" si="2"/>
        <v>36485.526398587681</v>
      </c>
      <c r="J45" s="5">
        <f t="shared" si="3"/>
        <v>32654.166374999993</v>
      </c>
      <c r="K45" s="9">
        <f>(Tabelle13[[#This Row],[Predicted Cooling Capacity '[kW']]]-Tabelle13[[#This Row],[True Cooling Capacity '[kW']]])^2</f>
        <v>14679319.630345846</v>
      </c>
      <c r="M45" s="5">
        <v>35444.188752767179</v>
      </c>
      <c r="N45" s="42">
        <f>M45-$T$16*$T$17*SQRT(1+1/$T$13+(Tabelle13[[#This Row],[True Cooling Capacity '[kW']]]-$T$14)^2/$T$15)</f>
        <v>34214.584011633997</v>
      </c>
      <c r="O45" s="42">
        <f>M45+$T$16*$T$17*SQRT(1+1/$T$13+(Tabelle13[[#This Row],[True Cooling Capacity '[kW']]]-$T$14)^2/$T$15)</f>
        <v>36673.793493900361</v>
      </c>
      <c r="P45" s="42">
        <f>M45-$T$16*$T$17*SQRT(1/$T$13+(Tabelle13[[#This Row],[True Cooling Capacity '[kW']]]-$T$14)^2/$T$15)</f>
        <v>34917.089152403139</v>
      </c>
      <c r="Q45" s="42">
        <f>M45+$T$16*$T$17*SQRT(1/$T$13+(Tabelle13[[#This Row],[True Cooling Capacity '[kW']]]-$T$14)^2/$T$15)</f>
        <v>35971.288353131218</v>
      </c>
    </row>
    <row r="46" spans="1:17" x14ac:dyDescent="0.3">
      <c r="A46" t="s">
        <v>44</v>
      </c>
      <c r="B46" s="3" t="s">
        <v>155</v>
      </c>
      <c r="C46" s="4">
        <v>102.0816231945</v>
      </c>
      <c r="D46" s="11">
        <f>(2*(5000*(Tabelle13[[#This Row],[Predicted Size]]/0.861448297))-22199)/10577</f>
        <v>109.93674955091234</v>
      </c>
      <c r="E46" s="3">
        <v>105</v>
      </c>
      <c r="F46" s="4">
        <v>105</v>
      </c>
      <c r="G46">
        <f>(Tabelle13[[#This Row],[True Size X]]+Tabelle13[[#This Row],[True Size Y]])/2</f>
        <v>105</v>
      </c>
      <c r="H46" s="10">
        <f>(Tabelle13[[#This Row],[Correlation Function Predicted  Size]]-Tabelle13[[#This Row],[True Mean Size ]])^2</f>
        <v>24.371496128433179</v>
      </c>
      <c r="I46" s="5">
        <f t="shared" si="2"/>
        <v>35224.212672746537</v>
      </c>
      <c r="J46" s="5">
        <f t="shared" si="3"/>
        <v>32654.166374999993</v>
      </c>
      <c r="K46" s="9">
        <f>(Tabelle13[[#This Row],[Predicted Cooling Capacity '[kW']]]-Tabelle13[[#This Row],[True Cooling Capacity '[kW']]])^2</f>
        <v>6605137.9725607131</v>
      </c>
      <c r="M46" s="5">
        <v>35444.188752767179</v>
      </c>
      <c r="N46" s="42">
        <f>M46-$T$16*$T$17*SQRT(1+1/$T$13+(Tabelle13[[#This Row],[True Cooling Capacity '[kW']]]-$T$14)^2/$T$15)</f>
        <v>34214.584011633997</v>
      </c>
      <c r="O46" s="42">
        <f>M46+$T$16*$T$17*SQRT(1+1/$T$13+(Tabelle13[[#This Row],[True Cooling Capacity '[kW']]]-$T$14)^2/$T$15)</f>
        <v>36673.793493900361</v>
      </c>
      <c r="P46" s="42">
        <f>M46-$T$16*$T$17*SQRT(1/$T$13+(Tabelle13[[#This Row],[True Cooling Capacity '[kW']]]-$T$14)^2/$T$15)</f>
        <v>34917.089152403139</v>
      </c>
      <c r="Q46" s="42">
        <f>M46+$T$16*$T$17*SQRT(1/$T$13+(Tabelle13[[#This Row],[True Cooling Capacity '[kW']]]-$T$14)^2/$T$15)</f>
        <v>35971.288353131218</v>
      </c>
    </row>
    <row r="47" spans="1:17" x14ac:dyDescent="0.3">
      <c r="A47" t="s">
        <v>45</v>
      </c>
      <c r="B47" s="3" t="s">
        <v>197</v>
      </c>
      <c r="C47" s="4">
        <v>96.912933412499996</v>
      </c>
      <c r="D47" s="11">
        <f>(2*(5000*(Tabelle13[[#This Row],[Predicted Size]]/0.861448297))-22199)/10577</f>
        <v>104.26406353408336</v>
      </c>
      <c r="E47" s="3">
        <v>105</v>
      </c>
      <c r="F47" s="4">
        <v>105</v>
      </c>
      <c r="G47">
        <f>(Tabelle13[[#This Row],[True Size X]]+Tabelle13[[#This Row],[True Size Y]])/2</f>
        <v>105</v>
      </c>
      <c r="H47" s="10">
        <f>(Tabelle13[[#This Row],[Correlation Function Predicted  Size]]-Tabelle13[[#This Row],[True Mean Size ]])^2</f>
        <v>0.54160248186587001</v>
      </c>
      <c r="I47" s="5">
        <f t="shared" si="2"/>
        <v>32278.499633852196</v>
      </c>
      <c r="J47" s="5">
        <f t="shared" si="3"/>
        <v>32654.166374999993</v>
      </c>
      <c r="K47" s="9">
        <f>(Tabelle13[[#This Row],[Predicted Cooling Capacity '[kW']]]-Tabelle13[[#This Row],[True Cooling Capacity '[kW']]])^2</f>
        <v>141125.50040460625</v>
      </c>
      <c r="M47" s="5">
        <v>35444.188752767179</v>
      </c>
      <c r="N47" s="42">
        <f>M47-$T$16*$T$17*SQRT(1+1/$T$13+(Tabelle13[[#This Row],[True Cooling Capacity '[kW']]]-$T$14)^2/$T$15)</f>
        <v>34214.584011633997</v>
      </c>
      <c r="O47" s="42">
        <f>M47+$T$16*$T$17*SQRT(1+1/$T$13+(Tabelle13[[#This Row],[True Cooling Capacity '[kW']]]-$T$14)^2/$T$15)</f>
        <v>36673.793493900361</v>
      </c>
      <c r="P47" s="42">
        <f>M47-$T$16*$T$17*SQRT(1/$T$13+(Tabelle13[[#This Row],[True Cooling Capacity '[kW']]]-$T$14)^2/$T$15)</f>
        <v>34917.089152403139</v>
      </c>
      <c r="Q47" s="42">
        <f>M47+$T$16*$T$17*SQRT(1/$T$13+(Tabelle13[[#This Row],[True Cooling Capacity '[kW']]]-$T$14)^2/$T$15)</f>
        <v>35971.288353131218</v>
      </c>
    </row>
    <row r="48" spans="1:17" x14ac:dyDescent="0.3">
      <c r="A48" t="s">
        <v>46</v>
      </c>
      <c r="B48" s="3" t="s">
        <v>218</v>
      </c>
      <c r="C48" s="4">
        <v>103.8045197885</v>
      </c>
      <c r="D48" s="11">
        <f>(2*(5000*(Tabelle13[[#This Row],[Predicted Size]]/0.861448297))-22199)/10577</f>
        <v>111.82764488985535</v>
      </c>
      <c r="E48" s="3">
        <v>105</v>
      </c>
      <c r="F48" s="4">
        <v>105</v>
      </c>
      <c r="G48">
        <f>(Tabelle13[[#This Row],[True Size X]]+Tabelle13[[#This Row],[True Size Y]])/2</f>
        <v>105</v>
      </c>
      <c r="H48" s="10">
        <f>(Tabelle13[[#This Row],[Correlation Function Predicted  Size]]-Tabelle13[[#This Row],[True Mean Size ]])^2</f>
        <v>46.616734741967868</v>
      </c>
      <c r="I48" s="5">
        <f t="shared" si="2"/>
        <v>36231.66679257388</v>
      </c>
      <c r="J48" s="5">
        <f t="shared" si="3"/>
        <v>32654.166374999993</v>
      </c>
      <c r="K48" s="9">
        <f>(Tabelle13[[#This Row],[Predicted Cooling Capacity '[kW']]]-Tabelle13[[#This Row],[True Cooling Capacity '[kW']]])^2</f>
        <v>12798509.237741334</v>
      </c>
      <c r="M48" s="5">
        <v>35444.188752767179</v>
      </c>
      <c r="N48" s="42">
        <f>M48-$T$16*$T$17*SQRT(1+1/$T$13+(Tabelle13[[#This Row],[True Cooling Capacity '[kW']]]-$T$14)^2/$T$15)</f>
        <v>34214.584011633997</v>
      </c>
      <c r="O48" s="42">
        <f>M48+$T$16*$T$17*SQRT(1+1/$T$13+(Tabelle13[[#This Row],[True Cooling Capacity '[kW']]]-$T$14)^2/$T$15)</f>
        <v>36673.793493900361</v>
      </c>
      <c r="P48" s="42">
        <f>M48-$T$16*$T$17*SQRT(1/$T$13+(Tabelle13[[#This Row],[True Cooling Capacity '[kW']]]-$T$14)^2/$T$15)</f>
        <v>34917.089152403139</v>
      </c>
      <c r="Q48" s="42">
        <f>M48+$T$16*$T$17*SQRT(1/$T$13+(Tabelle13[[#This Row],[True Cooling Capacity '[kW']]]-$T$14)^2/$T$15)</f>
        <v>35971.288353131218</v>
      </c>
    </row>
    <row r="49" spans="1:17" x14ac:dyDescent="0.3">
      <c r="A49" t="s">
        <v>47</v>
      </c>
      <c r="B49" s="3" t="s">
        <v>167</v>
      </c>
      <c r="C49" s="4">
        <v>25.412724761500002</v>
      </c>
      <c r="D49" s="11">
        <f>(2*(5000*(Tabelle13[[#This Row],[Predicted Size]]/0.861448297))-22199)/10577</f>
        <v>25.791906967949323</v>
      </c>
      <c r="E49" s="3">
        <v>25</v>
      </c>
      <c r="F49" s="4">
        <v>24</v>
      </c>
      <c r="G49">
        <f>(Tabelle13[[#This Row],[True Size X]]+Tabelle13[[#This Row],[True Size Y]])/2</f>
        <v>24.5</v>
      </c>
      <c r="H49" s="10">
        <f>(Tabelle13[[#This Row],[Correlation Function Predicted  Size]]-Tabelle13[[#This Row],[True Mean Size ]])^2</f>
        <v>1.6690236138360139</v>
      </c>
      <c r="I49" s="5">
        <f t="shared" si="2"/>
        <v>3325.4803287502596</v>
      </c>
      <c r="J49" s="5">
        <f t="shared" si="3"/>
        <v>3032.9096137500005</v>
      </c>
      <c r="K49" s="9">
        <f>(Tabelle13[[#This Row],[Predicted Cooling Capacity '[kW']]]-Tabelle13[[#This Row],[True Cooling Capacity '[kW']]])^2</f>
        <v>85597.623275762802</v>
      </c>
      <c r="M49" s="5">
        <v>3288.5179515737123</v>
      </c>
      <c r="N49" s="42">
        <f>M49-$T$16*$T$17*SQRT(1+1/$T$13+(Tabelle13[[#This Row],[True Cooling Capacity '[kW']]]-$T$14)^2/$T$15)</f>
        <v>2172.2206600662707</v>
      </c>
      <c r="O49" s="42">
        <f>M49+$T$16*$T$17*SQRT(1+1/$T$13+(Tabelle13[[#This Row],[True Cooling Capacity '[kW']]]-$T$14)^2/$T$15)</f>
        <v>4404.8152430811533</v>
      </c>
      <c r="P49" s="42">
        <f>M49-$T$16*$T$17*SQRT(1/$T$13+(Tabelle13[[#This Row],[True Cooling Capacity '[kW']]]-$T$14)^2/$T$15)</f>
        <v>3178.8556868078431</v>
      </c>
      <c r="Q49" s="42">
        <f>M49+$T$16*$T$17*SQRT(1/$T$13+(Tabelle13[[#This Row],[True Cooling Capacity '[kW']]]-$T$14)^2/$T$15)</f>
        <v>3398.1802163395814</v>
      </c>
    </row>
    <row r="50" spans="1:17" x14ac:dyDescent="0.3">
      <c r="A50" t="s">
        <v>48</v>
      </c>
      <c r="B50" s="3" t="s">
        <v>225</v>
      </c>
      <c r="C50" s="4">
        <v>24.120552316000001</v>
      </c>
      <c r="D50" s="11">
        <f>(2*(5000*(Tabelle13[[#This Row],[Predicted Size]]/0.861448297))-22199)/10577</f>
        <v>24.373735463742083</v>
      </c>
      <c r="E50" s="3">
        <v>24</v>
      </c>
      <c r="F50" s="4">
        <v>23</v>
      </c>
      <c r="G50">
        <f>(Tabelle13[[#This Row],[True Size X]]+Tabelle13[[#This Row],[True Size Y]])/2</f>
        <v>23.5</v>
      </c>
      <c r="H50" s="10">
        <f>(Tabelle13[[#This Row],[Correlation Function Predicted  Size]]-Tabelle13[[#This Row],[True Mean Size ]])^2</f>
        <v>0.76341366060059268</v>
      </c>
      <c r="I50" s="5">
        <f t="shared" si="2"/>
        <v>3004.6351040878221</v>
      </c>
      <c r="J50" s="5">
        <f t="shared" si="3"/>
        <v>2810.5397737499993</v>
      </c>
      <c r="K50" s="9">
        <f>(Tabelle13[[#This Row],[Predicted Cooling Capacity '[kW']]]-Tabelle13[[#This Row],[True Cooling Capacity '[kW']]])^2</f>
        <v>37672.997258948562</v>
      </c>
      <c r="M50" s="5">
        <v>3047.1220030902505</v>
      </c>
      <c r="N50" s="42">
        <f>M50-$T$16*$T$17*SQRT(1+1/$T$13+(Tabelle13[[#This Row],[True Cooling Capacity '[kW']]]-$T$14)^2/$T$15)</f>
        <v>1930.6480030723533</v>
      </c>
      <c r="O50" s="42">
        <f>M50+$T$16*$T$17*SQRT(1+1/$T$13+(Tabelle13[[#This Row],[True Cooling Capacity '[kW']]]-$T$14)^2/$T$15)</f>
        <v>4163.5960031081477</v>
      </c>
      <c r="P50" s="42">
        <f>M50-$T$16*$T$17*SQRT(1/$T$13+(Tabelle13[[#This Row],[True Cooling Capacity '[kW']]]-$T$14)^2/$T$15)</f>
        <v>2935.6753252452245</v>
      </c>
      <c r="Q50" s="42">
        <f>M50+$T$16*$T$17*SQRT(1/$T$13+(Tabelle13[[#This Row],[True Cooling Capacity '[kW']]]-$T$14)^2/$T$15)</f>
        <v>3158.5686809352765</v>
      </c>
    </row>
    <row r="51" spans="1:17" x14ac:dyDescent="0.3">
      <c r="A51" t="s">
        <v>49</v>
      </c>
      <c r="B51" s="3" t="s">
        <v>194</v>
      </c>
      <c r="C51" s="4">
        <v>25.412724761500002</v>
      </c>
      <c r="D51" s="11">
        <f>(2*(5000*(Tabelle13[[#This Row],[Predicted Size]]/0.861448297))-22199)/10577</f>
        <v>25.791906967949323</v>
      </c>
      <c r="E51" s="3">
        <v>25</v>
      </c>
      <c r="F51" s="4">
        <v>24</v>
      </c>
      <c r="G51">
        <f>(Tabelle13[[#This Row],[True Size X]]+Tabelle13[[#This Row],[True Size Y]])/2</f>
        <v>24.5</v>
      </c>
      <c r="H51" s="10">
        <f>(Tabelle13[[#This Row],[Correlation Function Predicted  Size]]-Tabelle13[[#This Row],[True Mean Size ]])^2</f>
        <v>1.6690236138360139</v>
      </c>
      <c r="I51" s="5">
        <f t="shared" si="2"/>
        <v>3325.4803287502596</v>
      </c>
      <c r="J51" s="5">
        <f t="shared" si="3"/>
        <v>3032.9096137500005</v>
      </c>
      <c r="K51" s="9">
        <f>(Tabelle13[[#This Row],[Predicted Cooling Capacity '[kW']]]-Tabelle13[[#This Row],[True Cooling Capacity '[kW']]])^2</f>
        <v>85597.623275762802</v>
      </c>
      <c r="M51" s="5">
        <v>3288.5179515737123</v>
      </c>
      <c r="N51" s="42">
        <f>M51-$T$16*$T$17*SQRT(1+1/$T$13+(Tabelle13[[#This Row],[True Cooling Capacity '[kW']]]-$T$14)^2/$T$15)</f>
        <v>2172.2206600662707</v>
      </c>
      <c r="O51" s="42">
        <f>M51+$T$16*$T$17*SQRT(1+1/$T$13+(Tabelle13[[#This Row],[True Cooling Capacity '[kW']]]-$T$14)^2/$T$15)</f>
        <v>4404.8152430811533</v>
      </c>
      <c r="P51" s="42">
        <f>M51-$T$16*$T$17*SQRT(1/$T$13+(Tabelle13[[#This Row],[True Cooling Capacity '[kW']]]-$T$14)^2/$T$15)</f>
        <v>3178.8556868078431</v>
      </c>
      <c r="Q51" s="42">
        <f>M51+$T$16*$T$17*SQRT(1/$T$13+(Tabelle13[[#This Row],[True Cooling Capacity '[kW']]]-$T$14)^2/$T$15)</f>
        <v>3398.1802163395814</v>
      </c>
    </row>
    <row r="52" spans="1:17" x14ac:dyDescent="0.3">
      <c r="A52" t="s">
        <v>50</v>
      </c>
      <c r="B52" s="3" t="s">
        <v>187</v>
      </c>
      <c r="C52" s="4">
        <v>23.259104018999999</v>
      </c>
      <c r="D52" s="11">
        <f>(2*(5000*(Tabelle13[[#This Row],[Predicted Size]]/0.861448297))-22199)/10577</f>
        <v>23.428287794270581</v>
      </c>
      <c r="E52" s="3">
        <v>24</v>
      </c>
      <c r="F52" s="4">
        <v>24</v>
      </c>
      <c r="G52">
        <f>(Tabelle13[[#This Row],[True Size X]]+Tabelle13[[#This Row],[True Size Y]])/2</f>
        <v>24</v>
      </c>
      <c r="H52" s="10">
        <f>(Tabelle13[[#This Row],[Correlation Function Predicted  Size]]-Tabelle13[[#This Row],[True Mean Size ]])^2</f>
        <v>0.3268548461799976</v>
      </c>
      <c r="I52" s="5">
        <f t="shared" si="2"/>
        <v>2794.7304397601351</v>
      </c>
      <c r="J52" s="5">
        <f t="shared" si="3"/>
        <v>2921.2780800000005</v>
      </c>
      <c r="K52" s="9">
        <f>(Tabelle13[[#This Row],[Predicted Cooling Capacity '[kW']]]-Tabelle13[[#This Row],[True Cooling Capacity '[kW']]])^2</f>
        <v>16014.30525027839</v>
      </c>
      <c r="M52" s="5">
        <v>3167.3351510183638</v>
      </c>
      <c r="N52" s="42">
        <f>M52-$T$16*$T$17*SQRT(1+1/$T$13+(Tabelle13[[#This Row],[True Cooling Capacity '[kW']]]-$T$14)^2/$T$15)</f>
        <v>2050.9511407884002</v>
      </c>
      <c r="O52" s="42">
        <f>M52+$T$16*$T$17*SQRT(1+1/$T$13+(Tabelle13[[#This Row],[True Cooling Capacity '[kW']]]-$T$14)^2/$T$15)</f>
        <v>4283.7191612483275</v>
      </c>
      <c r="P52" s="42">
        <f>M52-$T$16*$T$17*SQRT(1/$T$13+(Tabelle13[[#This Row],[True Cooling Capacity '[kW']]]-$T$14)^2/$T$15)</f>
        <v>3056.7936312899583</v>
      </c>
      <c r="Q52" s="42">
        <f>M52+$T$16*$T$17*SQRT(1/$T$13+(Tabelle13[[#This Row],[True Cooling Capacity '[kW']]]-$T$14)^2/$T$15)</f>
        <v>3277.8766707467694</v>
      </c>
    </row>
    <row r="53" spans="1:17" x14ac:dyDescent="0.3">
      <c r="A53" t="s">
        <v>51</v>
      </c>
      <c r="B53" s="3" t="s">
        <v>178</v>
      </c>
      <c r="C53" s="4">
        <v>31.442862840499998</v>
      </c>
      <c r="D53" s="11">
        <f>(2*(5000*(Tabelle13[[#This Row],[Predicted Size]]/0.861448297))-22199)/10577</f>
        <v>32.410040654249791</v>
      </c>
      <c r="E53" s="3">
        <v>31</v>
      </c>
      <c r="F53" s="4">
        <v>30</v>
      </c>
      <c r="G53">
        <f>(Tabelle13[[#This Row],[True Size X]]+Tabelle13[[#This Row],[True Size Y]])/2</f>
        <v>30.5</v>
      </c>
      <c r="H53" s="10">
        <f>(Tabelle13[[#This Row],[Correlation Function Predicted  Size]]-Tabelle13[[#This Row],[True Mean Size ]])^2</f>
        <v>3.6482553008869685</v>
      </c>
      <c r="I53" s="5">
        <f t="shared" si="2"/>
        <v>4917.771264153409</v>
      </c>
      <c r="J53" s="5">
        <f t="shared" si="3"/>
        <v>4442.1597637499999</v>
      </c>
      <c r="K53" s="9">
        <f>(Tabelle13[[#This Row],[Predicted Cooling Capacity '[kW']]]-Tabelle13[[#This Row],[True Cooling Capacity '[kW']]])^2</f>
        <v>226206.299315982</v>
      </c>
      <c r="M53" s="5">
        <v>4818.3444631622851</v>
      </c>
      <c r="N53" s="42">
        <f>M53-$T$16*$T$17*SQRT(1+1/$T$13+(Tabelle13[[#This Row],[True Cooling Capacity '[kW']]]-$T$14)^2/$T$15)</f>
        <v>3702.7964779724798</v>
      </c>
      <c r="O53" s="42">
        <f>M53+$T$16*$T$17*SQRT(1+1/$T$13+(Tabelle13[[#This Row],[True Cooling Capacity '[kW']]]-$T$14)^2/$T$15)</f>
        <v>5933.8924483520905</v>
      </c>
      <c r="P53" s="42">
        <f>M53-$T$16*$T$17*SQRT(1/$T$13+(Tabelle13[[#This Row],[True Cooling Capacity '[kW']]]-$T$14)^2/$T$15)</f>
        <v>4716.592428549885</v>
      </c>
      <c r="Q53" s="42">
        <f>M53+$T$16*$T$17*SQRT(1/$T$13+(Tabelle13[[#This Row],[True Cooling Capacity '[kW']]]-$T$14)^2/$T$15)</f>
        <v>4920.0964977746853</v>
      </c>
    </row>
    <row r="54" spans="1:17" x14ac:dyDescent="0.3">
      <c r="A54" t="s">
        <v>52</v>
      </c>
      <c r="B54" s="3" t="s">
        <v>153</v>
      </c>
      <c r="C54" s="4">
        <v>30.581414543499999</v>
      </c>
      <c r="D54" s="11">
        <f>(2*(5000*(Tabelle13[[#This Row],[Predicted Size]]/0.861448297))-22199)/10577</f>
        <v>31.464592984778292</v>
      </c>
      <c r="E54" s="3">
        <v>31</v>
      </c>
      <c r="F54" s="4">
        <v>30</v>
      </c>
      <c r="G54">
        <f>(Tabelle13[[#This Row],[True Size X]]+Tabelle13[[#This Row],[True Size Y]])/2</f>
        <v>30.5</v>
      </c>
      <c r="H54" s="10">
        <f>(Tabelle13[[#This Row],[Correlation Function Predicted  Size]]-Tabelle13[[#This Row],[True Mean Size ]])^2</f>
        <v>0.93043962628349497</v>
      </c>
      <c r="I54" s="5">
        <f t="shared" si="2"/>
        <v>4680.7199654509313</v>
      </c>
      <c r="J54" s="5">
        <f t="shared" si="3"/>
        <v>4442.1597637499999</v>
      </c>
      <c r="K54" s="9">
        <f>(Tabelle13[[#This Row],[Predicted Cooling Capacity '[kW']]]-Tabelle13[[#This Row],[True Cooling Capacity '[kW']]])^2</f>
        <v>56910.969835589087</v>
      </c>
      <c r="M54" s="5">
        <v>4818.3444631622851</v>
      </c>
      <c r="N54" s="42">
        <f>M54-$T$16*$T$17*SQRT(1+1/$T$13+(Tabelle13[[#This Row],[True Cooling Capacity '[kW']]]-$T$14)^2/$T$15)</f>
        <v>3702.7964779724798</v>
      </c>
      <c r="O54" s="42">
        <f>M54+$T$16*$T$17*SQRT(1+1/$T$13+(Tabelle13[[#This Row],[True Cooling Capacity '[kW']]]-$T$14)^2/$T$15)</f>
        <v>5933.8924483520905</v>
      </c>
      <c r="P54" s="42">
        <f>M54-$T$16*$T$17*SQRT(1/$T$13+(Tabelle13[[#This Row],[True Cooling Capacity '[kW']]]-$T$14)^2/$T$15)</f>
        <v>4716.592428549885</v>
      </c>
      <c r="Q54" s="42">
        <f>M54+$T$16*$T$17*SQRT(1/$T$13+(Tabelle13[[#This Row],[True Cooling Capacity '[kW']]]-$T$14)^2/$T$15)</f>
        <v>4920.0964977746853</v>
      </c>
    </row>
    <row r="55" spans="1:17" x14ac:dyDescent="0.3">
      <c r="A55" t="s">
        <v>53</v>
      </c>
      <c r="B55" s="3" t="s">
        <v>193</v>
      </c>
      <c r="C55" s="4">
        <v>29.289242097999999</v>
      </c>
      <c r="D55" s="11">
        <f>(2*(5000*(Tabelle13[[#This Row],[Predicted Size]]/0.861448297))-22199)/10577</f>
        <v>30.046421480571052</v>
      </c>
      <c r="E55" s="3">
        <v>29</v>
      </c>
      <c r="F55" s="4">
        <v>28</v>
      </c>
      <c r="G55">
        <f>(Tabelle13[[#This Row],[True Size X]]+Tabelle13[[#This Row],[True Size Y]])/2</f>
        <v>28.5</v>
      </c>
      <c r="H55" s="10">
        <f>(Tabelle13[[#This Row],[Correlation Function Predicted  Size]]-Tabelle13[[#This Row],[True Mean Size ]])^2</f>
        <v>2.3914193955715644</v>
      </c>
      <c r="I55" s="5">
        <f t="shared" si="2"/>
        <v>4331.1312455681255</v>
      </c>
      <c r="J55" s="5">
        <f t="shared" si="3"/>
        <v>3958.1180737500003</v>
      </c>
      <c r="K55" s="9">
        <f>(Tabelle13[[#This Row],[Predicted Cooling Capacity '[kW']]]-Tabelle13[[#This Row],[True Cooling Capacity '[kW']]])^2</f>
        <v>139138.82634981812</v>
      </c>
      <c r="M55" s="5">
        <v>4292.8878505969878</v>
      </c>
      <c r="N55" s="42">
        <f>M55-$T$16*$T$17*SQRT(1+1/$T$13+(Tabelle13[[#This Row],[True Cooling Capacity '[kW']]]-$T$14)^2/$T$15)</f>
        <v>3177.1547159774964</v>
      </c>
      <c r="O55" s="42">
        <f>M55+$T$16*$T$17*SQRT(1+1/$T$13+(Tabelle13[[#This Row],[True Cooling Capacity '[kW']]]-$T$14)^2/$T$15)</f>
        <v>5408.6209852164793</v>
      </c>
      <c r="P55" s="42">
        <f>M55-$T$16*$T$17*SQRT(1/$T$13+(Tabelle13[[#This Row],[True Cooling Capacity '[kW']]]-$T$14)^2/$T$15)</f>
        <v>4189.1256369806342</v>
      </c>
      <c r="Q55" s="42">
        <f>M55+$T$16*$T$17*SQRT(1/$T$13+(Tabelle13[[#This Row],[True Cooling Capacity '[kW']]]-$T$14)^2/$T$15)</f>
        <v>4396.6500642133415</v>
      </c>
    </row>
    <row r="56" spans="1:17" x14ac:dyDescent="0.3">
      <c r="A56" t="s">
        <v>54</v>
      </c>
      <c r="B56" s="3" t="s">
        <v>243</v>
      </c>
      <c r="C56" s="4">
        <v>24.120552316000001</v>
      </c>
      <c r="D56" s="11">
        <f>(2*(5000*(Tabelle13[[#This Row],[Predicted Size]]/0.861448297))-22199)/10577</f>
        <v>24.373735463742083</v>
      </c>
      <c r="E56" s="3">
        <v>23</v>
      </c>
      <c r="F56" s="4">
        <v>23</v>
      </c>
      <c r="G56">
        <f>(Tabelle13[[#This Row],[True Size X]]+Tabelle13[[#This Row],[True Size Y]])/2</f>
        <v>23</v>
      </c>
      <c r="H56" s="10">
        <f>(Tabelle13[[#This Row],[Correlation Function Predicted  Size]]-Tabelle13[[#This Row],[True Mean Size ]])^2</f>
        <v>1.8871491243426755</v>
      </c>
      <c r="I56" s="5">
        <f t="shared" si="2"/>
        <v>3004.6351040878221</v>
      </c>
      <c r="J56" s="5">
        <f t="shared" si="3"/>
        <v>2700.6946949999997</v>
      </c>
      <c r="K56" s="9">
        <f>(Tabelle13[[#This Row],[Predicted Cooling Capacity '[kW']]]-Tabelle13[[#This Row],[True Cooling Capacity '[kW']]])^2</f>
        <v>92379.772276472868</v>
      </c>
      <c r="M56" s="5">
        <v>2927.878507789374</v>
      </c>
      <c r="N56" s="42">
        <f>M56-$T$16*$T$17*SQRT(1+1/$T$13+(Tabelle13[[#This Row],[True Cooling Capacity '[kW']]]-$T$14)^2/$T$15)</f>
        <v>1811.311343421077</v>
      </c>
      <c r="O56" s="42">
        <f>M56+$T$16*$T$17*SQRT(1+1/$T$13+(Tabelle13[[#This Row],[True Cooling Capacity '[kW']]]-$T$14)^2/$T$15)</f>
        <v>4044.4456721576707</v>
      </c>
      <c r="P56" s="42">
        <f>M56-$T$16*$T$17*SQRT(1/$T$13+(Tabelle13[[#This Row],[True Cooling Capacity '[kW']]]-$T$14)^2/$T$15)</f>
        <v>2815.5023455831956</v>
      </c>
      <c r="Q56" s="42">
        <f>M56+$T$16*$T$17*SQRT(1/$T$13+(Tabelle13[[#This Row],[True Cooling Capacity '[kW']]]-$T$14)^2/$T$15)</f>
        <v>3040.2546699955524</v>
      </c>
    </row>
    <row r="57" spans="1:17" x14ac:dyDescent="0.3">
      <c r="A57" t="s">
        <v>55</v>
      </c>
      <c r="B57" s="3" t="s">
        <v>146</v>
      </c>
      <c r="C57" s="4">
        <v>22.828379870500001</v>
      </c>
      <c r="D57" s="11">
        <f>(2*(5000*(Tabelle13[[#This Row],[Predicted Size]]/0.861448297))-22199)/10577</f>
        <v>22.955563959534839</v>
      </c>
      <c r="E57" s="3">
        <v>23</v>
      </c>
      <c r="F57" s="4">
        <v>23</v>
      </c>
      <c r="G57">
        <f>(Tabelle13[[#This Row],[True Size X]]+Tabelle13[[#This Row],[True Size Y]])/2</f>
        <v>23</v>
      </c>
      <c r="H57" s="10">
        <f>(Tabelle13[[#This Row],[Correlation Function Predicted  Size]]-Tabelle13[[#This Row],[True Mean Size ]])^2</f>
        <v>1.9745616922214383E-3</v>
      </c>
      <c r="I57" s="5">
        <f t="shared" si="2"/>
        <v>2690.9757532304748</v>
      </c>
      <c r="J57" s="5">
        <f t="shared" si="3"/>
        <v>2700.6946949999997</v>
      </c>
      <c r="K57" s="9">
        <f>(Tabelle13[[#This Row],[Predicted Cooling Capacity '[kW']]]-Tabelle13[[#This Row],[True Cooling Capacity '[kW']]])^2</f>
        <v>94.457829119416132</v>
      </c>
      <c r="M57" s="5">
        <v>2927.878507789374</v>
      </c>
      <c r="N57" s="42">
        <f>M57-$T$16*$T$17*SQRT(1+1/$T$13+(Tabelle13[[#This Row],[True Cooling Capacity '[kW']]]-$T$14)^2/$T$15)</f>
        <v>1811.311343421077</v>
      </c>
      <c r="O57" s="42">
        <f>M57+$T$16*$T$17*SQRT(1+1/$T$13+(Tabelle13[[#This Row],[True Cooling Capacity '[kW']]]-$T$14)^2/$T$15)</f>
        <v>4044.4456721576707</v>
      </c>
      <c r="P57" s="42">
        <f>M57-$T$16*$T$17*SQRT(1/$T$13+(Tabelle13[[#This Row],[True Cooling Capacity '[kW']]]-$T$14)^2/$T$15)</f>
        <v>2815.5023455831956</v>
      </c>
      <c r="Q57" s="42">
        <f>M57+$T$16*$T$17*SQRT(1/$T$13+(Tabelle13[[#This Row],[True Cooling Capacity '[kW']]]-$T$14)^2/$T$15)</f>
        <v>3040.2546699955524</v>
      </c>
    </row>
    <row r="58" spans="1:17" x14ac:dyDescent="0.3">
      <c r="A58" t="s">
        <v>56</v>
      </c>
      <c r="B58" s="3" t="s">
        <v>143</v>
      </c>
      <c r="C58" s="4">
        <v>31.012138692000001</v>
      </c>
      <c r="D58" s="11">
        <f>(2*(5000*(Tabelle13[[#This Row],[Predicted Size]]/0.861448297))-22199)/10577</f>
        <v>31.937316819514042</v>
      </c>
      <c r="E58" s="3">
        <v>30</v>
      </c>
      <c r="F58" s="4">
        <v>31</v>
      </c>
      <c r="G58">
        <f>(Tabelle13[[#This Row],[True Size X]]+Tabelle13[[#This Row],[True Size Y]])/2</f>
        <v>30.5</v>
      </c>
      <c r="H58" s="10">
        <f>(Tabelle13[[#This Row],[Correlation Function Predicted  Size]]-Tabelle13[[#This Row],[True Mean Size ]])^2</f>
        <v>2.0658796396579597</v>
      </c>
      <c r="I58" s="5">
        <f t="shared" si="2"/>
        <v>4798.8463995907769</v>
      </c>
      <c r="J58" s="5">
        <f t="shared" si="3"/>
        <v>4442.1597637499999</v>
      </c>
      <c r="K58" s="9">
        <f>(Tabelle13[[#This Row],[Predicted Cooling Capacity '[kW']]]-Tabelle13[[#This Row],[True Cooling Capacity '[kW']]])^2</f>
        <v>127225.35618741102</v>
      </c>
      <c r="M58" s="5">
        <v>4818.3444631622851</v>
      </c>
      <c r="N58" s="42">
        <f>M58-$T$16*$T$17*SQRT(1+1/$T$13+(Tabelle13[[#This Row],[True Cooling Capacity '[kW']]]-$T$14)^2/$T$15)</f>
        <v>3702.7964779724798</v>
      </c>
      <c r="O58" s="42">
        <f>M58+$T$16*$T$17*SQRT(1+1/$T$13+(Tabelle13[[#This Row],[True Cooling Capacity '[kW']]]-$T$14)^2/$T$15)</f>
        <v>5933.8924483520905</v>
      </c>
      <c r="P58" s="42">
        <f>M58-$T$16*$T$17*SQRT(1/$T$13+(Tabelle13[[#This Row],[True Cooling Capacity '[kW']]]-$T$14)^2/$T$15)</f>
        <v>4716.592428549885</v>
      </c>
      <c r="Q58" s="42">
        <f>M58+$T$16*$T$17*SQRT(1/$T$13+(Tabelle13[[#This Row],[True Cooling Capacity '[kW']]]-$T$14)^2/$T$15)</f>
        <v>4920.0964977746853</v>
      </c>
    </row>
    <row r="59" spans="1:17" x14ac:dyDescent="0.3">
      <c r="A59" t="s">
        <v>57</v>
      </c>
      <c r="B59" s="3" t="s">
        <v>159</v>
      </c>
      <c r="C59" s="4">
        <v>31.012138692000001</v>
      </c>
      <c r="D59" s="11">
        <f>(2*(5000*(Tabelle13[[#This Row],[Predicted Size]]/0.861448297))-22199)/10577</f>
        <v>31.937316819514042</v>
      </c>
      <c r="E59" s="3">
        <v>30</v>
      </c>
      <c r="F59" s="4">
        <v>31</v>
      </c>
      <c r="G59">
        <f>(Tabelle13[[#This Row],[True Size X]]+Tabelle13[[#This Row],[True Size Y]])/2</f>
        <v>30.5</v>
      </c>
      <c r="H59" s="10">
        <f>(Tabelle13[[#This Row],[Correlation Function Predicted  Size]]-Tabelle13[[#This Row],[True Mean Size ]])^2</f>
        <v>2.0658796396579597</v>
      </c>
      <c r="I59" s="5">
        <f t="shared" si="2"/>
        <v>4798.8463995907769</v>
      </c>
      <c r="J59" s="5">
        <f t="shared" si="3"/>
        <v>4442.1597637499999</v>
      </c>
      <c r="K59" s="9">
        <f>(Tabelle13[[#This Row],[Predicted Cooling Capacity '[kW']]]-Tabelle13[[#This Row],[True Cooling Capacity '[kW']]])^2</f>
        <v>127225.35618741102</v>
      </c>
      <c r="M59" s="5">
        <v>4818.3444631622851</v>
      </c>
      <c r="N59" s="42">
        <f>M59-$T$16*$T$17*SQRT(1+1/$T$13+(Tabelle13[[#This Row],[True Cooling Capacity '[kW']]]-$T$14)^2/$T$15)</f>
        <v>3702.7964779724798</v>
      </c>
      <c r="O59" s="42">
        <f>M59+$T$16*$T$17*SQRT(1+1/$T$13+(Tabelle13[[#This Row],[True Cooling Capacity '[kW']]]-$T$14)^2/$T$15)</f>
        <v>5933.8924483520905</v>
      </c>
      <c r="P59" s="42">
        <f>M59-$T$16*$T$17*SQRT(1/$T$13+(Tabelle13[[#This Row],[True Cooling Capacity '[kW']]]-$T$14)^2/$T$15)</f>
        <v>4716.592428549885</v>
      </c>
      <c r="Q59" s="42">
        <f>M59+$T$16*$T$17*SQRT(1/$T$13+(Tabelle13[[#This Row],[True Cooling Capacity '[kW']]]-$T$14)^2/$T$15)</f>
        <v>4920.0964977746853</v>
      </c>
    </row>
    <row r="60" spans="1:17" x14ac:dyDescent="0.3">
      <c r="A60" t="s">
        <v>58</v>
      </c>
      <c r="B60" s="3" t="s">
        <v>142</v>
      </c>
      <c r="C60" s="4">
        <v>32.304311137500001</v>
      </c>
      <c r="D60" s="11">
        <f>(2*(5000*(Tabelle13[[#This Row],[Predicted Size]]/0.861448297))-22199)/10577</f>
        <v>33.355488323721282</v>
      </c>
      <c r="E60" s="3">
        <v>31</v>
      </c>
      <c r="F60" s="4">
        <v>31</v>
      </c>
      <c r="G60">
        <f>(Tabelle13[[#This Row],[True Size X]]+Tabelle13[[#This Row],[True Size Y]])/2</f>
        <v>31</v>
      </c>
      <c r="H60" s="10">
        <f>(Tabelle13[[#This Row],[Correlation Function Predicted  Size]]-Tabelle13[[#This Row],[True Mean Size ]])^2</f>
        <v>5.5483252431872954</v>
      </c>
      <c r="I60" s="5">
        <f t="shared" si="2"/>
        <v>5158.0162845470368</v>
      </c>
      <c r="J60" s="5">
        <f t="shared" si="3"/>
        <v>4565.4032550000011</v>
      </c>
      <c r="K60" s="9">
        <f>(Tabelle13[[#This Row],[Predicted Cooling Capacity '[kW']]]-Tabelle13[[#This Row],[True Cooling Capacity '[kW']]])^2</f>
        <v>351190.20278891578</v>
      </c>
      <c r="M60" s="5">
        <v>4952.1327478717003</v>
      </c>
      <c r="N60" s="42">
        <f>M60-$T$16*$T$17*SQRT(1+1/$T$13+(Tabelle13[[#This Row],[True Cooling Capacity '[kW']]]-$T$14)^2/$T$15)</f>
        <v>3836.61982750572</v>
      </c>
      <c r="O60" s="42">
        <f>M60+$T$16*$T$17*SQRT(1+1/$T$13+(Tabelle13[[#This Row],[True Cooling Capacity '[kW']]]-$T$14)^2/$T$15)</f>
        <v>6067.6456682376811</v>
      </c>
      <c r="P60" s="42">
        <f>M60-$T$16*$T$17*SQRT(1/$T$13+(Tabelle13[[#This Row],[True Cooling Capacity '[kW']]]-$T$14)^2/$T$15)</f>
        <v>4850.7658657544753</v>
      </c>
      <c r="Q60" s="42">
        <f>M60+$T$16*$T$17*SQRT(1/$T$13+(Tabelle13[[#This Row],[True Cooling Capacity '[kW']]]-$T$14)^2/$T$15)</f>
        <v>5053.4996299889253</v>
      </c>
    </row>
    <row r="61" spans="1:17" x14ac:dyDescent="0.3">
      <c r="A61" t="s">
        <v>59</v>
      </c>
      <c r="B61" s="3" t="s">
        <v>216</v>
      </c>
      <c r="C61" s="4">
        <v>31.442862840499998</v>
      </c>
      <c r="D61" s="11">
        <f>(2*(5000*(Tabelle13[[#This Row],[Predicted Size]]/0.861448297))-22199)/10577</f>
        <v>32.410040654249791</v>
      </c>
      <c r="E61" s="3">
        <v>31</v>
      </c>
      <c r="F61" s="4">
        <v>31</v>
      </c>
      <c r="G61">
        <f>(Tabelle13[[#This Row],[True Size X]]+Tabelle13[[#This Row],[True Size Y]])/2</f>
        <v>31</v>
      </c>
      <c r="H61" s="10">
        <f>(Tabelle13[[#This Row],[Correlation Function Predicted  Size]]-Tabelle13[[#This Row],[True Mean Size ]])^2</f>
        <v>1.988214646637178</v>
      </c>
      <c r="I61" s="5">
        <f t="shared" si="2"/>
        <v>4917.771264153409</v>
      </c>
      <c r="J61" s="5">
        <f t="shared" si="3"/>
        <v>4565.4032550000011</v>
      </c>
      <c r="K61" s="9">
        <f>(Tabelle13[[#This Row],[Predicted Cooling Capacity '[kW']]]-Tabelle13[[#This Row],[True Cooling Capacity '[kW']]])^2</f>
        <v>124163.21387473616</v>
      </c>
      <c r="M61" s="5">
        <v>4952.1327478717003</v>
      </c>
      <c r="N61" s="42">
        <f>M61-$T$16*$T$17*SQRT(1+1/$T$13+(Tabelle13[[#This Row],[True Cooling Capacity '[kW']]]-$T$14)^2/$T$15)</f>
        <v>3836.61982750572</v>
      </c>
      <c r="O61" s="42">
        <f>M61+$T$16*$T$17*SQRT(1+1/$T$13+(Tabelle13[[#This Row],[True Cooling Capacity '[kW']]]-$T$14)^2/$T$15)</f>
        <v>6067.6456682376811</v>
      </c>
      <c r="P61" s="42">
        <f>M61-$T$16*$T$17*SQRT(1/$T$13+(Tabelle13[[#This Row],[True Cooling Capacity '[kW']]]-$T$14)^2/$T$15)</f>
        <v>4850.7658657544753</v>
      </c>
      <c r="Q61" s="42">
        <f>M61+$T$16*$T$17*SQRT(1/$T$13+(Tabelle13[[#This Row],[True Cooling Capacity '[kW']]]-$T$14)^2/$T$15)</f>
        <v>5053.4996299889253</v>
      </c>
    </row>
    <row r="62" spans="1:17" x14ac:dyDescent="0.3">
      <c r="A62" t="s">
        <v>60</v>
      </c>
      <c r="B62" s="3" t="s">
        <v>190</v>
      </c>
      <c r="C62" s="4">
        <v>28.858517949500001</v>
      </c>
      <c r="D62" s="11">
        <f>(2*(5000*(Tabelle13[[#This Row],[Predicted Size]]/0.861448297))-22199)/10577</f>
        <v>29.573697645835303</v>
      </c>
      <c r="E62" s="3">
        <v>28</v>
      </c>
      <c r="F62" s="4">
        <v>28</v>
      </c>
      <c r="G62">
        <f>(Tabelle13[[#This Row],[True Size X]]+Tabelle13[[#This Row],[True Size Y]])/2</f>
        <v>28</v>
      </c>
      <c r="H62" s="10">
        <f>(Tabelle13[[#This Row],[Correlation Function Predicted  Size]]-Tabelle13[[#This Row],[True Mean Size ]])^2</f>
        <v>2.476524280507574</v>
      </c>
      <c r="I62" s="5">
        <f t="shared" si="2"/>
        <v>4216.1985331194319</v>
      </c>
      <c r="J62" s="5">
        <f t="shared" si="3"/>
        <v>3839.3407200000006</v>
      </c>
      <c r="K62" s="9">
        <f>(Tabelle13[[#This Row],[Predicted Cooling Capacity '[kW']]]-Tabelle13[[#This Row],[True Cooling Capacity '[kW']]])^2</f>
        <v>142021.8113091602</v>
      </c>
      <c r="M62" s="5">
        <v>4163.947829023753</v>
      </c>
      <c r="N62" s="42">
        <f>M62-$T$16*$T$17*SQRT(1+1/$T$13+(Tabelle13[[#This Row],[True Cooling Capacity '[kW']]]-$T$14)^2/$T$15)</f>
        <v>3048.1577106222885</v>
      </c>
      <c r="O62" s="42">
        <f>M62+$T$16*$T$17*SQRT(1+1/$T$13+(Tabelle13[[#This Row],[True Cooling Capacity '[kW']]]-$T$14)^2/$T$15)</f>
        <v>5279.7379474252175</v>
      </c>
      <c r="P62" s="42">
        <f>M62-$T$16*$T$17*SQRT(1/$T$13+(Tabelle13[[#This Row],[True Cooling Capacity '[kW']]]-$T$14)^2/$T$15)</f>
        <v>4059.5746638466667</v>
      </c>
      <c r="Q62" s="42">
        <f>M62+$T$16*$T$17*SQRT(1/$T$13+(Tabelle13[[#This Row],[True Cooling Capacity '[kW']]]-$T$14)^2/$T$15)</f>
        <v>4268.3209942008389</v>
      </c>
    </row>
    <row r="63" spans="1:17" x14ac:dyDescent="0.3">
      <c r="A63" t="s">
        <v>61</v>
      </c>
      <c r="B63" s="3" t="s">
        <v>242</v>
      </c>
      <c r="C63" s="4">
        <v>28.858517949500001</v>
      </c>
      <c r="D63" s="11">
        <f>(2*(5000*(Tabelle13[[#This Row],[Predicted Size]]/0.861448297))-22199)/10577</f>
        <v>29.573697645835303</v>
      </c>
      <c r="E63" s="3">
        <v>28</v>
      </c>
      <c r="F63" s="4">
        <v>28</v>
      </c>
      <c r="G63">
        <f>(Tabelle13[[#This Row],[True Size X]]+Tabelle13[[#This Row],[True Size Y]])/2</f>
        <v>28</v>
      </c>
      <c r="H63" s="10">
        <f>(Tabelle13[[#This Row],[Correlation Function Predicted  Size]]-Tabelle13[[#This Row],[True Mean Size ]])^2</f>
        <v>2.476524280507574</v>
      </c>
      <c r="I63" s="5">
        <f t="shared" si="2"/>
        <v>4216.1985331194319</v>
      </c>
      <c r="J63" s="5">
        <f t="shared" si="3"/>
        <v>3839.3407200000006</v>
      </c>
      <c r="K63" s="9">
        <f>(Tabelle13[[#This Row],[Predicted Cooling Capacity '[kW']]]-Tabelle13[[#This Row],[True Cooling Capacity '[kW']]])^2</f>
        <v>142021.8113091602</v>
      </c>
      <c r="M63" s="5">
        <v>4163.947829023753</v>
      </c>
      <c r="N63" s="42">
        <f>M63-$T$16*$T$17*SQRT(1+1/$T$13+(Tabelle13[[#This Row],[True Cooling Capacity '[kW']]]-$T$14)^2/$T$15)</f>
        <v>3048.1577106222885</v>
      </c>
      <c r="O63" s="42">
        <f>M63+$T$16*$T$17*SQRT(1+1/$T$13+(Tabelle13[[#This Row],[True Cooling Capacity '[kW']]]-$T$14)^2/$T$15)</f>
        <v>5279.7379474252175</v>
      </c>
      <c r="P63" s="42">
        <f>M63-$T$16*$T$17*SQRT(1/$T$13+(Tabelle13[[#This Row],[True Cooling Capacity '[kW']]]-$T$14)^2/$T$15)</f>
        <v>4059.5746638466667</v>
      </c>
      <c r="Q63" s="42">
        <f>M63+$T$16*$T$17*SQRT(1/$T$13+(Tabelle13[[#This Row],[True Cooling Capacity '[kW']]]-$T$14)^2/$T$15)</f>
        <v>4268.3209942008389</v>
      </c>
    </row>
    <row r="64" spans="1:17" x14ac:dyDescent="0.3">
      <c r="A64" t="s">
        <v>62</v>
      </c>
      <c r="B64" s="3" t="s">
        <v>231</v>
      </c>
      <c r="C64" s="4">
        <v>34.027207731499999</v>
      </c>
      <c r="D64" s="11">
        <f>(2*(5000*(Tabelle13[[#This Row],[Predicted Size]]/0.861448297))-22199)/10577</f>
        <v>35.246383662664272</v>
      </c>
      <c r="E64" s="3">
        <v>34</v>
      </c>
      <c r="F64" s="4">
        <v>34</v>
      </c>
      <c r="G64">
        <f>(Tabelle13[[#This Row],[True Size X]]+Tabelle13[[#This Row],[True Size Y]])/2</f>
        <v>34</v>
      </c>
      <c r="H64" s="10">
        <f>(Tabelle13[[#This Row],[Correlation Function Predicted  Size]]-Tabelle13[[#This Row],[True Mean Size ]])^2</f>
        <v>1.5534722345564049</v>
      </c>
      <c r="I64" s="5">
        <f t="shared" si="2"/>
        <v>5648.08749040775</v>
      </c>
      <c r="J64" s="5">
        <f t="shared" si="3"/>
        <v>5323.6219799999999</v>
      </c>
      <c r="K64" s="9">
        <f>(Tabelle13[[#This Row],[Predicted Cooling Capacity '[kW']]]-Tabelle13[[#This Row],[True Cooling Capacity '[kW']]])^2</f>
        <v>105277.86744416181</v>
      </c>
      <c r="M64" s="5">
        <v>5775.2251613001354</v>
      </c>
      <c r="N64" s="42">
        <f>M64-$T$16*$T$17*SQRT(1+1/$T$13+(Tabelle13[[#This Row],[True Cooling Capacity '[kW']]]-$T$14)^2/$T$15)</f>
        <v>4659.8200896826929</v>
      </c>
      <c r="O64" s="42">
        <f>M64+$T$16*$T$17*SQRT(1+1/$T$13+(Tabelle13[[#This Row],[True Cooling Capacity '[kW']]]-$T$14)^2/$T$15)</f>
        <v>6890.6302329175778</v>
      </c>
      <c r="P64" s="42">
        <f>M64-$T$16*$T$17*SQRT(1/$T$13+(Tabelle13[[#This Row],[True Cooling Capacity '[kW']]]-$T$14)^2/$T$15)</f>
        <v>5675.0520956754854</v>
      </c>
      <c r="Q64" s="42">
        <f>M64+$T$16*$T$17*SQRT(1/$T$13+(Tabelle13[[#This Row],[True Cooling Capacity '[kW']]]-$T$14)^2/$T$15)</f>
        <v>5875.3982269247854</v>
      </c>
    </row>
    <row r="65" spans="1:17" x14ac:dyDescent="0.3">
      <c r="A65" t="s">
        <v>63</v>
      </c>
      <c r="B65" s="3" t="s">
        <v>226</v>
      </c>
      <c r="C65" s="4">
        <v>34.027207731499999</v>
      </c>
      <c r="D65" s="11">
        <f>(2*(5000*(Tabelle13[[#This Row],[Predicted Size]]/0.861448297))-22199)/10577</f>
        <v>35.246383662664272</v>
      </c>
      <c r="E65" s="3">
        <v>34</v>
      </c>
      <c r="F65" s="4">
        <v>34</v>
      </c>
      <c r="G65">
        <f>(Tabelle13[[#This Row],[True Size X]]+Tabelle13[[#This Row],[True Size Y]])/2</f>
        <v>34</v>
      </c>
      <c r="H65" s="10">
        <f>(Tabelle13[[#This Row],[Correlation Function Predicted  Size]]-Tabelle13[[#This Row],[True Mean Size ]])^2</f>
        <v>1.5534722345564049</v>
      </c>
      <c r="I65" s="5">
        <f t="shared" si="2"/>
        <v>5648.08749040775</v>
      </c>
      <c r="J65" s="5">
        <f t="shared" si="3"/>
        <v>5323.6219799999999</v>
      </c>
      <c r="K65" s="9">
        <f>(Tabelle13[[#This Row],[Predicted Cooling Capacity '[kW']]]-Tabelle13[[#This Row],[True Cooling Capacity '[kW']]])^2</f>
        <v>105277.86744416181</v>
      </c>
      <c r="M65" s="5">
        <v>5775.2251613001354</v>
      </c>
      <c r="N65" s="42">
        <f>M65-$T$16*$T$17*SQRT(1+1/$T$13+(Tabelle13[[#This Row],[True Cooling Capacity '[kW']]]-$T$14)^2/$T$15)</f>
        <v>4659.8200896826929</v>
      </c>
      <c r="O65" s="42">
        <f>M65+$T$16*$T$17*SQRT(1+1/$T$13+(Tabelle13[[#This Row],[True Cooling Capacity '[kW']]]-$T$14)^2/$T$15)</f>
        <v>6890.6302329175778</v>
      </c>
      <c r="P65" s="42">
        <f>M65-$T$16*$T$17*SQRT(1/$T$13+(Tabelle13[[#This Row],[True Cooling Capacity '[kW']]]-$T$14)^2/$T$15)</f>
        <v>5675.0520956754854</v>
      </c>
      <c r="Q65" s="42">
        <f>M65+$T$16*$T$17*SQRT(1/$T$13+(Tabelle13[[#This Row],[True Cooling Capacity '[kW']]]-$T$14)^2/$T$15)</f>
        <v>5875.3982269247854</v>
      </c>
    </row>
    <row r="66" spans="1:17" x14ac:dyDescent="0.3">
      <c r="A66" t="s">
        <v>64</v>
      </c>
      <c r="B66" s="3" t="s">
        <v>220</v>
      </c>
      <c r="C66" s="4">
        <v>34.888656028500002</v>
      </c>
      <c r="D66" s="11">
        <f>(2*(5000*(Tabelle13[[#This Row],[Predicted Size]]/0.861448297))-22199)/10577</f>
        <v>36.191831332135763</v>
      </c>
      <c r="E66" s="3">
        <v>34</v>
      </c>
      <c r="F66" s="4">
        <v>34</v>
      </c>
      <c r="G66">
        <f>(Tabelle13[[#This Row],[True Size X]]+Tabelle13[[#This Row],[True Size Y]])/2</f>
        <v>34</v>
      </c>
      <c r="H66" s="10">
        <f>(Tabelle13[[#This Row],[Correlation Function Predicted  Size]]-Tabelle13[[#This Row],[True Mean Size ]])^2</f>
        <v>4.8041245885320336</v>
      </c>
      <c r="I66" s="5">
        <f t="shared" si="2"/>
        <v>5897.9136758748355</v>
      </c>
      <c r="J66" s="5">
        <f t="shared" si="3"/>
        <v>5323.6219799999999</v>
      </c>
      <c r="K66" s="9">
        <f>(Tabelle13[[#This Row],[Predicted Cooling Capacity '[kW']]]-Tabelle13[[#This Row],[True Cooling Capacity '[kW']]])^2</f>
        <v>329810.95195079461</v>
      </c>
      <c r="M66" s="5">
        <v>5775.2251613001354</v>
      </c>
      <c r="N66" s="42">
        <f>M66-$T$16*$T$17*SQRT(1+1/$T$13+(Tabelle13[[#This Row],[True Cooling Capacity '[kW']]]-$T$14)^2/$T$15)</f>
        <v>4659.8200896826929</v>
      </c>
      <c r="O66" s="42">
        <f>M66+$T$16*$T$17*SQRT(1+1/$T$13+(Tabelle13[[#This Row],[True Cooling Capacity '[kW']]]-$T$14)^2/$T$15)</f>
        <v>6890.6302329175778</v>
      </c>
      <c r="P66" s="42">
        <f>M66-$T$16*$T$17*SQRT(1/$T$13+(Tabelle13[[#This Row],[True Cooling Capacity '[kW']]]-$T$14)^2/$T$15)</f>
        <v>5675.0520956754854</v>
      </c>
      <c r="Q66" s="42">
        <f>M66+$T$16*$T$17*SQRT(1/$T$13+(Tabelle13[[#This Row],[True Cooling Capacity '[kW']]]-$T$14)^2/$T$15)</f>
        <v>5875.3982269247854</v>
      </c>
    </row>
    <row r="67" spans="1:17" x14ac:dyDescent="0.3">
      <c r="A67" t="s">
        <v>65</v>
      </c>
      <c r="B67" s="3" t="s">
        <v>211</v>
      </c>
      <c r="C67" s="4">
        <v>34.457931879999997</v>
      </c>
      <c r="D67" s="11">
        <f>(2*(5000*(Tabelle13[[#This Row],[Predicted Size]]/0.861448297))-22199)/10577</f>
        <v>35.71910749740001</v>
      </c>
      <c r="E67" s="3">
        <v>34</v>
      </c>
      <c r="F67" s="4">
        <v>34</v>
      </c>
      <c r="G67">
        <f>(Tabelle13[[#This Row],[True Size X]]+Tabelle13[[#This Row],[True Size Y]])/2</f>
        <v>34</v>
      </c>
      <c r="H67" s="10">
        <f>(Tabelle13[[#This Row],[Correlation Function Predicted  Size]]-Tabelle13[[#This Row],[True Mean Size ]])^2</f>
        <v>2.9553305876169262</v>
      </c>
      <c r="I67" s="5">
        <f t="shared" ref="I67:I98" si="4">220.55*(D67*0.09)^2 + 1518*(D67*0.09) - 1386.6</f>
        <v>5772.6013679298976</v>
      </c>
      <c r="J67" s="5">
        <f t="shared" ref="J67:J98" si="5">220.55*(G67*0.09)^2 + 1518*(G67*0.09) - 1386.6</f>
        <v>5323.6219799999999</v>
      </c>
      <c r="K67" s="9">
        <f>(Tabelle13[[#This Row],[Predicted Cooling Capacity '[kW']]]-Tabelle13[[#This Row],[True Cooling Capacity '[kW']]])^2</f>
        <v>201582.49078590557</v>
      </c>
      <c r="M67" s="5">
        <v>5775.2251613001354</v>
      </c>
      <c r="N67" s="42">
        <f>M67-$T$16*$T$17*SQRT(1+1/$T$13+(Tabelle13[[#This Row],[True Cooling Capacity '[kW']]]-$T$14)^2/$T$15)</f>
        <v>4659.8200896826929</v>
      </c>
      <c r="O67" s="42">
        <f>M67+$T$16*$T$17*SQRT(1+1/$T$13+(Tabelle13[[#This Row],[True Cooling Capacity '[kW']]]-$T$14)^2/$T$15)</f>
        <v>6890.6302329175778</v>
      </c>
      <c r="P67" s="42">
        <f>M67-$T$16*$T$17*SQRT(1/$T$13+(Tabelle13[[#This Row],[True Cooling Capacity '[kW']]]-$T$14)^2/$T$15)</f>
        <v>5675.0520956754854</v>
      </c>
      <c r="Q67" s="42">
        <f>M67+$T$16*$T$17*SQRT(1/$T$13+(Tabelle13[[#This Row],[True Cooling Capacity '[kW']]]-$T$14)^2/$T$15)</f>
        <v>5875.3982269247854</v>
      </c>
    </row>
    <row r="68" spans="1:17" x14ac:dyDescent="0.3">
      <c r="A68" t="s">
        <v>66</v>
      </c>
      <c r="B68" s="3" t="s">
        <v>156</v>
      </c>
      <c r="C68" s="4">
        <v>37.473000919500002</v>
      </c>
      <c r="D68" s="11">
        <f>(2*(5000*(Tabelle13[[#This Row],[Predicted Size]]/0.861448297))-22199)/10577</f>
        <v>39.028174340550251</v>
      </c>
      <c r="E68" s="3">
        <v>36</v>
      </c>
      <c r="F68" s="4">
        <v>36</v>
      </c>
      <c r="G68">
        <f>(Tabelle13[[#This Row],[True Size X]]+Tabelle13[[#This Row],[True Size Y]])/2</f>
        <v>36</v>
      </c>
      <c r="H68" s="10">
        <f>(Tabelle13[[#This Row],[Correlation Function Predicted  Size]]-Tabelle13[[#This Row],[True Mean Size ]])^2</f>
        <v>9.1698398367669469</v>
      </c>
      <c r="I68" s="5">
        <f t="shared" si="4"/>
        <v>6666.5545624230017</v>
      </c>
      <c r="J68" s="5">
        <f t="shared" si="5"/>
        <v>5846.9656799999993</v>
      </c>
      <c r="K68" s="9">
        <f>(Tabelle13[[#This Row],[Predicted Cooling Capacity '[kW']]]-Tabelle13[[#This Row],[True Cooling Capacity '[kW']]])^2</f>
        <v>671725.93619138596</v>
      </c>
      <c r="M68" s="5">
        <v>6343.3464894638082</v>
      </c>
      <c r="N68" s="42">
        <f>M68-$T$16*$T$17*SQRT(1+1/$T$13+(Tabelle13[[#This Row],[True Cooling Capacity '[kW']]]-$T$14)^2/$T$15)</f>
        <v>5227.9075856167874</v>
      </c>
      <c r="O68" s="42">
        <f>M68+$T$16*$T$17*SQRT(1+1/$T$13+(Tabelle13[[#This Row],[True Cooling Capacity '[kW']]]-$T$14)^2/$T$15)</f>
        <v>7458.785393310829</v>
      </c>
      <c r="P68" s="42">
        <f>M68-$T$16*$T$17*SQRT(1/$T$13+(Tabelle13[[#This Row],[True Cooling Capacity '[kW']]]-$T$14)^2/$T$15)</f>
        <v>6242.7974093975372</v>
      </c>
      <c r="Q68" s="42">
        <f>M68+$T$16*$T$17*SQRT(1/$T$13+(Tabelle13[[#This Row],[True Cooling Capacity '[kW']]]-$T$14)^2/$T$15)</f>
        <v>6443.8955695300792</v>
      </c>
    </row>
    <row r="69" spans="1:17" x14ac:dyDescent="0.3">
      <c r="A69" t="s">
        <v>67</v>
      </c>
      <c r="B69" s="3" t="s">
        <v>219</v>
      </c>
      <c r="C69" s="4">
        <v>21.536207425000001</v>
      </c>
      <c r="D69" s="11">
        <f>(2*(5000*(Tabelle13[[#This Row],[Predicted Size]]/0.861448297))-22199)/10577</f>
        <v>21.537392455327598</v>
      </c>
      <c r="E69" s="3">
        <v>20</v>
      </c>
      <c r="F69" s="4">
        <v>20</v>
      </c>
      <c r="G69">
        <f>(Tabelle13[[#This Row],[True Size X]]+Tabelle13[[#This Row],[True Size Y]])/2</f>
        <v>20</v>
      </c>
      <c r="H69" s="10">
        <f>(Tabelle13[[#This Row],[Correlation Function Predicted  Size]]-Tabelle13[[#This Row],[True Mean Size ]])^2</f>
        <v>2.3635755616982217</v>
      </c>
      <c r="I69" s="5">
        <f t="shared" si="4"/>
        <v>2384.5022761782207</v>
      </c>
      <c r="J69" s="5">
        <f t="shared" si="5"/>
        <v>2060.3819999999996</v>
      </c>
      <c r="K69" s="9">
        <f>(Tabelle13[[#This Row],[Predicted Cooling Capacity '[kW']]]-Tabelle13[[#This Row],[True Cooling Capacity '[kW']]])^2</f>
        <v>105053.95342984628</v>
      </c>
      <c r="M69" s="5">
        <v>2232.7802411560669</v>
      </c>
      <c r="N69" s="42">
        <f>M69-$T$16*$T$17*SQRT(1+1/$T$13+(Tabelle13[[#This Row],[True Cooling Capacity '[kW']]]-$T$14)^2/$T$15)</f>
        <v>1115.5927309082024</v>
      </c>
      <c r="O69" s="42">
        <f>M69+$T$16*$T$17*SQRT(1+1/$T$13+(Tabelle13[[#This Row],[True Cooling Capacity '[kW']]]-$T$14)^2/$T$15)</f>
        <v>3349.9677514039313</v>
      </c>
      <c r="P69" s="42">
        <f>M69-$T$16*$T$17*SQRT(1/$T$13+(Tabelle13[[#This Row],[True Cooling Capacity '[kW']]]-$T$14)^2/$T$15)</f>
        <v>2114.3990672281479</v>
      </c>
      <c r="Q69" s="42">
        <f>M69+$T$16*$T$17*SQRT(1/$T$13+(Tabelle13[[#This Row],[True Cooling Capacity '[kW']]]-$T$14)^2/$T$15)</f>
        <v>2351.161415083986</v>
      </c>
    </row>
    <row r="70" spans="1:17" x14ac:dyDescent="0.3">
      <c r="A70" t="s">
        <v>68</v>
      </c>
      <c r="B70" s="3" t="s">
        <v>204</v>
      </c>
      <c r="C70" s="4">
        <v>20.674759128000002</v>
      </c>
      <c r="D70" s="11">
        <f>(2*(5000*(Tabelle13[[#This Row],[Predicted Size]]/0.861448297))-22199)/10577</f>
        <v>20.591944785856104</v>
      </c>
      <c r="E70" s="3">
        <v>20</v>
      </c>
      <c r="F70" s="4">
        <v>20</v>
      </c>
      <c r="G70">
        <f>(Tabelle13[[#This Row],[True Size X]]+Tabelle13[[#This Row],[True Size Y]])/2</f>
        <v>20</v>
      </c>
      <c r="H70" s="10">
        <f>(Tabelle13[[#This Row],[Correlation Function Predicted  Size]]-Tabelle13[[#This Row],[True Mean Size ]])^2</f>
        <v>0.35039862950222828</v>
      </c>
      <c r="I70" s="5">
        <f t="shared" si="4"/>
        <v>2184.1787769239913</v>
      </c>
      <c r="J70" s="5">
        <f t="shared" si="5"/>
        <v>2060.3819999999996</v>
      </c>
      <c r="K70" s="9">
        <f>(Tabelle13[[#This Row],[Predicted Cooling Capacity '[kW']]]-Tabelle13[[#This Row],[True Cooling Capacity '[kW']]])^2</f>
        <v>15325.641976768571</v>
      </c>
      <c r="M70" s="5">
        <v>2232.7802411560669</v>
      </c>
      <c r="N70" s="42">
        <f>M70-$T$16*$T$17*SQRT(1+1/$T$13+(Tabelle13[[#This Row],[True Cooling Capacity '[kW']]]-$T$14)^2/$T$15)</f>
        <v>1115.5927309082024</v>
      </c>
      <c r="O70" s="42">
        <f>M70+$T$16*$T$17*SQRT(1+1/$T$13+(Tabelle13[[#This Row],[True Cooling Capacity '[kW']]]-$T$14)^2/$T$15)</f>
        <v>3349.9677514039313</v>
      </c>
      <c r="P70" s="42">
        <f>M70-$T$16*$T$17*SQRT(1/$T$13+(Tabelle13[[#This Row],[True Cooling Capacity '[kW']]]-$T$14)^2/$T$15)</f>
        <v>2114.3990672281479</v>
      </c>
      <c r="Q70" s="42">
        <f>M70+$T$16*$T$17*SQRT(1/$T$13+(Tabelle13[[#This Row],[True Cooling Capacity '[kW']]]-$T$14)^2/$T$15)</f>
        <v>2351.161415083986</v>
      </c>
    </row>
    <row r="71" spans="1:17" x14ac:dyDescent="0.3">
      <c r="A71" t="s">
        <v>69</v>
      </c>
      <c r="B71" s="3" t="s">
        <v>158</v>
      </c>
      <c r="C71" s="4">
        <v>25.412724761500002</v>
      </c>
      <c r="D71" s="11">
        <f>(2*(5000*(Tabelle13[[#This Row],[Predicted Size]]/0.861448297))-22199)/10577</f>
        <v>25.791906967949323</v>
      </c>
      <c r="E71" s="3">
        <v>25</v>
      </c>
      <c r="F71" s="4">
        <v>25</v>
      </c>
      <c r="G71">
        <f>(Tabelle13[[#This Row],[True Size X]]+Tabelle13[[#This Row],[True Size Y]])/2</f>
        <v>25</v>
      </c>
      <c r="H71" s="10">
        <f>(Tabelle13[[#This Row],[Correlation Function Predicted  Size]]-Tabelle13[[#This Row],[True Mean Size ]])^2</f>
        <v>0.62711664588669069</v>
      </c>
      <c r="I71" s="5">
        <f t="shared" si="4"/>
        <v>3325.4803287502596</v>
      </c>
      <c r="J71" s="5">
        <f t="shared" si="5"/>
        <v>3145.4343750000003</v>
      </c>
      <c r="K71" s="9">
        <f>(Tabelle13[[#This Row],[Predicted Cooling Capacity '[kW']]]-Tabelle13[[#This Row],[True Cooling Capacity '[kW']]])^2</f>
        <v>32416.545461840506</v>
      </c>
      <c r="M71" s="5">
        <v>3410.6704047562962</v>
      </c>
      <c r="N71" s="42">
        <f>M71-$T$16*$T$17*SQRT(1+1/$T$13+(Tabelle13[[#This Row],[True Cooling Capacity '[kW']]]-$T$14)^2/$T$15)</f>
        <v>2294.4564636289638</v>
      </c>
      <c r="O71" s="42">
        <f>M71+$T$16*$T$17*SQRT(1+1/$T$13+(Tabelle13[[#This Row],[True Cooling Capacity '[kW']]]-$T$14)^2/$T$15)</f>
        <v>4526.8843458836291</v>
      </c>
      <c r="P71" s="42">
        <f>M71-$T$16*$T$17*SQRT(1/$T$13+(Tabelle13[[#This Row],[True Cooling Capacity '[kW']]]-$T$14)^2/$T$15)</f>
        <v>3301.8598737689813</v>
      </c>
      <c r="Q71" s="42">
        <f>M71+$T$16*$T$17*SQRT(1/$T$13+(Tabelle13[[#This Row],[True Cooling Capacity '[kW']]]-$T$14)^2/$T$15)</f>
        <v>3519.4809357436111</v>
      </c>
    </row>
    <row r="72" spans="1:17" x14ac:dyDescent="0.3">
      <c r="A72" t="s">
        <v>70</v>
      </c>
      <c r="B72" s="3" t="s">
        <v>239</v>
      </c>
      <c r="C72" s="4">
        <v>24.120552316000001</v>
      </c>
      <c r="D72" s="11">
        <f>(2*(5000*(Tabelle13[[#This Row],[Predicted Size]]/0.861448297))-22199)/10577</f>
        <v>24.373735463742083</v>
      </c>
      <c r="E72" s="3">
        <v>24</v>
      </c>
      <c r="F72" s="4">
        <v>24</v>
      </c>
      <c r="G72">
        <f>(Tabelle13[[#This Row],[True Size X]]+Tabelle13[[#This Row],[True Size Y]])/2</f>
        <v>24</v>
      </c>
      <c r="H72" s="10">
        <f>(Tabelle13[[#This Row],[Correlation Function Predicted  Size]]-Tabelle13[[#This Row],[True Mean Size ]])^2</f>
        <v>0.13967819685850974</v>
      </c>
      <c r="I72" s="5">
        <f t="shared" si="4"/>
        <v>3004.6351040878221</v>
      </c>
      <c r="J72" s="5">
        <f t="shared" si="5"/>
        <v>2921.2780800000005</v>
      </c>
      <c r="K72" s="9">
        <f>(Tabelle13[[#This Row],[Predicted Cooling Capacity '[kW']]]-Tabelle13[[#This Row],[True Cooling Capacity '[kW']]])^2</f>
        <v>6948.393464777675</v>
      </c>
      <c r="M72" s="5">
        <v>3167.3351510183638</v>
      </c>
      <c r="N72" s="42">
        <f>M72-$T$16*$T$17*SQRT(1+1/$T$13+(Tabelle13[[#This Row],[True Cooling Capacity '[kW']]]-$T$14)^2/$T$15)</f>
        <v>2050.9511407884002</v>
      </c>
      <c r="O72" s="42">
        <f>M72+$T$16*$T$17*SQRT(1+1/$T$13+(Tabelle13[[#This Row],[True Cooling Capacity '[kW']]]-$T$14)^2/$T$15)</f>
        <v>4283.7191612483275</v>
      </c>
      <c r="P72" s="42">
        <f>M72-$T$16*$T$17*SQRT(1/$T$13+(Tabelle13[[#This Row],[True Cooling Capacity '[kW']]]-$T$14)^2/$T$15)</f>
        <v>3056.7936312899583</v>
      </c>
      <c r="Q72" s="42">
        <f>M72+$T$16*$T$17*SQRT(1/$T$13+(Tabelle13[[#This Row],[True Cooling Capacity '[kW']]]-$T$14)^2/$T$15)</f>
        <v>3277.8766707467694</v>
      </c>
    </row>
    <row r="73" spans="1:17" x14ac:dyDescent="0.3">
      <c r="A73" t="s">
        <v>71</v>
      </c>
      <c r="B73" s="3" t="s">
        <v>192</v>
      </c>
      <c r="C73" s="4">
        <v>31.873586989</v>
      </c>
      <c r="D73" s="11">
        <f>(2*(5000*(Tabelle13[[#This Row],[Predicted Size]]/0.861448297))-22199)/10577</f>
        <v>32.882764488985536</v>
      </c>
      <c r="E73" s="3">
        <v>32</v>
      </c>
      <c r="F73" s="4">
        <v>32</v>
      </c>
      <c r="G73">
        <f>(Tabelle13[[#This Row],[True Size X]]+Tabelle13[[#This Row],[True Size Y]])/2</f>
        <v>32</v>
      </c>
      <c r="H73" s="10">
        <f>(Tabelle13[[#This Row],[Correlation Function Predicted  Size]]-Tabelle13[[#This Row],[True Mean Size ]])^2</f>
        <v>0.77927314301389516</v>
      </c>
      <c r="I73" s="5">
        <f t="shared" si="4"/>
        <v>5037.4945591388296</v>
      </c>
      <c r="J73" s="5">
        <f t="shared" si="5"/>
        <v>4814.5699199999999</v>
      </c>
      <c r="K73" s="9">
        <f>(Tabelle13[[#This Row],[Predicted Cooling Capacity '[kW']]]-Tabelle13[[#This Row],[True Cooling Capacity '[kW']]])^2</f>
        <v>49695.394735177426</v>
      </c>
      <c r="M73" s="5">
        <v>5222.6182751722345</v>
      </c>
      <c r="N73" s="42">
        <f>M73-$T$16*$T$17*SQRT(1+1/$T$13+(Tabelle13[[#This Row],[True Cooling Capacity '[kW']]]-$T$14)^2/$T$15)</f>
        <v>4107.1612705801954</v>
      </c>
      <c r="O73" s="42">
        <f>M73+$T$16*$T$17*SQRT(1+1/$T$13+(Tabelle13[[#This Row],[True Cooling Capacity '[kW']]]-$T$14)^2/$T$15)</f>
        <v>6338.0752797642735</v>
      </c>
      <c r="P73" s="42">
        <f>M73-$T$16*$T$17*SQRT(1/$T$13+(Tabelle13[[#This Row],[True Cooling Capacity '[kW']]]-$T$14)^2/$T$15)</f>
        <v>5121.8685933852767</v>
      </c>
      <c r="Q73" s="42">
        <f>M73+$T$16*$T$17*SQRT(1/$T$13+(Tabelle13[[#This Row],[True Cooling Capacity '[kW']]]-$T$14)^2/$T$15)</f>
        <v>5323.3679569591923</v>
      </c>
    </row>
    <row r="74" spans="1:17" x14ac:dyDescent="0.3">
      <c r="A74" t="s">
        <v>72</v>
      </c>
      <c r="B74" s="3" t="s">
        <v>228</v>
      </c>
      <c r="C74" s="4">
        <v>30.581414543499999</v>
      </c>
      <c r="D74" s="11">
        <f>(2*(5000*(Tabelle13[[#This Row],[Predicted Size]]/0.861448297))-22199)/10577</f>
        <v>31.464592984778292</v>
      </c>
      <c r="E74" s="3">
        <v>31</v>
      </c>
      <c r="F74" s="4">
        <v>32</v>
      </c>
      <c r="G74">
        <f>(Tabelle13[[#This Row],[True Size X]]+Tabelle13[[#This Row],[True Size Y]])/2</f>
        <v>31.5</v>
      </c>
      <c r="H74" s="10">
        <f>(Tabelle13[[#This Row],[Correlation Function Predicted  Size]]-Tabelle13[[#This Row],[True Mean Size ]])^2</f>
        <v>1.2536567269102363E-3</v>
      </c>
      <c r="I74" s="5">
        <f t="shared" si="4"/>
        <v>4680.7199654509313</v>
      </c>
      <c r="J74" s="5">
        <f t="shared" si="5"/>
        <v>4689.5399737499993</v>
      </c>
      <c r="K74" s="9">
        <f>(Tabelle13[[#This Row],[Predicted Cooling Capacity '[kW']]]-Tabelle13[[#This Row],[True Cooling Capacity '[kW']]])^2</f>
        <v>77.792546395627014</v>
      </c>
      <c r="M74" s="5">
        <v>5086.8906852083483</v>
      </c>
      <c r="N74" s="42">
        <f>M74-$T$16*$T$17*SQRT(1+1/$T$13+(Tabelle13[[#This Row],[True Cooling Capacity '[kW']]]-$T$14)^2/$T$15)</f>
        <v>3971.4081276360139</v>
      </c>
      <c r="O74" s="42">
        <f>M74+$T$16*$T$17*SQRT(1+1/$T$13+(Tabelle13[[#This Row],[True Cooling Capacity '[kW']]]-$T$14)^2/$T$15)</f>
        <v>6202.3732427806826</v>
      </c>
      <c r="P74" s="42">
        <f>M74-$T$16*$T$17*SQRT(1/$T$13+(Tabelle13[[#This Row],[True Cooling Capacity '[kW']]]-$T$14)^2/$T$15)</f>
        <v>4985.858484723326</v>
      </c>
      <c r="Q74" s="42">
        <f>M74+$T$16*$T$17*SQRT(1/$T$13+(Tabelle13[[#This Row],[True Cooling Capacity '[kW']]]-$T$14)^2/$T$15)</f>
        <v>5187.9228856933705</v>
      </c>
    </row>
    <row r="75" spans="1:17" x14ac:dyDescent="0.3">
      <c r="A75" t="s">
        <v>73</v>
      </c>
      <c r="B75" s="3" t="s">
        <v>138</v>
      </c>
      <c r="C75" s="4">
        <v>31.442862840499998</v>
      </c>
      <c r="D75" s="11">
        <f>(2*(5000*(Tabelle13[[#This Row],[Predicted Size]]/0.861448297))-22199)/10577</f>
        <v>32.410040654249791</v>
      </c>
      <c r="E75" s="3">
        <v>31</v>
      </c>
      <c r="F75" s="4">
        <v>32</v>
      </c>
      <c r="G75">
        <f>(Tabelle13[[#This Row],[True Size X]]+Tabelle13[[#This Row],[True Size Y]])/2</f>
        <v>31.5</v>
      </c>
      <c r="H75" s="10">
        <f>(Tabelle13[[#This Row],[Correlation Function Predicted  Size]]-Tabelle13[[#This Row],[True Mean Size ]])^2</f>
        <v>0.8281739923873872</v>
      </c>
      <c r="I75" s="5">
        <f t="shared" si="4"/>
        <v>4917.771264153409</v>
      </c>
      <c r="J75" s="5">
        <f t="shared" si="5"/>
        <v>4689.5399737499993</v>
      </c>
      <c r="K75" s="9">
        <f>(Tabelle13[[#This Row],[Predicted Cooling Capacity '[kW']]]-Tabelle13[[#This Row],[True Cooling Capacity '[kW']]])^2</f>
        <v>52089.521919205545</v>
      </c>
      <c r="M75" s="5">
        <v>5086.8906852083483</v>
      </c>
      <c r="N75" s="42">
        <f>M75-$T$16*$T$17*SQRT(1+1/$T$13+(Tabelle13[[#This Row],[True Cooling Capacity '[kW']]]-$T$14)^2/$T$15)</f>
        <v>3971.4081276360139</v>
      </c>
      <c r="O75" s="42">
        <f>M75+$T$16*$T$17*SQRT(1+1/$T$13+(Tabelle13[[#This Row],[True Cooling Capacity '[kW']]]-$T$14)^2/$T$15)</f>
        <v>6202.3732427806826</v>
      </c>
      <c r="P75" s="42">
        <f>M75-$T$16*$T$17*SQRT(1/$T$13+(Tabelle13[[#This Row],[True Cooling Capacity '[kW']]]-$T$14)^2/$T$15)</f>
        <v>4985.858484723326</v>
      </c>
      <c r="Q75" s="42">
        <f>M75+$T$16*$T$17*SQRT(1/$T$13+(Tabelle13[[#This Row],[True Cooling Capacity '[kW']]]-$T$14)^2/$T$15)</f>
        <v>5187.9228856933705</v>
      </c>
    </row>
    <row r="76" spans="1:17" x14ac:dyDescent="0.3">
      <c r="A76" t="s">
        <v>74</v>
      </c>
      <c r="B76" s="3" t="s">
        <v>238</v>
      </c>
      <c r="C76" s="4">
        <v>26.704897206999998</v>
      </c>
      <c r="D76" s="11">
        <f>(2*(5000*(Tabelle13[[#This Row],[Predicted Size]]/0.861448297))-22199)/10577</f>
        <v>27.21007847215656</v>
      </c>
      <c r="E76" s="3">
        <v>26</v>
      </c>
      <c r="F76" s="4">
        <v>26</v>
      </c>
      <c r="G76">
        <f>(Tabelle13[[#This Row],[True Size X]]+Tabelle13[[#This Row],[True Size Y]])/2</f>
        <v>26</v>
      </c>
      <c r="H76" s="10">
        <f>(Tabelle13[[#This Row],[Correlation Function Predicted  Size]]-Tabelle13[[#This Row],[True Mean Size ]])^2</f>
        <v>1.4642899087767551</v>
      </c>
      <c r="I76" s="5">
        <f t="shared" si="4"/>
        <v>3653.5114272177893</v>
      </c>
      <c r="J76" s="5">
        <f t="shared" si="5"/>
        <v>3373.1635799999999</v>
      </c>
      <c r="K76" s="9">
        <f>(Tabelle13[[#This Row],[Predicted Cooling Capacity '[kW']]]-Tabelle13[[#This Row],[True Cooling Capacity '[kW']]])^2</f>
        <v>78594.915439649005</v>
      </c>
      <c r="M76" s="5">
        <v>3657.8842690031711</v>
      </c>
      <c r="N76" s="42">
        <f>M76-$T$16*$T$17*SQRT(1+1/$T$13+(Tabelle13[[#This Row],[True Cooling Capacity '[kW']]]-$T$14)^2/$T$15)</f>
        <v>2541.8265306462026</v>
      </c>
      <c r="O76" s="42">
        <f>M76+$T$16*$T$17*SQRT(1+1/$T$13+(Tabelle13[[#This Row],[True Cooling Capacity '[kW']]]-$T$14)^2/$T$15)</f>
        <v>4773.9420073601395</v>
      </c>
      <c r="P76" s="42">
        <f>M76-$T$16*$T$17*SQRT(1/$T$13+(Tabelle13[[#This Row],[True Cooling Capacity '[kW']]]-$T$14)^2/$T$15)</f>
        <v>3550.6879788005667</v>
      </c>
      <c r="Q76" s="42">
        <f>M76+$T$16*$T$17*SQRT(1/$T$13+(Tabelle13[[#This Row],[True Cooling Capacity '[kW']]]-$T$14)^2/$T$15)</f>
        <v>3765.0805592057754</v>
      </c>
    </row>
    <row r="77" spans="1:17" x14ac:dyDescent="0.3">
      <c r="A77" t="s">
        <v>75</v>
      </c>
      <c r="B77" s="3" t="s">
        <v>203</v>
      </c>
      <c r="C77" s="4">
        <v>26.274173058500001</v>
      </c>
      <c r="D77" s="11">
        <f>(2*(5000*(Tabelle13[[#This Row],[Predicted Size]]/0.861448297))-22199)/10577</f>
        <v>26.737354637420818</v>
      </c>
      <c r="E77" s="3">
        <v>24</v>
      </c>
      <c r="F77" s="4">
        <v>25</v>
      </c>
      <c r="G77">
        <f>(Tabelle13[[#This Row],[True Size X]]+Tabelle13[[#This Row],[True Size Y]])/2</f>
        <v>24.5</v>
      </c>
      <c r="H77" s="10">
        <f>(Tabelle13[[#This Row],[Correlation Function Predicted  Size]]-Tabelle13[[#This Row],[True Mean Size ]])^2</f>
        <v>5.005755773588441</v>
      </c>
      <c r="I77" s="5">
        <f t="shared" si="4"/>
        <v>3543.3692973058246</v>
      </c>
      <c r="J77" s="5">
        <f t="shared" si="5"/>
        <v>3032.9096137500005</v>
      </c>
      <c r="K77" s="9">
        <f>(Tabelle13[[#This Row],[Predicted Cooling Capacity '[kW']]]-Tabelle13[[#This Row],[True Cooling Capacity '[kW']]])^2</f>
        <v>260569.08853591207</v>
      </c>
      <c r="M77" s="5">
        <v>3288.5179515737123</v>
      </c>
      <c r="N77" s="42">
        <f>M77-$T$16*$T$17*SQRT(1+1/$T$13+(Tabelle13[[#This Row],[True Cooling Capacity '[kW']]]-$T$14)^2/$T$15)</f>
        <v>2172.2206600662707</v>
      </c>
      <c r="O77" s="42">
        <f>M77+$T$16*$T$17*SQRT(1+1/$T$13+(Tabelle13[[#This Row],[True Cooling Capacity '[kW']]]-$T$14)^2/$T$15)</f>
        <v>4404.8152430811533</v>
      </c>
      <c r="P77" s="42">
        <f>M77-$T$16*$T$17*SQRT(1/$T$13+(Tabelle13[[#This Row],[True Cooling Capacity '[kW']]]-$T$14)^2/$T$15)</f>
        <v>3178.8556868078431</v>
      </c>
      <c r="Q77" s="42">
        <f>M77+$T$16*$T$17*SQRT(1/$T$13+(Tabelle13[[#This Row],[True Cooling Capacity '[kW']]]-$T$14)^2/$T$15)</f>
        <v>3398.1802163395814</v>
      </c>
    </row>
    <row r="78" spans="1:17" x14ac:dyDescent="0.3">
      <c r="A78" t="s">
        <v>76</v>
      </c>
      <c r="B78" s="3" t="s">
        <v>227</v>
      </c>
      <c r="C78" s="4">
        <v>27.1356213555</v>
      </c>
      <c r="D78" s="11">
        <f>(2*(5000*(Tabelle13[[#This Row],[Predicted Size]]/0.861448297))-22199)/10577</f>
        <v>27.682802306892313</v>
      </c>
      <c r="E78" s="3">
        <v>26</v>
      </c>
      <c r="F78" s="4">
        <v>26</v>
      </c>
      <c r="G78">
        <f>(Tabelle13[[#This Row],[True Size X]]+Tabelle13[[#This Row],[True Size Y]])/2</f>
        <v>26</v>
      </c>
      <c r="H78" s="10">
        <f>(Tabelle13[[#This Row],[Correlation Function Predicted  Size]]-Tabelle13[[#This Row],[True Mean Size ]])^2</f>
        <v>2.8318236040820906</v>
      </c>
      <c r="I78" s="5">
        <f t="shared" si="4"/>
        <v>3764.4519875525425</v>
      </c>
      <c r="J78" s="5">
        <f t="shared" si="5"/>
        <v>3373.1635799999999</v>
      </c>
      <c r="K78" s="9">
        <f>(Tabelle13[[#This Row],[Predicted Cooling Capacity '[kW']]]-Tabelle13[[#This Row],[True Cooling Capacity '[kW']]])^2</f>
        <v>153106.61788500467</v>
      </c>
      <c r="M78" s="5">
        <v>3657.8842690031711</v>
      </c>
      <c r="N78" s="42">
        <f>M78-$T$16*$T$17*SQRT(1+1/$T$13+(Tabelle13[[#This Row],[True Cooling Capacity '[kW']]]-$T$14)^2/$T$15)</f>
        <v>2541.8265306462026</v>
      </c>
      <c r="O78" s="42">
        <f>M78+$T$16*$T$17*SQRT(1+1/$T$13+(Tabelle13[[#This Row],[True Cooling Capacity '[kW']]]-$T$14)^2/$T$15)</f>
        <v>4773.9420073601395</v>
      </c>
      <c r="P78" s="42">
        <f>M78-$T$16*$T$17*SQRT(1/$T$13+(Tabelle13[[#This Row],[True Cooling Capacity '[kW']]]-$T$14)^2/$T$15)</f>
        <v>3550.6879788005667</v>
      </c>
      <c r="Q78" s="42">
        <f>M78+$T$16*$T$17*SQRT(1/$T$13+(Tabelle13[[#This Row],[True Cooling Capacity '[kW']]]-$T$14)^2/$T$15)</f>
        <v>3765.0805592057754</v>
      </c>
    </row>
    <row r="79" spans="1:17" x14ac:dyDescent="0.3">
      <c r="A79" t="s">
        <v>77</v>
      </c>
      <c r="B79" s="3" t="s">
        <v>188</v>
      </c>
      <c r="C79" s="4">
        <v>34.457931879999997</v>
      </c>
      <c r="D79" s="11">
        <f>(2*(5000*(Tabelle13[[#This Row],[Predicted Size]]/0.861448297))-22199)/10577</f>
        <v>35.71910749740001</v>
      </c>
      <c r="E79" s="3">
        <v>33</v>
      </c>
      <c r="F79" s="4">
        <v>34</v>
      </c>
      <c r="G79">
        <f>(Tabelle13[[#This Row],[True Size X]]+Tabelle13[[#This Row],[True Size Y]])/2</f>
        <v>33.5</v>
      </c>
      <c r="H79" s="10">
        <f>(Tabelle13[[#This Row],[Correlation Function Predicted  Size]]-Tabelle13[[#This Row],[True Mean Size ]])^2</f>
        <v>4.924438085016936</v>
      </c>
      <c r="I79" s="5">
        <f t="shared" si="4"/>
        <v>5772.6013679298976</v>
      </c>
      <c r="J79" s="5">
        <f t="shared" si="5"/>
        <v>5195.0191237499985</v>
      </c>
      <c r="K79" s="9">
        <f>(Tabelle13[[#This Row],[Predicted Cooling Capacity '[kW']]]-Tabelle13[[#This Row],[True Cooling Capacity '[kW']]])^2</f>
        <v>333601.24879188865</v>
      </c>
      <c r="M79" s="5">
        <v>5635.6189608273044</v>
      </c>
      <c r="N79" s="42">
        <f>M79-$T$16*$T$17*SQRT(1+1/$T$13+(Tabelle13[[#This Row],[True Cooling Capacity '[kW']]]-$T$14)^2/$T$15)</f>
        <v>4520.2086676716553</v>
      </c>
      <c r="O79" s="42">
        <f>M79+$T$16*$T$17*SQRT(1+1/$T$13+(Tabelle13[[#This Row],[True Cooling Capacity '[kW']]]-$T$14)^2/$T$15)</f>
        <v>6751.0292539829534</v>
      </c>
      <c r="P79" s="42">
        <f>M79-$T$16*$T$17*SQRT(1/$T$13+(Tabelle13[[#This Row],[True Cooling Capacity '[kW']]]-$T$14)^2/$T$15)</f>
        <v>5535.3877712489111</v>
      </c>
      <c r="Q79" s="42">
        <f>M79+$T$16*$T$17*SQRT(1/$T$13+(Tabelle13[[#This Row],[True Cooling Capacity '[kW']]]-$T$14)^2/$T$15)</f>
        <v>5735.8501504056976</v>
      </c>
    </row>
    <row r="80" spans="1:17" x14ac:dyDescent="0.3">
      <c r="A80" t="s">
        <v>78</v>
      </c>
      <c r="B80" s="3" t="s">
        <v>234</v>
      </c>
      <c r="C80" s="4">
        <v>34.888656028500002</v>
      </c>
      <c r="D80" s="11">
        <f>(2*(5000*(Tabelle13[[#This Row],[Predicted Size]]/0.861448297))-22199)/10577</f>
        <v>36.191831332135763</v>
      </c>
      <c r="E80" s="3">
        <v>34</v>
      </c>
      <c r="F80" s="4">
        <v>35</v>
      </c>
      <c r="G80">
        <f>(Tabelle13[[#This Row],[True Size X]]+Tabelle13[[#This Row],[True Size Y]])/2</f>
        <v>34.5</v>
      </c>
      <c r="H80" s="10">
        <f>(Tabelle13[[#This Row],[Correlation Function Predicted  Size]]-Tabelle13[[#This Row],[True Mean Size ]])^2</f>
        <v>2.8622932563962702</v>
      </c>
      <c r="I80" s="5">
        <f t="shared" si="4"/>
        <v>5897.9136758748355</v>
      </c>
      <c r="J80" s="5">
        <f t="shared" si="5"/>
        <v>5453.1180637500001</v>
      </c>
      <c r="K80" s="9">
        <f>(Tabelle13[[#This Row],[Predicted Cooling Capacity '[kW']]]-Tabelle13[[#This Row],[True Cooling Capacity '[kW']]])^2</f>
        <v>197843.13656550695</v>
      </c>
      <c r="M80" s="5">
        <v>5915.8010144002001</v>
      </c>
      <c r="N80" s="42">
        <f>M80-$T$16*$T$17*SQRT(1+1/$T$13+(Tabelle13[[#This Row],[True Cooling Capacity '[kW']]]-$T$14)^2/$T$15)</f>
        <v>4800.3958048663389</v>
      </c>
      <c r="O80" s="42">
        <f>M80+$T$16*$T$17*SQRT(1+1/$T$13+(Tabelle13[[#This Row],[True Cooling Capacity '[kW']]]-$T$14)^2/$T$15)</f>
        <v>7031.2062239340612</v>
      </c>
      <c r="P80" s="42">
        <f>M80-$T$16*$T$17*SQRT(1/$T$13+(Tabelle13[[#This Row],[True Cooling Capacity '[kW']]]-$T$14)^2/$T$15)</f>
        <v>5815.6264131182097</v>
      </c>
      <c r="Q80" s="42">
        <f>M80+$T$16*$T$17*SQRT(1/$T$13+(Tabelle13[[#This Row],[True Cooling Capacity '[kW']]]-$T$14)^2/$T$15)</f>
        <v>6015.9756156821904</v>
      </c>
    </row>
    <row r="81" spans="1:17" x14ac:dyDescent="0.3">
      <c r="A81" t="s">
        <v>79</v>
      </c>
      <c r="B81" s="3" t="s">
        <v>130</v>
      </c>
      <c r="C81" s="4">
        <v>35.750104325499997</v>
      </c>
      <c r="D81" s="11">
        <f>(2*(5000*(Tabelle13[[#This Row],[Predicted Size]]/0.861448297))-22199)/10577</f>
        <v>37.137279001607254</v>
      </c>
      <c r="E81" s="3">
        <v>34</v>
      </c>
      <c r="F81" s="4">
        <v>35</v>
      </c>
      <c r="G81">
        <f>(Tabelle13[[#This Row],[True Size X]]+Tabelle13[[#This Row],[True Size Y]])/2</f>
        <v>34.5</v>
      </c>
      <c r="H81" s="10">
        <f>(Tabelle13[[#This Row],[Correlation Function Predicted  Size]]-Tabelle13[[#This Row],[True Mean Size ]])^2</f>
        <v>6.9552405323185562</v>
      </c>
      <c r="I81" s="5">
        <f t="shared" si="4"/>
        <v>6150.9335830330692</v>
      </c>
      <c r="J81" s="5">
        <f t="shared" si="5"/>
        <v>5453.1180637500001</v>
      </c>
      <c r="K81" s="9">
        <f>(Tabelle13[[#This Row],[Predicted Cooling Capacity '[kW']]]-Tabelle13[[#This Row],[True Cooling Capacity '[kW']]])^2</f>
        <v>486946.49895229936</v>
      </c>
      <c r="M81" s="5">
        <v>5915.8010144002001</v>
      </c>
      <c r="N81" s="42">
        <f>M81-$T$16*$T$17*SQRT(1+1/$T$13+(Tabelle13[[#This Row],[True Cooling Capacity '[kW']]]-$T$14)^2/$T$15)</f>
        <v>4800.3958048663389</v>
      </c>
      <c r="O81" s="42">
        <f>M81+$T$16*$T$17*SQRT(1+1/$T$13+(Tabelle13[[#This Row],[True Cooling Capacity '[kW']]]-$T$14)^2/$T$15)</f>
        <v>7031.2062239340612</v>
      </c>
      <c r="P81" s="42">
        <f>M81-$T$16*$T$17*SQRT(1/$T$13+(Tabelle13[[#This Row],[True Cooling Capacity '[kW']]]-$T$14)^2/$T$15)</f>
        <v>5815.6264131182097</v>
      </c>
      <c r="Q81" s="42">
        <f>M81+$T$16*$T$17*SQRT(1/$T$13+(Tabelle13[[#This Row],[True Cooling Capacity '[kW']]]-$T$14)^2/$T$15)</f>
        <v>6015.9756156821904</v>
      </c>
    </row>
    <row r="82" spans="1:17" x14ac:dyDescent="0.3">
      <c r="A82" t="s">
        <v>80</v>
      </c>
      <c r="B82" s="3" t="s">
        <v>174</v>
      </c>
      <c r="C82" s="4">
        <v>39.626621661999998</v>
      </c>
      <c r="D82" s="11">
        <f>(2*(5000*(Tabelle13[[#This Row],[Predicted Size]]/0.861448297))-22199)/10577</f>
        <v>41.391793514228979</v>
      </c>
      <c r="E82" s="3">
        <v>37</v>
      </c>
      <c r="F82" s="4">
        <v>39</v>
      </c>
      <c r="G82">
        <f>(Tabelle13[[#This Row],[True Size X]]+Tabelle13[[#This Row],[True Size Y]])/2</f>
        <v>38</v>
      </c>
      <c r="H82" s="10">
        <f>(Tabelle13[[#This Row],[Correlation Function Predicted  Size]]-Tabelle13[[#This Row],[True Mean Size ]])^2</f>
        <v>11.504263243165768</v>
      </c>
      <c r="I82" s="5">
        <f t="shared" si="4"/>
        <v>7329.0454711731381</v>
      </c>
      <c r="J82" s="5">
        <f t="shared" si="5"/>
        <v>6384.6010200000001</v>
      </c>
      <c r="K82" s="9">
        <f>(Tabelle13[[#This Row],[Predicted Cooling Capacity '[kW']]]-Tabelle13[[#This Row],[True Cooling Capacity '[kW']]])^2</f>
        <v>891975.32135173003</v>
      </c>
      <c r="M82" s="5">
        <v>6926.9822596632566</v>
      </c>
      <c r="N82" s="42">
        <f>M82-$T$16*$T$17*SQRT(1+1/$T$13+(Tabelle13[[#This Row],[True Cooling Capacity '[kW']]]-$T$14)^2/$T$15)</f>
        <v>5811.4165223792143</v>
      </c>
      <c r="O82" s="42">
        <f>M82+$T$16*$T$17*SQRT(1+1/$T$13+(Tabelle13[[#This Row],[True Cooling Capacity '[kW']]]-$T$14)^2/$T$15)</f>
        <v>8042.547996947299</v>
      </c>
      <c r="P82" s="42">
        <f>M82-$T$16*$T$17*SQRT(1/$T$13+(Tabelle13[[#This Row],[True Cooling Capacity '[kW']]]-$T$14)^2/$T$15)</f>
        <v>6825.0357860174308</v>
      </c>
      <c r="Q82" s="42">
        <f>M82+$T$16*$T$17*SQRT(1/$T$13+(Tabelle13[[#This Row],[True Cooling Capacity '[kW']]]-$T$14)^2/$T$15)</f>
        <v>7028.9287333090824</v>
      </c>
    </row>
    <row r="83" spans="1:17" x14ac:dyDescent="0.3">
      <c r="A83" t="s">
        <v>81</v>
      </c>
      <c r="B83" s="3" t="s">
        <v>217</v>
      </c>
      <c r="C83" s="4">
        <v>40.057345810500003</v>
      </c>
      <c r="D83" s="11">
        <f>(2*(5000*(Tabelle13[[#This Row],[Predicted Size]]/0.861448297))-22199)/10577</f>
        <v>41.864517348964732</v>
      </c>
      <c r="E83" s="3">
        <v>38</v>
      </c>
      <c r="F83" s="4">
        <v>39</v>
      </c>
      <c r="G83">
        <f>(Tabelle13[[#This Row],[True Size X]]+Tabelle13[[#This Row],[True Size Y]])/2</f>
        <v>38.5</v>
      </c>
      <c r="H83" s="10">
        <f>(Tabelle13[[#This Row],[Correlation Function Predicted  Size]]-Tabelle13[[#This Row],[True Mean Size ]])^2</f>
        <v>11.319976991484667</v>
      </c>
      <c r="I83" s="5">
        <f t="shared" si="4"/>
        <v>7463.9389441915337</v>
      </c>
      <c r="J83" s="5">
        <f t="shared" si="5"/>
        <v>6521.24292375</v>
      </c>
      <c r="K83" s="9">
        <f>(Tabelle13[[#This Row],[Predicted Cooling Capacity '[kW']]]-Tabelle13[[#This Row],[True Cooling Capacity '[kW']]])^2</f>
        <v>888675.78695630434</v>
      </c>
      <c r="M83" s="5">
        <v>7075.3153337812073</v>
      </c>
      <c r="N83" s="42">
        <f>M83-$T$16*$T$17*SQRT(1+1/$T$13+(Tabelle13[[#This Row],[True Cooling Capacity '[kW']]]-$T$14)^2/$T$15)</f>
        <v>5959.7024922258661</v>
      </c>
      <c r="O83" s="42">
        <f>M83+$T$16*$T$17*SQRT(1+1/$T$13+(Tabelle13[[#This Row],[True Cooling Capacity '[kW']]]-$T$14)^2/$T$15)</f>
        <v>8190.9281753365485</v>
      </c>
      <c r="P83" s="42">
        <f>M83-$T$16*$T$17*SQRT(1/$T$13+(Tabelle13[[#This Row],[True Cooling Capacity '[kW']]]-$T$14)^2/$T$15)</f>
        <v>6972.8546997312806</v>
      </c>
      <c r="Q83" s="42">
        <f>M83+$T$16*$T$17*SQRT(1/$T$13+(Tabelle13[[#This Row],[True Cooling Capacity '[kW']]]-$T$14)^2/$T$15)</f>
        <v>7177.775967831134</v>
      </c>
    </row>
    <row r="84" spans="1:17" x14ac:dyDescent="0.3">
      <c r="A84" t="s">
        <v>82</v>
      </c>
      <c r="B84" s="3" t="s">
        <v>136</v>
      </c>
      <c r="C84" s="4">
        <v>40.057345810500003</v>
      </c>
      <c r="D84" s="11">
        <f>(2*(5000*(Tabelle13[[#This Row],[Predicted Size]]/0.861448297))-22199)/10577</f>
        <v>41.864517348964732</v>
      </c>
      <c r="E84" s="3">
        <v>38</v>
      </c>
      <c r="F84" s="4">
        <v>39</v>
      </c>
      <c r="G84">
        <f>(Tabelle13[[#This Row],[True Size X]]+Tabelle13[[#This Row],[True Size Y]])/2</f>
        <v>38.5</v>
      </c>
      <c r="H84" s="10">
        <f>(Tabelle13[[#This Row],[Correlation Function Predicted  Size]]-Tabelle13[[#This Row],[True Mean Size ]])^2</f>
        <v>11.319976991484667</v>
      </c>
      <c r="I84" s="5">
        <f t="shared" si="4"/>
        <v>7463.9389441915337</v>
      </c>
      <c r="J84" s="5">
        <f t="shared" si="5"/>
        <v>6521.24292375</v>
      </c>
      <c r="K84" s="9">
        <f>(Tabelle13[[#This Row],[Predicted Cooling Capacity '[kW']]]-Tabelle13[[#This Row],[True Cooling Capacity '[kW']]])^2</f>
        <v>888675.78695630434</v>
      </c>
      <c r="M84" s="5">
        <v>7075.3153337812073</v>
      </c>
      <c r="N84" s="42">
        <f>M84-$T$16*$T$17*SQRT(1+1/$T$13+(Tabelle13[[#This Row],[True Cooling Capacity '[kW']]]-$T$14)^2/$T$15)</f>
        <v>5959.7024922258661</v>
      </c>
      <c r="O84" s="42">
        <f>M84+$T$16*$T$17*SQRT(1+1/$T$13+(Tabelle13[[#This Row],[True Cooling Capacity '[kW']]]-$T$14)^2/$T$15)</f>
        <v>8190.9281753365485</v>
      </c>
      <c r="P84" s="42">
        <f>M84-$T$16*$T$17*SQRT(1/$T$13+(Tabelle13[[#This Row],[True Cooling Capacity '[kW']]]-$T$14)^2/$T$15)</f>
        <v>6972.8546997312806</v>
      </c>
      <c r="Q84" s="42">
        <f>M84+$T$16*$T$17*SQRT(1/$T$13+(Tabelle13[[#This Row],[True Cooling Capacity '[kW']]]-$T$14)^2/$T$15)</f>
        <v>7177.775967831134</v>
      </c>
    </row>
    <row r="85" spans="1:17" x14ac:dyDescent="0.3">
      <c r="A85" t="s">
        <v>83</v>
      </c>
      <c r="B85" s="3" t="s">
        <v>244</v>
      </c>
      <c r="C85" s="4">
        <v>22.828379870500001</v>
      </c>
      <c r="D85" s="11">
        <f>(2*(5000*(Tabelle13[[#This Row],[Predicted Size]]/0.861448297))-22199)/10577</f>
        <v>22.955563959534839</v>
      </c>
      <c r="E85" s="3">
        <v>23</v>
      </c>
      <c r="F85" s="4">
        <v>21</v>
      </c>
      <c r="G85">
        <f>(Tabelle13[[#This Row],[True Size X]]+Tabelle13[[#This Row],[True Size Y]])/2</f>
        <v>22</v>
      </c>
      <c r="H85" s="10">
        <f>(Tabelle13[[#This Row],[Correlation Function Predicted  Size]]-Tabelle13[[#This Row],[True Mean Size ]])^2</f>
        <v>0.91310248076189915</v>
      </c>
      <c r="I85" s="5">
        <f t="shared" si="4"/>
        <v>2690.9757532304748</v>
      </c>
      <c r="J85" s="5">
        <f t="shared" si="5"/>
        <v>2483.6842200000001</v>
      </c>
      <c r="K85" s="9">
        <f>(Tabelle13[[#This Row],[Predicted Cooling Capacity '[kW']]]-Tabelle13[[#This Row],[True Cooling Capacity '[kW']]])^2</f>
        <v>42969.779749040987</v>
      </c>
      <c r="M85" s="5">
        <v>2692.300475069329</v>
      </c>
      <c r="N85" s="42">
        <f>M85-$T$16*$T$17*SQRT(1+1/$T$13+(Tabelle13[[#This Row],[True Cooling Capacity '[kW']]]-$T$14)^2/$T$15)</f>
        <v>1575.5378404395994</v>
      </c>
      <c r="O85" s="42">
        <f>M85+$T$16*$T$17*SQRT(1+1/$T$13+(Tabelle13[[#This Row],[True Cooling Capacity '[kW']]]-$T$14)^2/$T$15)</f>
        <v>3809.0631096990583</v>
      </c>
      <c r="P85" s="42">
        <f>M85-$T$16*$T$17*SQRT(1/$T$13+(Tabelle13[[#This Row],[True Cooling Capacity '[kW']]]-$T$14)^2/$T$15)</f>
        <v>2577.9984567500342</v>
      </c>
      <c r="Q85" s="42">
        <f>M85+$T$16*$T$17*SQRT(1/$T$13+(Tabelle13[[#This Row],[True Cooling Capacity '[kW']]]-$T$14)^2/$T$15)</f>
        <v>2806.6024933886238</v>
      </c>
    </row>
    <row r="86" spans="1:17" x14ac:dyDescent="0.3">
      <c r="A86" t="s">
        <v>84</v>
      </c>
      <c r="B86" s="3" t="s">
        <v>147</v>
      </c>
      <c r="C86" s="4">
        <v>22.397655722</v>
      </c>
      <c r="D86" s="11">
        <f>(2*(5000*(Tabelle13[[#This Row],[Predicted Size]]/0.861448297))-22199)/10577</f>
        <v>22.482840124799093</v>
      </c>
      <c r="E86" s="3">
        <v>23</v>
      </c>
      <c r="F86" s="4">
        <v>21</v>
      </c>
      <c r="G86">
        <f>(Tabelle13[[#This Row],[True Size X]]+Tabelle13[[#This Row],[True Size Y]])/2</f>
        <v>22</v>
      </c>
      <c r="H86" s="10">
        <f>(Tabelle13[[#This Row],[Correlation Function Predicted  Size]]-Tabelle13[[#This Row],[True Mean Size ]])^2</f>
        <v>0.23313458611600391</v>
      </c>
      <c r="I86" s="5">
        <f t="shared" si="4"/>
        <v>2588.0194971236019</v>
      </c>
      <c r="J86" s="5">
        <f t="shared" si="5"/>
        <v>2483.6842200000001</v>
      </c>
      <c r="K86" s="9">
        <f>(Tabelle13[[#This Row],[Predicted Cooling Capacity '[kW']]]-Tabelle13[[#This Row],[True Cooling Capacity '[kW']]])^2</f>
        <v>10885.850052458791</v>
      </c>
      <c r="M86" s="5">
        <v>2692.300475069329</v>
      </c>
      <c r="N86" s="42">
        <f>M86-$T$16*$T$17*SQRT(1+1/$T$13+(Tabelle13[[#This Row],[True Cooling Capacity '[kW']]]-$T$14)^2/$T$15)</f>
        <v>1575.5378404395994</v>
      </c>
      <c r="O86" s="42">
        <f>M86+$T$16*$T$17*SQRT(1+1/$T$13+(Tabelle13[[#This Row],[True Cooling Capacity '[kW']]]-$T$14)^2/$T$15)</f>
        <v>3809.0631096990583</v>
      </c>
      <c r="P86" s="42">
        <f>M86-$T$16*$T$17*SQRT(1/$T$13+(Tabelle13[[#This Row],[True Cooling Capacity '[kW']]]-$T$14)^2/$T$15)</f>
        <v>2577.9984567500342</v>
      </c>
      <c r="Q86" s="42">
        <f>M86+$T$16*$T$17*SQRT(1/$T$13+(Tabelle13[[#This Row],[True Cooling Capacity '[kW']]]-$T$14)^2/$T$15)</f>
        <v>2806.6024933886238</v>
      </c>
    </row>
    <row r="87" spans="1:17" x14ac:dyDescent="0.3">
      <c r="A87" t="s">
        <v>85</v>
      </c>
      <c r="B87" s="3" t="s">
        <v>180</v>
      </c>
      <c r="C87" s="4">
        <v>29.289242097999999</v>
      </c>
      <c r="D87" s="11">
        <f>(2*(5000*(Tabelle13[[#This Row],[Predicted Size]]/0.861448297))-22199)/10577</f>
        <v>30.046421480571052</v>
      </c>
      <c r="E87" s="3">
        <v>27</v>
      </c>
      <c r="F87" s="4">
        <v>28</v>
      </c>
      <c r="G87">
        <f>(Tabelle13[[#This Row],[True Size X]]+Tabelle13[[#This Row],[True Size Y]])/2</f>
        <v>27.5</v>
      </c>
      <c r="H87" s="10">
        <f>(Tabelle13[[#This Row],[Correlation Function Predicted  Size]]-Tabelle13[[#This Row],[True Mean Size ]])^2</f>
        <v>6.4842623567136677</v>
      </c>
      <c r="I87" s="5">
        <f t="shared" si="4"/>
        <v>4331.1312455681255</v>
      </c>
      <c r="J87" s="5">
        <f t="shared" si="5"/>
        <v>3721.4565937500006</v>
      </c>
      <c r="K87" s="9">
        <f>(Tabelle13[[#This Row],[Predicted Cooling Capacity '[kW']]]-Tabelle13[[#This Row],[True Cooling Capacity '[kW']]])^2</f>
        <v>371703.18106955179</v>
      </c>
      <c r="M87" s="5">
        <v>4035.9774600777541</v>
      </c>
      <c r="N87" s="42">
        <f>M87-$T$16*$T$17*SQRT(1+1/$T$13+(Tabelle13[[#This Row],[True Cooling Capacity '[kW']]]-$T$14)^2/$T$15)</f>
        <v>2920.1262871726931</v>
      </c>
      <c r="O87" s="42">
        <f>M87+$T$16*$T$17*SQRT(1+1/$T$13+(Tabelle13[[#This Row],[True Cooling Capacity '[kW']]]-$T$14)^2/$T$15)</f>
        <v>5151.8286329828152</v>
      </c>
      <c r="P87" s="42">
        <f>M87-$T$16*$T$17*SQRT(1/$T$13+(Tabelle13[[#This Row],[True Cooling Capacity '[kW']]]-$T$14)^2/$T$15)</f>
        <v>3930.953608689942</v>
      </c>
      <c r="Q87" s="42">
        <f>M87+$T$16*$T$17*SQRT(1/$T$13+(Tabelle13[[#This Row],[True Cooling Capacity '[kW']]]-$T$14)^2/$T$15)</f>
        <v>4141.0013114655667</v>
      </c>
    </row>
    <row r="88" spans="1:17" x14ac:dyDescent="0.3">
      <c r="A88" t="s">
        <v>86</v>
      </c>
      <c r="B88" s="3" t="s">
        <v>135</v>
      </c>
      <c r="C88" s="4">
        <v>28.427793801</v>
      </c>
      <c r="D88" s="11">
        <f>(2*(5000*(Tabelle13[[#This Row],[Predicted Size]]/0.861448297))-22199)/10577</f>
        <v>29.100973811099557</v>
      </c>
      <c r="E88" s="3">
        <v>27</v>
      </c>
      <c r="F88" s="4">
        <v>28</v>
      </c>
      <c r="G88">
        <f>(Tabelle13[[#This Row],[True Size X]]+Tabelle13[[#This Row],[True Size Y]])/2</f>
        <v>27.5</v>
      </c>
      <c r="H88" s="10">
        <f>(Tabelle13[[#This Row],[Correlation Function Predicted  Size]]-Tabelle13[[#This Row],[True Mean Size ]])^2</f>
        <v>2.56311714382664</v>
      </c>
      <c r="I88" s="5">
        <f t="shared" si="4"/>
        <v>4102.0642510935286</v>
      </c>
      <c r="J88" s="5">
        <f t="shared" si="5"/>
        <v>3721.4565937500006</v>
      </c>
      <c r="K88" s="9">
        <f>(Tabelle13[[#This Row],[Predicted Cooling Capacity '[kW']]]-Tabelle13[[#This Row],[True Cooling Capacity '[kW']]])^2</f>
        <v>144862.18882852842</v>
      </c>
      <c r="M88" s="5">
        <v>4035.9774600777541</v>
      </c>
      <c r="N88" s="42">
        <f>M88-$T$16*$T$17*SQRT(1+1/$T$13+(Tabelle13[[#This Row],[True Cooling Capacity '[kW']]]-$T$14)^2/$T$15)</f>
        <v>2920.1262871726931</v>
      </c>
      <c r="O88" s="42">
        <f>M88+$T$16*$T$17*SQRT(1+1/$T$13+(Tabelle13[[#This Row],[True Cooling Capacity '[kW']]]-$T$14)^2/$T$15)</f>
        <v>5151.8286329828152</v>
      </c>
      <c r="P88" s="42">
        <f>M88-$T$16*$T$17*SQRT(1/$T$13+(Tabelle13[[#This Row],[True Cooling Capacity '[kW']]]-$T$14)^2/$T$15)</f>
        <v>3930.953608689942</v>
      </c>
      <c r="Q88" s="42">
        <f>M88+$T$16*$T$17*SQRT(1/$T$13+(Tabelle13[[#This Row],[True Cooling Capacity '[kW']]]-$T$14)^2/$T$15)</f>
        <v>4141.0013114655667</v>
      </c>
    </row>
    <row r="89" spans="1:17" x14ac:dyDescent="0.3">
      <c r="A89" t="s">
        <v>87</v>
      </c>
      <c r="B89" s="3" t="s">
        <v>198</v>
      </c>
      <c r="C89" s="4">
        <v>34.888656028500002</v>
      </c>
      <c r="D89" s="11">
        <f>(2*(5000*(Tabelle13[[#This Row],[Predicted Size]]/0.861448297))-22199)/10577</f>
        <v>36.191831332135763</v>
      </c>
      <c r="E89" s="3">
        <v>34</v>
      </c>
      <c r="F89" s="4">
        <v>35</v>
      </c>
      <c r="G89">
        <f>(Tabelle13[[#This Row],[True Size X]]+Tabelle13[[#This Row],[True Size Y]])/2</f>
        <v>34.5</v>
      </c>
      <c r="H89" s="10">
        <f>(Tabelle13[[#This Row],[Correlation Function Predicted  Size]]-Tabelle13[[#This Row],[True Mean Size ]])^2</f>
        <v>2.8622932563962702</v>
      </c>
      <c r="I89" s="5">
        <f t="shared" si="4"/>
        <v>5897.9136758748355</v>
      </c>
      <c r="J89" s="5">
        <f t="shared" si="5"/>
        <v>5453.1180637500001</v>
      </c>
      <c r="K89" s="9">
        <f>(Tabelle13[[#This Row],[Predicted Cooling Capacity '[kW']]]-Tabelle13[[#This Row],[True Cooling Capacity '[kW']]])^2</f>
        <v>197843.13656550695</v>
      </c>
      <c r="M89" s="5">
        <v>5915.8010144002001</v>
      </c>
      <c r="N89" s="42">
        <f>M89-$T$16*$T$17*SQRT(1+1/$T$13+(Tabelle13[[#This Row],[True Cooling Capacity '[kW']]]-$T$14)^2/$T$15)</f>
        <v>4800.3958048663389</v>
      </c>
      <c r="O89" s="42">
        <f>M89+$T$16*$T$17*SQRT(1+1/$T$13+(Tabelle13[[#This Row],[True Cooling Capacity '[kW']]]-$T$14)^2/$T$15)</f>
        <v>7031.2062239340612</v>
      </c>
      <c r="P89" s="42">
        <f>M89-$T$16*$T$17*SQRT(1/$T$13+(Tabelle13[[#This Row],[True Cooling Capacity '[kW']]]-$T$14)^2/$T$15)</f>
        <v>5815.6264131182097</v>
      </c>
      <c r="Q89" s="42">
        <f>M89+$T$16*$T$17*SQRT(1/$T$13+(Tabelle13[[#This Row],[True Cooling Capacity '[kW']]]-$T$14)^2/$T$15)</f>
        <v>6015.9756156821904</v>
      </c>
    </row>
    <row r="90" spans="1:17" x14ac:dyDescent="0.3">
      <c r="A90" t="s">
        <v>88</v>
      </c>
      <c r="B90" s="3" t="s">
        <v>163</v>
      </c>
      <c r="C90" s="4">
        <v>35.750104325499997</v>
      </c>
      <c r="D90" s="11">
        <f>(2*(5000*(Tabelle13[[#This Row],[Predicted Size]]/0.861448297))-22199)/10577</f>
        <v>37.137279001607254</v>
      </c>
      <c r="E90" s="3">
        <v>35</v>
      </c>
      <c r="F90" s="4">
        <v>36</v>
      </c>
      <c r="G90">
        <f>(Tabelle13[[#This Row],[True Size X]]+Tabelle13[[#This Row],[True Size Y]])/2</f>
        <v>35.5</v>
      </c>
      <c r="H90" s="10">
        <f>(Tabelle13[[#This Row],[Correlation Function Predicted  Size]]-Tabelle13[[#This Row],[True Mean Size ]])^2</f>
        <v>2.6806825291040473</v>
      </c>
      <c r="I90" s="5">
        <f t="shared" si="4"/>
        <v>6150.9335830330692</v>
      </c>
      <c r="J90" s="5">
        <f t="shared" si="5"/>
        <v>5714.789913749999</v>
      </c>
      <c r="K90" s="9">
        <f>(Tabelle13[[#This Row],[Predicted Cooling Capacity '[kW']]]-Tabelle13[[#This Row],[True Cooling Capacity '[kW']]])^2</f>
        <v>190221.30025570016</v>
      </c>
      <c r="M90" s="5">
        <v>6199.861678482036</v>
      </c>
      <c r="N90" s="42">
        <f>M90-$T$16*$T$17*SQRT(1+1/$T$13+(Tabelle13[[#This Row],[True Cooling Capacity '[kW']]]-$T$14)^2/$T$15)</f>
        <v>5084.4396659058912</v>
      </c>
      <c r="O90" s="42">
        <f>M90+$T$16*$T$17*SQRT(1+1/$T$13+(Tabelle13[[#This Row],[True Cooling Capacity '[kW']]]-$T$14)^2/$T$15)</f>
        <v>7315.2836910581809</v>
      </c>
      <c r="P90" s="42">
        <f>M90-$T$16*$T$17*SQRT(1/$T$13+(Tabelle13[[#This Row],[True Cooling Capacity '[kW']]]-$T$14)^2/$T$15)</f>
        <v>6099.5001548479931</v>
      </c>
      <c r="Q90" s="42">
        <f>M90+$T$16*$T$17*SQRT(1/$T$13+(Tabelle13[[#This Row],[True Cooling Capacity '[kW']]]-$T$14)^2/$T$15)</f>
        <v>6300.2232021160789</v>
      </c>
    </row>
    <row r="91" spans="1:17" x14ac:dyDescent="0.3">
      <c r="A91" t="s">
        <v>89</v>
      </c>
      <c r="B91" s="3" t="s">
        <v>160</v>
      </c>
      <c r="C91" s="4">
        <v>33.165759434500004</v>
      </c>
      <c r="D91" s="11">
        <f>(2*(5000*(Tabelle13[[#This Row],[Predicted Size]]/0.861448297))-22199)/10577</f>
        <v>34.300935993192773</v>
      </c>
      <c r="E91" s="3">
        <v>35</v>
      </c>
      <c r="F91" s="4">
        <v>35</v>
      </c>
      <c r="G91">
        <f>(Tabelle13[[#This Row],[True Size X]]+Tabelle13[[#This Row],[True Size Y]])/2</f>
        <v>35</v>
      </c>
      <c r="H91" s="10">
        <f>(Tabelle13[[#This Row],[Correlation Function Predicted  Size]]-Tabelle13[[#This Row],[True Mean Size ]])^2</f>
        <v>0.4886904856133743</v>
      </c>
      <c r="I91" s="5">
        <f t="shared" si="4"/>
        <v>5401.4550266318165</v>
      </c>
      <c r="J91" s="5">
        <f t="shared" si="5"/>
        <v>5583.5073749999992</v>
      </c>
      <c r="K91" s="9">
        <f>(Tabelle13[[#This Row],[Predicted Cooling Capacity '[kW']]]-Tabelle13[[#This Row],[True Cooling Capacity '[kW']]])^2</f>
        <v>33143.057546370161</v>
      </c>
      <c r="M91" s="5">
        <v>6057.3465201274994</v>
      </c>
      <c r="N91" s="42">
        <f>M91-$T$16*$T$17*SQRT(1+1/$T$13+(Tabelle13[[#This Row],[True Cooling Capacity '[kW']]]-$T$14)^2/$T$15)</f>
        <v>4941.9357011839847</v>
      </c>
      <c r="O91" s="42">
        <f>M91+$T$16*$T$17*SQRT(1+1/$T$13+(Tabelle13[[#This Row],[True Cooling Capacity '[kW']]]-$T$14)^2/$T$15)</f>
        <v>7172.757339071014</v>
      </c>
      <c r="P91" s="42">
        <f>M91-$T$16*$T$17*SQRT(1/$T$13+(Tabelle13[[#This Row],[True Cooling Capacity '[kW']]]-$T$14)^2/$T$15)</f>
        <v>5957.1094795538093</v>
      </c>
      <c r="Q91" s="42">
        <f>M91+$T$16*$T$17*SQRT(1/$T$13+(Tabelle13[[#This Row],[True Cooling Capacity '[kW']]]-$T$14)^2/$T$15)</f>
        <v>6157.5835607011895</v>
      </c>
    </row>
    <row r="92" spans="1:17" x14ac:dyDescent="0.3">
      <c r="A92" t="s">
        <v>90</v>
      </c>
      <c r="B92" s="3" t="s">
        <v>177</v>
      </c>
      <c r="C92" s="4">
        <v>31.442862840499998</v>
      </c>
      <c r="D92" s="11">
        <f>(2*(5000*(Tabelle13[[#This Row],[Predicted Size]]/0.861448297))-22199)/10577</f>
        <v>32.410040654249791</v>
      </c>
      <c r="E92" s="3">
        <v>32</v>
      </c>
      <c r="F92" s="4">
        <v>32</v>
      </c>
      <c r="G92">
        <f>(Tabelle13[[#This Row],[True Size X]]+Tabelle13[[#This Row],[True Size Y]])/2</f>
        <v>32</v>
      </c>
      <c r="H92" s="10">
        <f>(Tabelle13[[#This Row],[Correlation Function Predicted  Size]]-Tabelle13[[#This Row],[True Mean Size ]])^2</f>
        <v>0.16813333813759643</v>
      </c>
      <c r="I92" s="5">
        <f t="shared" si="4"/>
        <v>4917.771264153409</v>
      </c>
      <c r="J92" s="5">
        <f t="shared" si="5"/>
        <v>4814.5699199999999</v>
      </c>
      <c r="K92" s="9">
        <f>(Tabelle13[[#This Row],[Predicted Cooling Capacity '[kW']]]-Tabelle13[[#This Row],[True Cooling Capacity '[kW']]])^2</f>
        <v>10650.517435070384</v>
      </c>
      <c r="M92" s="5">
        <v>5222.6182751722345</v>
      </c>
      <c r="N92" s="42">
        <f>M92-$T$16*$T$17*SQRT(1+1/$T$13+(Tabelle13[[#This Row],[True Cooling Capacity '[kW']]]-$T$14)^2/$T$15)</f>
        <v>4107.1612705801954</v>
      </c>
      <c r="O92" s="42">
        <f>M92+$T$16*$T$17*SQRT(1+1/$T$13+(Tabelle13[[#This Row],[True Cooling Capacity '[kW']]]-$T$14)^2/$T$15)</f>
        <v>6338.0752797642735</v>
      </c>
      <c r="P92" s="42">
        <f>M92-$T$16*$T$17*SQRT(1/$T$13+(Tabelle13[[#This Row],[True Cooling Capacity '[kW']]]-$T$14)^2/$T$15)</f>
        <v>5121.8685933852767</v>
      </c>
      <c r="Q92" s="42">
        <f>M92+$T$16*$T$17*SQRT(1/$T$13+(Tabelle13[[#This Row],[True Cooling Capacity '[kW']]]-$T$14)^2/$T$15)</f>
        <v>5323.3679569591923</v>
      </c>
    </row>
    <row r="93" spans="1:17" x14ac:dyDescent="0.3">
      <c r="A93" t="s">
        <v>91</v>
      </c>
      <c r="B93" s="3" t="s">
        <v>140</v>
      </c>
      <c r="C93" s="4">
        <v>31.873586989</v>
      </c>
      <c r="D93" s="11">
        <f>(2*(5000*(Tabelle13[[#This Row],[Predicted Size]]/0.861448297))-22199)/10577</f>
        <v>32.882764488985536</v>
      </c>
      <c r="E93" s="3">
        <v>32</v>
      </c>
      <c r="F93" s="4">
        <v>32</v>
      </c>
      <c r="G93">
        <f>(Tabelle13[[#This Row],[True Size X]]+Tabelle13[[#This Row],[True Size Y]])/2</f>
        <v>32</v>
      </c>
      <c r="H93" s="10">
        <f>(Tabelle13[[#This Row],[Correlation Function Predicted  Size]]-Tabelle13[[#This Row],[True Mean Size ]])^2</f>
        <v>0.77927314301389516</v>
      </c>
      <c r="I93" s="5">
        <f t="shared" si="4"/>
        <v>5037.4945591388296</v>
      </c>
      <c r="J93" s="5">
        <f t="shared" si="5"/>
        <v>4814.5699199999999</v>
      </c>
      <c r="K93" s="9">
        <f>(Tabelle13[[#This Row],[Predicted Cooling Capacity '[kW']]]-Tabelle13[[#This Row],[True Cooling Capacity '[kW']]])^2</f>
        <v>49695.394735177426</v>
      </c>
      <c r="M93" s="5">
        <v>5222.6182751722345</v>
      </c>
      <c r="N93" s="42">
        <f>M93-$T$16*$T$17*SQRT(1+1/$T$13+(Tabelle13[[#This Row],[True Cooling Capacity '[kW']]]-$T$14)^2/$T$15)</f>
        <v>4107.1612705801954</v>
      </c>
      <c r="O93" s="42">
        <f>M93+$T$16*$T$17*SQRT(1+1/$T$13+(Tabelle13[[#This Row],[True Cooling Capacity '[kW']]]-$T$14)^2/$T$15)</f>
        <v>6338.0752797642735</v>
      </c>
      <c r="P93" s="42">
        <f>M93-$T$16*$T$17*SQRT(1/$T$13+(Tabelle13[[#This Row],[True Cooling Capacity '[kW']]]-$T$14)^2/$T$15)</f>
        <v>5121.8685933852767</v>
      </c>
      <c r="Q93" s="42">
        <f>M93+$T$16*$T$17*SQRT(1/$T$13+(Tabelle13[[#This Row],[True Cooling Capacity '[kW']]]-$T$14)^2/$T$15)</f>
        <v>5323.3679569591923</v>
      </c>
    </row>
    <row r="94" spans="1:17" x14ac:dyDescent="0.3">
      <c r="A94" t="s">
        <v>92</v>
      </c>
      <c r="B94" s="3" t="s">
        <v>144</v>
      </c>
      <c r="C94" s="4">
        <v>33.165759434500004</v>
      </c>
      <c r="D94" s="11">
        <f>(2*(5000*(Tabelle13[[#This Row],[Predicted Size]]/0.861448297))-22199)/10577</f>
        <v>34.300935993192773</v>
      </c>
      <c r="E94" s="3">
        <v>33</v>
      </c>
      <c r="F94" s="4">
        <v>34</v>
      </c>
      <c r="G94">
        <f>(Tabelle13[[#This Row],[True Size X]]+Tabelle13[[#This Row],[True Size Y]])/2</f>
        <v>33.5</v>
      </c>
      <c r="H94" s="10">
        <f>(Tabelle13[[#This Row],[Correlation Function Predicted  Size]]-Tabelle13[[#This Row],[True Mean Size ]])^2</f>
        <v>0.64149846519169418</v>
      </c>
      <c r="I94" s="5">
        <f t="shared" si="4"/>
        <v>5401.4550266318165</v>
      </c>
      <c r="J94" s="5">
        <f t="shared" si="5"/>
        <v>5195.0191237499985</v>
      </c>
      <c r="K94" s="9">
        <f>(Tabelle13[[#This Row],[Predicted Cooling Capacity '[kW']]]-Tabelle13[[#This Row],[True Cooling Capacity '[kW']]])^2</f>
        <v>42615.781998631406</v>
      </c>
      <c r="M94" s="5">
        <v>5635.6189608273044</v>
      </c>
      <c r="N94" s="42">
        <f>M94-$T$16*$T$17*SQRT(1+1/$T$13+(Tabelle13[[#This Row],[True Cooling Capacity '[kW']]]-$T$14)^2/$T$15)</f>
        <v>4520.2086676716553</v>
      </c>
      <c r="O94" s="42">
        <f>M94+$T$16*$T$17*SQRT(1+1/$T$13+(Tabelle13[[#This Row],[True Cooling Capacity '[kW']]]-$T$14)^2/$T$15)</f>
        <v>6751.0292539829534</v>
      </c>
      <c r="P94" s="42">
        <f>M94-$T$16*$T$17*SQRT(1/$T$13+(Tabelle13[[#This Row],[True Cooling Capacity '[kW']]]-$T$14)^2/$T$15)</f>
        <v>5535.3877712489111</v>
      </c>
      <c r="Q94" s="42">
        <f>M94+$T$16*$T$17*SQRT(1/$T$13+(Tabelle13[[#This Row],[True Cooling Capacity '[kW']]]-$T$14)^2/$T$15)</f>
        <v>5735.8501504056976</v>
      </c>
    </row>
    <row r="95" spans="1:17" x14ac:dyDescent="0.3">
      <c r="A95" t="s">
        <v>93</v>
      </c>
      <c r="B95" s="3" t="s">
        <v>185</v>
      </c>
      <c r="C95" s="4">
        <v>32.735035285999999</v>
      </c>
      <c r="D95" s="11">
        <f>(2*(5000*(Tabelle13[[#This Row],[Predicted Size]]/0.861448297))-22199)/10577</f>
        <v>33.828212158457028</v>
      </c>
      <c r="E95" s="3">
        <v>32</v>
      </c>
      <c r="F95" s="4">
        <v>30</v>
      </c>
      <c r="G95">
        <f>(Tabelle13[[#This Row],[True Size X]]+Tabelle13[[#This Row],[True Size Y]])/2</f>
        <v>31</v>
      </c>
      <c r="H95" s="10">
        <f>(Tabelle13[[#This Row],[Correlation Function Predicted  Size]]-Tabelle13[[#This Row],[True Mean Size ]])^2</f>
        <v>7.9987840132441592</v>
      </c>
      <c r="I95" s="5">
        <f t="shared" si="4"/>
        <v>5279.3364403780324</v>
      </c>
      <c r="J95" s="5">
        <f t="shared" si="5"/>
        <v>4565.4032550000011</v>
      </c>
      <c r="K95" s="9">
        <f>(Tabelle13[[#This Row],[Predicted Cooling Capacity '[kW']]]-Tabelle13[[#This Row],[True Cooling Capacity '[kW']]])^2</f>
        <v>509700.59318402247</v>
      </c>
      <c r="M95" s="5">
        <v>4952.1327478717003</v>
      </c>
      <c r="N95" s="42">
        <f>M95-$T$16*$T$17*SQRT(1+1/$T$13+(Tabelle13[[#This Row],[True Cooling Capacity '[kW']]]-$T$14)^2/$T$15)</f>
        <v>3836.61982750572</v>
      </c>
      <c r="O95" s="42">
        <f>M95+$T$16*$T$17*SQRT(1+1/$T$13+(Tabelle13[[#This Row],[True Cooling Capacity '[kW']]]-$T$14)^2/$T$15)</f>
        <v>6067.6456682376811</v>
      </c>
      <c r="P95" s="42">
        <f>M95-$T$16*$T$17*SQRT(1/$T$13+(Tabelle13[[#This Row],[True Cooling Capacity '[kW']]]-$T$14)^2/$T$15)</f>
        <v>4850.7658657544753</v>
      </c>
      <c r="Q95" s="42">
        <f>M95+$T$16*$T$17*SQRT(1/$T$13+(Tabelle13[[#This Row],[True Cooling Capacity '[kW']]]-$T$14)^2/$T$15)</f>
        <v>5053.4996299889253</v>
      </c>
    </row>
    <row r="96" spans="1:17" x14ac:dyDescent="0.3">
      <c r="A96" t="s">
        <v>94</v>
      </c>
      <c r="B96" s="3" t="s">
        <v>184</v>
      </c>
      <c r="C96" s="4">
        <v>31.012138692000001</v>
      </c>
      <c r="D96" s="11">
        <f>(2*(5000*(Tabelle13[[#This Row],[Predicted Size]]/0.861448297))-22199)/10577</f>
        <v>31.937316819514042</v>
      </c>
      <c r="E96" s="3">
        <v>30</v>
      </c>
      <c r="F96" s="4">
        <v>31</v>
      </c>
      <c r="G96">
        <f>(Tabelle13[[#This Row],[True Size X]]+Tabelle13[[#This Row],[True Size Y]])/2</f>
        <v>30.5</v>
      </c>
      <c r="H96" s="10">
        <f>(Tabelle13[[#This Row],[Correlation Function Predicted  Size]]-Tabelle13[[#This Row],[True Mean Size ]])^2</f>
        <v>2.0658796396579597</v>
      </c>
      <c r="I96" s="5">
        <f t="shared" si="4"/>
        <v>4798.8463995907769</v>
      </c>
      <c r="J96" s="5">
        <f t="shared" si="5"/>
        <v>4442.1597637499999</v>
      </c>
      <c r="K96" s="9">
        <f>(Tabelle13[[#This Row],[Predicted Cooling Capacity '[kW']]]-Tabelle13[[#This Row],[True Cooling Capacity '[kW']]])^2</f>
        <v>127225.35618741102</v>
      </c>
      <c r="M96" s="5">
        <v>4818.3444631622851</v>
      </c>
      <c r="N96" s="42">
        <f>M96-$T$16*$T$17*SQRT(1+1/$T$13+(Tabelle13[[#This Row],[True Cooling Capacity '[kW']]]-$T$14)^2/$T$15)</f>
        <v>3702.7964779724798</v>
      </c>
      <c r="O96" s="42">
        <f>M96+$T$16*$T$17*SQRT(1+1/$T$13+(Tabelle13[[#This Row],[True Cooling Capacity '[kW']]]-$T$14)^2/$T$15)</f>
        <v>5933.8924483520905</v>
      </c>
      <c r="P96" s="42">
        <f>M96-$T$16*$T$17*SQRT(1/$T$13+(Tabelle13[[#This Row],[True Cooling Capacity '[kW']]]-$T$14)^2/$T$15)</f>
        <v>4716.592428549885</v>
      </c>
      <c r="Q96" s="42">
        <f>M96+$T$16*$T$17*SQRT(1/$T$13+(Tabelle13[[#This Row],[True Cooling Capacity '[kW']]]-$T$14)^2/$T$15)</f>
        <v>4920.0964977746853</v>
      </c>
    </row>
    <row r="97" spans="1:17" x14ac:dyDescent="0.3">
      <c r="A97" t="s">
        <v>95</v>
      </c>
      <c r="B97" s="3" t="s">
        <v>246</v>
      </c>
      <c r="C97" s="4">
        <v>31.012138692000001</v>
      </c>
      <c r="D97" s="11">
        <f>(2*(5000*(Tabelle13[[#This Row],[Predicted Size]]/0.861448297))-22199)/10577</f>
        <v>31.937316819514042</v>
      </c>
      <c r="E97" s="3">
        <v>31</v>
      </c>
      <c r="F97" s="4">
        <v>31</v>
      </c>
      <c r="G97">
        <f>(Tabelle13[[#This Row],[True Size X]]+Tabelle13[[#This Row],[True Size Y]])/2</f>
        <v>31</v>
      </c>
      <c r="H97" s="10">
        <f>(Tabelle13[[#This Row],[Correlation Function Predicted  Size]]-Tabelle13[[#This Row],[True Mean Size ]])^2</f>
        <v>0.8785628201439184</v>
      </c>
      <c r="I97" s="5">
        <f t="shared" si="4"/>
        <v>4798.8463995907769</v>
      </c>
      <c r="J97" s="5">
        <f t="shared" si="5"/>
        <v>4565.4032550000011</v>
      </c>
      <c r="K97" s="9">
        <f>(Tabelle13[[#This Row],[Predicted Cooling Capacity '[kW']]]-Tabelle13[[#This Row],[True Cooling Capacity '[kW']]])^2</f>
        <v>54495.701756429844</v>
      </c>
      <c r="M97" s="5">
        <v>4952.1327478717003</v>
      </c>
      <c r="N97" s="42">
        <f>M97-$T$16*$T$17*SQRT(1+1/$T$13+(Tabelle13[[#This Row],[True Cooling Capacity '[kW']]]-$T$14)^2/$T$15)</f>
        <v>3836.61982750572</v>
      </c>
      <c r="O97" s="42">
        <f>M97+$T$16*$T$17*SQRT(1+1/$T$13+(Tabelle13[[#This Row],[True Cooling Capacity '[kW']]]-$T$14)^2/$T$15)</f>
        <v>6067.6456682376811</v>
      </c>
      <c r="P97" s="42">
        <f>M97-$T$16*$T$17*SQRT(1/$T$13+(Tabelle13[[#This Row],[True Cooling Capacity '[kW']]]-$T$14)^2/$T$15)</f>
        <v>4850.7658657544753</v>
      </c>
      <c r="Q97" s="42">
        <f>M97+$T$16*$T$17*SQRT(1/$T$13+(Tabelle13[[#This Row],[True Cooling Capacity '[kW']]]-$T$14)^2/$T$15)</f>
        <v>5053.4996299889253</v>
      </c>
    </row>
    <row r="98" spans="1:17" x14ac:dyDescent="0.3">
      <c r="A98" t="s">
        <v>96</v>
      </c>
      <c r="B98" s="3" t="s">
        <v>157</v>
      </c>
      <c r="C98" s="4">
        <v>31.873586989</v>
      </c>
      <c r="D98" s="11">
        <f>(2*(5000*(Tabelle13[[#This Row],[Predicted Size]]/0.861448297))-22199)/10577</f>
        <v>32.882764488985536</v>
      </c>
      <c r="E98" s="3">
        <v>33</v>
      </c>
      <c r="F98" s="4">
        <v>31</v>
      </c>
      <c r="G98">
        <f>(Tabelle13[[#This Row],[True Size X]]+Tabelle13[[#This Row],[True Size Y]])/2</f>
        <v>32</v>
      </c>
      <c r="H98" s="10">
        <f>(Tabelle13[[#This Row],[Correlation Function Predicted  Size]]-Tabelle13[[#This Row],[True Mean Size ]])^2</f>
        <v>0.77927314301389516</v>
      </c>
      <c r="I98" s="5">
        <f t="shared" si="4"/>
        <v>5037.4945591388296</v>
      </c>
      <c r="J98" s="5">
        <f t="shared" si="5"/>
        <v>4814.5699199999999</v>
      </c>
      <c r="K98" s="9">
        <f>(Tabelle13[[#This Row],[Predicted Cooling Capacity '[kW']]]-Tabelle13[[#This Row],[True Cooling Capacity '[kW']]])^2</f>
        <v>49695.394735177426</v>
      </c>
      <c r="M98" s="5">
        <v>5222.6182751722345</v>
      </c>
      <c r="N98" s="42">
        <f>M98-$T$16*$T$17*SQRT(1+1/$T$13+(Tabelle13[[#This Row],[True Cooling Capacity '[kW']]]-$T$14)^2/$T$15)</f>
        <v>4107.1612705801954</v>
      </c>
      <c r="O98" s="42">
        <f>M98+$T$16*$T$17*SQRT(1+1/$T$13+(Tabelle13[[#This Row],[True Cooling Capacity '[kW']]]-$T$14)^2/$T$15)</f>
        <v>6338.0752797642735</v>
      </c>
      <c r="P98" s="42">
        <f>M98-$T$16*$T$17*SQRT(1/$T$13+(Tabelle13[[#This Row],[True Cooling Capacity '[kW']]]-$T$14)^2/$T$15)</f>
        <v>5121.8685933852767</v>
      </c>
      <c r="Q98" s="42">
        <f>M98+$T$16*$T$17*SQRT(1/$T$13+(Tabelle13[[#This Row],[True Cooling Capacity '[kW']]]-$T$14)^2/$T$15)</f>
        <v>5323.3679569591923</v>
      </c>
    </row>
    <row r="99" spans="1:17" x14ac:dyDescent="0.3">
      <c r="A99" t="s">
        <v>97</v>
      </c>
      <c r="B99" s="3" t="s">
        <v>182</v>
      </c>
      <c r="C99" s="4">
        <v>31.012138692000001</v>
      </c>
      <c r="D99" s="11">
        <f>(2*(5000*(Tabelle13[[#This Row],[Predicted Size]]/0.861448297))-22199)/10577</f>
        <v>31.937316819514042</v>
      </c>
      <c r="E99" s="3">
        <v>32</v>
      </c>
      <c r="F99" s="4">
        <v>31</v>
      </c>
      <c r="G99">
        <f>(Tabelle13[[#This Row],[True Size X]]+Tabelle13[[#This Row],[True Size Y]])/2</f>
        <v>31.5</v>
      </c>
      <c r="H99" s="10">
        <f>(Tabelle13[[#This Row],[Correlation Function Predicted  Size]]-Tabelle13[[#This Row],[True Mean Size ]])^2</f>
        <v>0.19124600062987679</v>
      </c>
      <c r="I99" s="5">
        <f t="shared" ref="I99:I125" si="6">220.55*(D99*0.09)^2 + 1518*(D99*0.09) - 1386.6</f>
        <v>4798.8463995907769</v>
      </c>
      <c r="J99" s="5">
        <f t="shared" ref="J99:J125" si="7">220.55*(G99*0.09)^2 + 1518*(G99*0.09) - 1386.6</f>
        <v>4689.5399737499993</v>
      </c>
      <c r="K99" s="9">
        <f>(Tabelle13[[#This Row],[Predicted Cooling Capacity '[kW']]]-Tabelle13[[#This Row],[True Cooling Capacity '[kW']]])^2</f>
        <v>11947.894730085411</v>
      </c>
      <c r="M99" s="5">
        <v>5086.8906852083483</v>
      </c>
      <c r="N99" s="42">
        <f>M99-$T$16*$T$17*SQRT(1+1/$T$13+(Tabelle13[[#This Row],[True Cooling Capacity '[kW']]]-$T$14)^2/$T$15)</f>
        <v>3971.4081276360139</v>
      </c>
      <c r="O99" s="42">
        <f>M99+$T$16*$T$17*SQRT(1+1/$T$13+(Tabelle13[[#This Row],[True Cooling Capacity '[kW']]]-$T$14)^2/$T$15)</f>
        <v>6202.3732427806826</v>
      </c>
      <c r="P99" s="42">
        <f>M99-$T$16*$T$17*SQRT(1/$T$13+(Tabelle13[[#This Row],[True Cooling Capacity '[kW']]]-$T$14)^2/$T$15)</f>
        <v>4985.858484723326</v>
      </c>
      <c r="Q99" s="42">
        <f>M99+$T$16*$T$17*SQRT(1/$T$13+(Tabelle13[[#This Row],[True Cooling Capacity '[kW']]]-$T$14)^2/$T$15)</f>
        <v>5187.9228856933705</v>
      </c>
    </row>
    <row r="100" spans="1:17" x14ac:dyDescent="0.3">
      <c r="A100" t="s">
        <v>98</v>
      </c>
      <c r="B100" s="3" t="s">
        <v>202</v>
      </c>
      <c r="C100" s="4">
        <v>30.150690395000002</v>
      </c>
      <c r="D100" s="11">
        <f>(2*(5000*(Tabelle13[[#This Row],[Predicted Size]]/0.861448297))-22199)/10577</f>
        <v>30.991869150042547</v>
      </c>
      <c r="E100" s="3">
        <v>30</v>
      </c>
      <c r="F100" s="4">
        <v>30</v>
      </c>
      <c r="G100">
        <f>(Tabelle13[[#This Row],[True Size X]]+Tabelle13[[#This Row],[True Size Y]])/2</f>
        <v>30</v>
      </c>
      <c r="H100" s="10">
        <f>(Tabelle13[[#This Row],[Correlation Function Predicted  Size]]-Tabelle13[[#This Row],[True Mean Size ]])^2</f>
        <v>0.98380441080612402</v>
      </c>
      <c r="I100" s="5">
        <f t="shared" si="6"/>
        <v>4563.3919617338743</v>
      </c>
      <c r="J100" s="5">
        <f t="shared" si="7"/>
        <v>4319.8094999999994</v>
      </c>
      <c r="K100" s="9">
        <f>(Tabelle13[[#This Row],[Predicted Cooling Capacity '[kW']]]-Tabelle13[[#This Row],[True Cooling Capacity '[kW']]])^2</f>
        <v>59332.415664334621</v>
      </c>
      <c r="M100" s="5">
        <v>4685.5258310801064</v>
      </c>
      <c r="N100" s="42">
        <f>M100-$T$16*$T$17*SQRT(1+1/$T$13+(Tabelle13[[#This Row],[True Cooling Capacity '[kW']]]-$T$14)^2/$T$15)</f>
        <v>3569.9381860935896</v>
      </c>
      <c r="O100" s="42">
        <f>M100+$T$16*$T$17*SQRT(1+1/$T$13+(Tabelle13[[#This Row],[True Cooling Capacity '[kW']]]-$T$14)^2/$T$15)</f>
        <v>5801.1134760666228</v>
      </c>
      <c r="P100" s="42">
        <f>M100-$T$16*$T$17*SQRT(1/$T$13+(Tabelle13[[#This Row],[True Cooling Capacity '[kW']]]-$T$14)^2/$T$15)</f>
        <v>4583.3399077183631</v>
      </c>
      <c r="Q100" s="42">
        <f>M100+$T$16*$T$17*SQRT(1/$T$13+(Tabelle13[[#This Row],[True Cooling Capacity '[kW']]]-$T$14)^2/$T$15)</f>
        <v>4787.7117544418497</v>
      </c>
    </row>
    <row r="101" spans="1:17" x14ac:dyDescent="0.3">
      <c r="A101" t="s">
        <v>99</v>
      </c>
      <c r="B101" s="3" t="s">
        <v>201</v>
      </c>
      <c r="C101" s="4">
        <v>29.7199662465</v>
      </c>
      <c r="D101" s="11">
        <f>(2*(5000*(Tabelle13[[#This Row],[Predicted Size]]/0.861448297))-22199)/10577</f>
        <v>30.519145315306798</v>
      </c>
      <c r="E101" s="3">
        <v>30</v>
      </c>
      <c r="F101" s="4">
        <v>30</v>
      </c>
      <c r="G101">
        <f>(Tabelle13[[#This Row],[True Size X]]+Tabelle13[[#This Row],[True Size Y]])/2</f>
        <v>30</v>
      </c>
      <c r="H101" s="10">
        <f>(Tabelle13[[#This Row],[Correlation Function Predicted  Size]]-Tabelle13[[#This Row],[True Mean Size ]])^2</f>
        <v>0.2695118584049942</v>
      </c>
      <c r="I101" s="5">
        <f t="shared" si="6"/>
        <v>4446.8623884396056</v>
      </c>
      <c r="J101" s="5">
        <f t="shared" si="7"/>
        <v>4319.8094999999994</v>
      </c>
      <c r="K101" s="9">
        <f>(Tabelle13[[#This Row],[Predicted Cooling Capacity '[kW']]]-Tabelle13[[#This Row],[True Cooling Capacity '[kW']]])^2</f>
        <v>16142.436460847031</v>
      </c>
      <c r="M101" s="5">
        <v>4685.5258310801064</v>
      </c>
      <c r="N101" s="42">
        <f>M101-$T$16*$T$17*SQRT(1+1/$T$13+(Tabelle13[[#This Row],[True Cooling Capacity '[kW']]]-$T$14)^2/$T$15)</f>
        <v>3569.9381860935896</v>
      </c>
      <c r="O101" s="42">
        <f>M101+$T$16*$T$17*SQRT(1+1/$T$13+(Tabelle13[[#This Row],[True Cooling Capacity '[kW']]]-$T$14)^2/$T$15)</f>
        <v>5801.1134760666228</v>
      </c>
      <c r="P101" s="42">
        <f>M101-$T$16*$T$17*SQRT(1/$T$13+(Tabelle13[[#This Row],[True Cooling Capacity '[kW']]]-$T$14)^2/$T$15)</f>
        <v>4583.3399077183631</v>
      </c>
      <c r="Q101" s="42">
        <f>M101+$T$16*$T$17*SQRT(1/$T$13+(Tabelle13[[#This Row],[True Cooling Capacity '[kW']]]-$T$14)^2/$T$15)</f>
        <v>4787.7117544418497</v>
      </c>
    </row>
    <row r="102" spans="1:17" x14ac:dyDescent="0.3">
      <c r="A102" t="s">
        <v>100</v>
      </c>
      <c r="B102" s="3" t="s">
        <v>181</v>
      </c>
      <c r="C102" s="4">
        <v>30.581414543499999</v>
      </c>
      <c r="D102" s="11">
        <f>(2*(5000*(Tabelle13[[#This Row],[Predicted Size]]/0.861448297))-22199)/10577</f>
        <v>31.464592984778292</v>
      </c>
      <c r="E102" s="3">
        <v>30</v>
      </c>
      <c r="F102" s="4">
        <v>30</v>
      </c>
      <c r="G102">
        <f>(Tabelle13[[#This Row],[True Size X]]+Tabelle13[[#This Row],[True Size Y]])/2</f>
        <v>30</v>
      </c>
      <c r="H102" s="10">
        <f>(Tabelle13[[#This Row],[Correlation Function Predicted  Size]]-Tabelle13[[#This Row],[True Mean Size ]])^2</f>
        <v>2.1450326110617874</v>
      </c>
      <c r="I102" s="5">
        <f t="shared" si="6"/>
        <v>4680.7199654509313</v>
      </c>
      <c r="J102" s="5">
        <f t="shared" si="7"/>
        <v>4319.8094999999994</v>
      </c>
      <c r="K102" s="9">
        <f>(Tabelle13[[#This Row],[Predicted Cooling Capacity '[kW']]]-Tabelle13[[#This Row],[True Cooling Capacity '[kW']]])^2</f>
        <v>130256.36407200835</v>
      </c>
      <c r="M102" s="5">
        <v>4685.5258310801064</v>
      </c>
      <c r="N102" s="42">
        <f>M102-$T$16*$T$17*SQRT(1+1/$T$13+(Tabelle13[[#This Row],[True Cooling Capacity '[kW']]]-$T$14)^2/$T$15)</f>
        <v>3569.9381860935896</v>
      </c>
      <c r="O102" s="42">
        <f>M102+$T$16*$T$17*SQRT(1+1/$T$13+(Tabelle13[[#This Row],[True Cooling Capacity '[kW']]]-$T$14)^2/$T$15)</f>
        <v>5801.1134760666228</v>
      </c>
      <c r="P102" s="42">
        <f>M102-$T$16*$T$17*SQRT(1/$T$13+(Tabelle13[[#This Row],[True Cooling Capacity '[kW']]]-$T$14)^2/$T$15)</f>
        <v>4583.3399077183631</v>
      </c>
      <c r="Q102" s="42">
        <f>M102+$T$16*$T$17*SQRT(1/$T$13+(Tabelle13[[#This Row],[True Cooling Capacity '[kW']]]-$T$14)^2/$T$15)</f>
        <v>4787.7117544418497</v>
      </c>
    </row>
    <row r="103" spans="1:17" x14ac:dyDescent="0.3">
      <c r="A103" t="s">
        <v>101</v>
      </c>
      <c r="B103" s="3" t="s">
        <v>128</v>
      </c>
      <c r="C103" s="4">
        <v>29.7199662465</v>
      </c>
      <c r="D103" s="11">
        <f>(2*(5000*(Tabelle13[[#This Row],[Predicted Size]]/0.861448297))-22199)/10577</f>
        <v>30.519145315306798</v>
      </c>
      <c r="E103" s="3">
        <v>30</v>
      </c>
      <c r="F103" s="4">
        <v>30</v>
      </c>
      <c r="G103">
        <f>(Tabelle13[[#This Row],[True Size X]]+Tabelle13[[#This Row],[True Size Y]])/2</f>
        <v>30</v>
      </c>
      <c r="H103" s="10">
        <f>(Tabelle13[[#This Row],[Correlation Function Predicted  Size]]-Tabelle13[[#This Row],[True Mean Size ]])^2</f>
        <v>0.2695118584049942</v>
      </c>
      <c r="I103" s="5">
        <f t="shared" si="6"/>
        <v>4446.8623884396056</v>
      </c>
      <c r="J103" s="5">
        <f t="shared" si="7"/>
        <v>4319.8094999999994</v>
      </c>
      <c r="K103" s="9">
        <f>(Tabelle13[[#This Row],[Predicted Cooling Capacity '[kW']]]-Tabelle13[[#This Row],[True Cooling Capacity '[kW']]])^2</f>
        <v>16142.436460847031</v>
      </c>
      <c r="M103" s="5">
        <v>4685.5258310801064</v>
      </c>
      <c r="N103" s="42">
        <f>M103-$T$16*$T$17*SQRT(1+1/$T$13+(Tabelle13[[#This Row],[True Cooling Capacity '[kW']]]-$T$14)^2/$T$15)</f>
        <v>3569.9381860935896</v>
      </c>
      <c r="O103" s="42">
        <f>M103+$T$16*$T$17*SQRT(1+1/$T$13+(Tabelle13[[#This Row],[True Cooling Capacity '[kW']]]-$T$14)^2/$T$15)</f>
        <v>5801.1134760666228</v>
      </c>
      <c r="P103" s="42">
        <f>M103-$T$16*$T$17*SQRT(1/$T$13+(Tabelle13[[#This Row],[True Cooling Capacity '[kW']]]-$T$14)^2/$T$15)</f>
        <v>4583.3399077183631</v>
      </c>
      <c r="Q103" s="42">
        <f>M103+$T$16*$T$17*SQRT(1/$T$13+(Tabelle13[[#This Row],[True Cooling Capacity '[kW']]]-$T$14)^2/$T$15)</f>
        <v>4787.7117544418497</v>
      </c>
    </row>
    <row r="104" spans="1:17" x14ac:dyDescent="0.3">
      <c r="A104" t="s">
        <v>102</v>
      </c>
      <c r="B104" s="3" t="s">
        <v>241</v>
      </c>
      <c r="C104" s="4">
        <v>30.581414543499999</v>
      </c>
      <c r="D104" s="11">
        <f>(2*(5000*(Tabelle13[[#This Row],[Predicted Size]]/0.861448297))-22199)/10577</f>
        <v>31.464592984778292</v>
      </c>
      <c r="E104" s="3">
        <v>30</v>
      </c>
      <c r="F104" s="4">
        <v>30</v>
      </c>
      <c r="G104">
        <f>(Tabelle13[[#This Row],[True Size X]]+Tabelle13[[#This Row],[True Size Y]])/2</f>
        <v>30</v>
      </c>
      <c r="H104" s="10">
        <f>(Tabelle13[[#This Row],[Correlation Function Predicted  Size]]-Tabelle13[[#This Row],[True Mean Size ]])^2</f>
        <v>2.1450326110617874</v>
      </c>
      <c r="I104" s="5">
        <f t="shared" si="6"/>
        <v>4680.7199654509313</v>
      </c>
      <c r="J104" s="5">
        <f t="shared" si="7"/>
        <v>4319.8094999999994</v>
      </c>
      <c r="K104" s="9">
        <f>(Tabelle13[[#This Row],[Predicted Cooling Capacity '[kW']]]-Tabelle13[[#This Row],[True Cooling Capacity '[kW']]])^2</f>
        <v>130256.36407200835</v>
      </c>
      <c r="M104" s="5">
        <v>4685.5258310801064</v>
      </c>
      <c r="N104" s="42">
        <f>M104-$T$16*$T$17*SQRT(1+1/$T$13+(Tabelle13[[#This Row],[True Cooling Capacity '[kW']]]-$T$14)^2/$T$15)</f>
        <v>3569.9381860935896</v>
      </c>
      <c r="O104" s="42">
        <f>M104+$T$16*$T$17*SQRT(1+1/$T$13+(Tabelle13[[#This Row],[True Cooling Capacity '[kW']]]-$T$14)^2/$T$15)</f>
        <v>5801.1134760666228</v>
      </c>
      <c r="P104" s="42">
        <f>M104-$T$16*$T$17*SQRT(1/$T$13+(Tabelle13[[#This Row],[True Cooling Capacity '[kW']]]-$T$14)^2/$T$15)</f>
        <v>4583.3399077183631</v>
      </c>
      <c r="Q104" s="42">
        <f>M104+$T$16*$T$17*SQRT(1/$T$13+(Tabelle13[[#This Row],[True Cooling Capacity '[kW']]]-$T$14)^2/$T$15)</f>
        <v>4787.7117544418497</v>
      </c>
    </row>
    <row r="105" spans="1:17" x14ac:dyDescent="0.3">
      <c r="A105" t="s">
        <v>103</v>
      </c>
      <c r="B105" s="3" t="s">
        <v>221</v>
      </c>
      <c r="C105" s="4">
        <v>24.551276464499999</v>
      </c>
      <c r="D105" s="11">
        <f>(2*(5000*(Tabelle13[[#This Row],[Predicted Size]]/0.861448297))-22199)/10577</f>
        <v>24.846459298477825</v>
      </c>
      <c r="E105" s="3">
        <v>26</v>
      </c>
      <c r="F105" s="4">
        <v>24</v>
      </c>
      <c r="G105">
        <f>(Tabelle13[[#This Row],[True Size X]]+Tabelle13[[#This Row],[True Size Y]])/2</f>
        <v>25</v>
      </c>
      <c r="H105" s="10">
        <f>(Tabelle13[[#This Row],[Correlation Function Predicted  Size]]-Tabelle13[[#This Row],[True Mean Size ]])^2</f>
        <v>2.3574747023921639E-2</v>
      </c>
      <c r="I105" s="5">
        <f t="shared" si="6"/>
        <v>3110.7850818858456</v>
      </c>
      <c r="J105" s="5">
        <f t="shared" si="7"/>
        <v>3145.4343750000003</v>
      </c>
      <c r="K105" s="9">
        <f>(Tabelle13[[#This Row],[Predicted Cooling Capacity '[kW']]]-Tabelle13[[#This Row],[True Cooling Capacity '[kW']]])^2</f>
        <v>1200.5735133106093</v>
      </c>
      <c r="M105" s="5">
        <v>3410.6704047562962</v>
      </c>
      <c r="N105" s="42">
        <f>M105-$T$16*$T$17*SQRT(1+1/$T$13+(Tabelle13[[#This Row],[True Cooling Capacity '[kW']]]-$T$14)^2/$T$15)</f>
        <v>2294.4564636289638</v>
      </c>
      <c r="O105" s="42">
        <f>M105+$T$16*$T$17*SQRT(1+1/$T$13+(Tabelle13[[#This Row],[True Cooling Capacity '[kW']]]-$T$14)^2/$T$15)</f>
        <v>4526.8843458836291</v>
      </c>
      <c r="P105" s="42">
        <f>M105-$T$16*$T$17*SQRT(1/$T$13+(Tabelle13[[#This Row],[True Cooling Capacity '[kW']]]-$T$14)^2/$T$15)</f>
        <v>3301.8598737689813</v>
      </c>
      <c r="Q105" s="42">
        <f>M105+$T$16*$T$17*SQRT(1/$T$13+(Tabelle13[[#This Row],[True Cooling Capacity '[kW']]]-$T$14)^2/$T$15)</f>
        <v>3519.4809357436111</v>
      </c>
    </row>
    <row r="106" spans="1:17" x14ac:dyDescent="0.3">
      <c r="A106" t="s">
        <v>104</v>
      </c>
      <c r="B106" s="3" t="s">
        <v>209</v>
      </c>
      <c r="C106" s="4">
        <v>24.551276464499999</v>
      </c>
      <c r="D106" s="11">
        <f>(2*(5000*(Tabelle13[[#This Row],[Predicted Size]]/0.861448297))-22199)/10577</f>
        <v>24.846459298477825</v>
      </c>
      <c r="E106" s="3">
        <v>26</v>
      </c>
      <c r="F106" s="4">
        <v>24</v>
      </c>
      <c r="G106">
        <f>(Tabelle13[[#This Row],[True Size X]]+Tabelle13[[#This Row],[True Size Y]])/2</f>
        <v>25</v>
      </c>
      <c r="H106" s="10">
        <f>(Tabelle13[[#This Row],[Correlation Function Predicted  Size]]-Tabelle13[[#This Row],[True Mean Size ]])^2</f>
        <v>2.3574747023921639E-2</v>
      </c>
      <c r="I106" s="5">
        <f t="shared" si="6"/>
        <v>3110.7850818858456</v>
      </c>
      <c r="J106" s="5">
        <f t="shared" si="7"/>
        <v>3145.4343750000003</v>
      </c>
      <c r="K106" s="9">
        <f>(Tabelle13[[#This Row],[Predicted Cooling Capacity '[kW']]]-Tabelle13[[#This Row],[True Cooling Capacity '[kW']]])^2</f>
        <v>1200.5735133106093</v>
      </c>
      <c r="M106" s="5">
        <v>3410.6704047562962</v>
      </c>
      <c r="N106" s="42">
        <f>M106-$T$16*$T$17*SQRT(1+1/$T$13+(Tabelle13[[#This Row],[True Cooling Capacity '[kW']]]-$T$14)^2/$T$15)</f>
        <v>2294.4564636289638</v>
      </c>
      <c r="O106" s="42">
        <f>M106+$T$16*$T$17*SQRT(1+1/$T$13+(Tabelle13[[#This Row],[True Cooling Capacity '[kW']]]-$T$14)^2/$T$15)</f>
        <v>4526.8843458836291</v>
      </c>
      <c r="P106" s="42">
        <f>M106-$T$16*$T$17*SQRT(1/$T$13+(Tabelle13[[#This Row],[True Cooling Capacity '[kW']]]-$T$14)^2/$T$15)</f>
        <v>3301.8598737689813</v>
      </c>
      <c r="Q106" s="42">
        <f>M106+$T$16*$T$17*SQRT(1/$T$13+(Tabelle13[[#This Row],[True Cooling Capacity '[kW']]]-$T$14)^2/$T$15)</f>
        <v>3519.4809357436111</v>
      </c>
    </row>
    <row r="107" spans="1:17" x14ac:dyDescent="0.3">
      <c r="A107" t="s">
        <v>105</v>
      </c>
      <c r="B107" s="3" t="s">
        <v>248</v>
      </c>
      <c r="C107" s="4">
        <v>25.412724761500002</v>
      </c>
      <c r="D107" s="11">
        <f>(2*(5000*(Tabelle13[[#This Row],[Predicted Size]]/0.861448297))-22199)/10577</f>
        <v>25.791906967949323</v>
      </c>
      <c r="E107" s="3">
        <v>25</v>
      </c>
      <c r="F107" s="4">
        <v>25</v>
      </c>
      <c r="G107">
        <f>(Tabelle13[[#This Row],[True Size X]]+Tabelle13[[#This Row],[True Size Y]])/2</f>
        <v>25</v>
      </c>
      <c r="H107" s="10">
        <f>(Tabelle13[[#This Row],[Correlation Function Predicted  Size]]-Tabelle13[[#This Row],[True Mean Size ]])^2</f>
        <v>0.62711664588669069</v>
      </c>
      <c r="I107" s="5">
        <f t="shared" si="6"/>
        <v>3325.4803287502596</v>
      </c>
      <c r="J107" s="5">
        <f t="shared" si="7"/>
        <v>3145.4343750000003</v>
      </c>
      <c r="K107" s="9">
        <f>(Tabelle13[[#This Row],[Predicted Cooling Capacity '[kW']]]-Tabelle13[[#This Row],[True Cooling Capacity '[kW']]])^2</f>
        <v>32416.545461840506</v>
      </c>
      <c r="M107" s="5">
        <v>3410.6704047562962</v>
      </c>
      <c r="N107" s="42">
        <f>M107-$T$16*$T$17*SQRT(1+1/$T$13+(Tabelle13[[#This Row],[True Cooling Capacity '[kW']]]-$T$14)^2/$T$15)</f>
        <v>2294.4564636289638</v>
      </c>
      <c r="O107" s="42">
        <f>M107+$T$16*$T$17*SQRT(1+1/$T$13+(Tabelle13[[#This Row],[True Cooling Capacity '[kW']]]-$T$14)^2/$T$15)</f>
        <v>4526.8843458836291</v>
      </c>
      <c r="P107" s="42">
        <f>M107-$T$16*$T$17*SQRT(1/$T$13+(Tabelle13[[#This Row],[True Cooling Capacity '[kW']]]-$T$14)^2/$T$15)</f>
        <v>3301.8598737689813</v>
      </c>
      <c r="Q107" s="42">
        <f>M107+$T$16*$T$17*SQRT(1/$T$13+(Tabelle13[[#This Row],[True Cooling Capacity '[kW']]]-$T$14)^2/$T$15)</f>
        <v>3519.4809357436111</v>
      </c>
    </row>
    <row r="108" spans="1:17" x14ac:dyDescent="0.3">
      <c r="A108" t="s">
        <v>106</v>
      </c>
      <c r="B108" s="3" t="s">
        <v>210</v>
      </c>
      <c r="C108" s="4">
        <v>24.551276464499999</v>
      </c>
      <c r="D108" s="11">
        <f>(2*(5000*(Tabelle13[[#This Row],[Predicted Size]]/0.861448297))-22199)/10577</f>
        <v>24.846459298477825</v>
      </c>
      <c r="E108" s="3">
        <v>26</v>
      </c>
      <c r="F108" s="4">
        <v>24</v>
      </c>
      <c r="G108">
        <f>(Tabelle13[[#This Row],[True Size X]]+Tabelle13[[#This Row],[True Size Y]])/2</f>
        <v>25</v>
      </c>
      <c r="H108" s="10">
        <f>(Tabelle13[[#This Row],[Correlation Function Predicted  Size]]-Tabelle13[[#This Row],[True Mean Size ]])^2</f>
        <v>2.3574747023921639E-2</v>
      </c>
      <c r="I108" s="5">
        <f t="shared" si="6"/>
        <v>3110.7850818858456</v>
      </c>
      <c r="J108" s="5">
        <f t="shared" si="7"/>
        <v>3145.4343750000003</v>
      </c>
      <c r="K108" s="9">
        <f>(Tabelle13[[#This Row],[Predicted Cooling Capacity '[kW']]]-Tabelle13[[#This Row],[True Cooling Capacity '[kW']]])^2</f>
        <v>1200.5735133106093</v>
      </c>
      <c r="M108" s="5">
        <v>3410.6704047562962</v>
      </c>
      <c r="N108" s="42">
        <f>M108-$T$16*$T$17*SQRT(1+1/$T$13+(Tabelle13[[#This Row],[True Cooling Capacity '[kW']]]-$T$14)^2/$T$15)</f>
        <v>2294.4564636289638</v>
      </c>
      <c r="O108" s="42">
        <f>M108+$T$16*$T$17*SQRT(1+1/$T$13+(Tabelle13[[#This Row],[True Cooling Capacity '[kW']]]-$T$14)^2/$T$15)</f>
        <v>4526.8843458836291</v>
      </c>
      <c r="P108" s="42">
        <f>M108-$T$16*$T$17*SQRT(1/$T$13+(Tabelle13[[#This Row],[True Cooling Capacity '[kW']]]-$T$14)^2/$T$15)</f>
        <v>3301.8598737689813</v>
      </c>
      <c r="Q108" s="42">
        <f>M108+$T$16*$T$17*SQRT(1/$T$13+(Tabelle13[[#This Row],[True Cooling Capacity '[kW']]]-$T$14)^2/$T$15)</f>
        <v>3519.4809357436111</v>
      </c>
    </row>
    <row r="109" spans="1:17" x14ac:dyDescent="0.3">
      <c r="A109" t="s">
        <v>107</v>
      </c>
      <c r="B109" s="3" t="s">
        <v>230</v>
      </c>
      <c r="C109" s="4">
        <v>21.536207425000001</v>
      </c>
      <c r="D109" s="11">
        <f>(2*(5000*(Tabelle13[[#This Row],[Predicted Size]]/0.861448297))-22199)/10577</f>
        <v>21.537392455327598</v>
      </c>
      <c r="E109" s="3">
        <v>21</v>
      </c>
      <c r="F109" s="4">
        <v>21</v>
      </c>
      <c r="G109">
        <f>(Tabelle13[[#This Row],[True Size X]]+Tabelle13[[#This Row],[True Size Y]])/2</f>
        <v>21</v>
      </c>
      <c r="H109" s="10">
        <f>(Tabelle13[[#This Row],[Correlation Function Predicted  Size]]-Tabelle13[[#This Row],[True Mean Size ]])^2</f>
        <v>0.28879065104302482</v>
      </c>
      <c r="I109" s="5">
        <f t="shared" si="6"/>
        <v>2384.5022761782207</v>
      </c>
      <c r="J109" s="5">
        <f t="shared" si="7"/>
        <v>2270.2466549999999</v>
      </c>
      <c r="K109" s="9">
        <f>(Tabelle13[[#This Row],[Predicted Cooling Capacity '[kW']]]-Tabelle13[[#This Row],[True Cooling Capacity '[kW']]])^2</f>
        <v>13054.346970821083</v>
      </c>
      <c r="M109" s="5">
        <v>2460.6010528582265</v>
      </c>
      <c r="N109" s="42">
        <f>M109-$T$16*$T$17*SQRT(1+1/$T$13+(Tabelle13[[#This Row],[True Cooling Capacity '[kW']]]-$T$14)^2/$T$15)</f>
        <v>1343.6313882952857</v>
      </c>
      <c r="O109" s="42">
        <f>M109+$T$16*$T$17*SQRT(1+1/$T$13+(Tabelle13[[#This Row],[True Cooling Capacity '[kW']]]-$T$14)^2/$T$15)</f>
        <v>3577.5707174211675</v>
      </c>
      <c r="P109" s="42">
        <f>M109-$T$16*$T$17*SQRT(1/$T$13+(Tabelle13[[#This Row],[True Cooling Capacity '[kW']]]-$T$14)^2/$T$15)</f>
        <v>2344.2936978002685</v>
      </c>
      <c r="Q109" s="42">
        <f>M109+$T$16*$T$17*SQRT(1/$T$13+(Tabelle13[[#This Row],[True Cooling Capacity '[kW']]]-$T$14)^2/$T$15)</f>
        <v>2576.9084079161844</v>
      </c>
    </row>
    <row r="110" spans="1:17" x14ac:dyDescent="0.3">
      <c r="A110" t="s">
        <v>108</v>
      </c>
      <c r="B110" s="3" t="s">
        <v>139</v>
      </c>
      <c r="C110" s="4">
        <v>21.966931573499998</v>
      </c>
      <c r="D110" s="11">
        <f>(2*(5000*(Tabelle13[[#This Row],[Predicted Size]]/0.861448297))-22199)/10577</f>
        <v>22.01011629006334</v>
      </c>
      <c r="E110" s="3">
        <v>21</v>
      </c>
      <c r="F110" s="4">
        <v>21</v>
      </c>
      <c r="G110">
        <f>(Tabelle13[[#This Row],[True Size X]]+Tabelle13[[#This Row],[True Size Y]])/2</f>
        <v>21</v>
      </c>
      <c r="H110" s="10">
        <f>(Tabelle13[[#This Row],[Correlation Function Predicted  Size]]-Tabelle13[[#This Row],[True Mean Size ]])^2</f>
        <v>1.0203349194513265</v>
      </c>
      <c r="I110" s="5">
        <f t="shared" si="6"/>
        <v>2485.8616714395166</v>
      </c>
      <c r="J110" s="5">
        <f t="shared" si="7"/>
        <v>2270.2466549999999</v>
      </c>
      <c r="K110" s="9">
        <f>(Tabelle13[[#This Row],[Predicted Cooling Capacity '[kW']]]-Tabelle13[[#This Row],[True Cooling Capacity '[kW']]])^2</f>
        <v>46489.835314213051</v>
      </c>
      <c r="M110" s="5">
        <v>2460.6010528582265</v>
      </c>
      <c r="N110" s="42">
        <f>M110-$T$16*$T$17*SQRT(1+1/$T$13+(Tabelle13[[#This Row],[True Cooling Capacity '[kW']]]-$T$14)^2/$T$15)</f>
        <v>1343.6313882952857</v>
      </c>
      <c r="O110" s="42">
        <f>M110+$T$16*$T$17*SQRT(1+1/$T$13+(Tabelle13[[#This Row],[True Cooling Capacity '[kW']]]-$T$14)^2/$T$15)</f>
        <v>3577.5707174211675</v>
      </c>
      <c r="P110" s="42">
        <f>M110-$T$16*$T$17*SQRT(1/$T$13+(Tabelle13[[#This Row],[True Cooling Capacity '[kW']]]-$T$14)^2/$T$15)</f>
        <v>2344.2936978002685</v>
      </c>
      <c r="Q110" s="42">
        <f>M110+$T$16*$T$17*SQRT(1/$T$13+(Tabelle13[[#This Row],[True Cooling Capacity '[kW']]]-$T$14)^2/$T$15)</f>
        <v>2576.9084079161844</v>
      </c>
    </row>
    <row r="111" spans="1:17" x14ac:dyDescent="0.3">
      <c r="A111" t="s">
        <v>109</v>
      </c>
      <c r="B111" s="3" t="s">
        <v>229</v>
      </c>
      <c r="C111" s="4">
        <v>25.843448909999999</v>
      </c>
      <c r="D111" s="11">
        <f>(2*(5000*(Tabelle13[[#This Row],[Predicted Size]]/0.861448297))-22199)/10577</f>
        <v>26.264630802685065</v>
      </c>
      <c r="E111" s="3">
        <v>26</v>
      </c>
      <c r="F111" s="4">
        <v>26</v>
      </c>
      <c r="G111">
        <f>(Tabelle13[[#This Row],[True Size X]]+Tabelle13[[#This Row],[True Size Y]])/2</f>
        <v>26</v>
      </c>
      <c r="H111" s="10">
        <f>(Tabelle13[[#This Row],[Correlation Function Predicted  Size]]-Tabelle13[[#This Row],[True Mean Size ]])^2</f>
        <v>7.0029461729742046E-2</v>
      </c>
      <c r="I111" s="5">
        <f t="shared" si="6"/>
        <v>3434.0255978166474</v>
      </c>
      <c r="J111" s="5">
        <f t="shared" si="7"/>
        <v>3373.1635799999999</v>
      </c>
      <c r="K111" s="9">
        <f>(Tabelle13[[#This Row],[Predicted Cooling Capacity '[kW']]]-Tabelle13[[#This Row],[True Cooling Capacity '[kW']]])^2</f>
        <v>3704.1852127139168</v>
      </c>
      <c r="M111" s="5">
        <v>3657.8842690031711</v>
      </c>
      <c r="N111" s="42">
        <f>M111-$T$16*$T$17*SQRT(1+1/$T$13+(Tabelle13[[#This Row],[True Cooling Capacity '[kW']]]-$T$14)^2/$T$15)</f>
        <v>2541.8265306462026</v>
      </c>
      <c r="O111" s="42">
        <f>M111+$T$16*$T$17*SQRT(1+1/$T$13+(Tabelle13[[#This Row],[True Cooling Capacity '[kW']]]-$T$14)^2/$T$15)</f>
        <v>4773.9420073601395</v>
      </c>
      <c r="P111" s="42">
        <f>M111-$T$16*$T$17*SQRT(1/$T$13+(Tabelle13[[#This Row],[True Cooling Capacity '[kW']]]-$T$14)^2/$T$15)</f>
        <v>3550.6879788005667</v>
      </c>
      <c r="Q111" s="42">
        <f>M111+$T$16*$T$17*SQRT(1/$T$13+(Tabelle13[[#This Row],[True Cooling Capacity '[kW']]]-$T$14)^2/$T$15)</f>
        <v>3765.0805592057754</v>
      </c>
    </row>
    <row r="112" spans="1:17" x14ac:dyDescent="0.3">
      <c r="A112" t="s">
        <v>110</v>
      </c>
      <c r="B112" s="3" t="s">
        <v>173</v>
      </c>
      <c r="C112" s="4">
        <v>25.412724761500002</v>
      </c>
      <c r="D112" s="11">
        <f>(2*(5000*(Tabelle13[[#This Row],[Predicted Size]]/0.861448297))-22199)/10577</f>
        <v>25.791906967949323</v>
      </c>
      <c r="E112" s="3">
        <v>26</v>
      </c>
      <c r="F112" s="4">
        <v>26</v>
      </c>
      <c r="G112">
        <f>(Tabelle13[[#This Row],[True Size X]]+Tabelle13[[#This Row],[True Size Y]])/2</f>
        <v>26</v>
      </c>
      <c r="H112" s="10">
        <f>(Tabelle13[[#This Row],[Correlation Function Predicted  Size]]-Tabelle13[[#This Row],[True Mean Size ]])^2</f>
        <v>4.3302709988043933E-2</v>
      </c>
      <c r="I112" s="5">
        <f t="shared" si="6"/>
        <v>3325.4803287502596</v>
      </c>
      <c r="J112" s="5">
        <f t="shared" si="7"/>
        <v>3373.1635799999999</v>
      </c>
      <c r="K112" s="9">
        <f>(Tabelle13[[#This Row],[Predicted Cooling Capacity '[kW']]]-Tabelle13[[#This Row],[True Cooling Capacity '[kW']]])^2</f>
        <v>2273.6924497458649</v>
      </c>
      <c r="M112" s="5">
        <v>3657.8842690031711</v>
      </c>
      <c r="N112" s="42">
        <f>M112-$T$16*$T$17*SQRT(1+1/$T$13+(Tabelle13[[#This Row],[True Cooling Capacity '[kW']]]-$T$14)^2/$T$15)</f>
        <v>2541.8265306462026</v>
      </c>
      <c r="O112" s="42">
        <f>M112+$T$16*$T$17*SQRT(1+1/$T$13+(Tabelle13[[#This Row],[True Cooling Capacity '[kW']]]-$T$14)^2/$T$15)</f>
        <v>4773.9420073601395</v>
      </c>
      <c r="P112" s="42">
        <f>M112-$T$16*$T$17*SQRT(1/$T$13+(Tabelle13[[#This Row],[True Cooling Capacity '[kW']]]-$T$14)^2/$T$15)</f>
        <v>3550.6879788005667</v>
      </c>
      <c r="Q112" s="42">
        <f>M112+$T$16*$T$17*SQRT(1/$T$13+(Tabelle13[[#This Row],[True Cooling Capacity '[kW']]]-$T$14)^2/$T$15)</f>
        <v>3765.0805592057754</v>
      </c>
    </row>
    <row r="113" spans="1:17" x14ac:dyDescent="0.3">
      <c r="A113" t="s">
        <v>111</v>
      </c>
      <c r="B113" s="3" t="s">
        <v>232</v>
      </c>
      <c r="C113" s="4">
        <v>24.551276464499999</v>
      </c>
      <c r="D113" s="11">
        <f>(2*(5000*(Tabelle13[[#This Row],[Predicted Size]]/0.861448297))-22199)/10577</f>
        <v>24.846459298477825</v>
      </c>
      <c r="E113" s="3">
        <v>26</v>
      </c>
      <c r="F113" s="4">
        <v>26</v>
      </c>
      <c r="G113">
        <f>(Tabelle13[[#This Row],[True Size X]]+Tabelle13[[#This Row],[True Size Y]])/2</f>
        <v>26</v>
      </c>
      <c r="H113" s="10">
        <f>(Tabelle13[[#This Row],[Correlation Function Predicted  Size]]-Tabelle13[[#This Row],[True Mean Size ]])^2</f>
        <v>1.3306561500682716</v>
      </c>
      <c r="I113" s="5">
        <f t="shared" si="6"/>
        <v>3110.7850818858456</v>
      </c>
      <c r="J113" s="5">
        <f t="shared" si="7"/>
        <v>3373.1635799999999</v>
      </c>
      <c r="K113" s="9">
        <f>(Tabelle13[[#This Row],[Predicted Cooling Capacity '[kW']]]-Tabelle13[[#This Row],[True Cooling Capacity '[kW']]])^2</f>
        <v>68842.476272639295</v>
      </c>
      <c r="M113" s="5">
        <v>3657.8842690031711</v>
      </c>
      <c r="N113" s="42">
        <f>M113-$T$16*$T$17*SQRT(1+1/$T$13+(Tabelle13[[#This Row],[True Cooling Capacity '[kW']]]-$T$14)^2/$T$15)</f>
        <v>2541.8265306462026</v>
      </c>
      <c r="O113" s="42">
        <f>M113+$T$16*$T$17*SQRT(1+1/$T$13+(Tabelle13[[#This Row],[True Cooling Capacity '[kW']]]-$T$14)^2/$T$15)</f>
        <v>4773.9420073601395</v>
      </c>
      <c r="P113" s="42">
        <f>M113-$T$16*$T$17*SQRT(1/$T$13+(Tabelle13[[#This Row],[True Cooling Capacity '[kW']]]-$T$14)^2/$T$15)</f>
        <v>3550.6879788005667</v>
      </c>
      <c r="Q113" s="42">
        <f>M113+$T$16*$T$17*SQRT(1/$T$13+(Tabelle13[[#This Row],[True Cooling Capacity '[kW']]]-$T$14)^2/$T$15)</f>
        <v>3765.0805592057754</v>
      </c>
    </row>
    <row r="114" spans="1:17" x14ac:dyDescent="0.3">
      <c r="A114" t="s">
        <v>112</v>
      </c>
      <c r="B114" s="3" t="s">
        <v>215</v>
      </c>
      <c r="C114" s="4">
        <v>23.259104018999999</v>
      </c>
      <c r="D114" s="11">
        <f>(2*(5000*(Tabelle13[[#This Row],[Predicted Size]]/0.861448297))-22199)/10577</f>
        <v>23.428287794270581</v>
      </c>
      <c r="E114" s="3">
        <v>26</v>
      </c>
      <c r="F114" s="4">
        <v>26</v>
      </c>
      <c r="G114">
        <f>(Tabelle13[[#This Row],[True Size X]]+Tabelle13[[#This Row],[True Size Y]])/2</f>
        <v>26</v>
      </c>
      <c r="H114" s="10">
        <f>(Tabelle13[[#This Row],[Correlation Function Predicted  Size]]-Tabelle13[[#This Row],[True Mean Size ]])^2</f>
        <v>6.6137036690976734</v>
      </c>
      <c r="I114" s="5">
        <f t="shared" si="6"/>
        <v>2794.7304397601351</v>
      </c>
      <c r="J114" s="5">
        <f t="shared" si="7"/>
        <v>3373.1635799999999</v>
      </c>
      <c r="K114" s="9">
        <f>(Tabelle13[[#This Row],[Predicted Cooling Capacity '[kW']]]-Tabelle13[[#This Row],[True Cooling Capacity '[kW']]])^2</f>
        <v>334584.89772775106</v>
      </c>
      <c r="M114" s="5">
        <v>3657.8842690031711</v>
      </c>
      <c r="N114" s="42">
        <f>M114-$T$16*$T$17*SQRT(1+1/$T$13+(Tabelle13[[#This Row],[True Cooling Capacity '[kW']]]-$T$14)^2/$T$15)</f>
        <v>2541.8265306462026</v>
      </c>
      <c r="O114" s="42">
        <f>M114+$T$16*$T$17*SQRT(1+1/$T$13+(Tabelle13[[#This Row],[True Cooling Capacity '[kW']]]-$T$14)^2/$T$15)</f>
        <v>4773.9420073601395</v>
      </c>
      <c r="P114" s="42">
        <f>M114-$T$16*$T$17*SQRT(1/$T$13+(Tabelle13[[#This Row],[True Cooling Capacity '[kW']]]-$T$14)^2/$T$15)</f>
        <v>3550.6879788005667</v>
      </c>
      <c r="Q114" s="42">
        <f>M114+$T$16*$T$17*SQRT(1/$T$13+(Tabelle13[[#This Row],[True Cooling Capacity '[kW']]]-$T$14)^2/$T$15)</f>
        <v>3765.0805592057754</v>
      </c>
    </row>
    <row r="115" spans="1:17" x14ac:dyDescent="0.3">
      <c r="A115" t="s">
        <v>113</v>
      </c>
      <c r="B115" s="3" t="s">
        <v>223</v>
      </c>
      <c r="C115" s="4">
        <v>27.566345504000001</v>
      </c>
      <c r="D115" s="11">
        <f>(2*(5000*(Tabelle13[[#This Row],[Predicted Size]]/0.861448297))-22199)/10577</f>
        <v>28.155526141628062</v>
      </c>
      <c r="E115" s="3">
        <v>27</v>
      </c>
      <c r="F115" s="4">
        <v>29</v>
      </c>
      <c r="G115">
        <f>(Tabelle13[[#This Row],[True Size X]]+Tabelle13[[#This Row],[True Size Y]])/2</f>
        <v>28</v>
      </c>
      <c r="H115" s="10">
        <f>(Tabelle13[[#This Row],[Correlation Function Predicted  Size]]-Tabelle13[[#This Row],[True Mean Size ]])^2</f>
        <v>2.4188380729712067E-2</v>
      </c>
      <c r="I115" s="5">
        <f t="shared" si="6"/>
        <v>3876.1909783100832</v>
      </c>
      <c r="J115" s="5">
        <f t="shared" si="7"/>
        <v>3839.3407200000006</v>
      </c>
      <c r="K115" s="9">
        <f>(Tabelle13[[#This Row],[Predicted Cooling Capacity '[kW']]]-Tabelle13[[#This Row],[True Cooling Capacity '[kW']]])^2</f>
        <v>1357.9415375198123</v>
      </c>
      <c r="M115" s="5">
        <v>4163.947829023753</v>
      </c>
      <c r="N115" s="42">
        <f>M115-$T$16*$T$17*SQRT(1+1/$T$13+(Tabelle13[[#This Row],[True Cooling Capacity '[kW']]]-$T$14)^2/$T$15)</f>
        <v>3048.1577106222885</v>
      </c>
      <c r="O115" s="42">
        <f>M115+$T$16*$T$17*SQRT(1+1/$T$13+(Tabelle13[[#This Row],[True Cooling Capacity '[kW']]]-$T$14)^2/$T$15)</f>
        <v>5279.7379474252175</v>
      </c>
      <c r="P115" s="42">
        <f>M115-$T$16*$T$17*SQRT(1/$T$13+(Tabelle13[[#This Row],[True Cooling Capacity '[kW']]]-$T$14)^2/$T$15)</f>
        <v>4059.5746638466667</v>
      </c>
      <c r="Q115" s="42">
        <f>M115+$T$16*$T$17*SQRT(1/$T$13+(Tabelle13[[#This Row],[True Cooling Capacity '[kW']]]-$T$14)^2/$T$15)</f>
        <v>4268.3209942008389</v>
      </c>
    </row>
    <row r="116" spans="1:17" x14ac:dyDescent="0.3">
      <c r="A116" t="s">
        <v>114</v>
      </c>
      <c r="B116" s="3" t="s">
        <v>196</v>
      </c>
      <c r="C116" s="4">
        <v>23.259104018999999</v>
      </c>
      <c r="D116" s="11">
        <f>(2*(5000*(Tabelle13[[#This Row],[Predicted Size]]/0.861448297))-22199)/10577</f>
        <v>23.428287794270581</v>
      </c>
      <c r="E116" s="3">
        <v>26</v>
      </c>
      <c r="F116" s="4">
        <v>26</v>
      </c>
      <c r="G116">
        <f>(Tabelle13[[#This Row],[True Size X]]+Tabelle13[[#This Row],[True Size Y]])/2</f>
        <v>26</v>
      </c>
      <c r="H116" s="10">
        <f>(Tabelle13[[#This Row],[Correlation Function Predicted  Size]]-Tabelle13[[#This Row],[True Mean Size ]])^2</f>
        <v>6.6137036690976734</v>
      </c>
      <c r="I116" s="5">
        <f t="shared" si="6"/>
        <v>2794.7304397601351</v>
      </c>
      <c r="J116" s="5">
        <f t="shared" si="7"/>
        <v>3373.1635799999999</v>
      </c>
      <c r="K116" s="9">
        <f>(Tabelle13[[#This Row],[Predicted Cooling Capacity '[kW']]]-Tabelle13[[#This Row],[True Cooling Capacity '[kW']]])^2</f>
        <v>334584.89772775106</v>
      </c>
      <c r="M116" s="5">
        <v>3657.8842690031711</v>
      </c>
      <c r="N116" s="42">
        <f>M116-$T$16*$T$17*SQRT(1+1/$T$13+(Tabelle13[[#This Row],[True Cooling Capacity '[kW']]]-$T$14)^2/$T$15)</f>
        <v>2541.8265306462026</v>
      </c>
      <c r="O116" s="42">
        <f>M116+$T$16*$T$17*SQRT(1+1/$T$13+(Tabelle13[[#This Row],[True Cooling Capacity '[kW']]]-$T$14)^2/$T$15)</f>
        <v>4773.9420073601395</v>
      </c>
      <c r="P116" s="42">
        <f>M116-$T$16*$T$17*SQRT(1/$T$13+(Tabelle13[[#This Row],[True Cooling Capacity '[kW']]]-$T$14)^2/$T$15)</f>
        <v>3550.6879788005667</v>
      </c>
      <c r="Q116" s="42">
        <f>M116+$T$16*$T$17*SQRT(1/$T$13+(Tabelle13[[#This Row],[True Cooling Capacity '[kW']]]-$T$14)^2/$T$15)</f>
        <v>3765.0805592057754</v>
      </c>
    </row>
    <row r="117" spans="1:17" x14ac:dyDescent="0.3">
      <c r="A117" t="s">
        <v>115</v>
      </c>
      <c r="B117" s="3" t="s">
        <v>129</v>
      </c>
      <c r="C117" s="4">
        <v>29.289242097999999</v>
      </c>
      <c r="D117" s="11">
        <f>(2*(5000*(Tabelle13[[#This Row],[Predicted Size]]/0.861448297))-22199)/10577</f>
        <v>30.046421480571052</v>
      </c>
      <c r="E117" s="3">
        <v>29</v>
      </c>
      <c r="F117" s="4">
        <v>29</v>
      </c>
      <c r="G117">
        <f>(Tabelle13[[#This Row],[True Size X]]+Tabelle13[[#This Row],[True Size Y]])/2</f>
        <v>29</v>
      </c>
      <c r="H117" s="10">
        <f>(Tabelle13[[#This Row],[Correlation Function Predicted  Size]]-Tabelle13[[#This Row],[True Mean Size ]])^2</f>
        <v>1.0949979150005122</v>
      </c>
      <c r="I117" s="5">
        <f t="shared" si="6"/>
        <v>4331.1312455681255</v>
      </c>
      <c r="J117" s="5">
        <f t="shared" si="7"/>
        <v>4077.7886549999998</v>
      </c>
      <c r="K117" s="9">
        <f>(Tabelle13[[#This Row],[Predicted Cooling Capacity '[kW']]]-Tabelle13[[#This Row],[True Cooling Capacity '[kW']]])^2</f>
        <v>64182.468195768932</v>
      </c>
      <c r="M117" s="5">
        <v>4422.7975247974582</v>
      </c>
      <c r="N117" s="42">
        <f>M117-$T$16*$T$17*SQRT(1+1/$T$13+(Tabelle13[[#This Row],[True Cooling Capacity '[kW']]]-$T$14)^2/$T$15)</f>
        <v>3307.1171998726968</v>
      </c>
      <c r="O117" s="42">
        <f>M117+$T$16*$T$17*SQRT(1+1/$T$13+(Tabelle13[[#This Row],[True Cooling Capacity '[kW']]]-$T$14)^2/$T$15)</f>
        <v>5538.4778497222196</v>
      </c>
      <c r="P117" s="42">
        <f>M117-$T$16*$T$17*SQRT(1/$T$13+(Tabelle13[[#This Row],[True Cooling Capacity '[kW']]]-$T$14)^2/$T$15)</f>
        <v>4319.6047115256461</v>
      </c>
      <c r="Q117" s="42">
        <f>M117+$T$16*$T$17*SQRT(1/$T$13+(Tabelle13[[#This Row],[True Cooling Capacity '[kW']]]-$T$14)^2/$T$15)</f>
        <v>4525.9903380692704</v>
      </c>
    </row>
    <row r="118" spans="1:17" x14ac:dyDescent="0.3">
      <c r="A118" t="s">
        <v>116</v>
      </c>
      <c r="B118" s="3" t="s">
        <v>170</v>
      </c>
      <c r="C118" s="4">
        <v>30.581414543499999</v>
      </c>
      <c r="D118" s="11">
        <f>(2*(5000*(Tabelle13[[#This Row],[Predicted Size]]/0.861448297))-22199)/10577</f>
        <v>31.464592984778292</v>
      </c>
      <c r="E118" s="3">
        <v>30</v>
      </c>
      <c r="F118" s="4">
        <v>29</v>
      </c>
      <c r="G118">
        <f>(Tabelle13[[#This Row],[True Size X]]+Tabelle13[[#This Row],[True Size Y]])/2</f>
        <v>29.5</v>
      </c>
      <c r="H118" s="10">
        <f>(Tabelle13[[#This Row],[Correlation Function Predicted  Size]]-Tabelle13[[#This Row],[True Mean Size ]])^2</f>
        <v>3.8596255958400798</v>
      </c>
      <c r="I118" s="5">
        <f t="shared" si="6"/>
        <v>4680.7199654509313</v>
      </c>
      <c r="J118" s="5">
        <f t="shared" si="7"/>
        <v>4198.3524637499995</v>
      </c>
      <c r="K118" s="9">
        <f>(Tabelle13[[#This Row],[Predicted Cooling Capacity '[kW']]]-Tabelle13[[#This Row],[True Cooling Capacity '[kW']]])^2</f>
        <v>232678.40669719846</v>
      </c>
      <c r="M118" s="5">
        <v>4553.6768516251641</v>
      </c>
      <c r="N118" s="42">
        <f>M118-$T$16*$T$17*SQRT(1+1/$T$13+(Tabelle13[[#This Row],[True Cooling Capacity '[kW']]]-$T$14)^2/$T$15)</f>
        <v>3438.045058196115</v>
      </c>
      <c r="O118" s="42">
        <f>M118+$T$16*$T$17*SQRT(1+1/$T$13+(Tabelle13[[#This Row],[True Cooling Capacity '[kW']]]-$T$14)^2/$T$15)</f>
        <v>5669.3086450542132</v>
      </c>
      <c r="P118" s="42">
        <f>M118-$T$16*$T$17*SQRT(1/$T$13+(Tabelle13[[#This Row],[True Cooling Capacity '[kW']]]-$T$14)^2/$T$15)</f>
        <v>4451.0100712312797</v>
      </c>
      <c r="Q118" s="42">
        <f>M118+$T$16*$T$17*SQRT(1/$T$13+(Tabelle13[[#This Row],[True Cooling Capacity '[kW']]]-$T$14)^2/$T$15)</f>
        <v>4656.3436320190485</v>
      </c>
    </row>
    <row r="119" spans="1:17" x14ac:dyDescent="0.3">
      <c r="A119" t="s">
        <v>117</v>
      </c>
      <c r="B119" s="3" t="s">
        <v>189</v>
      </c>
      <c r="C119" s="4">
        <v>44.795311443999999</v>
      </c>
      <c r="D119" s="11">
        <f>(2*(5000*(Tabelle13[[#This Row],[Predicted Size]]/0.861448297))-22199)/10577</f>
        <v>47.064479531057955</v>
      </c>
      <c r="E119" s="3">
        <v>40</v>
      </c>
      <c r="F119" s="4">
        <v>42</v>
      </c>
      <c r="G119">
        <f>(Tabelle13[[#This Row],[True Size X]]+Tabelle13[[#This Row],[True Size Y]])/2</f>
        <v>41</v>
      </c>
      <c r="H119" s="10">
        <f>(Tabelle13[[#This Row],[Correlation Function Predicted  Size]]-Tabelle13[[#This Row],[True Mean Size ]])^2</f>
        <v>36.777911982620921</v>
      </c>
      <c r="I119" s="5">
        <f t="shared" si="6"/>
        <v>9000.4635552978543</v>
      </c>
      <c r="J119" s="5">
        <f t="shared" si="7"/>
        <v>7217.8508549999988</v>
      </c>
      <c r="K119" s="9">
        <f>(Tabelle13[[#This Row],[Predicted Cooling Capacity '[kW']]]-Tabelle13[[#This Row],[True Cooling Capacity '[kW']]])^2</f>
        <v>3177708.0392632121</v>
      </c>
      <c r="M119" s="5">
        <v>7831.5254937795007</v>
      </c>
      <c r="N119" s="42">
        <f>M119-$T$16*$T$17*SQRT(1+1/$T$13+(Tabelle13[[#This Row],[True Cooling Capacity '[kW']]]-$T$14)^2/$T$15)</f>
        <v>6715.5788776692898</v>
      </c>
      <c r="O119" s="42">
        <f>M119+$T$16*$T$17*SQRT(1+1/$T$13+(Tabelle13[[#This Row],[True Cooling Capacity '[kW']]]-$T$14)^2/$T$15)</f>
        <v>8947.4721098897116</v>
      </c>
      <c r="P119" s="42">
        <f>M119-$T$16*$T$17*SQRT(1/$T$13+(Tabelle13[[#This Row],[True Cooling Capacity '[kW']]]-$T$14)^2/$T$15)</f>
        <v>7725.492389068947</v>
      </c>
      <c r="Q119" s="42">
        <f>M119+$T$16*$T$17*SQRT(1/$T$13+(Tabelle13[[#This Row],[True Cooling Capacity '[kW']]]-$T$14)^2/$T$15)</f>
        <v>7937.5585984900545</v>
      </c>
    </row>
    <row r="120" spans="1:17" x14ac:dyDescent="0.3">
      <c r="A120" t="s">
        <v>118</v>
      </c>
      <c r="B120" s="3" t="s">
        <v>205</v>
      </c>
      <c r="C120" s="4">
        <v>43.503138998499999</v>
      </c>
      <c r="D120" s="11">
        <f>(2*(5000*(Tabelle13[[#This Row],[Predicted Size]]/0.861448297))-22199)/10577</f>
        <v>45.646308026850711</v>
      </c>
      <c r="E120" s="3">
        <v>40</v>
      </c>
      <c r="F120" s="4">
        <v>42</v>
      </c>
      <c r="G120">
        <f>(Tabelle13[[#This Row],[True Size X]]+Tabelle13[[#This Row],[True Size Y]])/2</f>
        <v>41</v>
      </c>
      <c r="H120" s="10">
        <f>(Tabelle13[[#This Row],[Correlation Function Predicted  Size]]-Tabelle13[[#This Row],[True Mean Size ]])^2</f>
        <v>21.588178280377349</v>
      </c>
      <c r="I120" s="5">
        <f t="shared" si="6"/>
        <v>8571.8302235590363</v>
      </c>
      <c r="J120" s="5">
        <f t="shared" si="7"/>
        <v>7217.8508549999988</v>
      </c>
      <c r="K120" s="9">
        <f>(Tabelle13[[#This Row],[Predicted Cooling Capacity '[kW']]]-Tabelle13[[#This Row],[True Cooling Capacity '[kW']]])^2</f>
        <v>1833260.13048353</v>
      </c>
      <c r="M120" s="5">
        <v>7831.5254937795007</v>
      </c>
      <c r="N120" s="42">
        <f>M120-$T$16*$T$17*SQRT(1+1/$T$13+(Tabelle13[[#This Row],[True Cooling Capacity '[kW']]]-$T$14)^2/$T$15)</f>
        <v>6715.5788776692898</v>
      </c>
      <c r="O120" s="42">
        <f>M120+$T$16*$T$17*SQRT(1+1/$T$13+(Tabelle13[[#This Row],[True Cooling Capacity '[kW']]]-$T$14)^2/$T$15)</f>
        <v>8947.4721098897116</v>
      </c>
      <c r="P120" s="42">
        <f>M120-$T$16*$T$17*SQRT(1/$T$13+(Tabelle13[[#This Row],[True Cooling Capacity '[kW']]]-$T$14)^2/$T$15)</f>
        <v>7725.492389068947</v>
      </c>
      <c r="Q120" s="42">
        <f>M120+$T$16*$T$17*SQRT(1/$T$13+(Tabelle13[[#This Row],[True Cooling Capacity '[kW']]]-$T$14)^2/$T$15)</f>
        <v>7937.5585984900545</v>
      </c>
    </row>
    <row r="121" spans="1:17" x14ac:dyDescent="0.3">
      <c r="A121" t="s">
        <v>119</v>
      </c>
      <c r="B121" s="3" t="s">
        <v>164</v>
      </c>
      <c r="C121" s="4">
        <v>39.626621661999998</v>
      </c>
      <c r="D121" s="11">
        <f>(2*(5000*(Tabelle13[[#This Row],[Predicted Size]]/0.861448297))-22199)/10577</f>
        <v>41.391793514228979</v>
      </c>
      <c r="E121" s="3">
        <v>40</v>
      </c>
      <c r="F121" s="4">
        <v>42</v>
      </c>
      <c r="G121">
        <f>(Tabelle13[[#This Row],[True Size X]]+Tabelle13[[#This Row],[True Size Y]])/2</f>
        <v>41</v>
      </c>
      <c r="H121" s="10">
        <f>(Tabelle13[[#This Row],[Correlation Function Predicted  Size]]-Tabelle13[[#This Row],[True Mean Size ]])^2</f>
        <v>0.15350215779189336</v>
      </c>
      <c r="I121" s="5">
        <f t="shared" si="6"/>
        <v>7329.0454711731381</v>
      </c>
      <c r="J121" s="5">
        <f t="shared" si="7"/>
        <v>7217.8508549999988</v>
      </c>
      <c r="K121" s="9">
        <f>(Tabelle13[[#This Row],[Predicted Cooling Capacity '[kW']]]-Tabelle13[[#This Row],[True Cooling Capacity '[kW']]])^2</f>
        <v>12364.242665891787</v>
      </c>
      <c r="M121" s="5">
        <v>7831.5254937795007</v>
      </c>
      <c r="N121" s="42">
        <f>M121-$T$16*$T$17*SQRT(1+1/$T$13+(Tabelle13[[#This Row],[True Cooling Capacity '[kW']]]-$T$14)^2/$T$15)</f>
        <v>6715.5788776692898</v>
      </c>
      <c r="O121" s="42">
        <f>M121+$T$16*$T$17*SQRT(1+1/$T$13+(Tabelle13[[#This Row],[True Cooling Capacity '[kW']]]-$T$14)^2/$T$15)</f>
        <v>8947.4721098897116</v>
      </c>
      <c r="P121" s="42">
        <f>M121-$T$16*$T$17*SQRT(1/$T$13+(Tabelle13[[#This Row],[True Cooling Capacity '[kW']]]-$T$14)^2/$T$15)</f>
        <v>7725.492389068947</v>
      </c>
      <c r="Q121" s="42">
        <f>M121+$T$16*$T$17*SQRT(1/$T$13+(Tabelle13[[#This Row],[True Cooling Capacity '[kW']]]-$T$14)^2/$T$15)</f>
        <v>7937.5585984900545</v>
      </c>
    </row>
    <row r="122" spans="1:17" x14ac:dyDescent="0.3">
      <c r="A122" t="s">
        <v>120</v>
      </c>
      <c r="B122" s="3" t="s">
        <v>236</v>
      </c>
      <c r="C122" s="4">
        <v>40.918794107499998</v>
      </c>
      <c r="D122" s="11">
        <f>(2*(5000*(Tabelle13[[#This Row],[Predicted Size]]/0.861448297))-22199)/10577</f>
        <v>42.80996501843623</v>
      </c>
      <c r="E122" s="3">
        <v>40</v>
      </c>
      <c r="F122" s="4">
        <v>42</v>
      </c>
      <c r="G122">
        <f>(Tabelle13[[#This Row],[True Size X]]+Tabelle13[[#This Row],[True Size Y]])/2</f>
        <v>41</v>
      </c>
      <c r="H122" s="10">
        <f>(Tabelle13[[#This Row],[Correlation Function Predicted  Size]]-Tabelle13[[#This Row],[True Mean Size ]])^2</f>
        <v>3.2759733679628638</v>
      </c>
      <c r="I122" s="5">
        <f t="shared" si="6"/>
        <v>7736.1211814966828</v>
      </c>
      <c r="J122" s="5">
        <f t="shared" si="7"/>
        <v>7217.8508549999988</v>
      </c>
      <c r="K122" s="9">
        <f>(Tabelle13[[#This Row],[Predicted Cooling Capacity '[kW']]]-Tabelle13[[#This Row],[True Cooling Capacity '[kW']]])^2</f>
        <v>268604.13132697943</v>
      </c>
      <c r="M122" s="5">
        <v>7831.5254937795007</v>
      </c>
      <c r="N122" s="42">
        <f>M122-$T$16*$T$17*SQRT(1+1/$T$13+(Tabelle13[[#This Row],[True Cooling Capacity '[kW']]]-$T$14)^2/$T$15)</f>
        <v>6715.5788776692898</v>
      </c>
      <c r="O122" s="42">
        <f>M122+$T$16*$T$17*SQRT(1+1/$T$13+(Tabelle13[[#This Row],[True Cooling Capacity '[kW']]]-$T$14)^2/$T$15)</f>
        <v>8947.4721098897116</v>
      </c>
      <c r="P122" s="42">
        <f>M122-$T$16*$T$17*SQRT(1/$T$13+(Tabelle13[[#This Row],[True Cooling Capacity '[kW']]]-$T$14)^2/$T$15)</f>
        <v>7725.492389068947</v>
      </c>
      <c r="Q122" s="42">
        <f>M122+$T$16*$T$17*SQRT(1/$T$13+(Tabelle13[[#This Row],[True Cooling Capacity '[kW']]]-$T$14)^2/$T$15)</f>
        <v>7937.5585984900545</v>
      </c>
    </row>
    <row r="123" spans="1:17" x14ac:dyDescent="0.3">
      <c r="A123" t="s">
        <v>121</v>
      </c>
      <c r="B123" s="3" t="s">
        <v>212</v>
      </c>
      <c r="C123" s="4">
        <v>40.918794107499998</v>
      </c>
      <c r="D123" s="11">
        <f>(2*(5000*(Tabelle13[[#This Row],[Predicted Size]]/0.861448297))-22199)/10577</f>
        <v>42.80996501843623</v>
      </c>
      <c r="E123" s="3">
        <v>42</v>
      </c>
      <c r="F123" s="4">
        <v>45</v>
      </c>
      <c r="G123">
        <f>(Tabelle13[[#This Row],[True Size X]]+Tabelle13[[#This Row],[True Size Y]])/2</f>
        <v>43.5</v>
      </c>
      <c r="H123" s="10">
        <f>(Tabelle13[[#This Row],[Correlation Function Predicted  Size]]-Tabelle13[[#This Row],[True Mean Size ]])^2</f>
        <v>0.47614827578171187</v>
      </c>
      <c r="I123" s="5">
        <f t="shared" si="6"/>
        <v>7736.1211814966828</v>
      </c>
      <c r="J123" s="5">
        <f t="shared" si="7"/>
        <v>7936.789473750001</v>
      </c>
      <c r="K123" s="9">
        <f>(Tabelle13[[#This Row],[Predicted Cooling Capacity '[kW']]]-Tabelle13[[#This Row],[True Cooling Capacity '[kW']]])^2</f>
        <v>40267.763515863131</v>
      </c>
      <c r="M123" s="5">
        <v>8611.9769694586939</v>
      </c>
      <c r="N123" s="42">
        <f>M123-$T$16*$T$17*SQRT(1+1/$T$13+(Tabelle13[[#This Row],[True Cooling Capacity '[kW']]]-$T$14)^2/$T$15)</f>
        <v>7495.5218315882385</v>
      </c>
      <c r="O123" s="42">
        <f>M123+$T$16*$T$17*SQRT(1+1/$T$13+(Tabelle13[[#This Row],[True Cooling Capacity '[kW']]]-$T$14)^2/$T$15)</f>
        <v>9728.4321073291503</v>
      </c>
      <c r="P123" s="42">
        <f>M123-$T$16*$T$17*SQRT(1/$T$13+(Tabelle13[[#This Row],[True Cooling Capacity '[kW']]]-$T$14)^2/$T$15)</f>
        <v>8500.7194116746614</v>
      </c>
      <c r="Q123" s="42">
        <f>M123+$T$16*$T$17*SQRT(1/$T$13+(Tabelle13[[#This Row],[True Cooling Capacity '[kW']]]-$T$14)^2/$T$15)</f>
        <v>8723.2345272427265</v>
      </c>
    </row>
    <row r="124" spans="1:17" x14ac:dyDescent="0.3">
      <c r="A124" t="s">
        <v>122</v>
      </c>
      <c r="B124" s="3" t="s">
        <v>222</v>
      </c>
      <c r="C124" s="4">
        <v>52.117621968500004</v>
      </c>
      <c r="D124" s="11">
        <f>(2*(5000*(Tabelle13[[#This Row],[Predicted Size]]/0.861448297))-22199)/10577</f>
        <v>55.10078472156566</v>
      </c>
      <c r="E124" s="3">
        <v>49</v>
      </c>
      <c r="F124" s="4">
        <v>49</v>
      </c>
      <c r="G124">
        <f>(Tabelle13[[#This Row],[True Size X]]+Tabelle13[[#This Row],[True Size Y]])/2</f>
        <v>49</v>
      </c>
      <c r="H124" s="10">
        <f>(Tabelle13[[#This Row],[Correlation Function Predicted  Size]]-Tabelle13[[#This Row],[True Mean Size ]])^2</f>
        <v>37.219574218888987</v>
      </c>
      <c r="I124" s="5">
        <f t="shared" si="6"/>
        <v>11565.118940358434</v>
      </c>
      <c r="J124" s="5">
        <f t="shared" si="7"/>
        <v>9597.0584550000003</v>
      </c>
      <c r="K124" s="9">
        <f>(Tabelle13[[#This Row],[Predicted Cooling Capacity '[kW']]]-Tabelle13[[#This Row],[True Cooling Capacity '[kW']]])^2</f>
        <v>3873262.0740292734</v>
      </c>
      <c r="M124" s="5">
        <v>10414.299647149663</v>
      </c>
      <c r="N124" s="42">
        <f>M124-$T$16*$T$17*SQRT(1+1/$T$13+(Tabelle13[[#This Row],[True Cooling Capacity '[kW']]]-$T$14)^2/$T$15)</f>
        <v>9296.0347939477724</v>
      </c>
      <c r="O124" s="42">
        <f>M124+$T$16*$T$17*SQRT(1+1/$T$13+(Tabelle13[[#This Row],[True Cooling Capacity '[kW']]]-$T$14)^2/$T$15)</f>
        <v>11532.564500351553</v>
      </c>
      <c r="P124" s="42">
        <f>M124-$T$16*$T$17*SQRT(1/$T$13+(Tabelle13[[#This Row],[True Cooling Capacity '[kW']]]-$T$14)^2/$T$15)</f>
        <v>10286.149535197404</v>
      </c>
      <c r="Q124" s="42">
        <f>M124+$T$16*$T$17*SQRT(1/$T$13+(Tabelle13[[#This Row],[True Cooling Capacity '[kW']]]-$T$14)^2/$T$15)</f>
        <v>10542.449759101921</v>
      </c>
    </row>
    <row r="125" spans="1:17" ht="15" thickBot="1" x14ac:dyDescent="0.35">
      <c r="A125" t="s">
        <v>123</v>
      </c>
      <c r="B125" s="3" t="s">
        <v>131</v>
      </c>
      <c r="C125" s="4">
        <v>58.1477600475</v>
      </c>
      <c r="D125" s="11">
        <f>(2*(5000*(Tabelle13[[#This Row],[Predicted Size]]/0.861448297))-22199)/10577</f>
        <v>61.718918407866127</v>
      </c>
      <c r="E125" s="3">
        <v>50</v>
      </c>
      <c r="F125" s="4">
        <v>50</v>
      </c>
      <c r="G125">
        <f>(Tabelle13[[#This Row],[True Size X]]+Tabelle13[[#This Row],[True Size Y]])/2</f>
        <v>50</v>
      </c>
      <c r="H125" s="10">
        <f>(Tabelle13[[#This Row],[Correlation Function Predicted  Size]]-Tabelle13[[#This Row],[True Mean Size ]])^2</f>
        <v>137.33304865022356</v>
      </c>
      <c r="I125" s="5">
        <f t="shared" si="6"/>
        <v>13850.447482741552</v>
      </c>
      <c r="J125" s="5">
        <f t="shared" si="7"/>
        <v>9910.5375000000004</v>
      </c>
      <c r="K125" s="9">
        <f>(Tabelle13[[#This Row],[Predicted Cooling Capacity '[kW']]]-Tabelle13[[#This Row],[True Cooling Capacity '[kW']]])^2</f>
        <v>15522890.672106538</v>
      </c>
      <c r="M125" s="5">
        <v>10754.600163611176</v>
      </c>
      <c r="N125" s="42">
        <f>M125-$T$16*$T$17*SQRT(1+1/$T$13+(Tabelle13[[#This Row],[True Cooling Capacity '[kW']]]-$T$14)^2/$T$15)</f>
        <v>9635.8943461938416</v>
      </c>
      <c r="O125" s="42">
        <f>M125+$T$16*$T$17*SQRT(1+1/$T$13+(Tabelle13[[#This Row],[True Cooling Capacity '[kW']]]-$T$14)^2/$T$15)</f>
        <v>11873.30598102851</v>
      </c>
      <c r="P125" s="42">
        <f>M125-$T$16*$T$17*SQRT(1/$T$13+(Tabelle13[[#This Row],[True Cooling Capacity '[kW']]]-$T$14)^2/$T$15)</f>
        <v>10622.657466920093</v>
      </c>
      <c r="Q125" s="42">
        <f>M125+$T$16*$T$17*SQRT(1/$T$13+(Tabelle13[[#This Row],[True Cooling Capacity '[kW']]]-$T$14)^2/$T$15)</f>
        <v>10886.542860302259</v>
      </c>
    </row>
    <row r="126" spans="1:17" ht="15" thickBot="1" x14ac:dyDescent="0.35">
      <c r="A126" t="s">
        <v>124</v>
      </c>
      <c r="D126" s="4"/>
      <c r="G126" s="8" t="s">
        <v>253</v>
      </c>
      <c r="H126" s="7">
        <f>SQRT(SUM(Tabelle13[(pred-true)^2])/COUNTA(Tabelle13[(pred-true)^2]))</f>
        <v>2.5434539522675421</v>
      </c>
      <c r="J126" s="6" t="s">
        <v>260</v>
      </c>
      <c r="K126" s="13">
        <f>SQRT(SUM(Tabelle13[(pred-true)^22])/COUNTA(Tabelle13[(pred-true)^22]))</f>
        <v>849.94922353084644</v>
      </c>
      <c r="M126" s="49">
        <v>0</v>
      </c>
      <c r="N126" s="51">
        <f>M126-$T$16*$T$17*SQRT(1+1/$T$13+(M126-$T$14)^2/$T$15)</f>
        <v>-1120.0762410185371</v>
      </c>
      <c r="O126" s="51">
        <f>M126+$T$16*$T$17*SQRT(1+1/$T$13+(M126-$T$14)^2/$T$15)</f>
        <v>1120.0762410185371</v>
      </c>
      <c r="P126" s="51">
        <f>M126-$T$16*$T$17*SQRT(1/$T$13+(M126-$T$14)^2/$T$15)</f>
        <v>-143.09771130575504</v>
      </c>
      <c r="Q126" s="51">
        <f>M126+$T$16*$T$17*SQRT(1/$T$13+(M126-$T$14)^2/$T$15)</f>
        <v>143.09771130575504</v>
      </c>
    </row>
    <row r="127" spans="1:17" ht="15" thickBot="1" x14ac:dyDescent="0.35">
      <c r="A127" t="s">
        <v>125</v>
      </c>
      <c r="H127" s="14" t="s">
        <v>261</v>
      </c>
      <c r="I127" s="15">
        <f>SUM(Tabelle13[Predicted Cooling Capacity '[kW']])/COUNT(Tabelle13[Predicted Cooling Capacity '[kW']])</f>
        <v>5841.9323229979054</v>
      </c>
      <c r="J127" s="16">
        <f>SUM(Tabelle13[True Cooling Capacity '[kW']])/COUNT(Tabelle13[True Cooling Capacity '[kW']])</f>
        <v>5385.0714822256086</v>
      </c>
    </row>
    <row r="128" spans="1:17" x14ac:dyDescent="0.3">
      <c r="G128" s="18"/>
      <c r="H128" s="19"/>
      <c r="I128" s="23" t="s">
        <v>264</v>
      </c>
      <c r="J128" s="24" t="s">
        <v>265</v>
      </c>
      <c r="K128" s="18" t="s">
        <v>268</v>
      </c>
      <c r="L128" s="33"/>
    </row>
    <row r="129" spans="7:12" ht="15" thickBot="1" x14ac:dyDescent="0.35">
      <c r="G129" s="17" t="s">
        <v>263</v>
      </c>
      <c r="H129" s="20" t="s">
        <v>266</v>
      </c>
      <c r="I129" s="25">
        <f>SUM(Tabelle13[Predicted Cooling Capacity '[kW']])</f>
        <v>718557.67572874238</v>
      </c>
      <c r="J129" s="26">
        <f>SUM(Tabelle13[True Cooling Capacity '[kW']])</f>
        <v>662363.7923137499</v>
      </c>
      <c r="K129" s="34" t="s">
        <v>269</v>
      </c>
      <c r="L129" s="35"/>
    </row>
    <row r="130" spans="7:12" ht="15" thickBot="1" x14ac:dyDescent="0.35">
      <c r="G130" s="21"/>
      <c r="H130" s="22" t="s">
        <v>267</v>
      </c>
      <c r="I130" s="27">
        <f>100/J129*I129</f>
        <v>108.48383985765551</v>
      </c>
      <c r="J130" s="29">
        <v>1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Calibration_Factor</vt:lpstr>
      <vt:lpstr>Calibration_Function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Florian_Barth</cp:lastModifiedBy>
  <dcterms:created xsi:type="dcterms:W3CDTF">2021-03-29T11:51:35Z</dcterms:created>
  <dcterms:modified xsi:type="dcterms:W3CDTF">2023-07-19T14:43:33Z</dcterms:modified>
</cp:coreProperties>
</file>