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_Barth\Desktop\Arbeit\Masterarbeit\PAPER Masterarbeit\Data_Archive_Figshare\Ready to upload\GitHub_Folders\Results\Test_Data_Cooling_Capacity\"/>
    </mc:Choice>
  </mc:AlternateContent>
  <xr:revisionPtr revIDLastSave="0" documentId="13_ncr:1_{B5E9CA6A-857C-49E9-9514-E3629F80735E}" xr6:coauthVersionLast="36" xr6:coauthVersionMax="36" xr10:uidLastSave="{00000000-0000-0000-0000-000000000000}"/>
  <bookViews>
    <workbookView xWindow="120" yWindow="132" windowWidth="22512" windowHeight="8520" xr2:uid="{00000000-000D-0000-FFFF-FFFF00000000}"/>
  </bookViews>
  <sheets>
    <sheet name="Confidence_and_Prediction_Inte" sheetId="8" r:id="rId1"/>
  </sheets>
  <calcPr calcId="191029"/>
</workbook>
</file>

<file path=xl/calcChain.xml><?xml version="1.0" encoding="utf-8"?>
<calcChain xmlns="http://schemas.openxmlformats.org/spreadsheetml/2006/main">
  <c r="Z38" i="8" l="1"/>
  <c r="Z39" i="8"/>
  <c r="V39" i="8"/>
  <c r="V38" i="8"/>
  <c r="W38" i="8"/>
  <c r="W39" i="8"/>
  <c r="E222" i="8" l="1"/>
  <c r="B222" i="8"/>
  <c r="I26" i="8"/>
  <c r="I140" i="8"/>
  <c r="I152" i="8"/>
  <c r="V27" i="8" l="1"/>
  <c r="V21" i="8" a="1"/>
  <c r="V22" i="8" s="1"/>
  <c r="O3" i="8" a="1"/>
  <c r="O3" i="8" s="1"/>
  <c r="V9" i="8"/>
  <c r="G221" i="8"/>
  <c r="E221" i="8"/>
  <c r="W25" i="8" l="1"/>
  <c r="V25" i="8"/>
  <c r="W24" i="8"/>
  <c r="V30" i="8" s="1"/>
  <c r="V24" i="8"/>
  <c r="V23" i="8"/>
  <c r="W22" i="8"/>
  <c r="W21" i="8"/>
  <c r="V21" i="8"/>
  <c r="W23" i="8"/>
  <c r="O194" i="8"/>
  <c r="O154" i="8"/>
  <c r="O114" i="8"/>
  <c r="O74" i="8"/>
  <c r="O10" i="8"/>
  <c r="O185" i="8"/>
  <c r="O145" i="8"/>
  <c r="O97" i="8"/>
  <c r="O89" i="8"/>
  <c r="O73" i="8"/>
  <c r="O57" i="8"/>
  <c r="O41" i="8"/>
  <c r="O216" i="8"/>
  <c r="O208" i="8"/>
  <c r="O200" i="8"/>
  <c r="O192" i="8"/>
  <c r="O184" i="8"/>
  <c r="O176" i="8"/>
  <c r="O168" i="8"/>
  <c r="O160" i="8"/>
  <c r="O152" i="8"/>
  <c r="O144" i="8"/>
  <c r="O136" i="8"/>
  <c r="O128" i="8"/>
  <c r="O120" i="8"/>
  <c r="O112" i="8"/>
  <c r="O104" i="8"/>
  <c r="O96" i="8"/>
  <c r="O88" i="8"/>
  <c r="O80" i="8"/>
  <c r="O72" i="8"/>
  <c r="O64" i="8"/>
  <c r="O56" i="8"/>
  <c r="O48" i="8"/>
  <c r="O40" i="8"/>
  <c r="O32" i="8"/>
  <c r="O24" i="8"/>
  <c r="O16" i="8"/>
  <c r="O8" i="8"/>
  <c r="O186" i="8"/>
  <c r="O138" i="8"/>
  <c r="O50" i="8"/>
  <c r="O217" i="8"/>
  <c r="O161" i="8"/>
  <c r="O121" i="8"/>
  <c r="O49" i="8"/>
  <c r="O215" i="8"/>
  <c r="O207" i="8"/>
  <c r="O199" i="8"/>
  <c r="O191" i="8"/>
  <c r="O183" i="8"/>
  <c r="O175" i="8"/>
  <c r="O167" i="8"/>
  <c r="O159" i="8"/>
  <c r="O151" i="8"/>
  <c r="O143" i="8"/>
  <c r="O135" i="8"/>
  <c r="O127" i="8"/>
  <c r="O119" i="8"/>
  <c r="O111" i="8"/>
  <c r="O103" i="8"/>
  <c r="O95" i="8"/>
  <c r="O87" i="8"/>
  <c r="O79" i="8"/>
  <c r="O71" i="8"/>
  <c r="O63" i="8"/>
  <c r="O55" i="8"/>
  <c r="O47" i="8"/>
  <c r="O39" i="8"/>
  <c r="O31" i="8"/>
  <c r="O23" i="8"/>
  <c r="O15" i="8"/>
  <c r="O7" i="8"/>
  <c r="O170" i="8"/>
  <c r="O130" i="8"/>
  <c r="O90" i="8"/>
  <c r="O58" i="8"/>
  <c r="O42" i="8"/>
  <c r="O193" i="8"/>
  <c r="O129" i="8"/>
  <c r="O17" i="8"/>
  <c r="O214" i="8"/>
  <c r="O206" i="8"/>
  <c r="O198" i="8"/>
  <c r="O190" i="8"/>
  <c r="O182" i="8"/>
  <c r="O174" i="8"/>
  <c r="O166" i="8"/>
  <c r="O158" i="8"/>
  <c r="O150" i="8"/>
  <c r="O142" i="8"/>
  <c r="O134" i="8"/>
  <c r="O126" i="8"/>
  <c r="O118" i="8"/>
  <c r="O110" i="8"/>
  <c r="O102" i="8"/>
  <c r="O94" i="8"/>
  <c r="O86" i="8"/>
  <c r="O78" i="8"/>
  <c r="O70" i="8"/>
  <c r="O62" i="8"/>
  <c r="O54" i="8"/>
  <c r="O46" i="8"/>
  <c r="O38" i="8"/>
  <c r="O30" i="8"/>
  <c r="O22" i="8"/>
  <c r="O14" i="8"/>
  <c r="O6" i="8"/>
  <c r="O202" i="8"/>
  <c r="O122" i="8"/>
  <c r="O26" i="8"/>
  <c r="O201" i="8"/>
  <c r="O9" i="8"/>
  <c r="O213" i="8"/>
  <c r="O205" i="8"/>
  <c r="O197" i="8"/>
  <c r="O189" i="8"/>
  <c r="O181" i="8"/>
  <c r="O173" i="8"/>
  <c r="O165" i="8"/>
  <c r="O157" i="8"/>
  <c r="O149" i="8"/>
  <c r="O141" i="8"/>
  <c r="O133" i="8"/>
  <c r="O125" i="8"/>
  <c r="O117" i="8"/>
  <c r="O109" i="8"/>
  <c r="O101" i="8"/>
  <c r="O93" i="8"/>
  <c r="O85" i="8"/>
  <c r="O77" i="8"/>
  <c r="O69" i="8"/>
  <c r="O61" i="8"/>
  <c r="O53" i="8"/>
  <c r="O45" i="8"/>
  <c r="O37" i="8"/>
  <c r="O29" i="8"/>
  <c r="O21" i="8"/>
  <c r="O13" i="8"/>
  <c r="O5" i="8"/>
  <c r="O210" i="8"/>
  <c r="O162" i="8"/>
  <c r="O106" i="8"/>
  <c r="O82" i="8"/>
  <c r="O18" i="8"/>
  <c r="O209" i="8"/>
  <c r="O177" i="8"/>
  <c r="O153" i="8"/>
  <c r="O137" i="8"/>
  <c r="O105" i="8"/>
  <c r="O81" i="8"/>
  <c r="O65" i="8"/>
  <c r="O33" i="8"/>
  <c r="O220" i="8"/>
  <c r="O212" i="8"/>
  <c r="O204" i="8"/>
  <c r="O196" i="8"/>
  <c r="O188" i="8"/>
  <c r="O180" i="8"/>
  <c r="O172" i="8"/>
  <c r="O164" i="8"/>
  <c r="O156" i="8"/>
  <c r="O148" i="8"/>
  <c r="O140" i="8"/>
  <c r="O132" i="8"/>
  <c r="O124" i="8"/>
  <c r="O116" i="8"/>
  <c r="O108" i="8"/>
  <c r="O100" i="8"/>
  <c r="O92" i="8"/>
  <c r="O84" i="8"/>
  <c r="O76" i="8"/>
  <c r="O68" i="8"/>
  <c r="O60" i="8"/>
  <c r="O52" i="8"/>
  <c r="O44" i="8"/>
  <c r="O36" i="8"/>
  <c r="O28" i="8"/>
  <c r="O20" i="8"/>
  <c r="O12" i="8"/>
  <c r="O4" i="8"/>
  <c r="O218" i="8"/>
  <c r="O178" i="8"/>
  <c r="O146" i="8"/>
  <c r="O98" i="8"/>
  <c r="O66" i="8"/>
  <c r="O34" i="8"/>
  <c r="O169" i="8"/>
  <c r="O113" i="8"/>
  <c r="O25" i="8"/>
  <c r="O219" i="8"/>
  <c r="O211" i="8"/>
  <c r="O203" i="8"/>
  <c r="O195" i="8"/>
  <c r="O187" i="8"/>
  <c r="O179" i="8"/>
  <c r="O171" i="8"/>
  <c r="O163" i="8"/>
  <c r="O155" i="8"/>
  <c r="O147" i="8"/>
  <c r="O139" i="8"/>
  <c r="O131" i="8"/>
  <c r="O123" i="8"/>
  <c r="O115" i="8"/>
  <c r="O107" i="8"/>
  <c r="O99" i="8"/>
  <c r="O91" i="8"/>
  <c r="O83" i="8"/>
  <c r="O75" i="8"/>
  <c r="O67" i="8"/>
  <c r="O59" i="8"/>
  <c r="O51" i="8"/>
  <c r="O43" i="8"/>
  <c r="O35" i="8"/>
  <c r="O27" i="8"/>
  <c r="O19" i="8"/>
  <c r="O11" i="8"/>
  <c r="H220" i="8"/>
  <c r="I220" i="8" s="1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I204" i="8" s="1"/>
  <c r="H203" i="8"/>
  <c r="H202" i="8"/>
  <c r="H201" i="8"/>
  <c r="H200" i="8"/>
  <c r="H199" i="8"/>
  <c r="H198" i="8"/>
  <c r="H197" i="8"/>
  <c r="H196" i="8"/>
  <c r="I196" i="8" s="1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I180" i="8" s="1"/>
  <c r="H179" i="8"/>
  <c r="H178" i="8"/>
  <c r="H177" i="8"/>
  <c r="H176" i="8"/>
  <c r="I176" i="8" s="1"/>
  <c r="H175" i="8"/>
  <c r="H174" i="8"/>
  <c r="H173" i="8"/>
  <c r="H172" i="8"/>
  <c r="I172" i="8" s="1"/>
  <c r="H171" i="8"/>
  <c r="H170" i="8"/>
  <c r="H168" i="8"/>
  <c r="H167" i="8"/>
  <c r="H166" i="8"/>
  <c r="H165" i="8"/>
  <c r="H164" i="8"/>
  <c r="H163" i="8"/>
  <c r="H162" i="8"/>
  <c r="H161" i="8"/>
  <c r="H160" i="8"/>
  <c r="I160" i="8" s="1"/>
  <c r="H159" i="8"/>
  <c r="H158" i="8"/>
  <c r="H157" i="8"/>
  <c r="H156" i="8"/>
  <c r="H155" i="8"/>
  <c r="H154" i="8"/>
  <c r="H153" i="8"/>
  <c r="H151" i="8"/>
  <c r="H150" i="8"/>
  <c r="H149" i="8"/>
  <c r="H148" i="8"/>
  <c r="H147" i="8"/>
  <c r="H146" i="8"/>
  <c r="I146" i="8" s="1"/>
  <c r="H145" i="8"/>
  <c r="H144" i="8"/>
  <c r="H143" i="8"/>
  <c r="H142" i="8"/>
  <c r="H141" i="8"/>
  <c r="H139" i="8"/>
  <c r="H138" i="8"/>
  <c r="H137" i="8"/>
  <c r="H136" i="8"/>
  <c r="H135" i="8"/>
  <c r="H134" i="8"/>
  <c r="H133" i="8"/>
  <c r="H132" i="8"/>
  <c r="H131" i="8"/>
  <c r="I131" i="8" s="1"/>
  <c r="H130" i="8"/>
  <c r="H129" i="8"/>
  <c r="H128" i="8"/>
  <c r="H127" i="8"/>
  <c r="H126" i="8"/>
  <c r="H125" i="8"/>
  <c r="H124" i="8"/>
  <c r="H123" i="8"/>
  <c r="H122" i="8"/>
  <c r="I122" i="8" s="1"/>
  <c r="H121" i="8"/>
  <c r="I121" i="8" s="1"/>
  <c r="H120" i="8"/>
  <c r="H119" i="8"/>
  <c r="H118" i="8"/>
  <c r="H117" i="8"/>
  <c r="H116" i="8"/>
  <c r="H115" i="8"/>
  <c r="H114" i="8"/>
  <c r="H113" i="8"/>
  <c r="H112" i="8"/>
  <c r="H111" i="8"/>
  <c r="H110" i="8"/>
  <c r="I110" i="8" s="1"/>
  <c r="H109" i="8"/>
  <c r="H108" i="8"/>
  <c r="H107" i="8"/>
  <c r="H106" i="8"/>
  <c r="H105" i="8"/>
  <c r="H104" i="8"/>
  <c r="H103" i="8"/>
  <c r="H102" i="8"/>
  <c r="H101" i="8"/>
  <c r="H100" i="8"/>
  <c r="H99" i="8"/>
  <c r="H98" i="8"/>
  <c r="I98" i="8" s="1"/>
  <c r="H97" i="8"/>
  <c r="I97" i="8" s="1"/>
  <c r="H96" i="8"/>
  <c r="H95" i="8"/>
  <c r="H94" i="8"/>
  <c r="H93" i="8"/>
  <c r="I93" i="8" s="1"/>
  <c r="H92" i="8"/>
  <c r="I92" i="8" s="1"/>
  <c r="H91" i="8"/>
  <c r="I91" i="8" s="1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3" i="8"/>
  <c r="H72" i="8"/>
  <c r="H71" i="8"/>
  <c r="H70" i="8"/>
  <c r="H69" i="8"/>
  <c r="H68" i="8"/>
  <c r="H67" i="8"/>
  <c r="H66" i="8"/>
  <c r="H64" i="8"/>
  <c r="H63" i="8"/>
  <c r="H62" i="8"/>
  <c r="H61" i="8"/>
  <c r="H60" i="8"/>
  <c r="H59" i="8"/>
  <c r="H58" i="8"/>
  <c r="H57" i="8"/>
  <c r="H56" i="8"/>
  <c r="H55" i="8"/>
  <c r="I55" i="8" s="1"/>
  <c r="H54" i="8"/>
  <c r="H53" i="8"/>
  <c r="H52" i="8"/>
  <c r="H51" i="8"/>
  <c r="H50" i="8"/>
  <c r="H49" i="8"/>
  <c r="H48" i="8"/>
  <c r="H47" i="8"/>
  <c r="I47" i="8" s="1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I31" i="8" s="1"/>
  <c r="H30" i="8"/>
  <c r="H29" i="8"/>
  <c r="H28" i="8"/>
  <c r="I28" i="8" s="1"/>
  <c r="H27" i="8"/>
  <c r="H25" i="8"/>
  <c r="I25" i="8" s="1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I4" i="8" s="1"/>
  <c r="H3" i="8"/>
  <c r="B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5" i="8"/>
  <c r="C174" i="8"/>
  <c r="C173" i="8"/>
  <c r="C172" i="8"/>
  <c r="C171" i="8"/>
  <c r="C170" i="8"/>
  <c r="C169" i="8"/>
  <c r="I169" i="8" s="1"/>
  <c r="C168" i="8"/>
  <c r="C167" i="8"/>
  <c r="C166" i="8"/>
  <c r="C165" i="8"/>
  <c r="C164" i="8"/>
  <c r="C163" i="8"/>
  <c r="C162" i="8"/>
  <c r="C161" i="8"/>
  <c r="C159" i="8"/>
  <c r="C158" i="8"/>
  <c r="C157" i="8"/>
  <c r="C156" i="8"/>
  <c r="C155" i="8"/>
  <c r="C154" i="8"/>
  <c r="C153" i="8"/>
  <c r="C151" i="8"/>
  <c r="C150" i="8"/>
  <c r="C149" i="8"/>
  <c r="C148" i="8"/>
  <c r="C147" i="8"/>
  <c r="C146" i="8"/>
  <c r="C145" i="8"/>
  <c r="C144" i="8"/>
  <c r="C143" i="8"/>
  <c r="C142" i="8"/>
  <c r="C141" i="8"/>
  <c r="C139" i="8"/>
  <c r="C138" i="8"/>
  <c r="C137" i="8"/>
  <c r="C136" i="8"/>
  <c r="C135" i="8"/>
  <c r="C134" i="8"/>
  <c r="C133" i="8"/>
  <c r="C132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I74" i="8" s="1"/>
  <c r="C73" i="8"/>
  <c r="C72" i="8"/>
  <c r="C71" i="8"/>
  <c r="C70" i="8"/>
  <c r="C69" i="8"/>
  <c r="C68" i="8"/>
  <c r="C67" i="8"/>
  <c r="C66" i="8"/>
  <c r="C65" i="8"/>
  <c r="I65" i="8" s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7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3" i="8"/>
  <c r="I129" i="8" l="1"/>
  <c r="I46" i="8"/>
  <c r="I71" i="8"/>
  <c r="I96" i="8"/>
  <c r="I120" i="8"/>
  <c r="I145" i="8"/>
  <c r="I171" i="8"/>
  <c r="I195" i="8"/>
  <c r="I219" i="8"/>
  <c r="I38" i="8"/>
  <c r="I62" i="8"/>
  <c r="I112" i="8"/>
  <c r="I136" i="8"/>
  <c r="I162" i="8"/>
  <c r="I187" i="8"/>
  <c r="I211" i="8"/>
  <c r="I39" i="8"/>
  <c r="I63" i="8"/>
  <c r="I113" i="8"/>
  <c r="I137" i="8"/>
  <c r="I163" i="8"/>
  <c r="I188" i="8"/>
  <c r="I212" i="8"/>
  <c r="I102" i="8"/>
  <c r="I114" i="8"/>
  <c r="I126" i="8"/>
  <c r="I30" i="8"/>
  <c r="I54" i="8"/>
  <c r="I104" i="8"/>
  <c r="I128" i="8"/>
  <c r="I154" i="8"/>
  <c r="I179" i="8"/>
  <c r="I203" i="8"/>
  <c r="I105" i="8"/>
  <c r="I94" i="8"/>
  <c r="I106" i="8"/>
  <c r="I118" i="8"/>
  <c r="I130" i="8"/>
  <c r="I155" i="8"/>
  <c r="I14" i="8"/>
  <c r="I7" i="8"/>
  <c r="I23" i="8"/>
  <c r="I32" i="8"/>
  <c r="I40" i="8"/>
  <c r="I48" i="8"/>
  <c r="I56" i="8"/>
  <c r="I73" i="8"/>
  <c r="I82" i="8"/>
  <c r="I90" i="8"/>
  <c r="I138" i="8"/>
  <c r="I147" i="8"/>
  <c r="I156" i="8"/>
  <c r="I164" i="8"/>
  <c r="I173" i="8"/>
  <c r="I181" i="8"/>
  <c r="I189" i="8"/>
  <c r="I197" i="8"/>
  <c r="I205" i="8"/>
  <c r="I213" i="8"/>
  <c r="I13" i="8"/>
  <c r="I88" i="8"/>
  <c r="I22" i="8"/>
  <c r="I81" i="8"/>
  <c r="I15" i="8"/>
  <c r="I64" i="8"/>
  <c r="I8" i="8"/>
  <c r="I16" i="8"/>
  <c r="I24" i="8"/>
  <c r="I33" i="8"/>
  <c r="I41" i="8"/>
  <c r="I49" i="8"/>
  <c r="I57" i="8"/>
  <c r="I66" i="8"/>
  <c r="I75" i="8"/>
  <c r="I83" i="8"/>
  <c r="I99" i="8"/>
  <c r="I107" i="8"/>
  <c r="I115" i="8"/>
  <c r="I123" i="8"/>
  <c r="I139" i="8"/>
  <c r="I148" i="8"/>
  <c r="I157" i="8"/>
  <c r="I165" i="8"/>
  <c r="I174" i="8"/>
  <c r="I182" i="8"/>
  <c r="I190" i="8"/>
  <c r="I198" i="8"/>
  <c r="I206" i="8"/>
  <c r="I214" i="8"/>
  <c r="V31" i="8"/>
  <c r="I72" i="8"/>
  <c r="I9" i="8"/>
  <c r="I17" i="8"/>
  <c r="I34" i="8"/>
  <c r="I42" i="8"/>
  <c r="I50" i="8"/>
  <c r="I58" i="8"/>
  <c r="I67" i="8"/>
  <c r="I76" i="8"/>
  <c r="I84" i="8"/>
  <c r="I100" i="8"/>
  <c r="I108" i="8"/>
  <c r="I116" i="8"/>
  <c r="I124" i="8"/>
  <c r="I132" i="8"/>
  <c r="I141" i="8"/>
  <c r="I149" i="8"/>
  <c r="I158" i="8"/>
  <c r="I166" i="8"/>
  <c r="I175" i="8"/>
  <c r="I183" i="8"/>
  <c r="I191" i="8"/>
  <c r="I199" i="8"/>
  <c r="I207" i="8"/>
  <c r="I215" i="8"/>
  <c r="I80" i="8"/>
  <c r="I89" i="8"/>
  <c r="I10" i="8"/>
  <c r="I18" i="8"/>
  <c r="I27" i="8"/>
  <c r="I35" i="8"/>
  <c r="I43" i="8"/>
  <c r="I51" i="8"/>
  <c r="I59" i="8"/>
  <c r="I68" i="8"/>
  <c r="I77" i="8"/>
  <c r="I85" i="8"/>
  <c r="I101" i="8"/>
  <c r="I109" i="8"/>
  <c r="I117" i="8"/>
  <c r="I125" i="8"/>
  <c r="I133" i="8"/>
  <c r="I142" i="8"/>
  <c r="I150" i="8"/>
  <c r="I159" i="8"/>
  <c r="I167" i="8"/>
  <c r="I184" i="8"/>
  <c r="I192" i="8"/>
  <c r="I200" i="8"/>
  <c r="I208" i="8"/>
  <c r="I216" i="8"/>
  <c r="I5" i="8"/>
  <c r="I11" i="8"/>
  <c r="I36" i="8"/>
  <c r="I44" i="8"/>
  <c r="I52" i="8"/>
  <c r="I60" i="8"/>
  <c r="I78" i="8"/>
  <c r="I86" i="8"/>
  <c r="I134" i="8"/>
  <c r="I143" i="8"/>
  <c r="I151" i="8"/>
  <c r="I168" i="8"/>
  <c r="I177" i="8"/>
  <c r="I185" i="8"/>
  <c r="I193" i="8"/>
  <c r="I201" i="8"/>
  <c r="I209" i="8"/>
  <c r="I217" i="8"/>
  <c r="I21" i="8"/>
  <c r="I6" i="8"/>
  <c r="H222" i="8"/>
  <c r="I3" i="8"/>
  <c r="I19" i="8"/>
  <c r="I69" i="8"/>
  <c r="C222" i="8"/>
  <c r="V29" i="8"/>
  <c r="S140" i="8" s="1"/>
  <c r="V28" i="8"/>
  <c r="I12" i="8"/>
  <c r="I20" i="8"/>
  <c r="I29" i="8"/>
  <c r="I37" i="8"/>
  <c r="I45" i="8"/>
  <c r="I53" i="8"/>
  <c r="I61" i="8"/>
  <c r="I70" i="8"/>
  <c r="I79" i="8"/>
  <c r="I87" i="8"/>
  <c r="I95" i="8"/>
  <c r="I103" i="8"/>
  <c r="I111" i="8"/>
  <c r="I119" i="8"/>
  <c r="I127" i="8"/>
  <c r="I135" i="8"/>
  <c r="I144" i="8"/>
  <c r="I153" i="8"/>
  <c r="I161" i="8"/>
  <c r="I170" i="8"/>
  <c r="I178" i="8"/>
  <c r="I186" i="8"/>
  <c r="I194" i="8"/>
  <c r="I202" i="8"/>
  <c r="I210" i="8"/>
  <c r="I218" i="8"/>
  <c r="V11" i="8"/>
  <c r="V10" i="8"/>
  <c r="H221" i="8"/>
  <c r="C221" i="8"/>
  <c r="V3" i="8" a="1"/>
  <c r="J3" i="8" a="1"/>
  <c r="S111" i="8" l="1"/>
  <c r="R124" i="8"/>
  <c r="P134" i="8"/>
  <c r="P6" i="8"/>
  <c r="S133" i="8"/>
  <c r="S5" i="8"/>
  <c r="Q204" i="8"/>
  <c r="P76" i="8"/>
  <c r="R3" i="8"/>
  <c r="S169" i="8"/>
  <c r="S41" i="8"/>
  <c r="S115" i="8"/>
  <c r="P90" i="8"/>
  <c r="P96" i="8"/>
  <c r="S161" i="8"/>
  <c r="Q74" i="8"/>
  <c r="Q160" i="8"/>
  <c r="Q32" i="8"/>
  <c r="P175" i="8"/>
  <c r="Q47" i="8"/>
  <c r="R198" i="8"/>
  <c r="Q70" i="8"/>
  <c r="R197" i="8"/>
  <c r="Q69" i="8"/>
  <c r="P153" i="8"/>
  <c r="Q140" i="8"/>
  <c r="Q12" i="8"/>
  <c r="Q179" i="8"/>
  <c r="Q51" i="8"/>
  <c r="P131" i="8"/>
  <c r="S78" i="8"/>
  <c r="S84" i="8"/>
  <c r="R216" i="8"/>
  <c r="Q88" i="8"/>
  <c r="R121" i="8"/>
  <c r="Q103" i="8"/>
  <c r="Q58" i="8"/>
  <c r="Q126" i="8"/>
  <c r="R189" i="8"/>
  <c r="S61" i="8"/>
  <c r="R196" i="8"/>
  <c r="S4" i="8"/>
  <c r="S43" i="8"/>
  <c r="P208" i="8"/>
  <c r="S42" i="8"/>
  <c r="S162" i="8"/>
  <c r="P99" i="8"/>
  <c r="P74" i="8"/>
  <c r="S160" i="8"/>
  <c r="P32" i="8"/>
  <c r="R175" i="8"/>
  <c r="S47" i="8"/>
  <c r="Q198" i="8"/>
  <c r="P70" i="8"/>
  <c r="P197" i="8"/>
  <c r="S69" i="8"/>
  <c r="S153" i="8"/>
  <c r="P140" i="8"/>
  <c r="P12" i="8"/>
  <c r="P179" i="8"/>
  <c r="S51" i="8"/>
  <c r="I221" i="8"/>
  <c r="R131" i="8"/>
  <c r="R78" i="8"/>
  <c r="R84" i="8"/>
  <c r="Q3" i="8"/>
  <c r="Q216" i="8"/>
  <c r="P88" i="8"/>
  <c r="S121" i="8"/>
  <c r="S103" i="8"/>
  <c r="P58" i="8"/>
  <c r="P126" i="8"/>
  <c r="Q189" i="8"/>
  <c r="P210" i="8"/>
  <c r="Q196" i="8"/>
  <c r="Q4" i="8"/>
  <c r="R144" i="8"/>
  <c r="P182" i="8"/>
  <c r="P105" i="8"/>
  <c r="P35" i="8"/>
  <c r="P41" i="8"/>
  <c r="S96" i="8"/>
  <c r="R161" i="8"/>
  <c r="P111" i="8"/>
  <c r="S90" i="8"/>
  <c r="R134" i="8"/>
  <c r="S6" i="8"/>
  <c r="Q133" i="8"/>
  <c r="P5" i="8"/>
  <c r="P204" i="8"/>
  <c r="S76" i="8"/>
  <c r="R169" i="8"/>
  <c r="Q115" i="8"/>
  <c r="S131" i="8"/>
  <c r="Q78" i="8"/>
  <c r="Q84" i="8"/>
  <c r="S10" i="8"/>
  <c r="S152" i="8"/>
  <c r="S24" i="8"/>
  <c r="Q167" i="8"/>
  <c r="P39" i="8"/>
  <c r="P190" i="8"/>
  <c r="S62" i="8"/>
  <c r="P189" i="8"/>
  <c r="R210" i="8"/>
  <c r="R132" i="8"/>
  <c r="P4" i="8"/>
  <c r="R176" i="8"/>
  <c r="S80" i="8"/>
  <c r="R118" i="8"/>
  <c r="P188" i="8"/>
  <c r="R41" i="8"/>
  <c r="R96" i="8"/>
  <c r="Q161" i="8"/>
  <c r="Q111" i="8"/>
  <c r="R90" i="8"/>
  <c r="S134" i="8"/>
  <c r="R6" i="8"/>
  <c r="P133" i="8"/>
  <c r="R5" i="8"/>
  <c r="S204" i="8"/>
  <c r="R76" i="8"/>
  <c r="Q169" i="8"/>
  <c r="P115" i="8"/>
  <c r="P73" i="8"/>
  <c r="P78" i="8"/>
  <c r="P84" i="8"/>
  <c r="R10" i="8"/>
  <c r="R152" i="8"/>
  <c r="R24" i="8"/>
  <c r="P167" i="8"/>
  <c r="R39" i="8"/>
  <c r="S190" i="8"/>
  <c r="Q62" i="8"/>
  <c r="Q125" i="8"/>
  <c r="Q210" i="8"/>
  <c r="Q132" i="8"/>
  <c r="Q113" i="8"/>
  <c r="Q104" i="8"/>
  <c r="S16" i="8"/>
  <c r="S54" i="8"/>
  <c r="Q41" i="8"/>
  <c r="Q96" i="8"/>
  <c r="P161" i="8"/>
  <c r="R111" i="8"/>
  <c r="Q90" i="8"/>
  <c r="Q134" i="8"/>
  <c r="Q6" i="8"/>
  <c r="R133" i="8"/>
  <c r="Q5" i="8"/>
  <c r="R204" i="8"/>
  <c r="Q76" i="8"/>
  <c r="P169" i="8"/>
  <c r="R115" i="8"/>
  <c r="R218" i="8"/>
  <c r="Q124" i="8"/>
  <c r="Q105" i="8"/>
  <c r="Q53" i="8"/>
  <c r="Q181" i="8"/>
  <c r="Q54" i="8"/>
  <c r="R182" i="8"/>
  <c r="Q31" i="8"/>
  <c r="P159" i="8"/>
  <c r="Q16" i="8"/>
  <c r="P144" i="8"/>
  <c r="P185" i="8"/>
  <c r="P212" i="8"/>
  <c r="S104" i="8"/>
  <c r="R43" i="8"/>
  <c r="P171" i="8"/>
  <c r="R4" i="8"/>
  <c r="S132" i="8"/>
  <c r="P137" i="8"/>
  <c r="R61" i="8"/>
  <c r="S189" i="8"/>
  <c r="R62" i="8"/>
  <c r="R35" i="8"/>
  <c r="Q163" i="8"/>
  <c r="S218" i="8"/>
  <c r="S124" i="8"/>
  <c r="R105" i="8"/>
  <c r="R53" i="8"/>
  <c r="R181" i="8"/>
  <c r="R54" i="8"/>
  <c r="S182" i="8"/>
  <c r="R31" i="8"/>
  <c r="Q159" i="8"/>
  <c r="R16" i="8"/>
  <c r="Q144" i="8"/>
  <c r="Q185" i="8"/>
  <c r="Q142" i="8"/>
  <c r="Q176" i="8"/>
  <c r="P43" i="8"/>
  <c r="R171" i="8"/>
  <c r="R27" i="8"/>
  <c r="Q155" i="8"/>
  <c r="S178" i="8"/>
  <c r="S116" i="8"/>
  <c r="R81" i="8"/>
  <c r="R45" i="8"/>
  <c r="Q173" i="8"/>
  <c r="R46" i="8"/>
  <c r="S174" i="8"/>
  <c r="R23" i="8"/>
  <c r="P151" i="8"/>
  <c r="R8" i="8"/>
  <c r="S136" i="8"/>
  <c r="Q145" i="8"/>
  <c r="P148" i="8"/>
  <c r="P130" i="8"/>
  <c r="P168" i="8"/>
  <c r="Q168" i="8"/>
  <c r="S99" i="8"/>
  <c r="S25" i="8"/>
  <c r="P60" i="8"/>
  <c r="Q188" i="8"/>
  <c r="Q162" i="8"/>
  <c r="S117" i="8"/>
  <c r="P122" i="8"/>
  <c r="P118" i="8"/>
  <c r="P42" i="8"/>
  <c r="S95" i="8"/>
  <c r="S49" i="8"/>
  <c r="P80" i="8"/>
  <c r="Q208" i="8"/>
  <c r="S3" i="8"/>
  <c r="S142" i="8"/>
  <c r="S176" i="8"/>
  <c r="R107" i="8"/>
  <c r="Q60" i="8"/>
  <c r="R188" i="8"/>
  <c r="P162" i="8"/>
  <c r="R117" i="8"/>
  <c r="Q122" i="8"/>
  <c r="Q118" i="8"/>
  <c r="Q42" i="8"/>
  <c r="Q95" i="8"/>
  <c r="Q49" i="8"/>
  <c r="Q80" i="8"/>
  <c r="S208" i="8"/>
  <c r="P142" i="8"/>
  <c r="P176" i="8"/>
  <c r="P107" i="8"/>
  <c r="P113" i="8"/>
  <c r="R68" i="8"/>
  <c r="S196" i="8"/>
  <c r="S210" i="8"/>
  <c r="P125" i="8"/>
  <c r="S202" i="8"/>
  <c r="R99" i="8"/>
  <c r="R25" i="8"/>
  <c r="R60" i="8"/>
  <c r="S188" i="8"/>
  <c r="R162" i="8"/>
  <c r="P117" i="8"/>
  <c r="S122" i="8"/>
  <c r="S118" i="8"/>
  <c r="R42" i="8"/>
  <c r="R95" i="8"/>
  <c r="R49" i="8"/>
  <c r="R80" i="8"/>
  <c r="R208" i="8"/>
  <c r="Q212" i="8"/>
  <c r="P104" i="8"/>
  <c r="Q107" i="8"/>
  <c r="R112" i="8"/>
  <c r="R91" i="8"/>
  <c r="S219" i="8"/>
  <c r="R52" i="8"/>
  <c r="S180" i="8"/>
  <c r="R106" i="8"/>
  <c r="Q109" i="8"/>
  <c r="R26" i="8"/>
  <c r="R110" i="8"/>
  <c r="Q193" i="8"/>
  <c r="R87" i="8"/>
  <c r="R215" i="8"/>
  <c r="R72" i="8"/>
  <c r="S200" i="8"/>
  <c r="S59" i="8"/>
  <c r="S141" i="8"/>
  <c r="P183" i="8"/>
  <c r="Q59" i="8"/>
  <c r="R141" i="8"/>
  <c r="R183" i="8"/>
  <c r="S35" i="8"/>
  <c r="S163" i="8"/>
  <c r="Q218" i="8"/>
  <c r="P124" i="8"/>
  <c r="S105" i="8"/>
  <c r="S53" i="8"/>
  <c r="P181" i="8"/>
  <c r="P54" i="8"/>
  <c r="Q182" i="8"/>
  <c r="S31" i="8"/>
  <c r="S159" i="8"/>
  <c r="P16" i="8"/>
  <c r="S144" i="8"/>
  <c r="R185" i="8"/>
  <c r="S212" i="8"/>
  <c r="R104" i="8"/>
  <c r="Q43" i="8"/>
  <c r="Q171" i="8"/>
  <c r="R73" i="8"/>
  <c r="Q119" i="8"/>
  <c r="P77" i="8"/>
  <c r="P123" i="8"/>
  <c r="Q10" i="8"/>
  <c r="Q152" i="8"/>
  <c r="Q24" i="8"/>
  <c r="R167" i="8"/>
  <c r="Q39" i="8"/>
  <c r="R190" i="8"/>
  <c r="P62" i="8"/>
  <c r="R125" i="8"/>
  <c r="Q137" i="8"/>
  <c r="P132" i="8"/>
  <c r="R113" i="8"/>
  <c r="R142" i="8"/>
  <c r="P49" i="8"/>
  <c r="R122" i="8"/>
  <c r="S60" i="8"/>
  <c r="Q73" i="8"/>
  <c r="P119" i="8"/>
  <c r="R77" i="8"/>
  <c r="Q123" i="8"/>
  <c r="P10" i="8"/>
  <c r="P152" i="8"/>
  <c r="P24" i="8"/>
  <c r="S167" i="8"/>
  <c r="S39" i="8"/>
  <c r="Q190" i="8"/>
  <c r="P202" i="8"/>
  <c r="S125" i="8"/>
  <c r="R137" i="8"/>
  <c r="S68" i="8"/>
  <c r="S113" i="8"/>
  <c r="R212" i="8"/>
  <c r="R159" i="8"/>
  <c r="S181" i="8"/>
  <c r="P218" i="8"/>
  <c r="P34" i="8"/>
  <c r="S74" i="8"/>
  <c r="R160" i="8"/>
  <c r="S32" i="8"/>
  <c r="S175" i="8"/>
  <c r="P47" i="8"/>
  <c r="P198" i="8"/>
  <c r="S70" i="8"/>
  <c r="S197" i="8"/>
  <c r="P69" i="8"/>
  <c r="R153" i="8"/>
  <c r="S12" i="8"/>
  <c r="R179" i="8"/>
  <c r="P51" i="8"/>
  <c r="S73" i="8"/>
  <c r="R119" i="8"/>
  <c r="Q77" i="8"/>
  <c r="R123" i="8"/>
  <c r="P216" i="8"/>
  <c r="S88" i="8"/>
  <c r="P121" i="8"/>
  <c r="P103" i="8"/>
  <c r="S58" i="8"/>
  <c r="R126" i="8"/>
  <c r="R202" i="8"/>
  <c r="P61" i="8"/>
  <c r="S137" i="8"/>
  <c r="Q68" i="8"/>
  <c r="S171" i="8"/>
  <c r="P95" i="8"/>
  <c r="Q117" i="8"/>
  <c r="P25" i="8"/>
  <c r="R74" i="8"/>
  <c r="P160" i="8"/>
  <c r="R32" i="8"/>
  <c r="Q175" i="8"/>
  <c r="R47" i="8"/>
  <c r="S198" i="8"/>
  <c r="R70" i="8"/>
  <c r="Q197" i="8"/>
  <c r="R69" i="8"/>
  <c r="Q153" i="8"/>
  <c r="R140" i="8"/>
  <c r="R12" i="8"/>
  <c r="S179" i="8"/>
  <c r="R51" i="8"/>
  <c r="Q131" i="8"/>
  <c r="S119" i="8"/>
  <c r="S77" i="8"/>
  <c r="S123" i="8"/>
  <c r="S216" i="8"/>
  <c r="R88" i="8"/>
  <c r="Q121" i="8"/>
  <c r="R103" i="8"/>
  <c r="R58" i="8"/>
  <c r="S126" i="8"/>
  <c r="Q202" i="8"/>
  <c r="Q61" i="8"/>
  <c r="P196" i="8"/>
  <c r="P68" i="8"/>
  <c r="S107" i="8"/>
  <c r="S185" i="8"/>
  <c r="P31" i="8"/>
  <c r="P53" i="8"/>
  <c r="R163" i="8"/>
  <c r="P200" i="8"/>
  <c r="S72" i="8"/>
  <c r="S215" i="8"/>
  <c r="P87" i="8"/>
  <c r="S193" i="8"/>
  <c r="S110" i="8"/>
  <c r="S26" i="8"/>
  <c r="P109" i="8"/>
  <c r="S106" i="8"/>
  <c r="P180" i="8"/>
  <c r="S52" i="8"/>
  <c r="R219" i="8"/>
  <c r="P91" i="8"/>
  <c r="S112" i="8"/>
  <c r="P40" i="8"/>
  <c r="R192" i="8"/>
  <c r="Q64" i="8"/>
  <c r="P207" i="8"/>
  <c r="Q79" i="8"/>
  <c r="R129" i="8"/>
  <c r="Q102" i="8"/>
  <c r="P201" i="8"/>
  <c r="Q101" i="8"/>
  <c r="Q82" i="8"/>
  <c r="R172" i="8"/>
  <c r="Q44" i="8"/>
  <c r="Q211" i="8"/>
  <c r="Q83" i="8"/>
  <c r="S154" i="8"/>
  <c r="S50" i="8"/>
  <c r="Q127" i="8"/>
  <c r="S170" i="8"/>
  <c r="R150" i="8"/>
  <c r="S22" i="8"/>
  <c r="P149" i="8"/>
  <c r="P21" i="8"/>
  <c r="P220" i="8"/>
  <c r="S92" i="8"/>
  <c r="S66" i="8"/>
  <c r="P67" i="8"/>
  <c r="Q114" i="8"/>
  <c r="R206" i="8"/>
  <c r="Q177" i="8"/>
  <c r="P187" i="8"/>
  <c r="P89" i="8"/>
  <c r="R120" i="8"/>
  <c r="R138" i="8"/>
  <c r="Q135" i="8"/>
  <c r="P7" i="8"/>
  <c r="Q158" i="8"/>
  <c r="S30" i="8"/>
  <c r="Q157" i="8"/>
  <c r="P29" i="8"/>
  <c r="P33" i="8"/>
  <c r="S100" i="8"/>
  <c r="S98" i="8"/>
  <c r="P139" i="8"/>
  <c r="P11" i="8"/>
  <c r="P221" i="8"/>
  <c r="P55" i="8"/>
  <c r="P13" i="8"/>
  <c r="Q192" i="8"/>
  <c r="P64" i="8"/>
  <c r="R207" i="8"/>
  <c r="S79" i="8"/>
  <c r="S129" i="8"/>
  <c r="P102" i="8"/>
  <c r="R201" i="8"/>
  <c r="S101" i="8"/>
  <c r="P82" i="8"/>
  <c r="Q172" i="8"/>
  <c r="P44" i="8"/>
  <c r="P211" i="8"/>
  <c r="S83" i="8"/>
  <c r="R154" i="8"/>
  <c r="R50" i="8"/>
  <c r="P127" i="8"/>
  <c r="R170" i="8"/>
  <c r="S150" i="8"/>
  <c r="R22" i="8"/>
  <c r="R149" i="8"/>
  <c r="R21" i="8"/>
  <c r="S220" i="8"/>
  <c r="R92" i="8"/>
  <c r="R66" i="8"/>
  <c r="R67" i="8"/>
  <c r="P114" i="8"/>
  <c r="Q206" i="8"/>
  <c r="P177" i="8"/>
  <c r="R187" i="8"/>
  <c r="R89" i="8"/>
  <c r="S120" i="8"/>
  <c r="S138" i="8"/>
  <c r="P135" i="8"/>
  <c r="R7" i="8"/>
  <c r="P158" i="8"/>
  <c r="R30" i="8"/>
  <c r="P157" i="8"/>
  <c r="R29" i="8"/>
  <c r="R33" i="8"/>
  <c r="R100" i="8"/>
  <c r="R98" i="8"/>
  <c r="Q139" i="8"/>
  <c r="R11" i="8"/>
  <c r="R221" i="8"/>
  <c r="R55" i="8"/>
  <c r="R13" i="8"/>
  <c r="S168" i="8"/>
  <c r="R130" i="8"/>
  <c r="S148" i="8"/>
  <c r="R200" i="8"/>
  <c r="Q72" i="8"/>
  <c r="Q215" i="8"/>
  <c r="Q87" i="8"/>
  <c r="P193" i="8"/>
  <c r="Q110" i="8"/>
  <c r="Q26" i="8"/>
  <c r="R109" i="8"/>
  <c r="Q106" i="8"/>
  <c r="R180" i="8"/>
  <c r="Q52" i="8"/>
  <c r="Q219" i="8"/>
  <c r="Q91" i="8"/>
  <c r="Q112" i="8"/>
  <c r="P97" i="8"/>
  <c r="R128" i="8"/>
  <c r="P186" i="8"/>
  <c r="Q143" i="8"/>
  <c r="P15" i="8"/>
  <c r="R166" i="8"/>
  <c r="S38" i="8"/>
  <c r="P165" i="8"/>
  <c r="P37" i="8"/>
  <c r="P65" i="8"/>
  <c r="S108" i="8"/>
  <c r="S146" i="8"/>
  <c r="R147" i="8"/>
  <c r="P19" i="8"/>
  <c r="Q154" i="8"/>
  <c r="Q50" i="8"/>
  <c r="R127" i="8"/>
  <c r="Q170" i="8"/>
  <c r="Q150" i="8"/>
  <c r="Q22" i="8"/>
  <c r="Q149" i="8"/>
  <c r="Q21" i="8"/>
  <c r="R220" i="8"/>
  <c r="Q92" i="8"/>
  <c r="Q66" i="8"/>
  <c r="Q67" i="8"/>
  <c r="S217" i="8"/>
  <c r="R205" i="8"/>
  <c r="S20" i="8"/>
  <c r="Q89" i="8"/>
  <c r="Q120" i="8"/>
  <c r="Q138" i="8"/>
  <c r="R135" i="8"/>
  <c r="Q7" i="8"/>
  <c r="S158" i="8"/>
  <c r="Q30" i="8"/>
  <c r="R157" i="8"/>
  <c r="Q29" i="8"/>
  <c r="Q33" i="8"/>
  <c r="Q100" i="8"/>
  <c r="Q98" i="8"/>
  <c r="R139" i="8"/>
  <c r="Q11" i="8"/>
  <c r="S221" i="8"/>
  <c r="Q55" i="8"/>
  <c r="Q13" i="8"/>
  <c r="Q25" i="8"/>
  <c r="Q99" i="8"/>
  <c r="R168" i="8"/>
  <c r="S130" i="8"/>
  <c r="R148" i="8"/>
  <c r="P3" i="8"/>
  <c r="Q200" i="8"/>
  <c r="P72" i="8"/>
  <c r="P215" i="8"/>
  <c r="S87" i="8"/>
  <c r="R193" i="8"/>
  <c r="P110" i="8"/>
  <c r="P26" i="8"/>
  <c r="S109" i="8"/>
  <c r="P106" i="8"/>
  <c r="Q180" i="8"/>
  <c r="P52" i="8"/>
  <c r="P219" i="8"/>
  <c r="S91" i="8"/>
  <c r="P112" i="8"/>
  <c r="R97" i="8"/>
  <c r="S128" i="8"/>
  <c r="S186" i="8"/>
  <c r="P143" i="8"/>
  <c r="R15" i="8"/>
  <c r="Q166" i="8"/>
  <c r="R38" i="8"/>
  <c r="R165" i="8"/>
  <c r="R37" i="8"/>
  <c r="R65" i="8"/>
  <c r="R108" i="8"/>
  <c r="R146" i="8"/>
  <c r="Q147" i="8"/>
  <c r="R19" i="8"/>
  <c r="P154" i="8"/>
  <c r="P50" i="8"/>
  <c r="S127" i="8"/>
  <c r="P170" i="8"/>
  <c r="P150" i="8"/>
  <c r="P22" i="8"/>
  <c r="S149" i="8"/>
  <c r="S21" i="8"/>
  <c r="Q220" i="8"/>
  <c r="P92" i="8"/>
  <c r="P66" i="8"/>
  <c r="S67" i="8"/>
  <c r="R217" i="8"/>
  <c r="S205" i="8"/>
  <c r="R20" i="8"/>
  <c r="S89" i="8"/>
  <c r="P120" i="8"/>
  <c r="P138" i="8"/>
  <c r="S135" i="8"/>
  <c r="S7" i="8"/>
  <c r="R158" i="8"/>
  <c r="P30" i="8"/>
  <c r="S157" i="8"/>
  <c r="S29" i="8"/>
  <c r="S33" i="8"/>
  <c r="P100" i="8"/>
  <c r="P98" i="8"/>
  <c r="S139" i="8"/>
  <c r="S11" i="8"/>
  <c r="S55" i="8"/>
  <c r="S13" i="8"/>
  <c r="Q130" i="8"/>
  <c r="Q148" i="8"/>
  <c r="R145" i="8"/>
  <c r="R136" i="8"/>
  <c r="S8" i="8"/>
  <c r="Q151" i="8"/>
  <c r="P23" i="8"/>
  <c r="P174" i="8"/>
  <c r="S46" i="8"/>
  <c r="S173" i="8"/>
  <c r="P45" i="8"/>
  <c r="P81" i="8"/>
  <c r="R116" i="8"/>
  <c r="P178" i="8"/>
  <c r="R155" i="8"/>
  <c r="P27" i="8"/>
  <c r="Q97" i="8"/>
  <c r="Q128" i="8"/>
  <c r="R186" i="8"/>
  <c r="R143" i="8"/>
  <c r="Q15" i="8"/>
  <c r="P166" i="8"/>
  <c r="Q38" i="8"/>
  <c r="Q165" i="8"/>
  <c r="Q37" i="8"/>
  <c r="Q65" i="8"/>
  <c r="Q108" i="8"/>
  <c r="P146" i="8"/>
  <c r="P147" i="8"/>
  <c r="Q19" i="8"/>
  <c r="S48" i="8"/>
  <c r="R191" i="8"/>
  <c r="P63" i="8"/>
  <c r="P214" i="8"/>
  <c r="S86" i="8"/>
  <c r="R213" i="8"/>
  <c r="P85" i="8"/>
  <c r="S209" i="8"/>
  <c r="P156" i="8"/>
  <c r="S28" i="8"/>
  <c r="S195" i="8"/>
  <c r="P217" i="8"/>
  <c r="Q205" i="8"/>
  <c r="Q20" i="8"/>
  <c r="P194" i="8"/>
  <c r="P184" i="8"/>
  <c r="S56" i="8"/>
  <c r="S199" i="8"/>
  <c r="P71" i="8"/>
  <c r="P17" i="8"/>
  <c r="S94" i="8"/>
  <c r="P9" i="8"/>
  <c r="P93" i="8"/>
  <c r="S18" i="8"/>
  <c r="R164" i="8"/>
  <c r="S36" i="8"/>
  <c r="R203" i="8"/>
  <c r="P75" i="8"/>
  <c r="P57" i="8"/>
  <c r="S14" i="8"/>
  <c r="S34" i="8"/>
  <c r="S40" i="8"/>
  <c r="S97" i="8"/>
  <c r="P128" i="8"/>
  <c r="Q186" i="8"/>
  <c r="S143" i="8"/>
  <c r="S15" i="8"/>
  <c r="S166" i="8"/>
  <c r="P38" i="8"/>
  <c r="S165" i="8"/>
  <c r="S37" i="8"/>
  <c r="S65" i="8"/>
  <c r="P108" i="8"/>
  <c r="Q146" i="8"/>
  <c r="S147" i="8"/>
  <c r="S19" i="8"/>
  <c r="R48" i="8"/>
  <c r="S191" i="8"/>
  <c r="R63" i="8"/>
  <c r="S214" i="8"/>
  <c r="R86" i="8"/>
  <c r="S213" i="8"/>
  <c r="R85" i="8"/>
  <c r="Q209" i="8"/>
  <c r="S156" i="8"/>
  <c r="R28" i="8"/>
  <c r="R195" i="8"/>
  <c r="Q217" i="8"/>
  <c r="P205" i="8"/>
  <c r="P20" i="8"/>
  <c r="S194" i="8"/>
  <c r="S184" i="8"/>
  <c r="R56" i="8"/>
  <c r="Q199" i="8"/>
  <c r="R71" i="8"/>
  <c r="R17" i="8"/>
  <c r="R94" i="8"/>
  <c r="R9" i="8"/>
  <c r="R93" i="8"/>
  <c r="R18" i="8"/>
  <c r="S164" i="8"/>
  <c r="R36" i="8"/>
  <c r="S203" i="8"/>
  <c r="R75" i="8"/>
  <c r="R57" i="8"/>
  <c r="R14" i="8"/>
  <c r="R34" i="8"/>
  <c r="S183" i="8"/>
  <c r="Q141" i="8"/>
  <c r="P59" i="8"/>
  <c r="P145" i="8"/>
  <c r="Q136" i="8"/>
  <c r="Q8" i="8"/>
  <c r="R151" i="8"/>
  <c r="Q23" i="8"/>
  <c r="R174" i="8"/>
  <c r="Q46" i="8"/>
  <c r="P173" i="8"/>
  <c r="Q45" i="8"/>
  <c r="Q81" i="8"/>
  <c r="Q116" i="8"/>
  <c r="R178" i="8"/>
  <c r="P155" i="8"/>
  <c r="Q27" i="8"/>
  <c r="R40" i="8"/>
  <c r="P192" i="8"/>
  <c r="S64" i="8"/>
  <c r="S207" i="8"/>
  <c r="P79" i="8"/>
  <c r="Q129" i="8"/>
  <c r="S102" i="8"/>
  <c r="S201" i="8"/>
  <c r="P101" i="8"/>
  <c r="S82" i="8"/>
  <c r="P172" i="8"/>
  <c r="S44" i="8"/>
  <c r="S211" i="8"/>
  <c r="P83" i="8"/>
  <c r="Q48" i="8"/>
  <c r="Q191" i="8"/>
  <c r="Q63" i="8"/>
  <c r="R214" i="8"/>
  <c r="Q86" i="8"/>
  <c r="Q213" i="8"/>
  <c r="Q85" i="8"/>
  <c r="R209" i="8"/>
  <c r="R156" i="8"/>
  <c r="Q28" i="8"/>
  <c r="Q195" i="8"/>
  <c r="S114" i="8"/>
  <c r="P206" i="8"/>
  <c r="R177" i="8"/>
  <c r="S187" i="8"/>
  <c r="R194" i="8"/>
  <c r="R184" i="8"/>
  <c r="Q56" i="8"/>
  <c r="P199" i="8"/>
  <c r="Q71" i="8"/>
  <c r="Q17" i="8"/>
  <c r="Q94" i="8"/>
  <c r="Q9" i="8"/>
  <c r="Q93" i="8"/>
  <c r="Q18" i="8"/>
  <c r="Q164" i="8"/>
  <c r="Q36" i="8"/>
  <c r="Q203" i="8"/>
  <c r="Q75" i="8"/>
  <c r="Q57" i="8"/>
  <c r="Q14" i="8"/>
  <c r="Q34" i="8"/>
  <c r="P163" i="8"/>
  <c r="Q35" i="8"/>
  <c r="Q183" i="8"/>
  <c r="P141" i="8"/>
  <c r="R59" i="8"/>
  <c r="S145" i="8"/>
  <c r="P136" i="8"/>
  <c r="P8" i="8"/>
  <c r="S151" i="8"/>
  <c r="S23" i="8"/>
  <c r="Q174" i="8"/>
  <c r="P46" i="8"/>
  <c r="R173" i="8"/>
  <c r="S45" i="8"/>
  <c r="S81" i="8"/>
  <c r="P116" i="8"/>
  <c r="Q178" i="8"/>
  <c r="S155" i="8"/>
  <c r="S27" i="8"/>
  <c r="Q40" i="8"/>
  <c r="S192" i="8"/>
  <c r="R64" i="8"/>
  <c r="Q207" i="8"/>
  <c r="R79" i="8"/>
  <c r="P129" i="8"/>
  <c r="R102" i="8"/>
  <c r="Q201" i="8"/>
  <c r="R101" i="8"/>
  <c r="R82" i="8"/>
  <c r="S172" i="8"/>
  <c r="R44" i="8"/>
  <c r="R211" i="8"/>
  <c r="R83" i="8"/>
  <c r="P48" i="8"/>
  <c r="P191" i="8"/>
  <c r="S63" i="8"/>
  <c r="Q214" i="8"/>
  <c r="P86" i="8"/>
  <c r="P213" i="8"/>
  <c r="S85" i="8"/>
  <c r="P209" i="8"/>
  <c r="Q156" i="8"/>
  <c r="P28" i="8"/>
  <c r="P195" i="8"/>
  <c r="R114" i="8"/>
  <c r="S206" i="8"/>
  <c r="S177" i="8"/>
  <c r="Q187" i="8"/>
  <c r="Q194" i="8"/>
  <c r="Q184" i="8"/>
  <c r="P56" i="8"/>
  <c r="R199" i="8"/>
  <c r="S71" i="8"/>
  <c r="S17" i="8"/>
  <c r="P94" i="8"/>
  <c r="S9" i="8"/>
  <c r="S93" i="8"/>
  <c r="P18" i="8"/>
  <c r="P164" i="8"/>
  <c r="P36" i="8"/>
  <c r="P203" i="8"/>
  <c r="S75" i="8"/>
  <c r="Q221" i="8"/>
  <c r="S57" i="8"/>
  <c r="P14" i="8"/>
  <c r="J3" i="8"/>
  <c r="J154" i="8"/>
  <c r="J73" i="8"/>
  <c r="J32" i="8"/>
  <c r="J202" i="8"/>
  <c r="J121" i="8"/>
  <c r="J72" i="8"/>
  <c r="J79" i="8"/>
  <c r="J190" i="8"/>
  <c r="J126" i="8"/>
  <c r="J62" i="8"/>
  <c r="J186" i="8"/>
  <c r="J129" i="8"/>
  <c r="J8" i="8"/>
  <c r="J205" i="8"/>
  <c r="J141" i="8"/>
  <c r="J77" i="8"/>
  <c r="J13" i="8"/>
  <c r="J193" i="8"/>
  <c r="J168" i="8"/>
  <c r="J183" i="8"/>
  <c r="J180" i="8"/>
  <c r="J116" i="8"/>
  <c r="J52" i="8"/>
  <c r="J211" i="8"/>
  <c r="J147" i="8"/>
  <c r="J83" i="8"/>
  <c r="J19" i="8"/>
  <c r="J218" i="8"/>
  <c r="J114" i="8"/>
  <c r="J41" i="8"/>
  <c r="J207" i="8"/>
  <c r="J162" i="8"/>
  <c r="J89" i="8"/>
  <c r="J48" i="8"/>
  <c r="J55" i="8"/>
  <c r="J182" i="8"/>
  <c r="J118" i="8"/>
  <c r="J54" i="8"/>
  <c r="J138" i="8"/>
  <c r="J97" i="8"/>
  <c r="J199" i="8"/>
  <c r="J197" i="8"/>
  <c r="J133" i="8"/>
  <c r="J69" i="8"/>
  <c r="J5" i="8"/>
  <c r="J169" i="8"/>
  <c r="J144" i="8"/>
  <c r="J151" i="8"/>
  <c r="J172" i="8"/>
  <c r="J108" i="8"/>
  <c r="J44" i="8"/>
  <c r="J203" i="8"/>
  <c r="J139" i="8"/>
  <c r="J75" i="8"/>
  <c r="J11" i="8"/>
  <c r="J170" i="8"/>
  <c r="J74" i="8"/>
  <c r="J200" i="8"/>
  <c r="J159" i="8"/>
  <c r="J130" i="8"/>
  <c r="J57" i="8"/>
  <c r="J24" i="8"/>
  <c r="J47" i="8"/>
  <c r="J174" i="8"/>
  <c r="J110" i="8"/>
  <c r="J46" i="8"/>
  <c r="J90" i="8"/>
  <c r="J65" i="8"/>
  <c r="J175" i="8"/>
  <c r="J189" i="8"/>
  <c r="J125" i="8"/>
  <c r="J61" i="8"/>
  <c r="J106" i="8"/>
  <c r="J137" i="8"/>
  <c r="J120" i="8"/>
  <c r="J111" i="8"/>
  <c r="J164" i="8"/>
  <c r="J100" i="8"/>
  <c r="J36" i="8"/>
  <c r="J195" i="8"/>
  <c r="J131" i="8"/>
  <c r="J67" i="8"/>
  <c r="J122" i="8"/>
  <c r="J26" i="8"/>
  <c r="J176" i="8"/>
  <c r="J119" i="8"/>
  <c r="J82" i="8"/>
  <c r="J25" i="8"/>
  <c r="J191" i="8"/>
  <c r="J31" i="8"/>
  <c r="J166" i="8"/>
  <c r="J102" i="8"/>
  <c r="J38" i="8"/>
  <c r="J66" i="8"/>
  <c r="J33" i="8"/>
  <c r="J135" i="8"/>
  <c r="J181" i="8"/>
  <c r="J117" i="8"/>
  <c r="J53" i="8"/>
  <c r="J194" i="8"/>
  <c r="J105" i="8"/>
  <c r="J80" i="8"/>
  <c r="J220" i="8"/>
  <c r="J156" i="8"/>
  <c r="J92" i="8"/>
  <c r="J28" i="8"/>
  <c r="J187" i="8"/>
  <c r="J123" i="8"/>
  <c r="J59" i="8"/>
  <c r="J50" i="8"/>
  <c r="J209" i="8"/>
  <c r="J136" i="8"/>
  <c r="J87" i="8"/>
  <c r="J42" i="8"/>
  <c r="J192" i="8"/>
  <c r="J167" i="8"/>
  <c r="J15" i="8"/>
  <c r="J158" i="8"/>
  <c r="J94" i="8"/>
  <c r="J30" i="8"/>
  <c r="J34" i="8"/>
  <c r="J216" i="8"/>
  <c r="J95" i="8"/>
  <c r="J173" i="8"/>
  <c r="J109" i="8"/>
  <c r="J45" i="8"/>
  <c r="J146" i="8"/>
  <c r="J81" i="8"/>
  <c r="J56" i="8"/>
  <c r="J212" i="8"/>
  <c r="J148" i="8"/>
  <c r="J84" i="8"/>
  <c r="J20" i="8"/>
  <c r="J179" i="8"/>
  <c r="J115" i="8"/>
  <c r="J51" i="8"/>
  <c r="J9" i="8"/>
  <c r="J177" i="8"/>
  <c r="J112" i="8"/>
  <c r="J71" i="8"/>
  <c r="J10" i="8"/>
  <c r="J160" i="8"/>
  <c r="J143" i="8"/>
  <c r="J214" i="8"/>
  <c r="J150" i="8"/>
  <c r="J86" i="8"/>
  <c r="J22" i="8"/>
  <c r="J217" i="8"/>
  <c r="J184" i="8"/>
  <c r="J63" i="8"/>
  <c r="J165" i="8"/>
  <c r="J101" i="8"/>
  <c r="J37" i="8"/>
  <c r="J98" i="8"/>
  <c r="J49" i="8"/>
  <c r="J40" i="8"/>
  <c r="J204" i="8"/>
  <c r="J140" i="8"/>
  <c r="J76" i="8"/>
  <c r="J12" i="8"/>
  <c r="J171" i="8"/>
  <c r="J107" i="8"/>
  <c r="J43" i="8"/>
  <c r="J210" i="8"/>
  <c r="J145" i="8"/>
  <c r="J88" i="8"/>
  <c r="J39" i="8"/>
  <c r="J201" i="8"/>
  <c r="J128" i="8"/>
  <c r="J127" i="8"/>
  <c r="J206" i="8"/>
  <c r="J142" i="8"/>
  <c r="J78" i="8"/>
  <c r="J14" i="8"/>
  <c r="J185" i="8"/>
  <c r="J152" i="8"/>
  <c r="J23" i="8"/>
  <c r="J157" i="8"/>
  <c r="J93" i="8"/>
  <c r="J29" i="8"/>
  <c r="J58" i="8"/>
  <c r="J17" i="8"/>
  <c r="J16" i="8"/>
  <c r="J196" i="8"/>
  <c r="J132" i="8"/>
  <c r="J68" i="8"/>
  <c r="J4" i="8"/>
  <c r="J163" i="8"/>
  <c r="J99" i="8"/>
  <c r="J35" i="8"/>
  <c r="J178" i="8"/>
  <c r="J113" i="8"/>
  <c r="J64" i="8"/>
  <c r="J7" i="8"/>
  <c r="J161" i="8"/>
  <c r="J104" i="8"/>
  <c r="J103" i="8"/>
  <c r="J198" i="8"/>
  <c r="J134" i="8"/>
  <c r="J70" i="8"/>
  <c r="J6" i="8"/>
  <c r="J153" i="8"/>
  <c r="J96" i="8"/>
  <c r="J213" i="8"/>
  <c r="J149" i="8"/>
  <c r="J85" i="8"/>
  <c r="J21" i="8"/>
  <c r="J18" i="8"/>
  <c r="J208" i="8"/>
  <c r="J215" i="8"/>
  <c r="J188" i="8"/>
  <c r="J124" i="8"/>
  <c r="J60" i="8"/>
  <c r="J219" i="8"/>
  <c r="J155" i="8"/>
  <c r="J91" i="8"/>
  <c r="J27" i="8"/>
  <c r="V3" i="8"/>
  <c r="W6" i="8"/>
  <c r="V12" i="8" s="1"/>
  <c r="V7" i="8"/>
  <c r="V6" i="8"/>
  <c r="W5" i="8"/>
  <c r="V5" i="8"/>
  <c r="W4" i="8"/>
  <c r="W3" i="8"/>
  <c r="V4" i="8"/>
  <c r="W7" i="8"/>
  <c r="V13" i="8" l="1"/>
  <c r="N221" i="8"/>
  <c r="M221" i="8"/>
  <c r="L221" i="8"/>
  <c r="K221" i="8"/>
  <c r="K16" i="8"/>
  <c r="L16" i="8"/>
  <c r="M16" i="8"/>
  <c r="N16" i="8"/>
  <c r="L146" i="8"/>
  <c r="N146" i="8"/>
  <c r="K146" i="8"/>
  <c r="M146" i="8"/>
  <c r="K141" i="8"/>
  <c r="L141" i="8"/>
  <c r="M141" i="8"/>
  <c r="N141" i="8"/>
  <c r="K219" i="8"/>
  <c r="L219" i="8"/>
  <c r="N219" i="8"/>
  <c r="M219" i="8"/>
  <c r="K85" i="8"/>
  <c r="L85" i="8"/>
  <c r="M85" i="8"/>
  <c r="N85" i="8"/>
  <c r="L198" i="8"/>
  <c r="M198" i="8"/>
  <c r="N198" i="8"/>
  <c r="K198" i="8"/>
  <c r="K35" i="8"/>
  <c r="L35" i="8"/>
  <c r="M35" i="8"/>
  <c r="N35" i="8"/>
  <c r="K17" i="8"/>
  <c r="L17" i="8"/>
  <c r="N17" i="8"/>
  <c r="M17" i="8"/>
  <c r="K14" i="8"/>
  <c r="L14" i="8"/>
  <c r="M14" i="8"/>
  <c r="N14" i="8"/>
  <c r="L88" i="8"/>
  <c r="M88" i="8"/>
  <c r="N88" i="8"/>
  <c r="K88" i="8"/>
  <c r="L140" i="8"/>
  <c r="N140" i="8"/>
  <c r="K140" i="8"/>
  <c r="M140" i="8"/>
  <c r="K63" i="8"/>
  <c r="L63" i="8"/>
  <c r="M63" i="8"/>
  <c r="N63" i="8"/>
  <c r="L160" i="8"/>
  <c r="N160" i="8"/>
  <c r="K160" i="8"/>
  <c r="M160" i="8"/>
  <c r="K179" i="8"/>
  <c r="L179" i="8"/>
  <c r="M179" i="8"/>
  <c r="N179" i="8"/>
  <c r="K45" i="8"/>
  <c r="L45" i="8"/>
  <c r="M45" i="8"/>
  <c r="N45" i="8"/>
  <c r="L158" i="8"/>
  <c r="N158" i="8"/>
  <c r="K158" i="8"/>
  <c r="M158" i="8"/>
  <c r="K50" i="8"/>
  <c r="L50" i="8"/>
  <c r="M50" i="8"/>
  <c r="N50" i="8"/>
  <c r="L80" i="8"/>
  <c r="M80" i="8"/>
  <c r="N80" i="8"/>
  <c r="K80" i="8"/>
  <c r="L66" i="8"/>
  <c r="M66" i="8"/>
  <c r="N66" i="8"/>
  <c r="K66" i="8"/>
  <c r="K119" i="8"/>
  <c r="L119" i="8"/>
  <c r="M119" i="8"/>
  <c r="N119" i="8"/>
  <c r="L100" i="8"/>
  <c r="M100" i="8"/>
  <c r="N100" i="8"/>
  <c r="K100" i="8"/>
  <c r="M189" i="8"/>
  <c r="K189" i="8"/>
  <c r="L189" i="8"/>
  <c r="N189" i="8"/>
  <c r="K24" i="8"/>
  <c r="L24" i="8"/>
  <c r="M24" i="8"/>
  <c r="N24" i="8"/>
  <c r="K75" i="8"/>
  <c r="L75" i="8"/>
  <c r="M75" i="8"/>
  <c r="N75" i="8"/>
  <c r="N169" i="8"/>
  <c r="K169" i="8"/>
  <c r="L169" i="8"/>
  <c r="M169" i="8"/>
  <c r="L54" i="8"/>
  <c r="M54" i="8"/>
  <c r="N54" i="8"/>
  <c r="K54" i="8"/>
  <c r="K41" i="8"/>
  <c r="L41" i="8"/>
  <c r="N41" i="8"/>
  <c r="M41" i="8"/>
  <c r="L116" i="8"/>
  <c r="M116" i="8"/>
  <c r="N116" i="8"/>
  <c r="K116" i="8"/>
  <c r="K205" i="8"/>
  <c r="M205" i="8"/>
  <c r="L205" i="8"/>
  <c r="N205" i="8"/>
  <c r="L72" i="8"/>
  <c r="M72" i="8"/>
  <c r="N72" i="8"/>
  <c r="K72" i="8"/>
  <c r="K155" i="8"/>
  <c r="L155" i="8"/>
  <c r="M155" i="8"/>
  <c r="N155" i="8"/>
  <c r="K21" i="8"/>
  <c r="L21" i="8"/>
  <c r="M21" i="8"/>
  <c r="N21" i="8"/>
  <c r="L134" i="8"/>
  <c r="N134" i="8"/>
  <c r="M134" i="8"/>
  <c r="K134" i="8"/>
  <c r="L178" i="8"/>
  <c r="M178" i="8"/>
  <c r="N178" i="8"/>
  <c r="K178" i="8"/>
  <c r="M185" i="8"/>
  <c r="K185" i="8"/>
  <c r="L185" i="8"/>
  <c r="N185" i="8"/>
  <c r="K39" i="8"/>
  <c r="L39" i="8"/>
  <c r="M39" i="8"/>
  <c r="N39" i="8"/>
  <c r="L76" i="8"/>
  <c r="M76" i="8"/>
  <c r="N76" i="8"/>
  <c r="K76" i="8"/>
  <c r="K165" i="8"/>
  <c r="L165" i="8"/>
  <c r="M165" i="8"/>
  <c r="N165" i="8"/>
  <c r="K143" i="8"/>
  <c r="L143" i="8"/>
  <c r="M143" i="8"/>
  <c r="N143" i="8"/>
  <c r="K115" i="8"/>
  <c r="L115" i="8"/>
  <c r="M115" i="8"/>
  <c r="N115" i="8"/>
  <c r="L94" i="8"/>
  <c r="M94" i="8"/>
  <c r="N94" i="8"/>
  <c r="K94" i="8"/>
  <c r="K209" i="8"/>
  <c r="L209" i="8"/>
  <c r="M209" i="8"/>
  <c r="N209" i="8"/>
  <c r="L220" i="8"/>
  <c r="M220" i="8"/>
  <c r="N220" i="8"/>
  <c r="K220" i="8"/>
  <c r="K33" i="8"/>
  <c r="L33" i="8"/>
  <c r="M33" i="8"/>
  <c r="N33" i="8"/>
  <c r="L82" i="8"/>
  <c r="M82" i="8"/>
  <c r="N82" i="8"/>
  <c r="K82" i="8"/>
  <c r="K36" i="8"/>
  <c r="L36" i="8"/>
  <c r="M36" i="8"/>
  <c r="N36" i="8"/>
  <c r="K125" i="8"/>
  <c r="L125" i="8"/>
  <c r="M125" i="8"/>
  <c r="N125" i="8"/>
  <c r="K47" i="8"/>
  <c r="L47" i="8"/>
  <c r="M47" i="8"/>
  <c r="N47" i="8"/>
  <c r="K11" i="8"/>
  <c r="L11" i="8"/>
  <c r="M11" i="8"/>
  <c r="N11" i="8"/>
  <c r="L144" i="8"/>
  <c r="N144" i="8"/>
  <c r="K144" i="8"/>
  <c r="M144" i="8"/>
  <c r="L138" i="8"/>
  <c r="N138" i="8"/>
  <c r="M138" i="8"/>
  <c r="K138" i="8"/>
  <c r="M207" i="8"/>
  <c r="K207" i="8"/>
  <c r="L207" i="8"/>
  <c r="N207" i="8"/>
  <c r="L52" i="8"/>
  <c r="M52" i="8"/>
  <c r="N52" i="8"/>
  <c r="K52" i="8"/>
  <c r="K79" i="8"/>
  <c r="L79" i="8"/>
  <c r="M79" i="8"/>
  <c r="N79" i="8"/>
  <c r="L60" i="8"/>
  <c r="M60" i="8"/>
  <c r="N60" i="8"/>
  <c r="K60" i="8"/>
  <c r="K149" i="8"/>
  <c r="L149" i="8"/>
  <c r="M149" i="8"/>
  <c r="N149" i="8"/>
  <c r="K103" i="8"/>
  <c r="L103" i="8"/>
  <c r="N103" i="8"/>
  <c r="M103" i="8"/>
  <c r="K99" i="8"/>
  <c r="L99" i="8"/>
  <c r="M99" i="8"/>
  <c r="N99" i="8"/>
  <c r="L58" i="8"/>
  <c r="M58" i="8"/>
  <c r="N58" i="8"/>
  <c r="K58" i="8"/>
  <c r="L78" i="8"/>
  <c r="M78" i="8"/>
  <c r="N78" i="8"/>
  <c r="K78" i="8"/>
  <c r="N145" i="8"/>
  <c r="K145" i="8"/>
  <c r="L145" i="8"/>
  <c r="M145" i="8"/>
  <c r="L204" i="8"/>
  <c r="M204" i="8"/>
  <c r="N204" i="8"/>
  <c r="K204" i="8"/>
  <c r="L184" i="8"/>
  <c r="M184" i="8"/>
  <c r="N184" i="8"/>
  <c r="K184" i="8"/>
  <c r="K10" i="8"/>
  <c r="L10" i="8"/>
  <c r="M10" i="8"/>
  <c r="N10" i="8"/>
  <c r="K20" i="8"/>
  <c r="L20" i="8"/>
  <c r="M20" i="8"/>
  <c r="N20" i="8"/>
  <c r="K109" i="8"/>
  <c r="L109" i="8"/>
  <c r="M109" i="8"/>
  <c r="N109" i="8"/>
  <c r="K15" i="8"/>
  <c r="L15" i="8"/>
  <c r="M15" i="8"/>
  <c r="N15" i="8"/>
  <c r="K59" i="8"/>
  <c r="L59" i="8"/>
  <c r="M59" i="8"/>
  <c r="N59" i="8"/>
  <c r="K105" i="8"/>
  <c r="L105" i="8"/>
  <c r="N105" i="8"/>
  <c r="M105" i="8"/>
  <c r="K38" i="8"/>
  <c r="L38" i="8"/>
  <c r="M38" i="8"/>
  <c r="N38" i="8"/>
  <c r="L176" i="8"/>
  <c r="M176" i="8"/>
  <c r="N176" i="8"/>
  <c r="K176" i="8"/>
  <c r="L164" i="8"/>
  <c r="N164" i="8"/>
  <c r="M164" i="8"/>
  <c r="K164" i="8"/>
  <c r="M175" i="8"/>
  <c r="K175" i="8"/>
  <c r="L175" i="8"/>
  <c r="N175" i="8"/>
  <c r="K57" i="8"/>
  <c r="L57" i="8"/>
  <c r="N57" i="8"/>
  <c r="M57" i="8"/>
  <c r="K139" i="8"/>
  <c r="L139" i="8"/>
  <c r="M139" i="8"/>
  <c r="N139" i="8"/>
  <c r="K5" i="8"/>
  <c r="L5" i="8"/>
  <c r="M5" i="8"/>
  <c r="N5" i="8"/>
  <c r="L118" i="8"/>
  <c r="M118" i="8"/>
  <c r="N118" i="8"/>
  <c r="K118" i="8"/>
  <c r="L114" i="8"/>
  <c r="M114" i="8"/>
  <c r="N114" i="8"/>
  <c r="K114" i="8"/>
  <c r="L180" i="8"/>
  <c r="M180" i="8"/>
  <c r="N180" i="8"/>
  <c r="K180" i="8"/>
  <c r="K8" i="8"/>
  <c r="L8" i="8"/>
  <c r="M8" i="8"/>
  <c r="N8" i="8"/>
  <c r="K121" i="8"/>
  <c r="L121" i="8"/>
  <c r="N121" i="8"/>
  <c r="M121" i="8"/>
  <c r="L124" i="8"/>
  <c r="M124" i="8"/>
  <c r="N124" i="8"/>
  <c r="K124" i="8"/>
  <c r="K213" i="8"/>
  <c r="L213" i="8"/>
  <c r="N213" i="8"/>
  <c r="M213" i="8"/>
  <c r="L104" i="8"/>
  <c r="M104" i="8"/>
  <c r="N104" i="8"/>
  <c r="K104" i="8"/>
  <c r="K163" i="8"/>
  <c r="L163" i="8"/>
  <c r="M163" i="8"/>
  <c r="N163" i="8"/>
  <c r="K29" i="8"/>
  <c r="L29" i="8"/>
  <c r="M29" i="8"/>
  <c r="N29" i="8"/>
  <c r="L142" i="8"/>
  <c r="N142" i="8"/>
  <c r="M142" i="8"/>
  <c r="K142" i="8"/>
  <c r="L210" i="8"/>
  <c r="M210" i="8"/>
  <c r="N210" i="8"/>
  <c r="K210" i="8"/>
  <c r="K40" i="8"/>
  <c r="L40" i="8"/>
  <c r="M40" i="8"/>
  <c r="N40" i="8"/>
  <c r="K217" i="8"/>
  <c r="L217" i="8"/>
  <c r="N217" i="8"/>
  <c r="M217" i="8"/>
  <c r="K71" i="8"/>
  <c r="L71" i="8"/>
  <c r="N71" i="8"/>
  <c r="M71" i="8"/>
  <c r="L84" i="8"/>
  <c r="M84" i="8"/>
  <c r="N84" i="8"/>
  <c r="K84" i="8"/>
  <c r="K173" i="8"/>
  <c r="L173" i="8"/>
  <c r="M173" i="8"/>
  <c r="N173" i="8"/>
  <c r="L167" i="8"/>
  <c r="M167" i="8"/>
  <c r="N167" i="8"/>
  <c r="K167" i="8"/>
  <c r="K123" i="8"/>
  <c r="L123" i="8"/>
  <c r="M123" i="8"/>
  <c r="N123" i="8"/>
  <c r="L194" i="8"/>
  <c r="M194" i="8"/>
  <c r="N194" i="8"/>
  <c r="K194" i="8"/>
  <c r="L102" i="8"/>
  <c r="M102" i="8"/>
  <c r="N102" i="8"/>
  <c r="K102" i="8"/>
  <c r="K26" i="8"/>
  <c r="L26" i="8"/>
  <c r="M26" i="8"/>
  <c r="N26" i="8"/>
  <c r="K111" i="8"/>
  <c r="L111" i="8"/>
  <c r="M111" i="8"/>
  <c r="N111" i="8"/>
  <c r="K65" i="8"/>
  <c r="L65" i="8"/>
  <c r="M65" i="8"/>
  <c r="N65" i="8"/>
  <c r="L130" i="8"/>
  <c r="N130" i="8"/>
  <c r="M130" i="8"/>
  <c r="K130" i="8"/>
  <c r="M203" i="8"/>
  <c r="K203" i="8"/>
  <c r="L203" i="8"/>
  <c r="N203" i="8"/>
  <c r="K69" i="8"/>
  <c r="L69" i="8"/>
  <c r="M69" i="8"/>
  <c r="N69" i="8"/>
  <c r="L182" i="8"/>
  <c r="M182" i="8"/>
  <c r="N182" i="8"/>
  <c r="K182" i="8"/>
  <c r="L218" i="8"/>
  <c r="M218" i="8"/>
  <c r="N218" i="8"/>
  <c r="K218" i="8"/>
  <c r="K183" i="8"/>
  <c r="M183" i="8"/>
  <c r="L183" i="8"/>
  <c r="N183" i="8"/>
  <c r="K129" i="8"/>
  <c r="L129" i="8"/>
  <c r="M129" i="8"/>
  <c r="N129" i="8"/>
  <c r="L202" i="8"/>
  <c r="M202" i="8"/>
  <c r="N202" i="8"/>
  <c r="K202" i="8"/>
  <c r="L188" i="8"/>
  <c r="M188" i="8"/>
  <c r="N188" i="8"/>
  <c r="K188" i="8"/>
  <c r="L96" i="8"/>
  <c r="M96" i="8"/>
  <c r="N96" i="8"/>
  <c r="K96" i="8"/>
  <c r="N161" i="8"/>
  <c r="K161" i="8"/>
  <c r="L161" i="8"/>
  <c r="M161" i="8"/>
  <c r="K4" i="8"/>
  <c r="L4" i="8"/>
  <c r="M4" i="8"/>
  <c r="N4" i="8"/>
  <c r="K93" i="8"/>
  <c r="L93" i="8"/>
  <c r="M93" i="8"/>
  <c r="N93" i="8"/>
  <c r="L206" i="8"/>
  <c r="M206" i="8"/>
  <c r="N206" i="8"/>
  <c r="K206" i="8"/>
  <c r="K43" i="8"/>
  <c r="L43" i="8"/>
  <c r="M43" i="8"/>
  <c r="N43" i="8"/>
  <c r="K49" i="8"/>
  <c r="L49" i="8"/>
  <c r="N49" i="8"/>
  <c r="M49" i="8"/>
  <c r="K22" i="8"/>
  <c r="L22" i="8"/>
  <c r="M22" i="8"/>
  <c r="N22" i="8"/>
  <c r="L112" i="8"/>
  <c r="M112" i="8"/>
  <c r="N112" i="8"/>
  <c r="K112" i="8"/>
  <c r="L148" i="8"/>
  <c r="N148" i="8"/>
  <c r="M148" i="8"/>
  <c r="K148" i="8"/>
  <c r="K95" i="8"/>
  <c r="L95" i="8"/>
  <c r="M95" i="8"/>
  <c r="N95" i="8"/>
  <c r="L192" i="8"/>
  <c r="M192" i="8"/>
  <c r="N192" i="8"/>
  <c r="K192" i="8"/>
  <c r="K187" i="8"/>
  <c r="L187" i="8"/>
  <c r="M187" i="8"/>
  <c r="N187" i="8"/>
  <c r="K53" i="8"/>
  <c r="L53" i="8"/>
  <c r="M53" i="8"/>
  <c r="N53" i="8"/>
  <c r="L166" i="8"/>
  <c r="N166" i="8"/>
  <c r="K166" i="8"/>
  <c r="M166" i="8"/>
  <c r="L122" i="8"/>
  <c r="M122" i="8"/>
  <c r="N122" i="8"/>
  <c r="K122" i="8"/>
  <c r="L120" i="8"/>
  <c r="M120" i="8"/>
  <c r="N120" i="8"/>
  <c r="K120" i="8"/>
  <c r="L90" i="8"/>
  <c r="M90" i="8"/>
  <c r="N90" i="8"/>
  <c r="K90" i="8"/>
  <c r="L159" i="8"/>
  <c r="M159" i="8"/>
  <c r="N159" i="8"/>
  <c r="K159" i="8"/>
  <c r="K44" i="8"/>
  <c r="L44" i="8"/>
  <c r="M44" i="8"/>
  <c r="N44" i="8"/>
  <c r="K133" i="8"/>
  <c r="L133" i="8"/>
  <c r="M133" i="8"/>
  <c r="N133" i="8"/>
  <c r="K55" i="8"/>
  <c r="L55" i="8"/>
  <c r="N55" i="8"/>
  <c r="M55" i="8"/>
  <c r="K19" i="8"/>
  <c r="L19" i="8"/>
  <c r="M19" i="8"/>
  <c r="N19" i="8"/>
  <c r="L168" i="8"/>
  <c r="N168" i="8"/>
  <c r="K168" i="8"/>
  <c r="M168" i="8"/>
  <c r="L186" i="8"/>
  <c r="M186" i="8"/>
  <c r="N186" i="8"/>
  <c r="K186" i="8"/>
  <c r="K32" i="8"/>
  <c r="L32" i="8"/>
  <c r="M32" i="8"/>
  <c r="N32" i="8"/>
  <c r="K215" i="8"/>
  <c r="L215" i="8"/>
  <c r="N215" i="8"/>
  <c r="M215" i="8"/>
  <c r="N153" i="8"/>
  <c r="K153" i="8"/>
  <c r="L153" i="8"/>
  <c r="M153" i="8"/>
  <c r="K7" i="8"/>
  <c r="L7" i="8"/>
  <c r="M7" i="8"/>
  <c r="N7" i="8"/>
  <c r="L68" i="8"/>
  <c r="M68" i="8"/>
  <c r="N68" i="8"/>
  <c r="K68" i="8"/>
  <c r="K157" i="8"/>
  <c r="L157" i="8"/>
  <c r="M157" i="8"/>
  <c r="N157" i="8"/>
  <c r="K127" i="8"/>
  <c r="L127" i="8"/>
  <c r="M127" i="8"/>
  <c r="N127" i="8"/>
  <c r="K107" i="8"/>
  <c r="L107" i="8"/>
  <c r="M107" i="8"/>
  <c r="N107" i="8"/>
  <c r="L98" i="8"/>
  <c r="M98" i="8"/>
  <c r="N98" i="8"/>
  <c r="K98" i="8"/>
  <c r="L86" i="8"/>
  <c r="M86" i="8"/>
  <c r="N86" i="8"/>
  <c r="K86" i="8"/>
  <c r="M177" i="8"/>
  <c r="K177" i="8"/>
  <c r="L177" i="8"/>
  <c r="N177" i="8"/>
  <c r="L212" i="8"/>
  <c r="M212" i="8"/>
  <c r="N212" i="8"/>
  <c r="K212" i="8"/>
  <c r="L216" i="8"/>
  <c r="M216" i="8"/>
  <c r="N216" i="8"/>
  <c r="K216" i="8"/>
  <c r="K42" i="8"/>
  <c r="L42" i="8"/>
  <c r="M42" i="8"/>
  <c r="N42" i="8"/>
  <c r="K28" i="8"/>
  <c r="L28" i="8"/>
  <c r="M28" i="8"/>
  <c r="N28" i="8"/>
  <c r="K117" i="8"/>
  <c r="L117" i="8"/>
  <c r="M117" i="8"/>
  <c r="N117" i="8"/>
  <c r="K31" i="8"/>
  <c r="L31" i="8"/>
  <c r="M31" i="8"/>
  <c r="N31" i="8"/>
  <c r="K67" i="8"/>
  <c r="L67" i="8"/>
  <c r="M67" i="8"/>
  <c r="N67" i="8"/>
  <c r="K137" i="8"/>
  <c r="L137" i="8"/>
  <c r="M137" i="8"/>
  <c r="N137" i="8"/>
  <c r="K46" i="8"/>
  <c r="L46" i="8"/>
  <c r="M46" i="8"/>
  <c r="N46" i="8"/>
  <c r="L200" i="8"/>
  <c r="M200" i="8"/>
  <c r="N200" i="8"/>
  <c r="K200" i="8"/>
  <c r="L108" i="8"/>
  <c r="M108" i="8"/>
  <c r="N108" i="8"/>
  <c r="K108" i="8"/>
  <c r="M197" i="8"/>
  <c r="K197" i="8"/>
  <c r="L197" i="8"/>
  <c r="N197" i="8"/>
  <c r="K48" i="8"/>
  <c r="L48" i="8"/>
  <c r="M48" i="8"/>
  <c r="N48" i="8"/>
  <c r="K83" i="8"/>
  <c r="L83" i="8"/>
  <c r="M83" i="8"/>
  <c r="N83" i="8"/>
  <c r="K193" i="8"/>
  <c r="M193" i="8"/>
  <c r="L193" i="8"/>
  <c r="N193" i="8"/>
  <c r="L62" i="8"/>
  <c r="M62" i="8"/>
  <c r="N62" i="8"/>
  <c r="K62" i="8"/>
  <c r="K73" i="8"/>
  <c r="L73" i="8"/>
  <c r="N73" i="8"/>
  <c r="M73" i="8"/>
  <c r="K27" i="8"/>
  <c r="L27" i="8"/>
  <c r="M27" i="8"/>
  <c r="N27" i="8"/>
  <c r="L208" i="8"/>
  <c r="M208" i="8"/>
  <c r="N208" i="8"/>
  <c r="K208" i="8"/>
  <c r="K6" i="8"/>
  <c r="L6" i="8"/>
  <c r="M6" i="8"/>
  <c r="N6" i="8"/>
  <c r="L64" i="8"/>
  <c r="M64" i="8"/>
  <c r="N64" i="8"/>
  <c r="K64" i="8"/>
  <c r="L132" i="8"/>
  <c r="N132" i="8"/>
  <c r="K132" i="8"/>
  <c r="M132" i="8"/>
  <c r="K23" i="8"/>
  <c r="L23" i="8"/>
  <c r="M23" i="8"/>
  <c r="N23" i="8"/>
  <c r="L128" i="8"/>
  <c r="N128" i="8"/>
  <c r="K128" i="8"/>
  <c r="M128" i="8"/>
  <c r="L171" i="8"/>
  <c r="K171" i="8"/>
  <c r="M171" i="8"/>
  <c r="N171" i="8"/>
  <c r="K37" i="8"/>
  <c r="L37" i="8"/>
  <c r="M37" i="8"/>
  <c r="N37" i="8"/>
  <c r="L150" i="8"/>
  <c r="N150" i="8"/>
  <c r="K150" i="8"/>
  <c r="M150" i="8"/>
  <c r="K9" i="8"/>
  <c r="L9" i="8"/>
  <c r="M9" i="8"/>
  <c r="N9" i="8"/>
  <c r="L56" i="8"/>
  <c r="M56" i="8"/>
  <c r="N56" i="8"/>
  <c r="K56" i="8"/>
  <c r="K34" i="8"/>
  <c r="L34" i="8"/>
  <c r="M34" i="8"/>
  <c r="N34" i="8"/>
  <c r="K87" i="8"/>
  <c r="L87" i="8"/>
  <c r="N87" i="8"/>
  <c r="M87" i="8"/>
  <c r="L92" i="8"/>
  <c r="M92" i="8"/>
  <c r="N92" i="8"/>
  <c r="K92" i="8"/>
  <c r="M181" i="8"/>
  <c r="K181" i="8"/>
  <c r="L181" i="8"/>
  <c r="N181" i="8"/>
  <c r="M191" i="8"/>
  <c r="K191" i="8"/>
  <c r="L191" i="8"/>
  <c r="N191" i="8"/>
  <c r="K131" i="8"/>
  <c r="L131" i="8"/>
  <c r="M131" i="8"/>
  <c r="N131" i="8"/>
  <c r="L106" i="8"/>
  <c r="M106" i="8"/>
  <c r="N106" i="8"/>
  <c r="K106" i="8"/>
  <c r="L110" i="8"/>
  <c r="M110" i="8"/>
  <c r="N110" i="8"/>
  <c r="K110" i="8"/>
  <c r="L74" i="8"/>
  <c r="M74" i="8"/>
  <c r="N74" i="8"/>
  <c r="K74" i="8"/>
  <c r="N172" i="8"/>
  <c r="K172" i="8"/>
  <c r="L172" i="8"/>
  <c r="M172" i="8"/>
  <c r="M199" i="8"/>
  <c r="K199" i="8"/>
  <c r="L199" i="8"/>
  <c r="N199" i="8"/>
  <c r="K89" i="8"/>
  <c r="L89" i="8"/>
  <c r="N89" i="8"/>
  <c r="M89" i="8"/>
  <c r="K147" i="8"/>
  <c r="M147" i="8"/>
  <c r="L147" i="8"/>
  <c r="N147" i="8"/>
  <c r="K13" i="8"/>
  <c r="L13" i="8"/>
  <c r="M13" i="8"/>
  <c r="N13" i="8"/>
  <c r="L126" i="8"/>
  <c r="N126" i="8"/>
  <c r="M126" i="8"/>
  <c r="K126" i="8"/>
  <c r="L154" i="8"/>
  <c r="N154" i="8"/>
  <c r="K154" i="8"/>
  <c r="M154" i="8"/>
  <c r="K91" i="8"/>
  <c r="L91" i="8"/>
  <c r="M91" i="8"/>
  <c r="N91" i="8"/>
  <c r="K18" i="8"/>
  <c r="L18" i="8"/>
  <c r="M18" i="8"/>
  <c r="N18" i="8"/>
  <c r="L70" i="8"/>
  <c r="M70" i="8"/>
  <c r="N70" i="8"/>
  <c r="K70" i="8"/>
  <c r="K113" i="8"/>
  <c r="L113" i="8"/>
  <c r="M113" i="8"/>
  <c r="N113" i="8"/>
  <c r="L196" i="8"/>
  <c r="M196" i="8"/>
  <c r="N196" i="8"/>
  <c r="K196" i="8"/>
  <c r="L152" i="8"/>
  <c r="N152" i="8"/>
  <c r="K152" i="8"/>
  <c r="M152" i="8"/>
  <c r="K201" i="8"/>
  <c r="L201" i="8"/>
  <c r="M201" i="8"/>
  <c r="N201" i="8"/>
  <c r="K12" i="8"/>
  <c r="L12" i="8"/>
  <c r="M12" i="8"/>
  <c r="N12" i="8"/>
  <c r="K101" i="8"/>
  <c r="L101" i="8"/>
  <c r="M101" i="8"/>
  <c r="N101" i="8"/>
  <c r="L214" i="8"/>
  <c r="N214" i="8"/>
  <c r="M214" i="8"/>
  <c r="K214" i="8"/>
  <c r="K51" i="8"/>
  <c r="L51" i="8"/>
  <c r="M51" i="8"/>
  <c r="N51" i="8"/>
  <c r="K81" i="8"/>
  <c r="L81" i="8"/>
  <c r="M81" i="8"/>
  <c r="N81" i="8"/>
  <c r="K30" i="8"/>
  <c r="L30" i="8"/>
  <c r="M30" i="8"/>
  <c r="N30" i="8"/>
  <c r="L136" i="8"/>
  <c r="N136" i="8"/>
  <c r="K136" i="8"/>
  <c r="M136" i="8"/>
  <c r="L156" i="8"/>
  <c r="N156" i="8"/>
  <c r="M156" i="8"/>
  <c r="K156" i="8"/>
  <c r="K135" i="8"/>
  <c r="L135" i="8"/>
  <c r="M135" i="8"/>
  <c r="N135" i="8"/>
  <c r="K25" i="8"/>
  <c r="L25" i="8"/>
  <c r="N25" i="8"/>
  <c r="M25" i="8"/>
  <c r="K195" i="8"/>
  <c r="L195" i="8"/>
  <c r="M195" i="8"/>
  <c r="N195" i="8"/>
  <c r="K61" i="8"/>
  <c r="L61" i="8"/>
  <c r="M61" i="8"/>
  <c r="N61" i="8"/>
  <c r="L174" i="8"/>
  <c r="M174" i="8"/>
  <c r="N174" i="8"/>
  <c r="K174" i="8"/>
  <c r="N170" i="8"/>
  <c r="K170" i="8"/>
  <c r="L170" i="8"/>
  <c r="M170" i="8"/>
  <c r="L151" i="8"/>
  <c r="M151" i="8"/>
  <c r="N151" i="8"/>
  <c r="K151" i="8"/>
  <c r="K97" i="8"/>
  <c r="L97" i="8"/>
  <c r="M97" i="8"/>
  <c r="N97" i="8"/>
  <c r="L162" i="8"/>
  <c r="N162" i="8"/>
  <c r="K162" i="8"/>
  <c r="M162" i="8"/>
  <c r="K211" i="8"/>
  <c r="M211" i="8"/>
  <c r="L211" i="8"/>
  <c r="N211" i="8"/>
  <c r="K77" i="8"/>
  <c r="L77" i="8"/>
  <c r="M77" i="8"/>
  <c r="N77" i="8"/>
  <c r="L190" i="8"/>
  <c r="M190" i="8"/>
  <c r="N190" i="8"/>
  <c r="K190" i="8"/>
  <c r="N3" i="8"/>
  <c r="M3" i="8"/>
  <c r="K3" i="8"/>
  <c r="L3" i="8"/>
</calcChain>
</file>

<file path=xl/sharedStrings.xml><?xml version="1.0" encoding="utf-8"?>
<sst xmlns="http://schemas.openxmlformats.org/spreadsheetml/2006/main" count="499" uniqueCount="258">
  <si>
    <t>1 (6)_BB_0.png</t>
  </si>
  <si>
    <t>2 (1)_BB_2.png</t>
  </si>
  <si>
    <t>2 (1)_BB_0.png</t>
  </si>
  <si>
    <t>2 (1)_BB_3.png</t>
  </si>
  <si>
    <t>2 (1)_BB_1.png</t>
  </si>
  <si>
    <t>5 (4)_BB_2.png</t>
  </si>
  <si>
    <t>5 (4)_BB_0.png</t>
  </si>
  <si>
    <t>5 (4)_BB_1.png</t>
  </si>
  <si>
    <t>5 (3)_BB_1.png</t>
  </si>
  <si>
    <t>5 (3)_BB_0.png</t>
  </si>
  <si>
    <t>6 (3)_BB_0.png</t>
  </si>
  <si>
    <t>6 (3)_BB_1.png</t>
  </si>
  <si>
    <t>7 (12)_BB_1.png</t>
  </si>
  <si>
    <t>7 (12)_BB_0.png</t>
  </si>
  <si>
    <t>7 (11)_BB_2.png</t>
  </si>
  <si>
    <t>7 (11)_BB_1.png</t>
  </si>
  <si>
    <t>7 (11)_BB_0.png</t>
  </si>
  <si>
    <t>7 (10)_BB_2.png</t>
  </si>
  <si>
    <t>7 (10)_BB_0.png</t>
  </si>
  <si>
    <t>7 (10)_BB_1.png</t>
  </si>
  <si>
    <t>7 (6)_BB_2.png</t>
  </si>
  <si>
    <t>7 (6)_BB_0.png</t>
  </si>
  <si>
    <t>7 (5)_BB_0.png</t>
  </si>
  <si>
    <t>7 (6)_BB_4.png</t>
  </si>
  <si>
    <t>7 (6)_BB_1.png</t>
  </si>
  <si>
    <t>7 (6)_BB_3.png</t>
  </si>
  <si>
    <t>8 (1)_BB_2.png</t>
  </si>
  <si>
    <t>8 (1)_BB_0.png</t>
  </si>
  <si>
    <t>8 (1)_BB_1.png</t>
  </si>
  <si>
    <t>8 (18)_BB_0.png</t>
  </si>
  <si>
    <t>8 (18)_BB_1.png</t>
  </si>
  <si>
    <t>8 (18)_BB_4.png</t>
  </si>
  <si>
    <t>8 (18)_BB_2.png</t>
  </si>
  <si>
    <t>8 (18)_BB_3.png</t>
  </si>
  <si>
    <t>8 (12)_BB_0.png</t>
  </si>
  <si>
    <t>8 (8)_BB_1.png</t>
  </si>
  <si>
    <t>8 (8)_BB_0.png</t>
  </si>
  <si>
    <t>10 (7)_BB_2.png</t>
  </si>
  <si>
    <t>10 (7)_BB_0.png</t>
  </si>
  <si>
    <t>10 (7)_BB_1.png</t>
  </si>
  <si>
    <t>10 (7)_BB_3.png</t>
  </si>
  <si>
    <t>11 (2)_BB_1.png</t>
  </si>
  <si>
    <t>11 (2)_BB_2.png</t>
  </si>
  <si>
    <t>11 (2)_BB_3.png</t>
  </si>
  <si>
    <t>11 (2)_BB_0.png</t>
  </si>
  <si>
    <t>11 (15)_BB_0.png</t>
  </si>
  <si>
    <t>11 (15)_BB_1.png</t>
  </si>
  <si>
    <t>12 (10)_BB_2.png</t>
  </si>
  <si>
    <t>12 (10)_BB_6.png</t>
  </si>
  <si>
    <t>12 (10)_BB_1.png</t>
  </si>
  <si>
    <t>12 (10)_BB_5.png</t>
  </si>
  <si>
    <t>12 (10)_BB_0.png</t>
  </si>
  <si>
    <t>12 (10)_BB_4.png</t>
  </si>
  <si>
    <t>12 (10)_BB_3.png</t>
  </si>
  <si>
    <t>12 (10)_BB_7.png</t>
  </si>
  <si>
    <t>12 (10)_BB_8.png</t>
  </si>
  <si>
    <t>12 (9)_BB_5.png</t>
  </si>
  <si>
    <t>12 (9)_BB_4.png</t>
  </si>
  <si>
    <t>12 (9)_BB_6.png</t>
  </si>
  <si>
    <t>12 (9)_BB_2.png</t>
  </si>
  <si>
    <t>12 (9)_BB_0.png</t>
  </si>
  <si>
    <t>12 (9)_BB_3.png</t>
  </si>
  <si>
    <t>12 (9)_BB_1.png</t>
  </si>
  <si>
    <t>12 (8)_BB_1.png</t>
  </si>
  <si>
    <t>12 (8)_BB_0.png</t>
  </si>
  <si>
    <t>12 (7)_BB_4.png</t>
  </si>
  <si>
    <t>12 (7)_BB_0.png</t>
  </si>
  <si>
    <t>12 (7)_BB_5.png</t>
  </si>
  <si>
    <t>12 (7)_BB_2.png</t>
  </si>
  <si>
    <t>12 (7)_BB_6.png</t>
  </si>
  <si>
    <t>12 (7)_BB_3.png</t>
  </si>
  <si>
    <t>12 (7)_BB_1.png</t>
  </si>
  <si>
    <t>12 (5)_BB_1.png</t>
  </si>
  <si>
    <t>12 (5)_BB_3.png</t>
  </si>
  <si>
    <t>12 (5)_BB_4.png</t>
  </si>
  <si>
    <t>12 (5)_BB_2.png</t>
  </si>
  <si>
    <t>12 (5)_BB_0.png</t>
  </si>
  <si>
    <t>12 (4)_BB_1.png</t>
  </si>
  <si>
    <t>12 (4)_BB_2.png</t>
  </si>
  <si>
    <t>12 (4)_BB_0.png</t>
  </si>
  <si>
    <t>12 (3)_BB_0.png</t>
  </si>
  <si>
    <t>12 (3)_BB_1.png</t>
  </si>
  <si>
    <t>12 (2)_BB_0.png</t>
  </si>
  <si>
    <t>12 (2)_BB_1.png</t>
  </si>
  <si>
    <t>12 (1)_BB_2.png</t>
  </si>
  <si>
    <t>12 (1)_BB_0.png</t>
  </si>
  <si>
    <t>12 (1)_BB_1.png</t>
  </si>
  <si>
    <t>13 (5)_BB_0.png</t>
  </si>
  <si>
    <t>13 (4)_BB_0.png</t>
  </si>
  <si>
    <t>13 (4)_BB_2.png</t>
  </si>
  <si>
    <t>13 (4)_BB_3.png</t>
  </si>
  <si>
    <t>13 (4)_BB_1.png</t>
  </si>
  <si>
    <t>13 (3)_BB_0.png</t>
  </si>
  <si>
    <t>13 (3)_BB_1.png</t>
  </si>
  <si>
    <t>13 (2)_BB_4.png</t>
  </si>
  <si>
    <t>13 (2)_BB_1.png</t>
  </si>
  <si>
    <t>13 (2)_BB_3.png</t>
  </si>
  <si>
    <t>13 (2)_BB_2.png</t>
  </si>
  <si>
    <t>13 (2)_BB_0.png</t>
  </si>
  <si>
    <t>14 (1)_BB_0.png</t>
  </si>
  <si>
    <t>14 (1)_BB_1.png</t>
  </si>
  <si>
    <t>14 (4)_BB_0.png</t>
  </si>
  <si>
    <t>14 (4)_BB_1.png</t>
  </si>
  <si>
    <t>14 (4)_BB_2.png</t>
  </si>
  <si>
    <t>14 (3)_BB_4.png</t>
  </si>
  <si>
    <t>14 (3)_BB_3.png</t>
  </si>
  <si>
    <t>14 (3)_BB_5.png</t>
  </si>
  <si>
    <t>14 (3)_BB_2.png</t>
  </si>
  <si>
    <t>14 (3)_BB_0.png</t>
  </si>
  <si>
    <t>14 (3)_BB_1.png</t>
  </si>
  <si>
    <t>15 (1)_BB_1.png</t>
  </si>
  <si>
    <t>15 (1)_BB_0.png</t>
  </si>
  <si>
    <t>15 (1)_BB_2.png</t>
  </si>
  <si>
    <t>15 (4)_BB_1.png</t>
  </si>
  <si>
    <t>15 (4)_BB_0.png</t>
  </si>
  <si>
    <t>15 (3)_BB_6.png</t>
  </si>
  <si>
    <t>15 (3)_BB_5.png</t>
  </si>
  <si>
    <t>15 (3)_BB_10.png</t>
  </si>
  <si>
    <t>15 (3)_BB_7.png</t>
  </si>
  <si>
    <t>15 (3)_BB_4.png</t>
  </si>
  <si>
    <t>15 (3)_BB_2.png</t>
  </si>
  <si>
    <t>15 (3)_BB_9.png</t>
  </si>
  <si>
    <t>15 (3)_BB_1.png</t>
  </si>
  <si>
    <t>15 (3)_BB_0.png</t>
  </si>
  <si>
    <t>15 (3)_BB_8.png</t>
  </si>
  <si>
    <t>15 (3)_BB_3.png</t>
  </si>
  <si>
    <t>15 (2)_BB_5.png</t>
  </si>
  <si>
    <t>15 (2)_BB_3.png</t>
  </si>
  <si>
    <t>15 (2)_BB_0.png</t>
  </si>
  <si>
    <t>15 (2)_BB_6.png</t>
  </si>
  <si>
    <t>15 (2)_BB_2.png</t>
  </si>
  <si>
    <t>15 (2)_BB_4.png</t>
  </si>
  <si>
    <t>15 (2)_BB_1.png</t>
  </si>
  <si>
    <t>16 (1)_BB_4.png</t>
  </si>
  <si>
    <t>16 (1)_BB_10.png</t>
  </si>
  <si>
    <t>16 (1)_BB_7.png</t>
  </si>
  <si>
    <t>16 (1)_BB_8.png</t>
  </si>
  <si>
    <t>16 (1)_BB_12.png</t>
  </si>
  <si>
    <t>16 (1)_BB_9.png</t>
  </si>
  <si>
    <t>16 (1)_BB_0.png</t>
  </si>
  <si>
    <t>16 (1)_BB_1.png</t>
  </si>
  <si>
    <t>16 (1)_BB_2.png</t>
  </si>
  <si>
    <t>16 (1)_BB_5.png</t>
  </si>
  <si>
    <t>16 (1)_BB_3.png</t>
  </si>
  <si>
    <t>16 (1)_BB_6.png</t>
  </si>
  <si>
    <t>16 (1)_BB_11.png</t>
  </si>
  <si>
    <t>16 (2)_BB_0.png</t>
  </si>
  <si>
    <t>16 (2)_BB_1.png</t>
  </si>
  <si>
    <t>16 (4)_BB_0.png</t>
  </si>
  <si>
    <t>16 (4)_BB_1.png</t>
  </si>
  <si>
    <t>16 (4)_BB_3.png</t>
  </si>
  <si>
    <t>16 (4)_BB_2.png</t>
  </si>
  <si>
    <t>17 (4)_BB_0.png</t>
  </si>
  <si>
    <t>17 (4)_BB_2.png</t>
  </si>
  <si>
    <t>17 (4)_BB_1.png</t>
  </si>
  <si>
    <t>18 (3)_BB_0.png</t>
  </si>
  <si>
    <t>18 (3)_BB_1.png</t>
  </si>
  <si>
    <t>19 (2)_BB_0.png</t>
  </si>
  <si>
    <t>19 (2)_BB_1.png</t>
  </si>
  <si>
    <t>23 (5)_BB_1.png</t>
  </si>
  <si>
    <t>23 (5)_BB_0.png</t>
  </si>
  <si>
    <t>23 (4)_BB_1.png</t>
  </si>
  <si>
    <t>23 (4)_BB_0.png</t>
  </si>
  <si>
    <t>24 (1)_BB_1.png</t>
  </si>
  <si>
    <t>24 (1)_BB_2.png</t>
  </si>
  <si>
    <t>24 (1)_BB_3.png</t>
  </si>
  <si>
    <t>24 (1)_BB_0.png</t>
  </si>
  <si>
    <t>26 (3)_BB_6.png</t>
  </si>
  <si>
    <t>26 (3)_BB_9.png</t>
  </si>
  <si>
    <t>26 (3)_BB_3.png</t>
  </si>
  <si>
    <t>26 (3)_BB_5.png</t>
  </si>
  <si>
    <t>26 (3)_BB_8.png</t>
  </si>
  <si>
    <t>26 (3)_BB_1.png</t>
  </si>
  <si>
    <t>26 (3)_BB_2.png</t>
  </si>
  <si>
    <t>26 (3)_BB_7.png</t>
  </si>
  <si>
    <t>26 (3)_BB_4.png</t>
  </si>
  <si>
    <t>26 (3)_BB_0.png</t>
  </si>
  <si>
    <t>26 (3)_BB_10.png</t>
  </si>
  <si>
    <t>kkms (9)_BB_3.png</t>
  </si>
  <si>
    <t>kkms (9)_BB_1.png</t>
  </si>
  <si>
    <t>kkms (9)_BB_0.png</t>
  </si>
  <si>
    <t>kkms (9)_BB_2.png</t>
  </si>
  <si>
    <t>kkms (9)_BB_4.png</t>
  </si>
  <si>
    <t>kkms (10)_BB_0.png</t>
  </si>
  <si>
    <t>kkms (10)_BB_1.png</t>
  </si>
  <si>
    <t>kkms (10)_BB_5.png</t>
  </si>
  <si>
    <t>kkms (10)_BB_2.png</t>
  </si>
  <si>
    <t>kkms (10)_BB_6.png</t>
  </si>
  <si>
    <t>kkms (10)_BB_3.png</t>
  </si>
  <si>
    <t>kkms (10)_BB_4.png</t>
  </si>
  <si>
    <t>kkms (10)_BB_8.png</t>
  </si>
  <si>
    <t>kkms (10)_BB_7.png</t>
  </si>
  <si>
    <t>kkms (4)_BB_0.png</t>
  </si>
  <si>
    <t>kkms (4)_BB_5.png</t>
  </si>
  <si>
    <t>kkms (4)_BB_1.png</t>
  </si>
  <si>
    <t>kkms (4)_BB_6.png</t>
  </si>
  <si>
    <t>kkms (4)_BB_2.png</t>
  </si>
  <si>
    <t>kkms (4)_BB_3.png</t>
  </si>
  <si>
    <t>kkms (4)_BB_4.png</t>
  </si>
  <si>
    <t>kkms (6)_BB_1.png</t>
  </si>
  <si>
    <t>kkms (6)_BB_2.png</t>
  </si>
  <si>
    <t>kkms (6)_BB_6.png</t>
  </si>
  <si>
    <t>kkms (6)_BB_4.png</t>
  </si>
  <si>
    <t>kkms (6)_BB_5.png</t>
  </si>
  <si>
    <t>kkms (6)_BB_0.png</t>
  </si>
  <si>
    <t>kkms (6)_BB_7.png</t>
  </si>
  <si>
    <t>kkms (6)_BB_3.png</t>
  </si>
  <si>
    <t>6 (5)_BB_1.png</t>
  </si>
  <si>
    <t>7 (19)_BB_2.png</t>
  </si>
  <si>
    <t>7 (16)_BB_3.png</t>
  </si>
  <si>
    <t>8 (6)_BB_4.png</t>
  </si>
  <si>
    <t>8 (6)_BB_3.png</t>
  </si>
  <si>
    <t>9 (4)_BB_2.png</t>
  </si>
  <si>
    <t>9 (4)_BB_1.png</t>
  </si>
  <si>
    <t>10 (16)_BB_8.png</t>
  </si>
  <si>
    <t>2 (2)_BB_0.png</t>
  </si>
  <si>
    <t>5 (1)_BB_0.png</t>
  </si>
  <si>
    <t>25 (7)_BB_0.png</t>
  </si>
  <si>
    <t>Vents</t>
  </si>
  <si>
    <t>Abw. Vents</t>
  </si>
  <si>
    <t>Ground Truth</t>
  </si>
  <si>
    <t>Model 3 Thresh 0,3</t>
  </si>
  <si>
    <t>(Det-GT)^2</t>
  </si>
  <si>
    <t>Predicted Cooling Capacity {kW]</t>
  </si>
  <si>
    <t>True Cooling Capacity [kW]</t>
  </si>
  <si>
    <t>Pred for prediction interal</t>
  </si>
  <si>
    <t>Prediction Interval Minimum</t>
  </si>
  <si>
    <t>Prediction Interval Maximum</t>
  </si>
  <si>
    <t>Confidence Interval Minimum</t>
  </si>
  <si>
    <t>Confidence Interval Maximum</t>
  </si>
  <si>
    <t>Slope</t>
  </si>
  <si>
    <t>Intercept</t>
  </si>
  <si>
    <t>Standard Error slope</t>
  </si>
  <si>
    <t>Standard Error intercept</t>
  </si>
  <si>
    <t>R^2</t>
  </si>
  <si>
    <t>Standard error Y</t>
  </si>
  <si>
    <t>F</t>
  </si>
  <si>
    <t>degrees of freedom (n(data) - k(variables)</t>
  </si>
  <si>
    <t>SS regr (unexplained variation)</t>
  </si>
  <si>
    <t>SS res (explained variation)</t>
  </si>
  <si>
    <t>Number of Values</t>
  </si>
  <si>
    <t>Average X value</t>
  </si>
  <si>
    <t>Sum of squares of deviations</t>
  </si>
  <si>
    <t>Inverse Sturents t-distribution 0.95</t>
  </si>
  <si>
    <t>Standard Error</t>
  </si>
  <si>
    <t>Prediction and Confidence Intervals COOLING CAPACITY</t>
  </si>
  <si>
    <t>Prediction and Confidence Intervals Vents</t>
  </si>
  <si>
    <t>VENTS</t>
  </si>
  <si>
    <t>COOLING CAPACITY</t>
  </si>
  <si>
    <t>Pred-True^2</t>
  </si>
  <si>
    <t>Mean:</t>
  </si>
  <si>
    <t>Prediction Interval:</t>
  </si>
  <si>
    <t>y min</t>
  </si>
  <si>
    <t>y max</t>
  </si>
  <si>
    <t>Line of best fit</t>
  </si>
  <si>
    <t>x</t>
  </si>
  <si>
    <t>y</t>
  </si>
  <si>
    <t>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</si>
</sst>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11" xfId="0" applyBorder="1"/>
    <xf numFmtId="0" fontId="0" fillId="0" borderId="16" xfId="0" applyBorder="1"/>
    <xf numFmtId="0" fontId="0" fillId="0" borderId="0" xfId="0" applyBorder="1"/>
    <xf numFmtId="0" fontId="0" fillId="33" borderId="15" xfId="0" applyFill="1" applyBorder="1"/>
    <xf numFmtId="0" fontId="0" fillId="33" borderId="0" xfId="0" applyFill="1" applyBorder="1"/>
    <xf numFmtId="0" fontId="16" fillId="34" borderId="0" xfId="0" applyFont="1" applyFill="1" applyBorder="1"/>
    <xf numFmtId="0" fontId="0" fillId="34" borderId="16" xfId="0" applyFill="1" applyBorder="1"/>
    <xf numFmtId="0" fontId="16" fillId="0" borderId="0" xfId="0" applyFont="1" applyFill="1" applyBorder="1"/>
    <xf numFmtId="0" fontId="16" fillId="0" borderId="17" xfId="0" applyFont="1" applyFill="1" applyBorder="1"/>
    <xf numFmtId="0" fontId="19" fillId="35" borderId="0" xfId="0" applyFont="1" applyFill="1" applyBorder="1"/>
    <xf numFmtId="0" fontId="0" fillId="34" borderId="11" xfId="0" applyFont="1" applyFill="1" applyBorder="1"/>
    <xf numFmtId="0" fontId="0" fillId="34" borderId="0" xfId="0" applyFont="1" applyFill="1" applyBorder="1"/>
    <xf numFmtId="0" fontId="0" fillId="34" borderId="0" xfId="0" applyFill="1" applyBorder="1"/>
    <xf numFmtId="0" fontId="18" fillId="35" borderId="20" xfId="0" applyFont="1" applyFill="1" applyBorder="1"/>
    <xf numFmtId="0" fontId="18" fillId="35" borderId="18" xfId="0" applyFont="1" applyFill="1" applyBorder="1"/>
    <xf numFmtId="0" fontId="16" fillId="34" borderId="20" xfId="0" applyFont="1" applyFill="1" applyBorder="1"/>
    <xf numFmtId="0" fontId="16" fillId="34" borderId="19" xfId="0" applyFont="1" applyFill="1" applyBorder="1"/>
    <xf numFmtId="0" fontId="16" fillId="34" borderId="18" xfId="0" applyFont="1" applyFill="1" applyBorder="1"/>
    <xf numFmtId="0" fontId="19" fillId="35" borderId="20" xfId="0" applyFont="1" applyFill="1" applyBorder="1"/>
    <xf numFmtId="0" fontId="19" fillId="35" borderId="18" xfId="0" applyFont="1" applyFill="1" applyBorder="1"/>
    <xf numFmtId="0" fontId="0" fillId="34" borderId="20" xfId="0" applyFill="1" applyBorder="1"/>
    <xf numFmtId="0" fontId="0" fillId="34" borderId="19" xfId="0" applyFill="1" applyBorder="1"/>
    <xf numFmtId="2" fontId="16" fillId="34" borderId="18" xfId="0" applyNumberFormat="1" applyFont="1" applyFill="1" applyBorder="1"/>
    <xf numFmtId="0" fontId="16" fillId="34" borderId="13" xfId="0" applyFont="1" applyFill="1" applyBorder="1"/>
    <xf numFmtId="1" fontId="0" fillId="34" borderId="11" xfId="0" applyNumberFormat="1" applyFill="1" applyBorder="1"/>
    <xf numFmtId="1" fontId="16" fillId="34" borderId="18" xfId="0" applyNumberFormat="1" applyFont="1" applyFill="1" applyBorder="1"/>
    <xf numFmtId="0" fontId="18" fillId="35" borderId="17" xfId="0" applyFont="1" applyFill="1" applyBorder="1"/>
    <xf numFmtId="1" fontId="19" fillId="35" borderId="0" xfId="0" applyNumberFormat="1" applyFont="1" applyFill="1" applyBorder="1"/>
    <xf numFmtId="1" fontId="19" fillId="35" borderId="18" xfId="0" applyNumberFormat="1" applyFont="1" applyFill="1" applyBorder="1"/>
    <xf numFmtId="0" fontId="0" fillId="0" borderId="15" xfId="0" applyBorder="1"/>
    <xf numFmtId="0" fontId="16" fillId="0" borderId="20" xfId="0" applyFont="1" applyBorder="1"/>
    <xf numFmtId="0" fontId="16" fillId="0" borderId="19" xfId="0" applyFont="1" applyBorder="1"/>
    <xf numFmtId="0" fontId="16" fillId="0" borderId="18" xfId="0" applyFont="1" applyBorder="1"/>
    <xf numFmtId="0" fontId="0" fillId="33" borderId="17" xfId="0" applyFill="1" applyBorder="1"/>
    <xf numFmtId="0" fontId="0" fillId="0" borderId="10" xfId="0" applyBorder="1"/>
    <xf numFmtId="0" fontId="0" fillId="0" borderId="12" xfId="0" applyBorder="1"/>
    <xf numFmtId="0" fontId="16" fillId="0" borderId="0" xfId="0" applyFont="1"/>
    <xf numFmtId="0" fontId="16" fillId="0" borderId="14" xfId="0" applyFont="1" applyBorder="1"/>
    <xf numFmtId="0" fontId="16" fillId="0" borderId="12" xfId="0" applyFont="1" applyFill="1" applyBorder="1"/>
    <xf numFmtId="1" fontId="0" fillId="0" borderId="16" xfId="0" applyNumberFormat="1" applyBorder="1"/>
    <xf numFmtId="1" fontId="0" fillId="0" borderId="0" xfId="0" applyNumberFormat="1" applyBorder="1"/>
    <xf numFmtId="1" fontId="0" fillId="0" borderId="11" xfId="0" applyNumberFormat="1" applyBorder="1"/>
    <xf numFmtId="0" fontId="0" fillId="0" borderId="17" xfId="0" applyBorder="1"/>
    <xf numFmtId="1" fontId="0" fillId="0" borderId="0" xfId="0" applyNumberFormat="1"/>
    <xf numFmtId="0" fontId="16" fillId="0" borderId="0" xfId="0" applyFont="1" applyAlignment="1">
      <alignment horizontal="right"/>
    </xf>
    <xf numFmtId="0" fontId="16" fillId="36" borderId="20" xfId="0" applyFont="1" applyFill="1" applyBorder="1"/>
    <xf numFmtId="1" fontId="16" fillId="36" borderId="19" xfId="0" applyNumberFormat="1" applyFont="1" applyFill="1" applyBorder="1"/>
    <xf numFmtId="1" fontId="16" fillId="36" borderId="18" xfId="0" applyNumberFormat="1" applyFont="1" applyFill="1" applyBorder="1"/>
    <xf numFmtId="0" fontId="20" fillId="0" borderId="0" xfId="0" applyFont="1" applyAlignment="1">
      <alignment horizontal="center" vertical="center" readingOrder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9">
    <dxf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>
        <top style="medium">
          <color indexed="64"/>
        </top>
      </border>
    </dxf>
    <dxf>
      <fill>
        <patternFill patternType="solid">
          <fgColor indexed="64"/>
          <bgColor theme="7" tint="0.79998168889431442"/>
        </patternFill>
      </fill>
    </dxf>
    <dxf>
      <border>
        <bottom style="medium">
          <color indexed="64"/>
        </bottom>
      </border>
    </dxf>
    <dxf>
      <font>
        <b/>
      </font>
      <fill>
        <patternFill patternType="solid">
          <fgColor indexed="64"/>
          <bgColor theme="7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4" tint="0.59999389629810485"/>
        </patternFill>
      </fill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border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enformat 1" pivot="0" count="0" xr9:uid="{00000000-0011-0000-FFFF-FFFF00000000}"/>
  </tableStyles>
  <colors>
    <mruColors>
      <color rgb="FF317761"/>
      <color rgb="FF38886F"/>
      <color rgb="FF467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63608254522915"/>
          <c:y val="6.0059353966892763E-2"/>
          <c:w val="0.67927569451716163"/>
          <c:h val="0.7677623195358530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tx1">
                  <a:alpha val="10000"/>
                </a:schemeClr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0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13118917037912373"/>
                  <c:y val="1.4170109924378265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Confidence_and_Prediction_Inte!$C$3:$C$220</c:f>
              <c:numCache>
                <c:formatCode>0</c:formatCode>
                <c:ptCount val="218"/>
                <c:pt idx="0">
                  <c:v>304.95699999999999</c:v>
                </c:pt>
                <c:pt idx="1">
                  <c:v>0</c:v>
                </c:pt>
                <c:pt idx="2">
                  <c:v>304.95699999999999</c:v>
                </c:pt>
                <c:pt idx="3">
                  <c:v>304.95699999999999</c:v>
                </c:pt>
                <c:pt idx="4">
                  <c:v>304.95699999999999</c:v>
                </c:pt>
                <c:pt idx="5">
                  <c:v>304.95699999999999</c:v>
                </c:pt>
                <c:pt idx="6">
                  <c:v>553.44900000000007</c:v>
                </c:pt>
                <c:pt idx="7">
                  <c:v>242.834</c:v>
                </c:pt>
                <c:pt idx="8">
                  <c:v>926.1869999999999</c:v>
                </c:pt>
                <c:pt idx="9">
                  <c:v>1174.6790000000001</c:v>
                </c:pt>
                <c:pt idx="10">
                  <c:v>304.95699999999999</c:v>
                </c:pt>
                <c:pt idx="11">
                  <c:v>553.44900000000007</c:v>
                </c:pt>
                <c:pt idx="12">
                  <c:v>1174.6790000000001</c:v>
                </c:pt>
                <c:pt idx="13">
                  <c:v>1174.6790000000001</c:v>
                </c:pt>
                <c:pt idx="14">
                  <c:v>1174.6790000000001</c:v>
                </c:pt>
                <c:pt idx="15">
                  <c:v>429.20299999999997</c:v>
                </c:pt>
                <c:pt idx="16">
                  <c:v>429.20299999999997</c:v>
                </c:pt>
                <c:pt idx="17">
                  <c:v>677.69499999999994</c:v>
                </c:pt>
                <c:pt idx="18">
                  <c:v>429.20299999999997</c:v>
                </c:pt>
                <c:pt idx="19">
                  <c:v>677.69499999999994</c:v>
                </c:pt>
                <c:pt idx="20">
                  <c:v>429.20299999999997</c:v>
                </c:pt>
                <c:pt idx="21">
                  <c:v>429.20299999999997</c:v>
                </c:pt>
                <c:pt idx="22">
                  <c:v>0</c:v>
                </c:pt>
                <c:pt idx="23">
                  <c:v>0</c:v>
                </c:pt>
                <c:pt idx="24">
                  <c:v>304.95699999999999</c:v>
                </c:pt>
                <c:pt idx="25">
                  <c:v>0</c:v>
                </c:pt>
                <c:pt idx="26">
                  <c:v>553.44900000000007</c:v>
                </c:pt>
                <c:pt idx="27">
                  <c:v>553.44900000000007</c:v>
                </c:pt>
                <c:pt idx="28">
                  <c:v>304.95699999999999</c:v>
                </c:pt>
                <c:pt idx="29">
                  <c:v>304.95699999999999</c:v>
                </c:pt>
                <c:pt idx="30">
                  <c:v>304.95699999999999</c:v>
                </c:pt>
                <c:pt idx="31">
                  <c:v>553.44900000000007</c:v>
                </c:pt>
                <c:pt idx="32">
                  <c:v>553.44900000000007</c:v>
                </c:pt>
                <c:pt idx="33">
                  <c:v>553.44900000000007</c:v>
                </c:pt>
                <c:pt idx="34">
                  <c:v>553.44900000000007</c:v>
                </c:pt>
                <c:pt idx="35">
                  <c:v>553.44900000000007</c:v>
                </c:pt>
                <c:pt idx="36">
                  <c:v>429.20299999999997</c:v>
                </c:pt>
                <c:pt idx="37">
                  <c:v>429.20299999999997</c:v>
                </c:pt>
                <c:pt idx="38">
                  <c:v>429.20299999999997</c:v>
                </c:pt>
                <c:pt idx="39">
                  <c:v>429.20299999999997</c:v>
                </c:pt>
                <c:pt idx="40">
                  <c:v>56.464999999999989</c:v>
                </c:pt>
                <c:pt idx="41">
                  <c:v>56.464999999999989</c:v>
                </c:pt>
                <c:pt idx="42">
                  <c:v>118.58799999999999</c:v>
                </c:pt>
                <c:pt idx="43">
                  <c:v>926.1869999999999</c:v>
                </c:pt>
                <c:pt idx="44">
                  <c:v>1050.433</c:v>
                </c:pt>
                <c:pt idx="45">
                  <c:v>429.20299999999997</c:v>
                </c:pt>
                <c:pt idx="46">
                  <c:v>677.69499999999994</c:v>
                </c:pt>
                <c:pt idx="47">
                  <c:v>429.20299999999997</c:v>
                </c:pt>
                <c:pt idx="48">
                  <c:v>553.44900000000007</c:v>
                </c:pt>
                <c:pt idx="49">
                  <c:v>553.44900000000007</c:v>
                </c:pt>
                <c:pt idx="50">
                  <c:v>429.20299999999997</c:v>
                </c:pt>
                <c:pt idx="51">
                  <c:v>553.44900000000007</c:v>
                </c:pt>
                <c:pt idx="52">
                  <c:v>180.71099999999998</c:v>
                </c:pt>
                <c:pt idx="53">
                  <c:v>180.71099999999998</c:v>
                </c:pt>
                <c:pt idx="54">
                  <c:v>180.71099999999998</c:v>
                </c:pt>
                <c:pt idx="55">
                  <c:v>180.71099999999998</c:v>
                </c:pt>
                <c:pt idx="56">
                  <c:v>118.58799999999999</c:v>
                </c:pt>
                <c:pt idx="57">
                  <c:v>553.44900000000007</c:v>
                </c:pt>
                <c:pt idx="58">
                  <c:v>553.44900000000007</c:v>
                </c:pt>
                <c:pt idx="59">
                  <c:v>118.58799999999999</c:v>
                </c:pt>
                <c:pt idx="60">
                  <c:v>180.71099999999998</c:v>
                </c:pt>
                <c:pt idx="61">
                  <c:v>56.464999999999989</c:v>
                </c:pt>
                <c:pt idx="62">
                  <c:v>56.464999999999989</c:v>
                </c:pt>
                <c:pt idx="63">
                  <c:v>429.20299999999997</c:v>
                </c:pt>
                <c:pt idx="64">
                  <c:v>1050.433</c:v>
                </c:pt>
                <c:pt idx="65">
                  <c:v>1050.433</c:v>
                </c:pt>
                <c:pt idx="66">
                  <c:v>304.95699999999999</c:v>
                </c:pt>
                <c:pt idx="67">
                  <c:v>429.20299999999997</c:v>
                </c:pt>
                <c:pt idx="68">
                  <c:v>553.44900000000007</c:v>
                </c:pt>
                <c:pt idx="69">
                  <c:v>180.71099999999998</c:v>
                </c:pt>
                <c:pt idx="70">
                  <c:v>56.464999999999989</c:v>
                </c:pt>
                <c:pt idx="71">
                  <c:v>553.44900000000007</c:v>
                </c:pt>
                <c:pt idx="72">
                  <c:v>553.44900000000007</c:v>
                </c:pt>
                <c:pt idx="73">
                  <c:v>553.44900000000007</c:v>
                </c:pt>
                <c:pt idx="74">
                  <c:v>553.44900000000007</c:v>
                </c:pt>
                <c:pt idx="75">
                  <c:v>677.69499999999994</c:v>
                </c:pt>
                <c:pt idx="76">
                  <c:v>677.69499999999994</c:v>
                </c:pt>
                <c:pt idx="77">
                  <c:v>180.71099999999998</c:v>
                </c:pt>
                <c:pt idx="78">
                  <c:v>180.71099999999998</c:v>
                </c:pt>
                <c:pt idx="79">
                  <c:v>242.834</c:v>
                </c:pt>
                <c:pt idx="80">
                  <c:v>180.71099999999998</c:v>
                </c:pt>
                <c:pt idx="81">
                  <c:v>180.71099999999998</c:v>
                </c:pt>
                <c:pt idx="82">
                  <c:v>180.71099999999998</c:v>
                </c:pt>
                <c:pt idx="83">
                  <c:v>180.71099999999998</c:v>
                </c:pt>
                <c:pt idx="84">
                  <c:v>367.08</c:v>
                </c:pt>
                <c:pt idx="85">
                  <c:v>429.20299999999997</c:v>
                </c:pt>
                <c:pt idx="86">
                  <c:v>429.20299999999997</c:v>
                </c:pt>
                <c:pt idx="87">
                  <c:v>56.464999999999989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304.95699999999999</c:v>
                </c:pt>
                <c:pt idx="92">
                  <c:v>56.464999999999989</c:v>
                </c:pt>
                <c:pt idx="93">
                  <c:v>180.71099999999998</c:v>
                </c:pt>
                <c:pt idx="94">
                  <c:v>180.71099999999998</c:v>
                </c:pt>
                <c:pt idx="95">
                  <c:v>56.464999999999989</c:v>
                </c:pt>
                <c:pt idx="96">
                  <c:v>553.44900000000007</c:v>
                </c:pt>
                <c:pt idx="97">
                  <c:v>304.95699999999999</c:v>
                </c:pt>
                <c:pt idx="98">
                  <c:v>677.69499999999994</c:v>
                </c:pt>
                <c:pt idx="99">
                  <c:v>553.44900000000007</c:v>
                </c:pt>
                <c:pt idx="100">
                  <c:v>367.08</c:v>
                </c:pt>
                <c:pt idx="101">
                  <c:v>429.20299999999997</c:v>
                </c:pt>
                <c:pt idx="102">
                  <c:v>304.95699999999999</c:v>
                </c:pt>
                <c:pt idx="103">
                  <c:v>677.69499999999994</c:v>
                </c:pt>
                <c:pt idx="104">
                  <c:v>677.69499999999994</c:v>
                </c:pt>
                <c:pt idx="105">
                  <c:v>677.69499999999994</c:v>
                </c:pt>
                <c:pt idx="106">
                  <c:v>677.69499999999994</c:v>
                </c:pt>
                <c:pt idx="107">
                  <c:v>304.95699999999999</c:v>
                </c:pt>
                <c:pt idx="108">
                  <c:v>56.464999999999989</c:v>
                </c:pt>
                <c:pt idx="109">
                  <c:v>429.20299999999997</c:v>
                </c:pt>
                <c:pt idx="110">
                  <c:v>429.20299999999997</c:v>
                </c:pt>
                <c:pt idx="111">
                  <c:v>677.69499999999994</c:v>
                </c:pt>
                <c:pt idx="112">
                  <c:v>677.69499999999994</c:v>
                </c:pt>
                <c:pt idx="113">
                  <c:v>553.44900000000007</c:v>
                </c:pt>
                <c:pt idx="114">
                  <c:v>553.44900000000007</c:v>
                </c:pt>
                <c:pt idx="115">
                  <c:v>553.44900000000007</c:v>
                </c:pt>
                <c:pt idx="116">
                  <c:v>553.44900000000007</c:v>
                </c:pt>
                <c:pt idx="117">
                  <c:v>677.69499999999994</c:v>
                </c:pt>
                <c:pt idx="118">
                  <c:v>739.81799999999998</c:v>
                </c:pt>
                <c:pt idx="119">
                  <c:v>677.69499999999994</c:v>
                </c:pt>
                <c:pt idx="120">
                  <c:v>801.94100000000003</c:v>
                </c:pt>
                <c:pt idx="121">
                  <c:v>677.69499999999994</c:v>
                </c:pt>
                <c:pt idx="122">
                  <c:v>553.44900000000007</c:v>
                </c:pt>
                <c:pt idx="123">
                  <c:v>615.57199999999989</c:v>
                </c:pt>
                <c:pt idx="124">
                  <c:v>677.69499999999994</c:v>
                </c:pt>
                <c:pt idx="125">
                  <c:v>1920.155</c:v>
                </c:pt>
                <c:pt idx="126">
                  <c:v>304.95699999999999</c:v>
                </c:pt>
                <c:pt idx="127">
                  <c:v>242.834</c:v>
                </c:pt>
                <c:pt idx="128">
                  <c:v>0</c:v>
                </c:pt>
                <c:pt idx="129">
                  <c:v>553.44900000000007</c:v>
                </c:pt>
                <c:pt idx="130">
                  <c:v>677.69499999999994</c:v>
                </c:pt>
                <c:pt idx="131">
                  <c:v>553.44900000000007</c:v>
                </c:pt>
                <c:pt idx="132">
                  <c:v>553.44900000000007</c:v>
                </c:pt>
                <c:pt idx="133">
                  <c:v>553.44900000000007</c:v>
                </c:pt>
                <c:pt idx="134">
                  <c:v>553.44900000000007</c:v>
                </c:pt>
                <c:pt idx="135">
                  <c:v>553.44900000000007</c:v>
                </c:pt>
                <c:pt idx="136">
                  <c:v>553.44900000000007</c:v>
                </c:pt>
                <c:pt idx="137">
                  <c:v>0</c:v>
                </c:pt>
                <c:pt idx="138">
                  <c:v>429.20299999999997</c:v>
                </c:pt>
                <c:pt idx="139">
                  <c:v>677.69499999999994</c:v>
                </c:pt>
                <c:pt idx="140">
                  <c:v>118.58799999999999</c:v>
                </c:pt>
                <c:pt idx="141">
                  <c:v>677.69499999999994</c:v>
                </c:pt>
                <c:pt idx="142">
                  <c:v>553.44900000000007</c:v>
                </c:pt>
                <c:pt idx="143">
                  <c:v>429.20299999999997</c:v>
                </c:pt>
                <c:pt idx="144">
                  <c:v>677.69499999999994</c:v>
                </c:pt>
                <c:pt idx="145">
                  <c:v>677.69499999999994</c:v>
                </c:pt>
                <c:pt idx="146">
                  <c:v>118.58799999999999</c:v>
                </c:pt>
                <c:pt idx="147">
                  <c:v>56.464999999999989</c:v>
                </c:pt>
                <c:pt idx="148">
                  <c:v>180.71099999999998</c:v>
                </c:pt>
                <c:pt idx="149">
                  <c:v>0</c:v>
                </c:pt>
                <c:pt idx="150">
                  <c:v>304.95699999999999</c:v>
                </c:pt>
                <c:pt idx="151">
                  <c:v>304.95699999999999</c:v>
                </c:pt>
                <c:pt idx="152">
                  <c:v>304.95699999999999</c:v>
                </c:pt>
                <c:pt idx="153">
                  <c:v>118.58799999999999</c:v>
                </c:pt>
                <c:pt idx="154">
                  <c:v>56.464999999999989</c:v>
                </c:pt>
                <c:pt idx="155">
                  <c:v>615.57199999999989</c:v>
                </c:pt>
                <c:pt idx="156">
                  <c:v>615.57199999999989</c:v>
                </c:pt>
                <c:pt idx="157">
                  <c:v>0</c:v>
                </c:pt>
                <c:pt idx="158">
                  <c:v>180.71099999999998</c:v>
                </c:pt>
                <c:pt idx="159">
                  <c:v>304.95699999999999</c:v>
                </c:pt>
                <c:pt idx="160">
                  <c:v>56.464999999999989</c:v>
                </c:pt>
                <c:pt idx="161">
                  <c:v>304.95699999999999</c:v>
                </c:pt>
                <c:pt idx="162">
                  <c:v>56.464999999999989</c:v>
                </c:pt>
                <c:pt idx="163">
                  <c:v>118.58799999999999</c:v>
                </c:pt>
                <c:pt idx="164">
                  <c:v>304.95699999999999</c:v>
                </c:pt>
                <c:pt idx="165">
                  <c:v>304.95699999999999</c:v>
                </c:pt>
                <c:pt idx="166">
                  <c:v>-67.781000000000006</c:v>
                </c:pt>
                <c:pt idx="167">
                  <c:v>180.71099999999998</c:v>
                </c:pt>
                <c:pt idx="168">
                  <c:v>677.69499999999994</c:v>
                </c:pt>
                <c:pt idx="169">
                  <c:v>677.69499999999994</c:v>
                </c:pt>
                <c:pt idx="170">
                  <c:v>180.71099999999998</c:v>
                </c:pt>
                <c:pt idx="171">
                  <c:v>553.44900000000007</c:v>
                </c:pt>
                <c:pt idx="172">
                  <c:v>56.464999999999989</c:v>
                </c:pt>
                <c:pt idx="173">
                  <c:v>0</c:v>
                </c:pt>
                <c:pt idx="174">
                  <c:v>677.69499999999994</c:v>
                </c:pt>
                <c:pt idx="175">
                  <c:v>304.95699999999999</c:v>
                </c:pt>
                <c:pt idx="176">
                  <c:v>56.464999999999989</c:v>
                </c:pt>
                <c:pt idx="177">
                  <c:v>553.44900000000007</c:v>
                </c:pt>
                <c:pt idx="178">
                  <c:v>304.95699999999999</c:v>
                </c:pt>
                <c:pt idx="179">
                  <c:v>304.95699999999999</c:v>
                </c:pt>
                <c:pt idx="180">
                  <c:v>304.95699999999999</c:v>
                </c:pt>
                <c:pt idx="181">
                  <c:v>304.95699999999999</c:v>
                </c:pt>
                <c:pt idx="182">
                  <c:v>304.95699999999999</c:v>
                </c:pt>
                <c:pt idx="183">
                  <c:v>553.44900000000007</c:v>
                </c:pt>
                <c:pt idx="184">
                  <c:v>553.44900000000007</c:v>
                </c:pt>
                <c:pt idx="185">
                  <c:v>429.20299999999997</c:v>
                </c:pt>
                <c:pt idx="186">
                  <c:v>553.44900000000007</c:v>
                </c:pt>
                <c:pt idx="187">
                  <c:v>677.69499999999994</c:v>
                </c:pt>
                <c:pt idx="188">
                  <c:v>553.44900000000007</c:v>
                </c:pt>
                <c:pt idx="189">
                  <c:v>304.95699999999999</c:v>
                </c:pt>
                <c:pt idx="190">
                  <c:v>180.71099999999998</c:v>
                </c:pt>
                <c:pt idx="191">
                  <c:v>926.1869999999999</c:v>
                </c:pt>
                <c:pt idx="192">
                  <c:v>1298.925</c:v>
                </c:pt>
                <c:pt idx="193">
                  <c:v>180.71099999999998</c:v>
                </c:pt>
                <c:pt idx="194">
                  <c:v>1112.556</c:v>
                </c:pt>
                <c:pt idx="195">
                  <c:v>304.95699999999999</c:v>
                </c:pt>
                <c:pt idx="196">
                  <c:v>118.58799999999999</c:v>
                </c:pt>
                <c:pt idx="197">
                  <c:v>56.464999999999989</c:v>
                </c:pt>
                <c:pt idx="198">
                  <c:v>304.95699999999999</c:v>
                </c:pt>
                <c:pt idx="199">
                  <c:v>304.95699999999999</c:v>
                </c:pt>
                <c:pt idx="200">
                  <c:v>304.95699999999999</c:v>
                </c:pt>
                <c:pt idx="201">
                  <c:v>304.95699999999999</c:v>
                </c:pt>
                <c:pt idx="202">
                  <c:v>304.95699999999999</c:v>
                </c:pt>
                <c:pt idx="203">
                  <c:v>304.95699999999999</c:v>
                </c:pt>
                <c:pt idx="204">
                  <c:v>304.95699999999999</c:v>
                </c:pt>
                <c:pt idx="205">
                  <c:v>304.95699999999999</c:v>
                </c:pt>
                <c:pt idx="206">
                  <c:v>801.94100000000003</c:v>
                </c:pt>
                <c:pt idx="207">
                  <c:v>801.94100000000003</c:v>
                </c:pt>
                <c:pt idx="208">
                  <c:v>180.71099999999998</c:v>
                </c:pt>
                <c:pt idx="209">
                  <c:v>801.94100000000003</c:v>
                </c:pt>
                <c:pt idx="210">
                  <c:v>801.94100000000003</c:v>
                </c:pt>
                <c:pt idx="211">
                  <c:v>801.94100000000003</c:v>
                </c:pt>
                <c:pt idx="212">
                  <c:v>801.94100000000003</c:v>
                </c:pt>
                <c:pt idx="213">
                  <c:v>1174.6790000000001</c:v>
                </c:pt>
                <c:pt idx="214">
                  <c:v>1174.6790000000001</c:v>
                </c:pt>
                <c:pt idx="215">
                  <c:v>1174.6790000000001</c:v>
                </c:pt>
                <c:pt idx="216">
                  <c:v>864.06399999999985</c:v>
                </c:pt>
                <c:pt idx="217">
                  <c:v>677.69499999999994</c:v>
                </c:pt>
              </c:numCache>
            </c:numRef>
          </c:xVal>
          <c:yVal>
            <c:numRef>
              <c:f>Confidence_and_Prediction_Inte!$H$3:$H$220</c:f>
              <c:numCache>
                <c:formatCode>0</c:formatCode>
                <c:ptCount val="218"/>
                <c:pt idx="0">
                  <c:v>118.58799999999999</c:v>
                </c:pt>
                <c:pt idx="1">
                  <c:v>180.71099999999998</c:v>
                </c:pt>
                <c:pt idx="2">
                  <c:v>180.71099999999998</c:v>
                </c:pt>
                <c:pt idx="3">
                  <c:v>56.464999999999989</c:v>
                </c:pt>
                <c:pt idx="4">
                  <c:v>180.71099999999998</c:v>
                </c:pt>
                <c:pt idx="5">
                  <c:v>180.71099999999998</c:v>
                </c:pt>
                <c:pt idx="6">
                  <c:v>553.44900000000007</c:v>
                </c:pt>
                <c:pt idx="7">
                  <c:v>242.834</c:v>
                </c:pt>
                <c:pt idx="8">
                  <c:v>926.1869999999999</c:v>
                </c:pt>
                <c:pt idx="9">
                  <c:v>1236.8019999999999</c:v>
                </c:pt>
                <c:pt idx="10">
                  <c:v>429.20299999999997</c:v>
                </c:pt>
                <c:pt idx="11">
                  <c:v>553.44900000000007</c:v>
                </c:pt>
                <c:pt idx="12">
                  <c:v>1236.8019999999999</c:v>
                </c:pt>
                <c:pt idx="13">
                  <c:v>1174.6790000000001</c:v>
                </c:pt>
                <c:pt idx="14">
                  <c:v>1174.6790000000001</c:v>
                </c:pt>
                <c:pt idx="15">
                  <c:v>429.20299999999997</c:v>
                </c:pt>
                <c:pt idx="16">
                  <c:v>429.20299999999997</c:v>
                </c:pt>
                <c:pt idx="17">
                  <c:v>615.57199999999989</c:v>
                </c:pt>
                <c:pt idx="18">
                  <c:v>429.20299999999997</c:v>
                </c:pt>
                <c:pt idx="19">
                  <c:v>677.69499999999994</c:v>
                </c:pt>
                <c:pt idx="20">
                  <c:v>491.32599999999996</c:v>
                </c:pt>
                <c:pt idx="21">
                  <c:v>491.32599999999996</c:v>
                </c:pt>
                <c:pt idx="22">
                  <c:v>180.71099999999998</c:v>
                </c:pt>
                <c:pt idx="23">
                  <c:v>0</c:v>
                </c:pt>
                <c:pt idx="24">
                  <c:v>304.95699999999999</c:v>
                </c:pt>
                <c:pt idx="25">
                  <c:v>180.71099999999998</c:v>
                </c:pt>
                <c:pt idx="26">
                  <c:v>553.44900000000007</c:v>
                </c:pt>
                <c:pt idx="27">
                  <c:v>553.44900000000007</c:v>
                </c:pt>
                <c:pt idx="28">
                  <c:v>677.69499999999994</c:v>
                </c:pt>
                <c:pt idx="29">
                  <c:v>677.69499999999994</c:v>
                </c:pt>
                <c:pt idx="30">
                  <c:v>677.69499999999994</c:v>
                </c:pt>
                <c:pt idx="31">
                  <c:v>553.44900000000007</c:v>
                </c:pt>
                <c:pt idx="32">
                  <c:v>553.44900000000007</c:v>
                </c:pt>
                <c:pt idx="33">
                  <c:v>615.57199999999989</c:v>
                </c:pt>
                <c:pt idx="34">
                  <c:v>553.44900000000007</c:v>
                </c:pt>
                <c:pt idx="35">
                  <c:v>553.44900000000007</c:v>
                </c:pt>
                <c:pt idx="36">
                  <c:v>429.20299999999997</c:v>
                </c:pt>
                <c:pt idx="37">
                  <c:v>429.20299999999997</c:v>
                </c:pt>
                <c:pt idx="38">
                  <c:v>429.20299999999997</c:v>
                </c:pt>
                <c:pt idx="39">
                  <c:v>429.20299999999997</c:v>
                </c:pt>
                <c:pt idx="40">
                  <c:v>56.464999999999989</c:v>
                </c:pt>
                <c:pt idx="41">
                  <c:v>56.464999999999989</c:v>
                </c:pt>
                <c:pt idx="42">
                  <c:v>242.834</c:v>
                </c:pt>
                <c:pt idx="43">
                  <c:v>1050.433</c:v>
                </c:pt>
                <c:pt idx="44">
                  <c:v>1050.433</c:v>
                </c:pt>
                <c:pt idx="45">
                  <c:v>491.32599999999996</c:v>
                </c:pt>
                <c:pt idx="46">
                  <c:v>677.69499999999994</c:v>
                </c:pt>
                <c:pt idx="47">
                  <c:v>367.08</c:v>
                </c:pt>
                <c:pt idx="48">
                  <c:v>553.44900000000007</c:v>
                </c:pt>
                <c:pt idx="49">
                  <c:v>553.44900000000007</c:v>
                </c:pt>
                <c:pt idx="50">
                  <c:v>429.20299999999997</c:v>
                </c:pt>
                <c:pt idx="51">
                  <c:v>615.57199999999989</c:v>
                </c:pt>
                <c:pt idx="52">
                  <c:v>180.71099999999998</c:v>
                </c:pt>
                <c:pt idx="53">
                  <c:v>180.71099999999998</c:v>
                </c:pt>
                <c:pt idx="54">
                  <c:v>180.71099999999998</c:v>
                </c:pt>
                <c:pt idx="55">
                  <c:v>180.71099999999998</c:v>
                </c:pt>
                <c:pt idx="56">
                  <c:v>118.58799999999999</c:v>
                </c:pt>
                <c:pt idx="57">
                  <c:v>615.57199999999989</c:v>
                </c:pt>
                <c:pt idx="58">
                  <c:v>615.57199999999989</c:v>
                </c:pt>
                <c:pt idx="59">
                  <c:v>118.58799999999999</c:v>
                </c:pt>
                <c:pt idx="60">
                  <c:v>180.71099999999998</c:v>
                </c:pt>
                <c:pt idx="61">
                  <c:v>56.464999999999989</c:v>
                </c:pt>
                <c:pt idx="62">
                  <c:v>0</c:v>
                </c:pt>
                <c:pt idx="63">
                  <c:v>429.20299999999997</c:v>
                </c:pt>
                <c:pt idx="64">
                  <c:v>1050.433</c:v>
                </c:pt>
                <c:pt idx="65">
                  <c:v>1050.433</c:v>
                </c:pt>
                <c:pt idx="66">
                  <c:v>304.95699999999999</c:v>
                </c:pt>
                <c:pt idx="67">
                  <c:v>429.20299999999997</c:v>
                </c:pt>
                <c:pt idx="68">
                  <c:v>180.71099999999998</c:v>
                </c:pt>
                <c:pt idx="69">
                  <c:v>180.71099999999998</c:v>
                </c:pt>
                <c:pt idx="70">
                  <c:v>118.58799999999999</c:v>
                </c:pt>
                <c:pt idx="71">
                  <c:v>0</c:v>
                </c:pt>
                <c:pt idx="72">
                  <c:v>553.44900000000007</c:v>
                </c:pt>
                <c:pt idx="73">
                  <c:v>553.44900000000007</c:v>
                </c:pt>
                <c:pt idx="74">
                  <c:v>553.44900000000007</c:v>
                </c:pt>
                <c:pt idx="75">
                  <c:v>677.69499999999994</c:v>
                </c:pt>
                <c:pt idx="76">
                  <c:v>677.69499999999994</c:v>
                </c:pt>
                <c:pt idx="77">
                  <c:v>180.71099999999998</c:v>
                </c:pt>
                <c:pt idx="78">
                  <c:v>180.71099999999998</c:v>
                </c:pt>
                <c:pt idx="79">
                  <c:v>242.834</c:v>
                </c:pt>
                <c:pt idx="80">
                  <c:v>180.71099999999998</c:v>
                </c:pt>
                <c:pt idx="81">
                  <c:v>304.95699999999999</c:v>
                </c:pt>
                <c:pt idx="82">
                  <c:v>180.71099999999998</c:v>
                </c:pt>
                <c:pt idx="83">
                  <c:v>118.58799999999999</c:v>
                </c:pt>
                <c:pt idx="84">
                  <c:v>304.95699999999999</c:v>
                </c:pt>
                <c:pt idx="85">
                  <c:v>491.32599999999996</c:v>
                </c:pt>
                <c:pt idx="86">
                  <c:v>429.20299999999997</c:v>
                </c:pt>
                <c:pt idx="87">
                  <c:v>56.464999999999989</c:v>
                </c:pt>
                <c:pt idx="88">
                  <c:v>118.58799999999999</c:v>
                </c:pt>
                <c:pt idx="89">
                  <c:v>242.834</c:v>
                </c:pt>
                <c:pt idx="90">
                  <c:v>118.58799999999999</c:v>
                </c:pt>
                <c:pt idx="91">
                  <c:v>242.834</c:v>
                </c:pt>
                <c:pt idx="92">
                  <c:v>56.464999999999989</c:v>
                </c:pt>
                <c:pt idx="93">
                  <c:v>242.834</c:v>
                </c:pt>
                <c:pt idx="94">
                  <c:v>180.71099999999998</c:v>
                </c:pt>
                <c:pt idx="95">
                  <c:v>56.464999999999989</c:v>
                </c:pt>
                <c:pt idx="96">
                  <c:v>615.57199999999989</c:v>
                </c:pt>
                <c:pt idx="97">
                  <c:v>491.32599999999996</c:v>
                </c:pt>
                <c:pt idx="98">
                  <c:v>677.69499999999994</c:v>
                </c:pt>
                <c:pt idx="99">
                  <c:v>553.44900000000007</c:v>
                </c:pt>
                <c:pt idx="100">
                  <c:v>304.95699999999999</c:v>
                </c:pt>
                <c:pt idx="101">
                  <c:v>304.95699999999999</c:v>
                </c:pt>
                <c:pt idx="102">
                  <c:v>304.95699999999999</c:v>
                </c:pt>
                <c:pt idx="103">
                  <c:v>677.69499999999994</c:v>
                </c:pt>
                <c:pt idx="104">
                  <c:v>677.69499999999994</c:v>
                </c:pt>
                <c:pt idx="105">
                  <c:v>677.69499999999994</c:v>
                </c:pt>
                <c:pt idx="106">
                  <c:v>615.57199999999989</c:v>
                </c:pt>
                <c:pt idx="107">
                  <c:v>304.95699999999999</c:v>
                </c:pt>
                <c:pt idx="108">
                  <c:v>56.464999999999989</c:v>
                </c:pt>
                <c:pt idx="109">
                  <c:v>429.20299999999997</c:v>
                </c:pt>
                <c:pt idx="110">
                  <c:v>367.08</c:v>
                </c:pt>
                <c:pt idx="111">
                  <c:v>677.69499999999994</c:v>
                </c:pt>
                <c:pt idx="112">
                  <c:v>677.69499999999994</c:v>
                </c:pt>
                <c:pt idx="113">
                  <c:v>615.57199999999989</c:v>
                </c:pt>
                <c:pt idx="114">
                  <c:v>553.44900000000007</c:v>
                </c:pt>
                <c:pt idx="115">
                  <c:v>615.57199999999989</c:v>
                </c:pt>
                <c:pt idx="116">
                  <c:v>615.57199999999989</c:v>
                </c:pt>
                <c:pt idx="117">
                  <c:v>864.06399999999985</c:v>
                </c:pt>
                <c:pt idx="118">
                  <c:v>864.06399999999985</c:v>
                </c:pt>
                <c:pt idx="119">
                  <c:v>677.69499999999994</c:v>
                </c:pt>
                <c:pt idx="120">
                  <c:v>801.94100000000003</c:v>
                </c:pt>
                <c:pt idx="121">
                  <c:v>677.69499999999994</c:v>
                </c:pt>
                <c:pt idx="122">
                  <c:v>553.44900000000007</c:v>
                </c:pt>
                <c:pt idx="123">
                  <c:v>677.69499999999994</c:v>
                </c:pt>
                <c:pt idx="124">
                  <c:v>677.69499999999994</c:v>
                </c:pt>
                <c:pt idx="125">
                  <c:v>1920.155</c:v>
                </c:pt>
                <c:pt idx="126">
                  <c:v>801.94100000000003</c:v>
                </c:pt>
                <c:pt idx="127">
                  <c:v>242.834</c:v>
                </c:pt>
                <c:pt idx="128">
                  <c:v>553.44900000000007</c:v>
                </c:pt>
                <c:pt idx="129">
                  <c:v>553.44900000000007</c:v>
                </c:pt>
                <c:pt idx="130">
                  <c:v>677.69499999999994</c:v>
                </c:pt>
                <c:pt idx="131">
                  <c:v>553.44900000000007</c:v>
                </c:pt>
                <c:pt idx="132">
                  <c:v>553.44900000000007</c:v>
                </c:pt>
                <c:pt idx="133">
                  <c:v>553.44900000000007</c:v>
                </c:pt>
                <c:pt idx="134">
                  <c:v>553.44900000000007</c:v>
                </c:pt>
                <c:pt idx="135">
                  <c:v>553.44900000000007</c:v>
                </c:pt>
                <c:pt idx="136">
                  <c:v>553.44900000000007</c:v>
                </c:pt>
                <c:pt idx="137">
                  <c:v>0</c:v>
                </c:pt>
                <c:pt idx="138">
                  <c:v>429.20299999999997</c:v>
                </c:pt>
                <c:pt idx="139">
                  <c:v>677.69499999999994</c:v>
                </c:pt>
                <c:pt idx="140">
                  <c:v>56.464999999999989</c:v>
                </c:pt>
                <c:pt idx="141">
                  <c:v>677.69499999999994</c:v>
                </c:pt>
                <c:pt idx="142">
                  <c:v>553.44900000000007</c:v>
                </c:pt>
                <c:pt idx="143">
                  <c:v>429.20299999999997</c:v>
                </c:pt>
                <c:pt idx="144">
                  <c:v>677.69499999999994</c:v>
                </c:pt>
                <c:pt idx="145">
                  <c:v>677.69499999999994</c:v>
                </c:pt>
                <c:pt idx="146">
                  <c:v>118.58799999999999</c:v>
                </c:pt>
                <c:pt idx="147">
                  <c:v>56.464999999999989</c:v>
                </c:pt>
                <c:pt idx="148">
                  <c:v>180.71099999999998</c:v>
                </c:pt>
                <c:pt idx="149">
                  <c:v>0</c:v>
                </c:pt>
                <c:pt idx="150">
                  <c:v>304.95699999999999</c:v>
                </c:pt>
                <c:pt idx="151">
                  <c:v>304.95699999999999</c:v>
                </c:pt>
                <c:pt idx="152">
                  <c:v>304.95699999999999</c:v>
                </c:pt>
                <c:pt idx="153">
                  <c:v>118.58799999999999</c:v>
                </c:pt>
                <c:pt idx="154">
                  <c:v>56.464999999999989</c:v>
                </c:pt>
                <c:pt idx="155">
                  <c:v>677.69499999999994</c:v>
                </c:pt>
                <c:pt idx="156">
                  <c:v>615.57199999999989</c:v>
                </c:pt>
                <c:pt idx="157">
                  <c:v>56.464999999999989</c:v>
                </c:pt>
                <c:pt idx="158">
                  <c:v>180.71099999999998</c:v>
                </c:pt>
                <c:pt idx="159">
                  <c:v>304.95699999999999</c:v>
                </c:pt>
                <c:pt idx="160">
                  <c:v>56.464999999999989</c:v>
                </c:pt>
                <c:pt idx="161">
                  <c:v>304.95699999999999</c:v>
                </c:pt>
                <c:pt idx="162">
                  <c:v>180.71099999999998</c:v>
                </c:pt>
                <c:pt idx="163">
                  <c:v>118.58799999999999</c:v>
                </c:pt>
                <c:pt idx="164">
                  <c:v>304.95699999999999</c:v>
                </c:pt>
                <c:pt idx="165">
                  <c:v>304.95699999999999</c:v>
                </c:pt>
                <c:pt idx="166">
                  <c:v>0</c:v>
                </c:pt>
                <c:pt idx="167">
                  <c:v>180.71099999999998</c:v>
                </c:pt>
                <c:pt idx="168">
                  <c:v>677.69499999999994</c:v>
                </c:pt>
                <c:pt idx="169">
                  <c:v>739.81799999999998</c:v>
                </c:pt>
                <c:pt idx="170">
                  <c:v>180.71099999999998</c:v>
                </c:pt>
                <c:pt idx="171">
                  <c:v>553.44900000000007</c:v>
                </c:pt>
                <c:pt idx="172">
                  <c:v>56.464999999999989</c:v>
                </c:pt>
                <c:pt idx="173">
                  <c:v>118.58799999999999</c:v>
                </c:pt>
                <c:pt idx="174">
                  <c:v>677.69499999999994</c:v>
                </c:pt>
                <c:pt idx="175">
                  <c:v>304.95699999999999</c:v>
                </c:pt>
                <c:pt idx="176">
                  <c:v>56.464999999999989</c:v>
                </c:pt>
                <c:pt idx="177">
                  <c:v>553.44900000000007</c:v>
                </c:pt>
                <c:pt idx="178">
                  <c:v>242.834</c:v>
                </c:pt>
                <c:pt idx="179">
                  <c:v>242.834</c:v>
                </c:pt>
                <c:pt idx="180">
                  <c:v>180.71099999999998</c:v>
                </c:pt>
                <c:pt idx="181">
                  <c:v>118.58799999999999</c:v>
                </c:pt>
                <c:pt idx="182">
                  <c:v>118.58799999999999</c:v>
                </c:pt>
                <c:pt idx="183">
                  <c:v>367.08</c:v>
                </c:pt>
                <c:pt idx="184">
                  <c:v>242.834</c:v>
                </c:pt>
                <c:pt idx="185">
                  <c:v>429.20299999999997</c:v>
                </c:pt>
                <c:pt idx="186">
                  <c:v>553.44900000000007</c:v>
                </c:pt>
                <c:pt idx="187">
                  <c:v>553.44900000000007</c:v>
                </c:pt>
                <c:pt idx="188">
                  <c:v>677.69499999999994</c:v>
                </c:pt>
                <c:pt idx="189">
                  <c:v>304.95699999999999</c:v>
                </c:pt>
                <c:pt idx="190">
                  <c:v>180.71099999999998</c:v>
                </c:pt>
                <c:pt idx="191">
                  <c:v>429.20299999999997</c:v>
                </c:pt>
                <c:pt idx="192">
                  <c:v>1298.925</c:v>
                </c:pt>
                <c:pt idx="193">
                  <c:v>180.71099999999998</c:v>
                </c:pt>
                <c:pt idx="194">
                  <c:v>1236.8019999999999</c:v>
                </c:pt>
                <c:pt idx="195">
                  <c:v>304.95699999999999</c:v>
                </c:pt>
                <c:pt idx="196">
                  <c:v>118.58799999999999</c:v>
                </c:pt>
                <c:pt idx="197">
                  <c:v>56.464999999999989</c:v>
                </c:pt>
                <c:pt idx="198">
                  <c:v>367.08</c:v>
                </c:pt>
                <c:pt idx="199">
                  <c:v>304.95699999999999</c:v>
                </c:pt>
                <c:pt idx="200">
                  <c:v>304.95699999999999</c:v>
                </c:pt>
                <c:pt idx="201">
                  <c:v>367.08</c:v>
                </c:pt>
                <c:pt idx="202">
                  <c:v>367.08</c:v>
                </c:pt>
                <c:pt idx="203">
                  <c:v>304.95699999999999</c:v>
                </c:pt>
                <c:pt idx="204">
                  <c:v>304.95699999999999</c:v>
                </c:pt>
                <c:pt idx="205">
                  <c:v>491.32599999999996</c:v>
                </c:pt>
                <c:pt idx="206">
                  <c:v>801.94100000000003</c:v>
                </c:pt>
                <c:pt idx="207">
                  <c:v>801.94100000000003</c:v>
                </c:pt>
                <c:pt idx="208">
                  <c:v>429.20299999999997</c:v>
                </c:pt>
                <c:pt idx="209">
                  <c:v>801.94100000000003</c:v>
                </c:pt>
                <c:pt idx="210">
                  <c:v>801.94100000000003</c:v>
                </c:pt>
                <c:pt idx="211">
                  <c:v>801.94100000000003</c:v>
                </c:pt>
                <c:pt idx="212">
                  <c:v>801.94100000000003</c:v>
                </c:pt>
                <c:pt idx="213">
                  <c:v>1174.6790000000001</c:v>
                </c:pt>
                <c:pt idx="214">
                  <c:v>1236.8019999999999</c:v>
                </c:pt>
                <c:pt idx="215">
                  <c:v>1174.6790000000001</c:v>
                </c:pt>
                <c:pt idx="216">
                  <c:v>926.1869999999999</c:v>
                </c:pt>
                <c:pt idx="217">
                  <c:v>677.69499999999994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74-4C79-A998-1D7DACAA5F28}"/>
            </c:ext>
          </c:extLst>
        </c:ser>
        <c:ser>
          <c:idx val="1"/>
          <c:order val="1"/>
          <c:tx>
            <c:v>1:1</c:v>
          </c:tx>
          <c:spPr>
            <a:ln w="28575">
              <a:noFill/>
            </a:ln>
          </c:spP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7F74-4C79-A998-1D7DACAA5F28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7F74-4C79-A998-1D7DACAA5F28}"/>
              </c:ext>
            </c:extLst>
          </c:dPt>
          <c:trendline>
            <c:spPr>
              <a:ln w="15875">
                <a:solidFill>
                  <a:schemeClr val="tx1">
                    <a:shade val="95000"/>
                    <a:satMod val="105000"/>
                  </a:schemeClr>
                </a:solidFill>
                <a:prstDash val="sysDash"/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74-4C79-A998-1D7DACAA5F28}"/>
            </c:ext>
          </c:extLst>
        </c:ser>
        <c:ser>
          <c:idx val="2"/>
          <c:order val="2"/>
          <c:tx>
            <c:v>Prediction_Interval_Min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31750">
                <a:solidFill>
                  <a:srgbClr val="38886F"/>
                </a:solidFill>
              </a:ln>
            </c:spPr>
            <c:trendlineType val="linear"/>
            <c:dispRSqr val="0"/>
            <c:dispEq val="0"/>
          </c:trendline>
          <c:xVal>
            <c:numRef>
              <c:f>Confidence_and_Prediction_Inte!$C$3:$C$220</c:f>
              <c:numCache>
                <c:formatCode>0</c:formatCode>
                <c:ptCount val="218"/>
                <c:pt idx="0">
                  <c:v>304.95699999999999</c:v>
                </c:pt>
                <c:pt idx="1">
                  <c:v>0</c:v>
                </c:pt>
                <c:pt idx="2">
                  <c:v>304.95699999999999</c:v>
                </c:pt>
                <c:pt idx="3">
                  <c:v>304.95699999999999</c:v>
                </c:pt>
                <c:pt idx="4">
                  <c:v>304.95699999999999</c:v>
                </c:pt>
                <c:pt idx="5">
                  <c:v>304.95699999999999</c:v>
                </c:pt>
                <c:pt idx="6">
                  <c:v>553.44900000000007</c:v>
                </c:pt>
                <c:pt idx="7">
                  <c:v>242.834</c:v>
                </c:pt>
                <c:pt idx="8">
                  <c:v>926.1869999999999</c:v>
                </c:pt>
                <c:pt idx="9">
                  <c:v>1174.6790000000001</c:v>
                </c:pt>
                <c:pt idx="10">
                  <c:v>304.95699999999999</c:v>
                </c:pt>
                <c:pt idx="11">
                  <c:v>553.44900000000007</c:v>
                </c:pt>
                <c:pt idx="12">
                  <c:v>1174.6790000000001</c:v>
                </c:pt>
                <c:pt idx="13">
                  <c:v>1174.6790000000001</c:v>
                </c:pt>
                <c:pt idx="14">
                  <c:v>1174.6790000000001</c:v>
                </c:pt>
                <c:pt idx="15">
                  <c:v>429.20299999999997</c:v>
                </c:pt>
                <c:pt idx="16">
                  <c:v>429.20299999999997</c:v>
                </c:pt>
                <c:pt idx="17">
                  <c:v>677.69499999999994</c:v>
                </c:pt>
                <c:pt idx="18">
                  <c:v>429.20299999999997</c:v>
                </c:pt>
                <c:pt idx="19">
                  <c:v>677.69499999999994</c:v>
                </c:pt>
                <c:pt idx="20">
                  <c:v>429.20299999999997</c:v>
                </c:pt>
                <c:pt idx="21">
                  <c:v>429.20299999999997</c:v>
                </c:pt>
                <c:pt idx="22">
                  <c:v>0</c:v>
                </c:pt>
                <c:pt idx="23">
                  <c:v>0</c:v>
                </c:pt>
                <c:pt idx="24">
                  <c:v>304.95699999999999</c:v>
                </c:pt>
                <c:pt idx="25">
                  <c:v>0</c:v>
                </c:pt>
                <c:pt idx="26">
                  <c:v>553.44900000000007</c:v>
                </c:pt>
                <c:pt idx="27">
                  <c:v>553.44900000000007</c:v>
                </c:pt>
                <c:pt idx="28">
                  <c:v>304.95699999999999</c:v>
                </c:pt>
                <c:pt idx="29">
                  <c:v>304.95699999999999</c:v>
                </c:pt>
                <c:pt idx="30">
                  <c:v>304.95699999999999</c:v>
                </c:pt>
                <c:pt idx="31">
                  <c:v>553.44900000000007</c:v>
                </c:pt>
                <c:pt idx="32">
                  <c:v>553.44900000000007</c:v>
                </c:pt>
                <c:pt idx="33">
                  <c:v>553.44900000000007</c:v>
                </c:pt>
                <c:pt idx="34">
                  <c:v>553.44900000000007</c:v>
                </c:pt>
                <c:pt idx="35">
                  <c:v>553.44900000000007</c:v>
                </c:pt>
                <c:pt idx="36">
                  <c:v>429.20299999999997</c:v>
                </c:pt>
                <c:pt idx="37">
                  <c:v>429.20299999999997</c:v>
                </c:pt>
                <c:pt idx="38">
                  <c:v>429.20299999999997</c:v>
                </c:pt>
                <c:pt idx="39">
                  <c:v>429.20299999999997</c:v>
                </c:pt>
                <c:pt idx="40">
                  <c:v>56.464999999999989</c:v>
                </c:pt>
                <c:pt idx="41">
                  <c:v>56.464999999999989</c:v>
                </c:pt>
                <c:pt idx="42">
                  <c:v>118.58799999999999</c:v>
                </c:pt>
                <c:pt idx="43">
                  <c:v>926.1869999999999</c:v>
                </c:pt>
                <c:pt idx="44">
                  <c:v>1050.433</c:v>
                </c:pt>
                <c:pt idx="45">
                  <c:v>429.20299999999997</c:v>
                </c:pt>
                <c:pt idx="46">
                  <c:v>677.69499999999994</c:v>
                </c:pt>
                <c:pt idx="47">
                  <c:v>429.20299999999997</c:v>
                </c:pt>
                <c:pt idx="48">
                  <c:v>553.44900000000007</c:v>
                </c:pt>
                <c:pt idx="49">
                  <c:v>553.44900000000007</c:v>
                </c:pt>
                <c:pt idx="50">
                  <c:v>429.20299999999997</c:v>
                </c:pt>
                <c:pt idx="51">
                  <c:v>553.44900000000007</c:v>
                </c:pt>
                <c:pt idx="52">
                  <c:v>180.71099999999998</c:v>
                </c:pt>
                <c:pt idx="53">
                  <c:v>180.71099999999998</c:v>
                </c:pt>
                <c:pt idx="54">
                  <c:v>180.71099999999998</c:v>
                </c:pt>
                <c:pt idx="55">
                  <c:v>180.71099999999998</c:v>
                </c:pt>
                <c:pt idx="56">
                  <c:v>118.58799999999999</c:v>
                </c:pt>
                <c:pt idx="57">
                  <c:v>553.44900000000007</c:v>
                </c:pt>
                <c:pt idx="58">
                  <c:v>553.44900000000007</c:v>
                </c:pt>
                <c:pt idx="59">
                  <c:v>118.58799999999999</c:v>
                </c:pt>
                <c:pt idx="60">
                  <c:v>180.71099999999998</c:v>
                </c:pt>
                <c:pt idx="61">
                  <c:v>56.464999999999989</c:v>
                </c:pt>
                <c:pt idx="62">
                  <c:v>56.464999999999989</c:v>
                </c:pt>
                <c:pt idx="63">
                  <c:v>429.20299999999997</c:v>
                </c:pt>
                <c:pt idx="64">
                  <c:v>1050.433</c:v>
                </c:pt>
                <c:pt idx="65">
                  <c:v>1050.433</c:v>
                </c:pt>
                <c:pt idx="66">
                  <c:v>304.95699999999999</c:v>
                </c:pt>
                <c:pt idx="67">
                  <c:v>429.20299999999997</c:v>
                </c:pt>
                <c:pt idx="68">
                  <c:v>553.44900000000007</c:v>
                </c:pt>
                <c:pt idx="69">
                  <c:v>180.71099999999998</c:v>
                </c:pt>
                <c:pt idx="70">
                  <c:v>56.464999999999989</c:v>
                </c:pt>
                <c:pt idx="71">
                  <c:v>553.44900000000007</c:v>
                </c:pt>
                <c:pt idx="72">
                  <c:v>553.44900000000007</c:v>
                </c:pt>
                <c:pt idx="73">
                  <c:v>553.44900000000007</c:v>
                </c:pt>
                <c:pt idx="74">
                  <c:v>553.44900000000007</c:v>
                </c:pt>
                <c:pt idx="75">
                  <c:v>677.69499999999994</c:v>
                </c:pt>
                <c:pt idx="76">
                  <c:v>677.69499999999994</c:v>
                </c:pt>
                <c:pt idx="77">
                  <c:v>180.71099999999998</c:v>
                </c:pt>
                <c:pt idx="78">
                  <c:v>180.71099999999998</c:v>
                </c:pt>
                <c:pt idx="79">
                  <c:v>242.834</c:v>
                </c:pt>
                <c:pt idx="80">
                  <c:v>180.71099999999998</c:v>
                </c:pt>
                <c:pt idx="81">
                  <c:v>180.71099999999998</c:v>
                </c:pt>
                <c:pt idx="82">
                  <c:v>180.71099999999998</c:v>
                </c:pt>
                <c:pt idx="83">
                  <c:v>180.71099999999998</c:v>
                </c:pt>
                <c:pt idx="84">
                  <c:v>367.08</c:v>
                </c:pt>
                <c:pt idx="85">
                  <c:v>429.20299999999997</c:v>
                </c:pt>
                <c:pt idx="86">
                  <c:v>429.20299999999997</c:v>
                </c:pt>
                <c:pt idx="87">
                  <c:v>56.464999999999989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304.95699999999999</c:v>
                </c:pt>
                <c:pt idx="92">
                  <c:v>56.464999999999989</c:v>
                </c:pt>
                <c:pt idx="93">
                  <c:v>180.71099999999998</c:v>
                </c:pt>
                <c:pt idx="94">
                  <c:v>180.71099999999998</c:v>
                </c:pt>
                <c:pt idx="95">
                  <c:v>56.464999999999989</c:v>
                </c:pt>
                <c:pt idx="96">
                  <c:v>553.44900000000007</c:v>
                </c:pt>
                <c:pt idx="97">
                  <c:v>304.95699999999999</c:v>
                </c:pt>
                <c:pt idx="98">
                  <c:v>677.69499999999994</c:v>
                </c:pt>
                <c:pt idx="99">
                  <c:v>553.44900000000007</c:v>
                </c:pt>
                <c:pt idx="100">
                  <c:v>367.08</c:v>
                </c:pt>
                <c:pt idx="101">
                  <c:v>429.20299999999997</c:v>
                </c:pt>
                <c:pt idx="102">
                  <c:v>304.95699999999999</c:v>
                </c:pt>
                <c:pt idx="103">
                  <c:v>677.69499999999994</c:v>
                </c:pt>
                <c:pt idx="104">
                  <c:v>677.69499999999994</c:v>
                </c:pt>
                <c:pt idx="105">
                  <c:v>677.69499999999994</c:v>
                </c:pt>
                <c:pt idx="106">
                  <c:v>677.69499999999994</c:v>
                </c:pt>
                <c:pt idx="107">
                  <c:v>304.95699999999999</c:v>
                </c:pt>
                <c:pt idx="108">
                  <c:v>56.464999999999989</c:v>
                </c:pt>
                <c:pt idx="109">
                  <c:v>429.20299999999997</c:v>
                </c:pt>
                <c:pt idx="110">
                  <c:v>429.20299999999997</c:v>
                </c:pt>
                <c:pt idx="111">
                  <c:v>677.69499999999994</c:v>
                </c:pt>
                <c:pt idx="112">
                  <c:v>677.69499999999994</c:v>
                </c:pt>
                <c:pt idx="113">
                  <c:v>553.44900000000007</c:v>
                </c:pt>
                <c:pt idx="114">
                  <c:v>553.44900000000007</c:v>
                </c:pt>
                <c:pt idx="115">
                  <c:v>553.44900000000007</c:v>
                </c:pt>
                <c:pt idx="116">
                  <c:v>553.44900000000007</c:v>
                </c:pt>
                <c:pt idx="117">
                  <c:v>677.69499999999994</c:v>
                </c:pt>
                <c:pt idx="118">
                  <c:v>739.81799999999998</c:v>
                </c:pt>
                <c:pt idx="119">
                  <c:v>677.69499999999994</c:v>
                </c:pt>
                <c:pt idx="120">
                  <c:v>801.94100000000003</c:v>
                </c:pt>
                <c:pt idx="121">
                  <c:v>677.69499999999994</c:v>
                </c:pt>
                <c:pt idx="122">
                  <c:v>553.44900000000007</c:v>
                </c:pt>
                <c:pt idx="123">
                  <c:v>615.57199999999989</c:v>
                </c:pt>
                <c:pt idx="124">
                  <c:v>677.69499999999994</c:v>
                </c:pt>
                <c:pt idx="125">
                  <c:v>1920.155</c:v>
                </c:pt>
                <c:pt idx="126">
                  <c:v>304.95699999999999</c:v>
                </c:pt>
                <c:pt idx="127">
                  <c:v>242.834</c:v>
                </c:pt>
                <c:pt idx="128">
                  <c:v>0</c:v>
                </c:pt>
                <c:pt idx="129">
                  <c:v>553.44900000000007</c:v>
                </c:pt>
                <c:pt idx="130">
                  <c:v>677.69499999999994</c:v>
                </c:pt>
                <c:pt idx="131">
                  <c:v>553.44900000000007</c:v>
                </c:pt>
                <c:pt idx="132">
                  <c:v>553.44900000000007</c:v>
                </c:pt>
                <c:pt idx="133">
                  <c:v>553.44900000000007</c:v>
                </c:pt>
                <c:pt idx="134">
                  <c:v>553.44900000000007</c:v>
                </c:pt>
                <c:pt idx="135">
                  <c:v>553.44900000000007</c:v>
                </c:pt>
                <c:pt idx="136">
                  <c:v>553.44900000000007</c:v>
                </c:pt>
                <c:pt idx="137">
                  <c:v>0</c:v>
                </c:pt>
                <c:pt idx="138">
                  <c:v>429.20299999999997</c:v>
                </c:pt>
                <c:pt idx="139">
                  <c:v>677.69499999999994</c:v>
                </c:pt>
                <c:pt idx="140">
                  <c:v>118.58799999999999</c:v>
                </c:pt>
                <c:pt idx="141">
                  <c:v>677.69499999999994</c:v>
                </c:pt>
                <c:pt idx="142">
                  <c:v>553.44900000000007</c:v>
                </c:pt>
                <c:pt idx="143">
                  <c:v>429.20299999999997</c:v>
                </c:pt>
                <c:pt idx="144">
                  <c:v>677.69499999999994</c:v>
                </c:pt>
                <c:pt idx="145">
                  <c:v>677.69499999999994</c:v>
                </c:pt>
                <c:pt idx="146">
                  <c:v>118.58799999999999</c:v>
                </c:pt>
                <c:pt idx="147">
                  <c:v>56.464999999999989</c:v>
                </c:pt>
                <c:pt idx="148">
                  <c:v>180.71099999999998</c:v>
                </c:pt>
                <c:pt idx="149">
                  <c:v>0</c:v>
                </c:pt>
                <c:pt idx="150">
                  <c:v>304.95699999999999</c:v>
                </c:pt>
                <c:pt idx="151">
                  <c:v>304.95699999999999</c:v>
                </c:pt>
                <c:pt idx="152">
                  <c:v>304.95699999999999</c:v>
                </c:pt>
                <c:pt idx="153">
                  <c:v>118.58799999999999</c:v>
                </c:pt>
                <c:pt idx="154">
                  <c:v>56.464999999999989</c:v>
                </c:pt>
                <c:pt idx="155">
                  <c:v>615.57199999999989</c:v>
                </c:pt>
                <c:pt idx="156">
                  <c:v>615.57199999999989</c:v>
                </c:pt>
                <c:pt idx="157">
                  <c:v>0</c:v>
                </c:pt>
                <c:pt idx="158">
                  <c:v>180.71099999999998</c:v>
                </c:pt>
                <c:pt idx="159">
                  <c:v>304.95699999999999</c:v>
                </c:pt>
                <c:pt idx="160">
                  <c:v>56.464999999999989</c:v>
                </c:pt>
                <c:pt idx="161">
                  <c:v>304.95699999999999</c:v>
                </c:pt>
                <c:pt idx="162">
                  <c:v>56.464999999999989</c:v>
                </c:pt>
                <c:pt idx="163">
                  <c:v>118.58799999999999</c:v>
                </c:pt>
                <c:pt idx="164">
                  <c:v>304.95699999999999</c:v>
                </c:pt>
                <c:pt idx="165">
                  <c:v>304.95699999999999</c:v>
                </c:pt>
                <c:pt idx="166">
                  <c:v>-67.781000000000006</c:v>
                </c:pt>
                <c:pt idx="167">
                  <c:v>180.71099999999998</c:v>
                </c:pt>
                <c:pt idx="168">
                  <c:v>677.69499999999994</c:v>
                </c:pt>
                <c:pt idx="169">
                  <c:v>677.69499999999994</c:v>
                </c:pt>
                <c:pt idx="170">
                  <c:v>180.71099999999998</c:v>
                </c:pt>
                <c:pt idx="171">
                  <c:v>553.44900000000007</c:v>
                </c:pt>
                <c:pt idx="172">
                  <c:v>56.464999999999989</c:v>
                </c:pt>
                <c:pt idx="173">
                  <c:v>0</c:v>
                </c:pt>
                <c:pt idx="174">
                  <c:v>677.69499999999994</c:v>
                </c:pt>
                <c:pt idx="175">
                  <c:v>304.95699999999999</c:v>
                </c:pt>
                <c:pt idx="176">
                  <c:v>56.464999999999989</c:v>
                </c:pt>
                <c:pt idx="177">
                  <c:v>553.44900000000007</c:v>
                </c:pt>
                <c:pt idx="178">
                  <c:v>304.95699999999999</c:v>
                </c:pt>
                <c:pt idx="179">
                  <c:v>304.95699999999999</c:v>
                </c:pt>
                <c:pt idx="180">
                  <c:v>304.95699999999999</c:v>
                </c:pt>
                <c:pt idx="181">
                  <c:v>304.95699999999999</c:v>
                </c:pt>
                <c:pt idx="182">
                  <c:v>304.95699999999999</c:v>
                </c:pt>
                <c:pt idx="183">
                  <c:v>553.44900000000007</c:v>
                </c:pt>
                <c:pt idx="184">
                  <c:v>553.44900000000007</c:v>
                </c:pt>
                <c:pt idx="185">
                  <c:v>429.20299999999997</c:v>
                </c:pt>
                <c:pt idx="186">
                  <c:v>553.44900000000007</c:v>
                </c:pt>
                <c:pt idx="187">
                  <c:v>677.69499999999994</c:v>
                </c:pt>
                <c:pt idx="188">
                  <c:v>553.44900000000007</c:v>
                </c:pt>
                <c:pt idx="189">
                  <c:v>304.95699999999999</c:v>
                </c:pt>
                <c:pt idx="190">
                  <c:v>180.71099999999998</c:v>
                </c:pt>
                <c:pt idx="191">
                  <c:v>926.1869999999999</c:v>
                </c:pt>
                <c:pt idx="192">
                  <c:v>1298.925</c:v>
                </c:pt>
                <c:pt idx="193">
                  <c:v>180.71099999999998</c:v>
                </c:pt>
                <c:pt idx="194">
                  <c:v>1112.556</c:v>
                </c:pt>
                <c:pt idx="195">
                  <c:v>304.95699999999999</c:v>
                </c:pt>
                <c:pt idx="196">
                  <c:v>118.58799999999999</c:v>
                </c:pt>
                <c:pt idx="197">
                  <c:v>56.464999999999989</c:v>
                </c:pt>
                <c:pt idx="198">
                  <c:v>304.95699999999999</c:v>
                </c:pt>
                <c:pt idx="199">
                  <c:v>304.95699999999999</c:v>
                </c:pt>
                <c:pt idx="200">
                  <c:v>304.95699999999999</c:v>
                </c:pt>
                <c:pt idx="201">
                  <c:v>304.95699999999999</c:v>
                </c:pt>
                <c:pt idx="202">
                  <c:v>304.95699999999999</c:v>
                </c:pt>
                <c:pt idx="203">
                  <c:v>304.95699999999999</c:v>
                </c:pt>
                <c:pt idx="204">
                  <c:v>304.95699999999999</c:v>
                </c:pt>
                <c:pt idx="205">
                  <c:v>304.95699999999999</c:v>
                </c:pt>
                <c:pt idx="206">
                  <c:v>801.94100000000003</c:v>
                </c:pt>
                <c:pt idx="207">
                  <c:v>801.94100000000003</c:v>
                </c:pt>
                <c:pt idx="208">
                  <c:v>180.71099999999998</c:v>
                </c:pt>
                <c:pt idx="209">
                  <c:v>801.94100000000003</c:v>
                </c:pt>
                <c:pt idx="210">
                  <c:v>801.94100000000003</c:v>
                </c:pt>
                <c:pt idx="211">
                  <c:v>801.94100000000003</c:v>
                </c:pt>
                <c:pt idx="212">
                  <c:v>801.94100000000003</c:v>
                </c:pt>
                <c:pt idx="213">
                  <c:v>1174.6790000000001</c:v>
                </c:pt>
                <c:pt idx="214">
                  <c:v>1174.6790000000001</c:v>
                </c:pt>
                <c:pt idx="215">
                  <c:v>1174.6790000000001</c:v>
                </c:pt>
                <c:pt idx="216">
                  <c:v>864.06399999999985</c:v>
                </c:pt>
                <c:pt idx="217">
                  <c:v>677.69499999999994</c:v>
                </c:pt>
              </c:numCache>
            </c:numRef>
          </c:xVal>
          <c:yVal>
            <c:numRef>
              <c:f>Confidence_and_Prediction_Inte!$K$3:$K$220</c:f>
              <c:numCache>
                <c:formatCode>0</c:formatCode>
                <c:ptCount val="218"/>
                <c:pt idx="0">
                  <c:v>106.28344391493971</c:v>
                </c:pt>
                <c:pt idx="1">
                  <c:v>-184.0295045221722</c:v>
                </c:pt>
                <c:pt idx="2">
                  <c:v>106.28344391493971</c:v>
                </c:pt>
                <c:pt idx="3">
                  <c:v>106.28344391493971</c:v>
                </c:pt>
                <c:pt idx="4">
                  <c:v>106.28344391493971</c:v>
                </c:pt>
                <c:pt idx="5">
                  <c:v>106.28344391493971</c:v>
                </c:pt>
                <c:pt idx="6">
                  <c:v>342.11192497659897</c:v>
                </c:pt>
                <c:pt idx="7">
                  <c:v>47.223569732117369</c:v>
                </c:pt>
                <c:pt idx="8">
                  <c:v>694.62439338373929</c:v>
                </c:pt>
                <c:pt idx="9">
                  <c:v>928.82291154485802</c:v>
                </c:pt>
                <c:pt idx="10">
                  <c:v>106.28344391493971</c:v>
                </c:pt>
                <c:pt idx="11">
                  <c:v>342.11192497659897</c:v>
                </c:pt>
                <c:pt idx="12">
                  <c:v>928.82291154485802</c:v>
                </c:pt>
                <c:pt idx="13">
                  <c:v>928.82291154485802</c:v>
                </c:pt>
                <c:pt idx="14">
                  <c:v>928.82291154485802</c:v>
                </c:pt>
                <c:pt idx="15">
                  <c:v>224.27992992972105</c:v>
                </c:pt>
                <c:pt idx="16">
                  <c:v>224.27992992972105</c:v>
                </c:pt>
                <c:pt idx="17">
                  <c:v>459.77958666121026</c:v>
                </c:pt>
                <c:pt idx="18">
                  <c:v>224.27992992972105</c:v>
                </c:pt>
                <c:pt idx="19">
                  <c:v>459.77958666121026</c:v>
                </c:pt>
                <c:pt idx="20">
                  <c:v>224.27992992972105</c:v>
                </c:pt>
                <c:pt idx="21">
                  <c:v>224.27992992972105</c:v>
                </c:pt>
                <c:pt idx="22">
                  <c:v>-184.0295045221722</c:v>
                </c:pt>
                <c:pt idx="23">
                  <c:v>-184.0295045221722</c:v>
                </c:pt>
                <c:pt idx="24">
                  <c:v>106.28344391493971</c:v>
                </c:pt>
                <c:pt idx="25">
                  <c:v>-184.0295045221722</c:v>
                </c:pt>
                <c:pt idx="26">
                  <c:v>342.11192497659897</c:v>
                </c:pt>
                <c:pt idx="27">
                  <c:v>342.11192497659897</c:v>
                </c:pt>
                <c:pt idx="28">
                  <c:v>106.28344391493971</c:v>
                </c:pt>
                <c:pt idx="29">
                  <c:v>106.28344391493971</c:v>
                </c:pt>
                <c:pt idx="30">
                  <c:v>106.28344391493971</c:v>
                </c:pt>
                <c:pt idx="31">
                  <c:v>342.11192497659897</c:v>
                </c:pt>
                <c:pt idx="32">
                  <c:v>342.11192497659897</c:v>
                </c:pt>
                <c:pt idx="33">
                  <c:v>342.11192497659897</c:v>
                </c:pt>
                <c:pt idx="34">
                  <c:v>342.11192497659897</c:v>
                </c:pt>
                <c:pt idx="35">
                  <c:v>342.11192497659897</c:v>
                </c:pt>
                <c:pt idx="36">
                  <c:v>224.27992992972105</c:v>
                </c:pt>
                <c:pt idx="37">
                  <c:v>224.27992992972105</c:v>
                </c:pt>
                <c:pt idx="38">
                  <c:v>224.27992992972105</c:v>
                </c:pt>
                <c:pt idx="39">
                  <c:v>224.27992992972105</c:v>
                </c:pt>
                <c:pt idx="40">
                  <c:v>-130.20176597742778</c:v>
                </c:pt>
                <c:pt idx="41">
                  <c:v>-130.20176597742778</c:v>
                </c:pt>
                <c:pt idx="42">
                  <c:v>-71.019131588929866</c:v>
                </c:pt>
                <c:pt idx="43">
                  <c:v>694.62439338373929</c:v>
                </c:pt>
                <c:pt idx="44">
                  <c:v>811.80368472256555</c:v>
                </c:pt>
                <c:pt idx="45">
                  <c:v>224.27992992972105</c:v>
                </c:pt>
                <c:pt idx="46">
                  <c:v>459.77958666121026</c:v>
                </c:pt>
                <c:pt idx="47">
                  <c:v>224.27992992972105</c:v>
                </c:pt>
                <c:pt idx="48">
                  <c:v>342.11192497659897</c:v>
                </c:pt>
                <c:pt idx="49">
                  <c:v>342.11192497659897</c:v>
                </c:pt>
                <c:pt idx="50">
                  <c:v>224.27992992972105</c:v>
                </c:pt>
                <c:pt idx="51">
                  <c:v>342.11192497659897</c:v>
                </c:pt>
                <c:pt idx="52">
                  <c:v>-11.877317091750399</c:v>
                </c:pt>
                <c:pt idx="53">
                  <c:v>-11.877317091750399</c:v>
                </c:pt>
                <c:pt idx="54">
                  <c:v>-11.877317091750399</c:v>
                </c:pt>
                <c:pt idx="55">
                  <c:v>-11.877317091750399</c:v>
                </c:pt>
                <c:pt idx="56">
                  <c:v>-71.019131588929866</c:v>
                </c:pt>
                <c:pt idx="57">
                  <c:v>342.11192497659897</c:v>
                </c:pt>
                <c:pt idx="58">
                  <c:v>342.11192497659897</c:v>
                </c:pt>
                <c:pt idx="59">
                  <c:v>-71.019131588929866</c:v>
                </c:pt>
                <c:pt idx="60">
                  <c:v>-11.877317091750399</c:v>
                </c:pt>
                <c:pt idx="61">
                  <c:v>-130.20176597742778</c:v>
                </c:pt>
                <c:pt idx="62">
                  <c:v>-130.20176597742778</c:v>
                </c:pt>
                <c:pt idx="63">
                  <c:v>224.27992992972105</c:v>
                </c:pt>
                <c:pt idx="64">
                  <c:v>811.80368472256555</c:v>
                </c:pt>
                <c:pt idx="65">
                  <c:v>811.80368472256555</c:v>
                </c:pt>
                <c:pt idx="66">
                  <c:v>106.28344391493971</c:v>
                </c:pt>
                <c:pt idx="67">
                  <c:v>224.27992992972105</c:v>
                </c:pt>
                <c:pt idx="68">
                  <c:v>342.11192497659897</c:v>
                </c:pt>
                <c:pt idx="69">
                  <c:v>-11.877317091750399</c:v>
                </c:pt>
                <c:pt idx="70">
                  <c:v>-130.20176597742778</c:v>
                </c:pt>
                <c:pt idx="71">
                  <c:v>342.11192497659897</c:v>
                </c:pt>
                <c:pt idx="72">
                  <c:v>342.11192497659897</c:v>
                </c:pt>
                <c:pt idx="73">
                  <c:v>342.11192497659897</c:v>
                </c:pt>
                <c:pt idx="74">
                  <c:v>342.11192497659897</c:v>
                </c:pt>
                <c:pt idx="75">
                  <c:v>459.77958666121026</c:v>
                </c:pt>
                <c:pt idx="76">
                  <c:v>459.77958666121026</c:v>
                </c:pt>
                <c:pt idx="77">
                  <c:v>-11.877317091750399</c:v>
                </c:pt>
                <c:pt idx="78">
                  <c:v>-11.877317091750399</c:v>
                </c:pt>
                <c:pt idx="79">
                  <c:v>47.223569732117369</c:v>
                </c:pt>
                <c:pt idx="80">
                  <c:v>-11.877317091750399</c:v>
                </c:pt>
                <c:pt idx="81">
                  <c:v>-11.877317091750399</c:v>
                </c:pt>
                <c:pt idx="82">
                  <c:v>-11.877317091750399</c:v>
                </c:pt>
                <c:pt idx="83">
                  <c:v>-11.877317091750399</c:v>
                </c:pt>
                <c:pt idx="84">
                  <c:v>165.30224354260216</c:v>
                </c:pt>
                <c:pt idx="85">
                  <c:v>224.27992992972105</c:v>
                </c:pt>
                <c:pt idx="86">
                  <c:v>224.27992992972105</c:v>
                </c:pt>
                <c:pt idx="87">
                  <c:v>-130.20176597742778</c:v>
                </c:pt>
                <c:pt idx="88">
                  <c:v>-184.0295045221722</c:v>
                </c:pt>
                <c:pt idx="89">
                  <c:v>-184.0295045221722</c:v>
                </c:pt>
                <c:pt idx="90">
                  <c:v>-184.0295045221722</c:v>
                </c:pt>
                <c:pt idx="91">
                  <c:v>106.28344391493971</c:v>
                </c:pt>
                <c:pt idx="92">
                  <c:v>-130.20176597742778</c:v>
                </c:pt>
                <c:pt idx="93">
                  <c:v>-11.877317091750399</c:v>
                </c:pt>
                <c:pt idx="94">
                  <c:v>-11.877317091750399</c:v>
                </c:pt>
                <c:pt idx="95">
                  <c:v>-130.20176597742778</c:v>
                </c:pt>
                <c:pt idx="96">
                  <c:v>342.11192497659897</c:v>
                </c:pt>
                <c:pt idx="97">
                  <c:v>106.28344391493971</c:v>
                </c:pt>
                <c:pt idx="98">
                  <c:v>459.77958666121026</c:v>
                </c:pt>
                <c:pt idx="99">
                  <c:v>342.11192497659897</c:v>
                </c:pt>
                <c:pt idx="100">
                  <c:v>165.30224354260216</c:v>
                </c:pt>
                <c:pt idx="101">
                  <c:v>224.27992992972105</c:v>
                </c:pt>
                <c:pt idx="102">
                  <c:v>106.28344391493971</c:v>
                </c:pt>
                <c:pt idx="103">
                  <c:v>459.77958666121026</c:v>
                </c:pt>
                <c:pt idx="104">
                  <c:v>459.77958666121026</c:v>
                </c:pt>
                <c:pt idx="105">
                  <c:v>459.77958666121026</c:v>
                </c:pt>
                <c:pt idx="106">
                  <c:v>459.77958666121026</c:v>
                </c:pt>
                <c:pt idx="107">
                  <c:v>106.28344391493971</c:v>
                </c:pt>
                <c:pt idx="108">
                  <c:v>-130.20176597742778</c:v>
                </c:pt>
                <c:pt idx="109">
                  <c:v>224.27992992972105</c:v>
                </c:pt>
                <c:pt idx="110">
                  <c:v>224.27992992972105</c:v>
                </c:pt>
                <c:pt idx="111">
                  <c:v>459.77958666121026</c:v>
                </c:pt>
                <c:pt idx="112">
                  <c:v>459.77958666121026</c:v>
                </c:pt>
                <c:pt idx="113">
                  <c:v>342.11192497659897</c:v>
                </c:pt>
                <c:pt idx="114">
                  <c:v>342.11192497659897</c:v>
                </c:pt>
                <c:pt idx="115">
                  <c:v>342.11192497659897</c:v>
                </c:pt>
                <c:pt idx="116">
                  <c:v>342.11192497659897</c:v>
                </c:pt>
                <c:pt idx="117">
                  <c:v>459.77958666121026</c:v>
                </c:pt>
                <c:pt idx="118">
                  <c:v>518.55194354276694</c:v>
                </c:pt>
                <c:pt idx="119">
                  <c:v>459.77958666121026</c:v>
                </c:pt>
                <c:pt idx="120">
                  <c:v>577.28344438613249</c:v>
                </c:pt>
                <c:pt idx="121">
                  <c:v>459.77958666121026</c:v>
                </c:pt>
                <c:pt idx="122">
                  <c:v>342.11192497659897</c:v>
                </c:pt>
                <c:pt idx="123">
                  <c:v>400.96627306574521</c:v>
                </c:pt>
                <c:pt idx="124">
                  <c:v>459.77958666121026</c:v>
                </c:pt>
                <c:pt idx="125">
                  <c:v>1627.7043335960757</c:v>
                </c:pt>
                <c:pt idx="126">
                  <c:v>106.28344391493971</c:v>
                </c:pt>
                <c:pt idx="127">
                  <c:v>47.223569732117369</c:v>
                </c:pt>
                <c:pt idx="128">
                  <c:v>-184.0295045221722</c:v>
                </c:pt>
                <c:pt idx="129">
                  <c:v>342.11192497659897</c:v>
                </c:pt>
                <c:pt idx="130">
                  <c:v>459.77958666121026</c:v>
                </c:pt>
                <c:pt idx="131">
                  <c:v>342.11192497659897</c:v>
                </c:pt>
                <c:pt idx="132">
                  <c:v>342.11192497659897</c:v>
                </c:pt>
                <c:pt idx="133">
                  <c:v>342.11192497659897</c:v>
                </c:pt>
                <c:pt idx="134">
                  <c:v>342.11192497659897</c:v>
                </c:pt>
                <c:pt idx="135">
                  <c:v>342.11192497659897</c:v>
                </c:pt>
                <c:pt idx="136">
                  <c:v>342.11192497659897</c:v>
                </c:pt>
                <c:pt idx="137">
                  <c:v>-184.0295045221722</c:v>
                </c:pt>
                <c:pt idx="138">
                  <c:v>224.27992992972105</c:v>
                </c:pt>
                <c:pt idx="139">
                  <c:v>459.77958666121026</c:v>
                </c:pt>
                <c:pt idx="140">
                  <c:v>-71.019131588929866</c:v>
                </c:pt>
                <c:pt idx="141">
                  <c:v>459.77958666121026</c:v>
                </c:pt>
                <c:pt idx="142">
                  <c:v>342.11192497659897</c:v>
                </c:pt>
                <c:pt idx="143">
                  <c:v>224.27992992972105</c:v>
                </c:pt>
                <c:pt idx="144">
                  <c:v>459.77958666121026</c:v>
                </c:pt>
                <c:pt idx="145">
                  <c:v>459.77958666121026</c:v>
                </c:pt>
                <c:pt idx="146">
                  <c:v>-71.019131588929866</c:v>
                </c:pt>
                <c:pt idx="147">
                  <c:v>-130.20176597742778</c:v>
                </c:pt>
                <c:pt idx="148">
                  <c:v>-11.877317091750399</c:v>
                </c:pt>
                <c:pt idx="149">
                  <c:v>-184.0295045221722</c:v>
                </c:pt>
                <c:pt idx="150">
                  <c:v>106.28344391493971</c:v>
                </c:pt>
                <c:pt idx="151">
                  <c:v>106.28344391493971</c:v>
                </c:pt>
                <c:pt idx="152">
                  <c:v>106.28344391493971</c:v>
                </c:pt>
                <c:pt idx="153">
                  <c:v>-71.019131588929866</c:v>
                </c:pt>
                <c:pt idx="154">
                  <c:v>-130.20176597742778</c:v>
                </c:pt>
                <c:pt idx="155">
                  <c:v>400.96627306574521</c:v>
                </c:pt>
                <c:pt idx="156">
                  <c:v>400.96627306574521</c:v>
                </c:pt>
                <c:pt idx="157">
                  <c:v>-184.0295045221722</c:v>
                </c:pt>
                <c:pt idx="158">
                  <c:v>-11.877317091750399</c:v>
                </c:pt>
                <c:pt idx="159">
                  <c:v>106.28344391493971</c:v>
                </c:pt>
                <c:pt idx="160">
                  <c:v>-130.20176597742778</c:v>
                </c:pt>
                <c:pt idx="161">
                  <c:v>106.28344391493971</c:v>
                </c:pt>
                <c:pt idx="162">
                  <c:v>-130.20176597742778</c:v>
                </c:pt>
                <c:pt idx="163">
                  <c:v>-71.019131588929866</c:v>
                </c:pt>
                <c:pt idx="164">
                  <c:v>106.28344391493971</c:v>
                </c:pt>
                <c:pt idx="165">
                  <c:v>106.28344391493971</c:v>
                </c:pt>
                <c:pt idx="166">
                  <c:v>-248.68895110207222</c:v>
                </c:pt>
                <c:pt idx="167">
                  <c:v>-11.877317091750399</c:v>
                </c:pt>
                <c:pt idx="168">
                  <c:v>459.77958666121026</c:v>
                </c:pt>
                <c:pt idx="169">
                  <c:v>459.77958666121026</c:v>
                </c:pt>
                <c:pt idx="170">
                  <c:v>-11.877317091750399</c:v>
                </c:pt>
                <c:pt idx="171">
                  <c:v>342.11192497659897</c:v>
                </c:pt>
                <c:pt idx="172">
                  <c:v>-130.20176597742778</c:v>
                </c:pt>
                <c:pt idx="173">
                  <c:v>-184.0295045221722</c:v>
                </c:pt>
                <c:pt idx="174">
                  <c:v>459.77958666121026</c:v>
                </c:pt>
                <c:pt idx="175">
                  <c:v>106.28344391493971</c:v>
                </c:pt>
                <c:pt idx="176">
                  <c:v>-130.20176597742778</c:v>
                </c:pt>
                <c:pt idx="177">
                  <c:v>342.11192497659897</c:v>
                </c:pt>
                <c:pt idx="178">
                  <c:v>106.28344391493971</c:v>
                </c:pt>
                <c:pt idx="179">
                  <c:v>106.28344391493971</c:v>
                </c:pt>
                <c:pt idx="180">
                  <c:v>106.28344391493971</c:v>
                </c:pt>
                <c:pt idx="181">
                  <c:v>106.28344391493971</c:v>
                </c:pt>
                <c:pt idx="182">
                  <c:v>106.28344391493971</c:v>
                </c:pt>
                <c:pt idx="183">
                  <c:v>342.11192497659897</c:v>
                </c:pt>
                <c:pt idx="184">
                  <c:v>342.11192497659897</c:v>
                </c:pt>
                <c:pt idx="185">
                  <c:v>224.27992992972105</c:v>
                </c:pt>
                <c:pt idx="186">
                  <c:v>342.11192497659897</c:v>
                </c:pt>
                <c:pt idx="187">
                  <c:v>459.77958666121026</c:v>
                </c:pt>
                <c:pt idx="188">
                  <c:v>342.11192497659897</c:v>
                </c:pt>
                <c:pt idx="189">
                  <c:v>106.28344391493971</c:v>
                </c:pt>
                <c:pt idx="190">
                  <c:v>-11.877317091750399</c:v>
                </c:pt>
                <c:pt idx="191">
                  <c:v>694.62439338373929</c:v>
                </c:pt>
                <c:pt idx="192">
                  <c:v>1045.6839918829094</c:v>
                </c:pt>
                <c:pt idx="193">
                  <c:v>-11.877317091750399</c:v>
                </c:pt>
                <c:pt idx="194">
                  <c:v>870.33319371287917</c:v>
                </c:pt>
                <c:pt idx="195">
                  <c:v>106.28344391493971</c:v>
                </c:pt>
                <c:pt idx="196">
                  <c:v>-71.019131588929866</c:v>
                </c:pt>
                <c:pt idx="197">
                  <c:v>-130.20176597742778</c:v>
                </c:pt>
                <c:pt idx="198">
                  <c:v>106.28344391493971</c:v>
                </c:pt>
                <c:pt idx="199">
                  <c:v>106.28344391493971</c:v>
                </c:pt>
                <c:pt idx="200">
                  <c:v>106.28344391493971</c:v>
                </c:pt>
                <c:pt idx="201">
                  <c:v>106.28344391493971</c:v>
                </c:pt>
                <c:pt idx="202">
                  <c:v>106.28344391493971</c:v>
                </c:pt>
                <c:pt idx="203">
                  <c:v>106.28344391493971</c:v>
                </c:pt>
                <c:pt idx="204">
                  <c:v>106.28344391493971</c:v>
                </c:pt>
                <c:pt idx="205">
                  <c:v>106.28344391493971</c:v>
                </c:pt>
                <c:pt idx="206">
                  <c:v>577.28344438613249</c:v>
                </c:pt>
                <c:pt idx="207">
                  <c:v>577.28344438613249</c:v>
                </c:pt>
                <c:pt idx="208">
                  <c:v>-11.877317091750399</c:v>
                </c:pt>
                <c:pt idx="209">
                  <c:v>577.28344438613249</c:v>
                </c:pt>
                <c:pt idx="210">
                  <c:v>577.28344438613249</c:v>
                </c:pt>
                <c:pt idx="211">
                  <c:v>577.28344438613249</c:v>
                </c:pt>
                <c:pt idx="212">
                  <c:v>577.28344438613249</c:v>
                </c:pt>
                <c:pt idx="213">
                  <c:v>928.82291154485802</c:v>
                </c:pt>
                <c:pt idx="214">
                  <c:v>928.82291154485802</c:v>
                </c:pt>
                <c:pt idx="215">
                  <c:v>928.82291154485802</c:v>
                </c:pt>
                <c:pt idx="216">
                  <c:v>635.97421248034038</c:v>
                </c:pt>
                <c:pt idx="217">
                  <c:v>459.77958666121026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F74-4C79-A998-1D7DACAA5F28}"/>
            </c:ext>
          </c:extLst>
        </c:ser>
        <c:ser>
          <c:idx val="3"/>
          <c:order val="3"/>
          <c:tx>
            <c:v>Prediction_Interval_Max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31750">
                <a:solidFill>
                  <a:srgbClr val="38886F"/>
                </a:solidFill>
              </a:ln>
            </c:spPr>
            <c:trendlineType val="linear"/>
            <c:dispRSqr val="0"/>
            <c:dispEq val="0"/>
          </c:trendline>
          <c:xVal>
            <c:numRef>
              <c:f>Confidence_and_Prediction_Inte!$C$3:$C$220</c:f>
              <c:numCache>
                <c:formatCode>0</c:formatCode>
                <c:ptCount val="218"/>
                <c:pt idx="0">
                  <c:v>304.95699999999999</c:v>
                </c:pt>
                <c:pt idx="1">
                  <c:v>0</c:v>
                </c:pt>
                <c:pt idx="2">
                  <c:v>304.95699999999999</c:v>
                </c:pt>
                <c:pt idx="3">
                  <c:v>304.95699999999999</c:v>
                </c:pt>
                <c:pt idx="4">
                  <c:v>304.95699999999999</c:v>
                </c:pt>
                <c:pt idx="5">
                  <c:v>304.95699999999999</c:v>
                </c:pt>
                <c:pt idx="6">
                  <c:v>553.44900000000007</c:v>
                </c:pt>
                <c:pt idx="7">
                  <c:v>242.834</c:v>
                </c:pt>
                <c:pt idx="8">
                  <c:v>926.1869999999999</c:v>
                </c:pt>
                <c:pt idx="9">
                  <c:v>1174.6790000000001</c:v>
                </c:pt>
                <c:pt idx="10">
                  <c:v>304.95699999999999</c:v>
                </c:pt>
                <c:pt idx="11">
                  <c:v>553.44900000000007</c:v>
                </c:pt>
                <c:pt idx="12">
                  <c:v>1174.6790000000001</c:v>
                </c:pt>
                <c:pt idx="13">
                  <c:v>1174.6790000000001</c:v>
                </c:pt>
                <c:pt idx="14">
                  <c:v>1174.6790000000001</c:v>
                </c:pt>
                <c:pt idx="15">
                  <c:v>429.20299999999997</c:v>
                </c:pt>
                <c:pt idx="16">
                  <c:v>429.20299999999997</c:v>
                </c:pt>
                <c:pt idx="17">
                  <c:v>677.69499999999994</c:v>
                </c:pt>
                <c:pt idx="18">
                  <c:v>429.20299999999997</c:v>
                </c:pt>
                <c:pt idx="19">
                  <c:v>677.69499999999994</c:v>
                </c:pt>
                <c:pt idx="20">
                  <c:v>429.20299999999997</c:v>
                </c:pt>
                <c:pt idx="21">
                  <c:v>429.20299999999997</c:v>
                </c:pt>
                <c:pt idx="22">
                  <c:v>0</c:v>
                </c:pt>
                <c:pt idx="23">
                  <c:v>0</c:v>
                </c:pt>
                <c:pt idx="24">
                  <c:v>304.95699999999999</c:v>
                </c:pt>
                <c:pt idx="25">
                  <c:v>0</c:v>
                </c:pt>
                <c:pt idx="26">
                  <c:v>553.44900000000007</c:v>
                </c:pt>
                <c:pt idx="27">
                  <c:v>553.44900000000007</c:v>
                </c:pt>
                <c:pt idx="28">
                  <c:v>304.95699999999999</c:v>
                </c:pt>
                <c:pt idx="29">
                  <c:v>304.95699999999999</c:v>
                </c:pt>
                <c:pt idx="30">
                  <c:v>304.95699999999999</c:v>
                </c:pt>
                <c:pt idx="31">
                  <c:v>553.44900000000007</c:v>
                </c:pt>
                <c:pt idx="32">
                  <c:v>553.44900000000007</c:v>
                </c:pt>
                <c:pt idx="33">
                  <c:v>553.44900000000007</c:v>
                </c:pt>
                <c:pt idx="34">
                  <c:v>553.44900000000007</c:v>
                </c:pt>
                <c:pt idx="35">
                  <c:v>553.44900000000007</c:v>
                </c:pt>
                <c:pt idx="36">
                  <c:v>429.20299999999997</c:v>
                </c:pt>
                <c:pt idx="37">
                  <c:v>429.20299999999997</c:v>
                </c:pt>
                <c:pt idx="38">
                  <c:v>429.20299999999997</c:v>
                </c:pt>
                <c:pt idx="39">
                  <c:v>429.20299999999997</c:v>
                </c:pt>
                <c:pt idx="40">
                  <c:v>56.464999999999989</c:v>
                </c:pt>
                <c:pt idx="41">
                  <c:v>56.464999999999989</c:v>
                </c:pt>
                <c:pt idx="42">
                  <c:v>118.58799999999999</c:v>
                </c:pt>
                <c:pt idx="43">
                  <c:v>926.1869999999999</c:v>
                </c:pt>
                <c:pt idx="44">
                  <c:v>1050.433</c:v>
                </c:pt>
                <c:pt idx="45">
                  <c:v>429.20299999999997</c:v>
                </c:pt>
                <c:pt idx="46">
                  <c:v>677.69499999999994</c:v>
                </c:pt>
                <c:pt idx="47">
                  <c:v>429.20299999999997</c:v>
                </c:pt>
                <c:pt idx="48">
                  <c:v>553.44900000000007</c:v>
                </c:pt>
                <c:pt idx="49">
                  <c:v>553.44900000000007</c:v>
                </c:pt>
                <c:pt idx="50">
                  <c:v>429.20299999999997</c:v>
                </c:pt>
                <c:pt idx="51">
                  <c:v>553.44900000000007</c:v>
                </c:pt>
                <c:pt idx="52">
                  <c:v>180.71099999999998</c:v>
                </c:pt>
                <c:pt idx="53">
                  <c:v>180.71099999999998</c:v>
                </c:pt>
                <c:pt idx="54">
                  <c:v>180.71099999999998</c:v>
                </c:pt>
                <c:pt idx="55">
                  <c:v>180.71099999999998</c:v>
                </c:pt>
                <c:pt idx="56">
                  <c:v>118.58799999999999</c:v>
                </c:pt>
                <c:pt idx="57">
                  <c:v>553.44900000000007</c:v>
                </c:pt>
                <c:pt idx="58">
                  <c:v>553.44900000000007</c:v>
                </c:pt>
                <c:pt idx="59">
                  <c:v>118.58799999999999</c:v>
                </c:pt>
                <c:pt idx="60">
                  <c:v>180.71099999999998</c:v>
                </c:pt>
                <c:pt idx="61">
                  <c:v>56.464999999999989</c:v>
                </c:pt>
                <c:pt idx="62">
                  <c:v>56.464999999999989</c:v>
                </c:pt>
                <c:pt idx="63">
                  <c:v>429.20299999999997</c:v>
                </c:pt>
                <c:pt idx="64">
                  <c:v>1050.433</c:v>
                </c:pt>
                <c:pt idx="65">
                  <c:v>1050.433</c:v>
                </c:pt>
                <c:pt idx="66">
                  <c:v>304.95699999999999</c:v>
                </c:pt>
                <c:pt idx="67">
                  <c:v>429.20299999999997</c:v>
                </c:pt>
                <c:pt idx="68">
                  <c:v>553.44900000000007</c:v>
                </c:pt>
                <c:pt idx="69">
                  <c:v>180.71099999999998</c:v>
                </c:pt>
                <c:pt idx="70">
                  <c:v>56.464999999999989</c:v>
                </c:pt>
                <c:pt idx="71">
                  <c:v>553.44900000000007</c:v>
                </c:pt>
                <c:pt idx="72">
                  <c:v>553.44900000000007</c:v>
                </c:pt>
                <c:pt idx="73">
                  <c:v>553.44900000000007</c:v>
                </c:pt>
                <c:pt idx="74">
                  <c:v>553.44900000000007</c:v>
                </c:pt>
                <c:pt idx="75">
                  <c:v>677.69499999999994</c:v>
                </c:pt>
                <c:pt idx="76">
                  <c:v>677.69499999999994</c:v>
                </c:pt>
                <c:pt idx="77">
                  <c:v>180.71099999999998</c:v>
                </c:pt>
                <c:pt idx="78">
                  <c:v>180.71099999999998</c:v>
                </c:pt>
                <c:pt idx="79">
                  <c:v>242.834</c:v>
                </c:pt>
                <c:pt idx="80">
                  <c:v>180.71099999999998</c:v>
                </c:pt>
                <c:pt idx="81">
                  <c:v>180.71099999999998</c:v>
                </c:pt>
                <c:pt idx="82">
                  <c:v>180.71099999999998</c:v>
                </c:pt>
                <c:pt idx="83">
                  <c:v>180.71099999999998</c:v>
                </c:pt>
                <c:pt idx="84">
                  <c:v>367.08</c:v>
                </c:pt>
                <c:pt idx="85">
                  <c:v>429.20299999999997</c:v>
                </c:pt>
                <c:pt idx="86">
                  <c:v>429.20299999999997</c:v>
                </c:pt>
                <c:pt idx="87">
                  <c:v>56.464999999999989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304.95699999999999</c:v>
                </c:pt>
                <c:pt idx="92">
                  <c:v>56.464999999999989</c:v>
                </c:pt>
                <c:pt idx="93">
                  <c:v>180.71099999999998</c:v>
                </c:pt>
                <c:pt idx="94">
                  <c:v>180.71099999999998</c:v>
                </c:pt>
                <c:pt idx="95">
                  <c:v>56.464999999999989</c:v>
                </c:pt>
                <c:pt idx="96">
                  <c:v>553.44900000000007</c:v>
                </c:pt>
                <c:pt idx="97">
                  <c:v>304.95699999999999</c:v>
                </c:pt>
                <c:pt idx="98">
                  <c:v>677.69499999999994</c:v>
                </c:pt>
                <c:pt idx="99">
                  <c:v>553.44900000000007</c:v>
                </c:pt>
                <c:pt idx="100">
                  <c:v>367.08</c:v>
                </c:pt>
                <c:pt idx="101">
                  <c:v>429.20299999999997</c:v>
                </c:pt>
                <c:pt idx="102">
                  <c:v>304.95699999999999</c:v>
                </c:pt>
                <c:pt idx="103">
                  <c:v>677.69499999999994</c:v>
                </c:pt>
                <c:pt idx="104">
                  <c:v>677.69499999999994</c:v>
                </c:pt>
                <c:pt idx="105">
                  <c:v>677.69499999999994</c:v>
                </c:pt>
                <c:pt idx="106">
                  <c:v>677.69499999999994</c:v>
                </c:pt>
                <c:pt idx="107">
                  <c:v>304.95699999999999</c:v>
                </c:pt>
                <c:pt idx="108">
                  <c:v>56.464999999999989</c:v>
                </c:pt>
                <c:pt idx="109">
                  <c:v>429.20299999999997</c:v>
                </c:pt>
                <c:pt idx="110">
                  <c:v>429.20299999999997</c:v>
                </c:pt>
                <c:pt idx="111">
                  <c:v>677.69499999999994</c:v>
                </c:pt>
                <c:pt idx="112">
                  <c:v>677.69499999999994</c:v>
                </c:pt>
                <c:pt idx="113">
                  <c:v>553.44900000000007</c:v>
                </c:pt>
                <c:pt idx="114">
                  <c:v>553.44900000000007</c:v>
                </c:pt>
                <c:pt idx="115">
                  <c:v>553.44900000000007</c:v>
                </c:pt>
                <c:pt idx="116">
                  <c:v>553.44900000000007</c:v>
                </c:pt>
                <c:pt idx="117">
                  <c:v>677.69499999999994</c:v>
                </c:pt>
                <c:pt idx="118">
                  <c:v>739.81799999999998</c:v>
                </c:pt>
                <c:pt idx="119">
                  <c:v>677.69499999999994</c:v>
                </c:pt>
                <c:pt idx="120">
                  <c:v>801.94100000000003</c:v>
                </c:pt>
                <c:pt idx="121">
                  <c:v>677.69499999999994</c:v>
                </c:pt>
                <c:pt idx="122">
                  <c:v>553.44900000000007</c:v>
                </c:pt>
                <c:pt idx="123">
                  <c:v>615.57199999999989</c:v>
                </c:pt>
                <c:pt idx="124">
                  <c:v>677.69499999999994</c:v>
                </c:pt>
                <c:pt idx="125">
                  <c:v>1920.155</c:v>
                </c:pt>
                <c:pt idx="126">
                  <c:v>304.95699999999999</c:v>
                </c:pt>
                <c:pt idx="127">
                  <c:v>242.834</c:v>
                </c:pt>
                <c:pt idx="128">
                  <c:v>0</c:v>
                </c:pt>
                <c:pt idx="129">
                  <c:v>553.44900000000007</c:v>
                </c:pt>
                <c:pt idx="130">
                  <c:v>677.69499999999994</c:v>
                </c:pt>
                <c:pt idx="131">
                  <c:v>553.44900000000007</c:v>
                </c:pt>
                <c:pt idx="132">
                  <c:v>553.44900000000007</c:v>
                </c:pt>
                <c:pt idx="133">
                  <c:v>553.44900000000007</c:v>
                </c:pt>
                <c:pt idx="134">
                  <c:v>553.44900000000007</c:v>
                </c:pt>
                <c:pt idx="135">
                  <c:v>553.44900000000007</c:v>
                </c:pt>
                <c:pt idx="136">
                  <c:v>553.44900000000007</c:v>
                </c:pt>
                <c:pt idx="137">
                  <c:v>0</c:v>
                </c:pt>
                <c:pt idx="138">
                  <c:v>429.20299999999997</c:v>
                </c:pt>
                <c:pt idx="139">
                  <c:v>677.69499999999994</c:v>
                </c:pt>
                <c:pt idx="140">
                  <c:v>118.58799999999999</c:v>
                </c:pt>
                <c:pt idx="141">
                  <c:v>677.69499999999994</c:v>
                </c:pt>
                <c:pt idx="142">
                  <c:v>553.44900000000007</c:v>
                </c:pt>
                <c:pt idx="143">
                  <c:v>429.20299999999997</c:v>
                </c:pt>
                <c:pt idx="144">
                  <c:v>677.69499999999994</c:v>
                </c:pt>
                <c:pt idx="145">
                  <c:v>677.69499999999994</c:v>
                </c:pt>
                <c:pt idx="146">
                  <c:v>118.58799999999999</c:v>
                </c:pt>
                <c:pt idx="147">
                  <c:v>56.464999999999989</c:v>
                </c:pt>
                <c:pt idx="148">
                  <c:v>180.71099999999998</c:v>
                </c:pt>
                <c:pt idx="149">
                  <c:v>0</c:v>
                </c:pt>
                <c:pt idx="150">
                  <c:v>304.95699999999999</c:v>
                </c:pt>
                <c:pt idx="151">
                  <c:v>304.95699999999999</c:v>
                </c:pt>
                <c:pt idx="152">
                  <c:v>304.95699999999999</c:v>
                </c:pt>
                <c:pt idx="153">
                  <c:v>118.58799999999999</c:v>
                </c:pt>
                <c:pt idx="154">
                  <c:v>56.464999999999989</c:v>
                </c:pt>
                <c:pt idx="155">
                  <c:v>615.57199999999989</c:v>
                </c:pt>
                <c:pt idx="156">
                  <c:v>615.57199999999989</c:v>
                </c:pt>
                <c:pt idx="157">
                  <c:v>0</c:v>
                </c:pt>
                <c:pt idx="158">
                  <c:v>180.71099999999998</c:v>
                </c:pt>
                <c:pt idx="159">
                  <c:v>304.95699999999999</c:v>
                </c:pt>
                <c:pt idx="160">
                  <c:v>56.464999999999989</c:v>
                </c:pt>
                <c:pt idx="161">
                  <c:v>304.95699999999999</c:v>
                </c:pt>
                <c:pt idx="162">
                  <c:v>56.464999999999989</c:v>
                </c:pt>
                <c:pt idx="163">
                  <c:v>118.58799999999999</c:v>
                </c:pt>
                <c:pt idx="164">
                  <c:v>304.95699999999999</c:v>
                </c:pt>
                <c:pt idx="165">
                  <c:v>304.95699999999999</c:v>
                </c:pt>
                <c:pt idx="166">
                  <c:v>-67.781000000000006</c:v>
                </c:pt>
                <c:pt idx="167">
                  <c:v>180.71099999999998</c:v>
                </c:pt>
                <c:pt idx="168">
                  <c:v>677.69499999999994</c:v>
                </c:pt>
                <c:pt idx="169">
                  <c:v>677.69499999999994</c:v>
                </c:pt>
                <c:pt idx="170">
                  <c:v>180.71099999999998</c:v>
                </c:pt>
                <c:pt idx="171">
                  <c:v>553.44900000000007</c:v>
                </c:pt>
                <c:pt idx="172">
                  <c:v>56.464999999999989</c:v>
                </c:pt>
                <c:pt idx="173">
                  <c:v>0</c:v>
                </c:pt>
                <c:pt idx="174">
                  <c:v>677.69499999999994</c:v>
                </c:pt>
                <c:pt idx="175">
                  <c:v>304.95699999999999</c:v>
                </c:pt>
                <c:pt idx="176">
                  <c:v>56.464999999999989</c:v>
                </c:pt>
                <c:pt idx="177">
                  <c:v>553.44900000000007</c:v>
                </c:pt>
                <c:pt idx="178">
                  <c:v>304.95699999999999</c:v>
                </c:pt>
                <c:pt idx="179">
                  <c:v>304.95699999999999</c:v>
                </c:pt>
                <c:pt idx="180">
                  <c:v>304.95699999999999</c:v>
                </c:pt>
                <c:pt idx="181">
                  <c:v>304.95699999999999</c:v>
                </c:pt>
                <c:pt idx="182">
                  <c:v>304.95699999999999</c:v>
                </c:pt>
                <c:pt idx="183">
                  <c:v>553.44900000000007</c:v>
                </c:pt>
                <c:pt idx="184">
                  <c:v>553.44900000000007</c:v>
                </c:pt>
                <c:pt idx="185">
                  <c:v>429.20299999999997</c:v>
                </c:pt>
                <c:pt idx="186">
                  <c:v>553.44900000000007</c:v>
                </c:pt>
                <c:pt idx="187">
                  <c:v>677.69499999999994</c:v>
                </c:pt>
                <c:pt idx="188">
                  <c:v>553.44900000000007</c:v>
                </c:pt>
                <c:pt idx="189">
                  <c:v>304.95699999999999</c:v>
                </c:pt>
                <c:pt idx="190">
                  <c:v>180.71099999999998</c:v>
                </c:pt>
                <c:pt idx="191">
                  <c:v>926.1869999999999</c:v>
                </c:pt>
                <c:pt idx="192">
                  <c:v>1298.925</c:v>
                </c:pt>
                <c:pt idx="193">
                  <c:v>180.71099999999998</c:v>
                </c:pt>
                <c:pt idx="194">
                  <c:v>1112.556</c:v>
                </c:pt>
                <c:pt idx="195">
                  <c:v>304.95699999999999</c:v>
                </c:pt>
                <c:pt idx="196">
                  <c:v>118.58799999999999</c:v>
                </c:pt>
                <c:pt idx="197">
                  <c:v>56.464999999999989</c:v>
                </c:pt>
                <c:pt idx="198">
                  <c:v>304.95699999999999</c:v>
                </c:pt>
                <c:pt idx="199">
                  <c:v>304.95699999999999</c:v>
                </c:pt>
                <c:pt idx="200">
                  <c:v>304.95699999999999</c:v>
                </c:pt>
                <c:pt idx="201">
                  <c:v>304.95699999999999</c:v>
                </c:pt>
                <c:pt idx="202">
                  <c:v>304.95699999999999</c:v>
                </c:pt>
                <c:pt idx="203">
                  <c:v>304.95699999999999</c:v>
                </c:pt>
                <c:pt idx="204">
                  <c:v>304.95699999999999</c:v>
                </c:pt>
                <c:pt idx="205">
                  <c:v>304.95699999999999</c:v>
                </c:pt>
                <c:pt idx="206">
                  <c:v>801.94100000000003</c:v>
                </c:pt>
                <c:pt idx="207">
                  <c:v>801.94100000000003</c:v>
                </c:pt>
                <c:pt idx="208">
                  <c:v>180.71099999999998</c:v>
                </c:pt>
                <c:pt idx="209">
                  <c:v>801.94100000000003</c:v>
                </c:pt>
                <c:pt idx="210">
                  <c:v>801.94100000000003</c:v>
                </c:pt>
                <c:pt idx="211">
                  <c:v>801.94100000000003</c:v>
                </c:pt>
                <c:pt idx="212">
                  <c:v>801.94100000000003</c:v>
                </c:pt>
                <c:pt idx="213">
                  <c:v>1174.6790000000001</c:v>
                </c:pt>
                <c:pt idx="214">
                  <c:v>1174.6790000000001</c:v>
                </c:pt>
                <c:pt idx="215">
                  <c:v>1174.6790000000001</c:v>
                </c:pt>
                <c:pt idx="216">
                  <c:v>864.06399999999985</c:v>
                </c:pt>
                <c:pt idx="217">
                  <c:v>677.69499999999994</c:v>
                </c:pt>
              </c:numCache>
            </c:numRef>
          </c:xVal>
          <c:yVal>
            <c:numRef>
              <c:f>Confidence_and_Prediction_Inte!$L$3:$L$220</c:f>
              <c:numCache>
                <c:formatCode>0</c:formatCode>
                <c:ptCount val="218"/>
                <c:pt idx="0">
                  <c:v>540.36794474362728</c:v>
                </c:pt>
                <c:pt idx="1">
                  <c:v>251.91213901570455</c:v>
                </c:pt>
                <c:pt idx="2">
                  <c:v>540.36794474362728</c:v>
                </c:pt>
                <c:pt idx="3">
                  <c:v>540.36794474362728</c:v>
                </c:pt>
                <c:pt idx="4">
                  <c:v>540.36794474362728</c:v>
                </c:pt>
                <c:pt idx="5">
                  <c:v>540.36794474362728</c:v>
                </c:pt>
                <c:pt idx="6">
                  <c:v>776.14498596864416</c:v>
                </c:pt>
                <c:pt idx="7">
                  <c:v>481.52643835478074</c:v>
                </c:pt>
                <c:pt idx="8">
                  <c:v>1131.0408009915172</c:v>
                </c:pt>
                <c:pt idx="9">
                  <c:v>1368.4478051170749</c:v>
                </c:pt>
                <c:pt idx="10">
                  <c:v>540.36794474362728</c:v>
                </c:pt>
                <c:pt idx="11">
                  <c:v>776.14498596864416</c:v>
                </c:pt>
                <c:pt idx="12">
                  <c:v>1368.4478051170749</c:v>
                </c:pt>
                <c:pt idx="13">
                  <c:v>1368.4478051170749</c:v>
                </c:pt>
                <c:pt idx="14">
                  <c:v>1368.4478051170749</c:v>
                </c:pt>
                <c:pt idx="15">
                  <c:v>658.17421987218404</c:v>
                </c:pt>
                <c:pt idx="16">
                  <c:v>658.17421987218404</c:v>
                </c:pt>
                <c:pt idx="17">
                  <c:v>894.28008542737052</c:v>
                </c:pt>
                <c:pt idx="18">
                  <c:v>658.17421987218404</c:v>
                </c:pt>
                <c:pt idx="19">
                  <c:v>894.28008542737052</c:v>
                </c:pt>
                <c:pt idx="20">
                  <c:v>658.17421987218404</c:v>
                </c:pt>
                <c:pt idx="21">
                  <c:v>658.17421987218404</c:v>
                </c:pt>
                <c:pt idx="22">
                  <c:v>251.91213901570455</c:v>
                </c:pt>
                <c:pt idx="23">
                  <c:v>251.91213901570455</c:v>
                </c:pt>
                <c:pt idx="24">
                  <c:v>540.36794474362728</c:v>
                </c:pt>
                <c:pt idx="25">
                  <c:v>251.91213901570455</c:v>
                </c:pt>
                <c:pt idx="26">
                  <c:v>776.14498596864416</c:v>
                </c:pt>
                <c:pt idx="27">
                  <c:v>776.14498596864416</c:v>
                </c:pt>
                <c:pt idx="28">
                  <c:v>540.36794474362728</c:v>
                </c:pt>
                <c:pt idx="29">
                  <c:v>540.36794474362728</c:v>
                </c:pt>
                <c:pt idx="30">
                  <c:v>540.36794474362728</c:v>
                </c:pt>
                <c:pt idx="31">
                  <c:v>776.14498596864416</c:v>
                </c:pt>
                <c:pt idx="32">
                  <c:v>776.14498596864416</c:v>
                </c:pt>
                <c:pt idx="33">
                  <c:v>776.14498596864416</c:v>
                </c:pt>
                <c:pt idx="34">
                  <c:v>776.14498596864416</c:v>
                </c:pt>
                <c:pt idx="35">
                  <c:v>776.14498596864416</c:v>
                </c:pt>
                <c:pt idx="36">
                  <c:v>658.17421987218404</c:v>
                </c:pt>
                <c:pt idx="37">
                  <c:v>658.17421987218404</c:v>
                </c:pt>
                <c:pt idx="38">
                  <c:v>658.17421987218404</c:v>
                </c:pt>
                <c:pt idx="39">
                  <c:v>658.17421987218404</c:v>
                </c:pt>
                <c:pt idx="40">
                  <c:v>305.24763234931896</c:v>
                </c:pt>
                <c:pt idx="41">
                  <c:v>305.24763234931896</c:v>
                </c:pt>
                <c:pt idx="42">
                  <c:v>363.96637853249001</c:v>
                </c:pt>
                <c:pt idx="43">
                  <c:v>1131.0408009915172</c:v>
                </c:pt>
                <c:pt idx="44">
                  <c:v>1249.6642707960293</c:v>
                </c:pt>
                <c:pt idx="45">
                  <c:v>658.17421987218404</c:v>
                </c:pt>
                <c:pt idx="46">
                  <c:v>894.28008542737052</c:v>
                </c:pt>
                <c:pt idx="47">
                  <c:v>658.17421987218404</c:v>
                </c:pt>
                <c:pt idx="48">
                  <c:v>776.14498596864416</c:v>
                </c:pt>
                <c:pt idx="49">
                  <c:v>776.14498596864416</c:v>
                </c:pt>
                <c:pt idx="50">
                  <c:v>658.17421987218404</c:v>
                </c:pt>
                <c:pt idx="51">
                  <c:v>776.14498596864416</c:v>
                </c:pt>
                <c:pt idx="52">
                  <c:v>422.72594460697951</c:v>
                </c:pt>
                <c:pt idx="53">
                  <c:v>422.72594460697951</c:v>
                </c:pt>
                <c:pt idx="54">
                  <c:v>422.72594460697951</c:v>
                </c:pt>
                <c:pt idx="55">
                  <c:v>422.72594460697951</c:v>
                </c:pt>
                <c:pt idx="56">
                  <c:v>363.96637853249001</c:v>
                </c:pt>
                <c:pt idx="57">
                  <c:v>776.14498596864416</c:v>
                </c:pt>
                <c:pt idx="58">
                  <c:v>776.14498596864416</c:v>
                </c:pt>
                <c:pt idx="59">
                  <c:v>363.96637853249001</c:v>
                </c:pt>
                <c:pt idx="60">
                  <c:v>422.72594460697951</c:v>
                </c:pt>
                <c:pt idx="61">
                  <c:v>305.24763234931896</c:v>
                </c:pt>
                <c:pt idx="62">
                  <c:v>305.24763234931896</c:v>
                </c:pt>
                <c:pt idx="63">
                  <c:v>658.17421987218404</c:v>
                </c:pt>
                <c:pt idx="64">
                  <c:v>1249.6642707960293</c:v>
                </c:pt>
                <c:pt idx="65">
                  <c:v>1249.6642707960293</c:v>
                </c:pt>
                <c:pt idx="66">
                  <c:v>540.36794474362728</c:v>
                </c:pt>
                <c:pt idx="67">
                  <c:v>658.17421987218404</c:v>
                </c:pt>
                <c:pt idx="68">
                  <c:v>776.14498596864416</c:v>
                </c:pt>
                <c:pt idx="69">
                  <c:v>422.72594460697951</c:v>
                </c:pt>
                <c:pt idx="70">
                  <c:v>305.24763234931896</c:v>
                </c:pt>
                <c:pt idx="71">
                  <c:v>776.14498596864416</c:v>
                </c:pt>
                <c:pt idx="72">
                  <c:v>776.14498596864416</c:v>
                </c:pt>
                <c:pt idx="73">
                  <c:v>776.14498596864416</c:v>
                </c:pt>
                <c:pt idx="74">
                  <c:v>776.14498596864416</c:v>
                </c:pt>
                <c:pt idx="75">
                  <c:v>894.28008542737052</c:v>
                </c:pt>
                <c:pt idx="76">
                  <c:v>894.28008542737052</c:v>
                </c:pt>
                <c:pt idx="77">
                  <c:v>422.72594460697951</c:v>
                </c:pt>
                <c:pt idx="78">
                  <c:v>422.72594460697951</c:v>
                </c:pt>
                <c:pt idx="79">
                  <c:v>481.52643835478074</c:v>
                </c:pt>
                <c:pt idx="80">
                  <c:v>422.72594460697951</c:v>
                </c:pt>
                <c:pt idx="81">
                  <c:v>422.72594460697951</c:v>
                </c:pt>
                <c:pt idx="82">
                  <c:v>422.72594460697951</c:v>
                </c:pt>
                <c:pt idx="83">
                  <c:v>422.72594460697951</c:v>
                </c:pt>
                <c:pt idx="84">
                  <c:v>599.25052568763397</c:v>
                </c:pt>
                <c:pt idx="85">
                  <c:v>658.17421987218404</c:v>
                </c:pt>
                <c:pt idx="86">
                  <c:v>658.17421987218404</c:v>
                </c:pt>
                <c:pt idx="87">
                  <c:v>305.24763234931896</c:v>
                </c:pt>
                <c:pt idx="88">
                  <c:v>251.91213901570455</c:v>
                </c:pt>
                <c:pt idx="89">
                  <c:v>251.91213901570455</c:v>
                </c:pt>
                <c:pt idx="90">
                  <c:v>251.91213901570455</c:v>
                </c:pt>
                <c:pt idx="91">
                  <c:v>540.36794474362728</c:v>
                </c:pt>
                <c:pt idx="92">
                  <c:v>305.24763234931896</c:v>
                </c:pt>
                <c:pt idx="93">
                  <c:v>422.72594460697951</c:v>
                </c:pt>
                <c:pt idx="94">
                  <c:v>422.72594460697951</c:v>
                </c:pt>
                <c:pt idx="95">
                  <c:v>305.24763234931896</c:v>
                </c:pt>
                <c:pt idx="96">
                  <c:v>776.14498596864416</c:v>
                </c:pt>
                <c:pt idx="97">
                  <c:v>540.36794474362728</c:v>
                </c:pt>
                <c:pt idx="98">
                  <c:v>894.28008542737052</c:v>
                </c:pt>
                <c:pt idx="99">
                  <c:v>776.14498596864416</c:v>
                </c:pt>
                <c:pt idx="100">
                  <c:v>599.25052568763397</c:v>
                </c:pt>
                <c:pt idx="101">
                  <c:v>658.17421987218404</c:v>
                </c:pt>
                <c:pt idx="102">
                  <c:v>540.36794474362728</c:v>
                </c:pt>
                <c:pt idx="103">
                  <c:v>894.28008542737052</c:v>
                </c:pt>
                <c:pt idx="104">
                  <c:v>894.28008542737052</c:v>
                </c:pt>
                <c:pt idx="105">
                  <c:v>894.28008542737052</c:v>
                </c:pt>
                <c:pt idx="106">
                  <c:v>894.28008542737052</c:v>
                </c:pt>
                <c:pt idx="107">
                  <c:v>540.36794474362728</c:v>
                </c:pt>
                <c:pt idx="108">
                  <c:v>305.24763234931896</c:v>
                </c:pt>
                <c:pt idx="109">
                  <c:v>658.17421987218404</c:v>
                </c:pt>
                <c:pt idx="110">
                  <c:v>658.17421987218404</c:v>
                </c:pt>
                <c:pt idx="111">
                  <c:v>894.28008542737052</c:v>
                </c:pt>
                <c:pt idx="112">
                  <c:v>894.28008542737052</c:v>
                </c:pt>
                <c:pt idx="113">
                  <c:v>776.14498596864416</c:v>
                </c:pt>
                <c:pt idx="114">
                  <c:v>776.14498596864416</c:v>
                </c:pt>
                <c:pt idx="115">
                  <c:v>776.14498596864416</c:v>
                </c:pt>
                <c:pt idx="116">
                  <c:v>776.14498596864416</c:v>
                </c:pt>
                <c:pt idx="117">
                  <c:v>894.28008542737052</c:v>
                </c:pt>
                <c:pt idx="118">
                  <c:v>953.4091091174829</c:v>
                </c:pt>
                <c:pt idx="119">
                  <c:v>894.28008542737052</c:v>
                </c:pt>
                <c:pt idx="120">
                  <c:v>1012.5789888457864</c:v>
                </c:pt>
                <c:pt idx="121">
                  <c:v>894.28008542737052</c:v>
                </c:pt>
                <c:pt idx="122">
                  <c:v>776.14498596864416</c:v>
                </c:pt>
                <c:pt idx="123">
                  <c:v>835.19201845116652</c:v>
                </c:pt>
                <c:pt idx="124">
                  <c:v>894.28008542737052</c:v>
                </c:pt>
                <c:pt idx="125">
                  <c:v>2084.3829499258845</c:v>
                </c:pt>
                <c:pt idx="126">
                  <c:v>540.36794474362728</c:v>
                </c:pt>
                <c:pt idx="127">
                  <c:v>481.52643835478074</c:v>
                </c:pt>
                <c:pt idx="128">
                  <c:v>251.91213901570455</c:v>
                </c:pt>
                <c:pt idx="129">
                  <c:v>776.14498596864416</c:v>
                </c:pt>
                <c:pt idx="130">
                  <c:v>894.28008542737052</c:v>
                </c:pt>
                <c:pt idx="131">
                  <c:v>776.14498596864416</c:v>
                </c:pt>
                <c:pt idx="132">
                  <c:v>776.14498596864416</c:v>
                </c:pt>
                <c:pt idx="133">
                  <c:v>776.14498596864416</c:v>
                </c:pt>
                <c:pt idx="134">
                  <c:v>776.14498596864416</c:v>
                </c:pt>
                <c:pt idx="135">
                  <c:v>776.14498596864416</c:v>
                </c:pt>
                <c:pt idx="136">
                  <c:v>776.14498596864416</c:v>
                </c:pt>
                <c:pt idx="137">
                  <c:v>251.91213901570455</c:v>
                </c:pt>
                <c:pt idx="138">
                  <c:v>658.17421987218404</c:v>
                </c:pt>
                <c:pt idx="139">
                  <c:v>894.28008542737052</c:v>
                </c:pt>
                <c:pt idx="140">
                  <c:v>363.96637853249001</c:v>
                </c:pt>
                <c:pt idx="141">
                  <c:v>894.28008542737052</c:v>
                </c:pt>
                <c:pt idx="142">
                  <c:v>776.14498596864416</c:v>
                </c:pt>
                <c:pt idx="143">
                  <c:v>658.17421987218404</c:v>
                </c:pt>
                <c:pt idx="144">
                  <c:v>894.28008542737052</c:v>
                </c:pt>
                <c:pt idx="145">
                  <c:v>894.28008542737052</c:v>
                </c:pt>
                <c:pt idx="146">
                  <c:v>363.96637853249001</c:v>
                </c:pt>
                <c:pt idx="147">
                  <c:v>305.24763234931896</c:v>
                </c:pt>
                <c:pt idx="148">
                  <c:v>422.72594460697951</c:v>
                </c:pt>
                <c:pt idx="149">
                  <c:v>251.91213901570455</c:v>
                </c:pt>
                <c:pt idx="150">
                  <c:v>540.36794474362728</c:v>
                </c:pt>
                <c:pt idx="151">
                  <c:v>540.36794474362728</c:v>
                </c:pt>
                <c:pt idx="152">
                  <c:v>540.36794474362728</c:v>
                </c:pt>
                <c:pt idx="153">
                  <c:v>363.96637853249001</c:v>
                </c:pt>
                <c:pt idx="154">
                  <c:v>305.24763234931896</c:v>
                </c:pt>
                <c:pt idx="155">
                  <c:v>835.19201845116652</c:v>
                </c:pt>
                <c:pt idx="156">
                  <c:v>835.19201845116652</c:v>
                </c:pt>
                <c:pt idx="157">
                  <c:v>251.91213901570455</c:v>
                </c:pt>
                <c:pt idx="158">
                  <c:v>422.72594460697951</c:v>
                </c:pt>
                <c:pt idx="159">
                  <c:v>540.36794474362728</c:v>
                </c:pt>
                <c:pt idx="160">
                  <c:v>305.24763234931896</c:v>
                </c:pt>
                <c:pt idx="161">
                  <c:v>540.36794474362728</c:v>
                </c:pt>
                <c:pt idx="162">
                  <c:v>305.24763234931896</c:v>
                </c:pt>
                <c:pt idx="163">
                  <c:v>363.96637853249001</c:v>
                </c:pt>
                <c:pt idx="164">
                  <c:v>540.36794474362728</c:v>
                </c:pt>
                <c:pt idx="165">
                  <c:v>540.36794474362728</c:v>
                </c:pt>
                <c:pt idx="166">
                  <c:v>187.93205633062553</c:v>
                </c:pt>
                <c:pt idx="167">
                  <c:v>422.72594460697951</c:v>
                </c:pt>
                <c:pt idx="168">
                  <c:v>894.28008542737052</c:v>
                </c:pt>
                <c:pt idx="169">
                  <c:v>894.28008542737052</c:v>
                </c:pt>
                <c:pt idx="170">
                  <c:v>422.72594460697951</c:v>
                </c:pt>
                <c:pt idx="171">
                  <c:v>776.14498596864416</c:v>
                </c:pt>
                <c:pt idx="172">
                  <c:v>305.24763234931896</c:v>
                </c:pt>
                <c:pt idx="173">
                  <c:v>251.91213901570455</c:v>
                </c:pt>
                <c:pt idx="174">
                  <c:v>894.28008542737052</c:v>
                </c:pt>
                <c:pt idx="175">
                  <c:v>540.36794474362728</c:v>
                </c:pt>
                <c:pt idx="176">
                  <c:v>305.24763234931896</c:v>
                </c:pt>
                <c:pt idx="177">
                  <c:v>776.14498596864416</c:v>
                </c:pt>
                <c:pt idx="178">
                  <c:v>540.36794474362728</c:v>
                </c:pt>
                <c:pt idx="179">
                  <c:v>540.36794474362728</c:v>
                </c:pt>
                <c:pt idx="180">
                  <c:v>540.36794474362728</c:v>
                </c:pt>
                <c:pt idx="181">
                  <c:v>540.36794474362728</c:v>
                </c:pt>
                <c:pt idx="182">
                  <c:v>540.36794474362728</c:v>
                </c:pt>
                <c:pt idx="183">
                  <c:v>776.14498596864416</c:v>
                </c:pt>
                <c:pt idx="184">
                  <c:v>776.14498596864416</c:v>
                </c:pt>
                <c:pt idx="185">
                  <c:v>658.17421987218404</c:v>
                </c:pt>
                <c:pt idx="186">
                  <c:v>776.14498596864416</c:v>
                </c:pt>
                <c:pt idx="187">
                  <c:v>894.28008542737052</c:v>
                </c:pt>
                <c:pt idx="188">
                  <c:v>776.14498596864416</c:v>
                </c:pt>
                <c:pt idx="189">
                  <c:v>540.36794474362728</c:v>
                </c:pt>
                <c:pt idx="190">
                  <c:v>422.72594460697951</c:v>
                </c:pt>
                <c:pt idx="191">
                  <c:v>1131.0408009915172</c:v>
                </c:pt>
                <c:pt idx="192">
                  <c:v>1487.3894859223612</c:v>
                </c:pt>
                <c:pt idx="193">
                  <c:v>422.72594460697951</c:v>
                </c:pt>
                <c:pt idx="194">
                  <c:v>1309.0361423773847</c:v>
                </c:pt>
                <c:pt idx="195">
                  <c:v>540.36794474362728</c:v>
                </c:pt>
                <c:pt idx="196">
                  <c:v>363.96637853249001</c:v>
                </c:pt>
                <c:pt idx="197">
                  <c:v>305.24763234931896</c:v>
                </c:pt>
                <c:pt idx="198">
                  <c:v>540.36794474362728</c:v>
                </c:pt>
                <c:pt idx="199">
                  <c:v>540.36794474362728</c:v>
                </c:pt>
                <c:pt idx="200">
                  <c:v>540.36794474362728</c:v>
                </c:pt>
                <c:pt idx="201">
                  <c:v>540.36794474362728</c:v>
                </c:pt>
                <c:pt idx="202">
                  <c:v>540.36794474362728</c:v>
                </c:pt>
                <c:pt idx="203">
                  <c:v>540.36794474362728</c:v>
                </c:pt>
                <c:pt idx="204">
                  <c:v>540.36794474362728</c:v>
                </c:pt>
                <c:pt idx="205">
                  <c:v>540.36794474362728</c:v>
                </c:pt>
                <c:pt idx="206">
                  <c:v>1012.5789888457864</c:v>
                </c:pt>
                <c:pt idx="207">
                  <c:v>1012.5789888457864</c:v>
                </c:pt>
                <c:pt idx="208">
                  <c:v>422.72594460697951</c:v>
                </c:pt>
                <c:pt idx="209">
                  <c:v>1012.5789888457864</c:v>
                </c:pt>
                <c:pt idx="210">
                  <c:v>1012.5789888457864</c:v>
                </c:pt>
                <c:pt idx="211">
                  <c:v>1012.5789888457864</c:v>
                </c:pt>
                <c:pt idx="212">
                  <c:v>1012.5789888457864</c:v>
                </c:pt>
                <c:pt idx="213">
                  <c:v>1368.4478051170749</c:v>
                </c:pt>
                <c:pt idx="214">
                  <c:v>1368.4478051170749</c:v>
                </c:pt>
                <c:pt idx="215">
                  <c:v>1368.4478051170749</c:v>
                </c:pt>
                <c:pt idx="216">
                  <c:v>1071.7896013232471</c:v>
                </c:pt>
                <c:pt idx="217">
                  <c:v>894.28008542737052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F74-4C79-A998-1D7DACAA5F28}"/>
            </c:ext>
          </c:extLst>
        </c:ser>
        <c:ser>
          <c:idx val="4"/>
          <c:order val="4"/>
          <c:tx>
            <c:v>Confidence_Interval_Min</c:v>
          </c:tx>
          <c:spPr>
            <a:ln w="28575">
              <a:noFill/>
            </a:ln>
          </c:spPr>
          <c:marker>
            <c:symbol val="none"/>
          </c:marker>
          <c:xVal>
            <c:numRef>
              <c:f>Confidence_and_Prediction_Inte!$C$3:$C$220</c:f>
              <c:numCache>
                <c:formatCode>0</c:formatCode>
                <c:ptCount val="218"/>
                <c:pt idx="0">
                  <c:v>304.95699999999999</c:v>
                </c:pt>
                <c:pt idx="1">
                  <c:v>0</c:v>
                </c:pt>
                <c:pt idx="2">
                  <c:v>304.95699999999999</c:v>
                </c:pt>
                <c:pt idx="3">
                  <c:v>304.95699999999999</c:v>
                </c:pt>
                <c:pt idx="4">
                  <c:v>304.95699999999999</c:v>
                </c:pt>
                <c:pt idx="5">
                  <c:v>304.95699999999999</c:v>
                </c:pt>
                <c:pt idx="6">
                  <c:v>553.44900000000007</c:v>
                </c:pt>
                <c:pt idx="7">
                  <c:v>242.834</c:v>
                </c:pt>
                <c:pt idx="8">
                  <c:v>926.1869999999999</c:v>
                </c:pt>
                <c:pt idx="9">
                  <c:v>1174.6790000000001</c:v>
                </c:pt>
                <c:pt idx="10">
                  <c:v>304.95699999999999</c:v>
                </c:pt>
                <c:pt idx="11">
                  <c:v>553.44900000000007</c:v>
                </c:pt>
                <c:pt idx="12">
                  <c:v>1174.6790000000001</c:v>
                </c:pt>
                <c:pt idx="13">
                  <c:v>1174.6790000000001</c:v>
                </c:pt>
                <c:pt idx="14">
                  <c:v>1174.6790000000001</c:v>
                </c:pt>
                <c:pt idx="15">
                  <c:v>429.20299999999997</c:v>
                </c:pt>
                <c:pt idx="16">
                  <c:v>429.20299999999997</c:v>
                </c:pt>
                <c:pt idx="17">
                  <c:v>677.69499999999994</c:v>
                </c:pt>
                <c:pt idx="18">
                  <c:v>429.20299999999997</c:v>
                </c:pt>
                <c:pt idx="19">
                  <c:v>677.69499999999994</c:v>
                </c:pt>
                <c:pt idx="20">
                  <c:v>429.20299999999997</c:v>
                </c:pt>
                <c:pt idx="21">
                  <c:v>429.20299999999997</c:v>
                </c:pt>
                <c:pt idx="22">
                  <c:v>0</c:v>
                </c:pt>
                <c:pt idx="23">
                  <c:v>0</c:v>
                </c:pt>
                <c:pt idx="24">
                  <c:v>304.95699999999999</c:v>
                </c:pt>
                <c:pt idx="25">
                  <c:v>0</c:v>
                </c:pt>
                <c:pt idx="26">
                  <c:v>553.44900000000007</c:v>
                </c:pt>
                <c:pt idx="27">
                  <c:v>553.44900000000007</c:v>
                </c:pt>
                <c:pt idx="28">
                  <c:v>304.95699999999999</c:v>
                </c:pt>
                <c:pt idx="29">
                  <c:v>304.95699999999999</c:v>
                </c:pt>
                <c:pt idx="30">
                  <c:v>304.95699999999999</c:v>
                </c:pt>
                <c:pt idx="31">
                  <c:v>553.44900000000007</c:v>
                </c:pt>
                <c:pt idx="32">
                  <c:v>553.44900000000007</c:v>
                </c:pt>
                <c:pt idx="33">
                  <c:v>553.44900000000007</c:v>
                </c:pt>
                <c:pt idx="34">
                  <c:v>553.44900000000007</c:v>
                </c:pt>
                <c:pt idx="35">
                  <c:v>553.44900000000007</c:v>
                </c:pt>
                <c:pt idx="36">
                  <c:v>429.20299999999997</c:v>
                </c:pt>
                <c:pt idx="37">
                  <c:v>429.20299999999997</c:v>
                </c:pt>
                <c:pt idx="38">
                  <c:v>429.20299999999997</c:v>
                </c:pt>
                <c:pt idx="39">
                  <c:v>429.20299999999997</c:v>
                </c:pt>
                <c:pt idx="40">
                  <c:v>56.464999999999989</c:v>
                </c:pt>
                <c:pt idx="41">
                  <c:v>56.464999999999989</c:v>
                </c:pt>
                <c:pt idx="42">
                  <c:v>118.58799999999999</c:v>
                </c:pt>
                <c:pt idx="43">
                  <c:v>926.1869999999999</c:v>
                </c:pt>
                <c:pt idx="44">
                  <c:v>1050.433</c:v>
                </c:pt>
                <c:pt idx="45">
                  <c:v>429.20299999999997</c:v>
                </c:pt>
                <c:pt idx="46">
                  <c:v>677.69499999999994</c:v>
                </c:pt>
                <c:pt idx="47">
                  <c:v>429.20299999999997</c:v>
                </c:pt>
                <c:pt idx="48">
                  <c:v>553.44900000000007</c:v>
                </c:pt>
                <c:pt idx="49">
                  <c:v>553.44900000000007</c:v>
                </c:pt>
                <c:pt idx="50">
                  <c:v>429.20299999999997</c:v>
                </c:pt>
                <c:pt idx="51">
                  <c:v>553.44900000000007</c:v>
                </c:pt>
                <c:pt idx="52">
                  <c:v>180.71099999999998</c:v>
                </c:pt>
                <c:pt idx="53">
                  <c:v>180.71099999999998</c:v>
                </c:pt>
                <c:pt idx="54">
                  <c:v>180.71099999999998</c:v>
                </c:pt>
                <c:pt idx="55">
                  <c:v>180.71099999999998</c:v>
                </c:pt>
                <c:pt idx="56">
                  <c:v>118.58799999999999</c:v>
                </c:pt>
                <c:pt idx="57">
                  <c:v>553.44900000000007</c:v>
                </c:pt>
                <c:pt idx="58">
                  <c:v>553.44900000000007</c:v>
                </c:pt>
                <c:pt idx="59">
                  <c:v>118.58799999999999</c:v>
                </c:pt>
                <c:pt idx="60">
                  <c:v>180.71099999999998</c:v>
                </c:pt>
                <c:pt idx="61">
                  <c:v>56.464999999999989</c:v>
                </c:pt>
                <c:pt idx="62">
                  <c:v>56.464999999999989</c:v>
                </c:pt>
                <c:pt idx="63">
                  <c:v>429.20299999999997</c:v>
                </c:pt>
                <c:pt idx="64">
                  <c:v>1050.433</c:v>
                </c:pt>
                <c:pt idx="65">
                  <c:v>1050.433</c:v>
                </c:pt>
                <c:pt idx="66">
                  <c:v>304.95699999999999</c:v>
                </c:pt>
                <c:pt idx="67">
                  <c:v>429.20299999999997</c:v>
                </c:pt>
                <c:pt idx="68">
                  <c:v>553.44900000000007</c:v>
                </c:pt>
                <c:pt idx="69">
                  <c:v>180.71099999999998</c:v>
                </c:pt>
                <c:pt idx="70">
                  <c:v>56.464999999999989</c:v>
                </c:pt>
                <c:pt idx="71">
                  <c:v>553.44900000000007</c:v>
                </c:pt>
                <c:pt idx="72">
                  <c:v>553.44900000000007</c:v>
                </c:pt>
                <c:pt idx="73">
                  <c:v>553.44900000000007</c:v>
                </c:pt>
                <c:pt idx="74">
                  <c:v>553.44900000000007</c:v>
                </c:pt>
                <c:pt idx="75">
                  <c:v>677.69499999999994</c:v>
                </c:pt>
                <c:pt idx="76">
                  <c:v>677.69499999999994</c:v>
                </c:pt>
                <c:pt idx="77">
                  <c:v>180.71099999999998</c:v>
                </c:pt>
                <c:pt idx="78">
                  <c:v>180.71099999999998</c:v>
                </c:pt>
                <c:pt idx="79">
                  <c:v>242.834</c:v>
                </c:pt>
                <c:pt idx="80">
                  <c:v>180.71099999999998</c:v>
                </c:pt>
                <c:pt idx="81">
                  <c:v>180.71099999999998</c:v>
                </c:pt>
                <c:pt idx="82">
                  <c:v>180.71099999999998</c:v>
                </c:pt>
                <c:pt idx="83">
                  <c:v>180.71099999999998</c:v>
                </c:pt>
                <c:pt idx="84">
                  <c:v>367.08</c:v>
                </c:pt>
                <c:pt idx="85">
                  <c:v>429.20299999999997</c:v>
                </c:pt>
                <c:pt idx="86">
                  <c:v>429.20299999999997</c:v>
                </c:pt>
                <c:pt idx="87">
                  <c:v>56.464999999999989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304.95699999999999</c:v>
                </c:pt>
                <c:pt idx="92">
                  <c:v>56.464999999999989</c:v>
                </c:pt>
                <c:pt idx="93">
                  <c:v>180.71099999999998</c:v>
                </c:pt>
                <c:pt idx="94">
                  <c:v>180.71099999999998</c:v>
                </c:pt>
                <c:pt idx="95">
                  <c:v>56.464999999999989</c:v>
                </c:pt>
                <c:pt idx="96">
                  <c:v>553.44900000000007</c:v>
                </c:pt>
                <c:pt idx="97">
                  <c:v>304.95699999999999</c:v>
                </c:pt>
                <c:pt idx="98">
                  <c:v>677.69499999999994</c:v>
                </c:pt>
                <c:pt idx="99">
                  <c:v>553.44900000000007</c:v>
                </c:pt>
                <c:pt idx="100">
                  <c:v>367.08</c:v>
                </c:pt>
                <c:pt idx="101">
                  <c:v>429.20299999999997</c:v>
                </c:pt>
                <c:pt idx="102">
                  <c:v>304.95699999999999</c:v>
                </c:pt>
                <c:pt idx="103">
                  <c:v>677.69499999999994</c:v>
                </c:pt>
                <c:pt idx="104">
                  <c:v>677.69499999999994</c:v>
                </c:pt>
                <c:pt idx="105">
                  <c:v>677.69499999999994</c:v>
                </c:pt>
                <c:pt idx="106">
                  <c:v>677.69499999999994</c:v>
                </c:pt>
                <c:pt idx="107">
                  <c:v>304.95699999999999</c:v>
                </c:pt>
                <c:pt idx="108">
                  <c:v>56.464999999999989</c:v>
                </c:pt>
                <c:pt idx="109">
                  <c:v>429.20299999999997</c:v>
                </c:pt>
                <c:pt idx="110">
                  <c:v>429.20299999999997</c:v>
                </c:pt>
                <c:pt idx="111">
                  <c:v>677.69499999999994</c:v>
                </c:pt>
                <c:pt idx="112">
                  <c:v>677.69499999999994</c:v>
                </c:pt>
                <c:pt idx="113">
                  <c:v>553.44900000000007</c:v>
                </c:pt>
                <c:pt idx="114">
                  <c:v>553.44900000000007</c:v>
                </c:pt>
                <c:pt idx="115">
                  <c:v>553.44900000000007</c:v>
                </c:pt>
                <c:pt idx="116">
                  <c:v>553.44900000000007</c:v>
                </c:pt>
                <c:pt idx="117">
                  <c:v>677.69499999999994</c:v>
                </c:pt>
                <c:pt idx="118">
                  <c:v>739.81799999999998</c:v>
                </c:pt>
                <c:pt idx="119">
                  <c:v>677.69499999999994</c:v>
                </c:pt>
                <c:pt idx="120">
                  <c:v>801.94100000000003</c:v>
                </c:pt>
                <c:pt idx="121">
                  <c:v>677.69499999999994</c:v>
                </c:pt>
                <c:pt idx="122">
                  <c:v>553.44900000000007</c:v>
                </c:pt>
                <c:pt idx="123">
                  <c:v>615.57199999999989</c:v>
                </c:pt>
                <c:pt idx="124">
                  <c:v>677.69499999999994</c:v>
                </c:pt>
                <c:pt idx="125">
                  <c:v>1920.155</c:v>
                </c:pt>
                <c:pt idx="126">
                  <c:v>304.95699999999999</c:v>
                </c:pt>
                <c:pt idx="127">
                  <c:v>242.834</c:v>
                </c:pt>
                <c:pt idx="128">
                  <c:v>0</c:v>
                </c:pt>
                <c:pt idx="129">
                  <c:v>553.44900000000007</c:v>
                </c:pt>
                <c:pt idx="130">
                  <c:v>677.69499999999994</c:v>
                </c:pt>
                <c:pt idx="131">
                  <c:v>553.44900000000007</c:v>
                </c:pt>
                <c:pt idx="132">
                  <c:v>553.44900000000007</c:v>
                </c:pt>
                <c:pt idx="133">
                  <c:v>553.44900000000007</c:v>
                </c:pt>
                <c:pt idx="134">
                  <c:v>553.44900000000007</c:v>
                </c:pt>
                <c:pt idx="135">
                  <c:v>553.44900000000007</c:v>
                </c:pt>
                <c:pt idx="136">
                  <c:v>553.44900000000007</c:v>
                </c:pt>
                <c:pt idx="137">
                  <c:v>0</c:v>
                </c:pt>
                <c:pt idx="138">
                  <c:v>429.20299999999997</c:v>
                </c:pt>
                <c:pt idx="139">
                  <c:v>677.69499999999994</c:v>
                </c:pt>
                <c:pt idx="140">
                  <c:v>118.58799999999999</c:v>
                </c:pt>
                <c:pt idx="141">
                  <c:v>677.69499999999994</c:v>
                </c:pt>
                <c:pt idx="142">
                  <c:v>553.44900000000007</c:v>
                </c:pt>
                <c:pt idx="143">
                  <c:v>429.20299999999997</c:v>
                </c:pt>
                <c:pt idx="144">
                  <c:v>677.69499999999994</c:v>
                </c:pt>
                <c:pt idx="145">
                  <c:v>677.69499999999994</c:v>
                </c:pt>
                <c:pt idx="146">
                  <c:v>118.58799999999999</c:v>
                </c:pt>
                <c:pt idx="147">
                  <c:v>56.464999999999989</c:v>
                </c:pt>
                <c:pt idx="148">
                  <c:v>180.71099999999998</c:v>
                </c:pt>
                <c:pt idx="149">
                  <c:v>0</c:v>
                </c:pt>
                <c:pt idx="150">
                  <c:v>304.95699999999999</c:v>
                </c:pt>
                <c:pt idx="151">
                  <c:v>304.95699999999999</c:v>
                </c:pt>
                <c:pt idx="152">
                  <c:v>304.95699999999999</c:v>
                </c:pt>
                <c:pt idx="153">
                  <c:v>118.58799999999999</c:v>
                </c:pt>
                <c:pt idx="154">
                  <c:v>56.464999999999989</c:v>
                </c:pt>
                <c:pt idx="155">
                  <c:v>615.57199999999989</c:v>
                </c:pt>
                <c:pt idx="156">
                  <c:v>615.57199999999989</c:v>
                </c:pt>
                <c:pt idx="157">
                  <c:v>0</c:v>
                </c:pt>
                <c:pt idx="158">
                  <c:v>180.71099999999998</c:v>
                </c:pt>
                <c:pt idx="159">
                  <c:v>304.95699999999999</c:v>
                </c:pt>
                <c:pt idx="160">
                  <c:v>56.464999999999989</c:v>
                </c:pt>
                <c:pt idx="161">
                  <c:v>304.95699999999999</c:v>
                </c:pt>
                <c:pt idx="162">
                  <c:v>56.464999999999989</c:v>
                </c:pt>
                <c:pt idx="163">
                  <c:v>118.58799999999999</c:v>
                </c:pt>
                <c:pt idx="164">
                  <c:v>304.95699999999999</c:v>
                </c:pt>
                <c:pt idx="165">
                  <c:v>304.95699999999999</c:v>
                </c:pt>
                <c:pt idx="166">
                  <c:v>-67.781000000000006</c:v>
                </c:pt>
                <c:pt idx="167">
                  <c:v>180.71099999999998</c:v>
                </c:pt>
                <c:pt idx="168">
                  <c:v>677.69499999999994</c:v>
                </c:pt>
                <c:pt idx="169">
                  <c:v>677.69499999999994</c:v>
                </c:pt>
                <c:pt idx="170">
                  <c:v>180.71099999999998</c:v>
                </c:pt>
                <c:pt idx="171">
                  <c:v>553.44900000000007</c:v>
                </c:pt>
                <c:pt idx="172">
                  <c:v>56.464999999999989</c:v>
                </c:pt>
                <c:pt idx="173">
                  <c:v>0</c:v>
                </c:pt>
                <c:pt idx="174">
                  <c:v>677.69499999999994</c:v>
                </c:pt>
                <c:pt idx="175">
                  <c:v>304.95699999999999</c:v>
                </c:pt>
                <c:pt idx="176">
                  <c:v>56.464999999999989</c:v>
                </c:pt>
                <c:pt idx="177">
                  <c:v>553.44900000000007</c:v>
                </c:pt>
                <c:pt idx="178">
                  <c:v>304.95699999999999</c:v>
                </c:pt>
                <c:pt idx="179">
                  <c:v>304.95699999999999</c:v>
                </c:pt>
                <c:pt idx="180">
                  <c:v>304.95699999999999</c:v>
                </c:pt>
                <c:pt idx="181">
                  <c:v>304.95699999999999</c:v>
                </c:pt>
                <c:pt idx="182">
                  <c:v>304.95699999999999</c:v>
                </c:pt>
                <c:pt idx="183">
                  <c:v>553.44900000000007</c:v>
                </c:pt>
                <c:pt idx="184">
                  <c:v>553.44900000000007</c:v>
                </c:pt>
                <c:pt idx="185">
                  <c:v>429.20299999999997</c:v>
                </c:pt>
                <c:pt idx="186">
                  <c:v>553.44900000000007</c:v>
                </c:pt>
                <c:pt idx="187">
                  <c:v>677.69499999999994</c:v>
                </c:pt>
                <c:pt idx="188">
                  <c:v>553.44900000000007</c:v>
                </c:pt>
                <c:pt idx="189">
                  <c:v>304.95699999999999</c:v>
                </c:pt>
                <c:pt idx="190">
                  <c:v>180.71099999999998</c:v>
                </c:pt>
                <c:pt idx="191">
                  <c:v>926.1869999999999</c:v>
                </c:pt>
                <c:pt idx="192">
                  <c:v>1298.925</c:v>
                </c:pt>
                <c:pt idx="193">
                  <c:v>180.71099999999998</c:v>
                </c:pt>
                <c:pt idx="194">
                  <c:v>1112.556</c:v>
                </c:pt>
                <c:pt idx="195">
                  <c:v>304.95699999999999</c:v>
                </c:pt>
                <c:pt idx="196">
                  <c:v>118.58799999999999</c:v>
                </c:pt>
                <c:pt idx="197">
                  <c:v>56.464999999999989</c:v>
                </c:pt>
                <c:pt idx="198">
                  <c:v>304.95699999999999</c:v>
                </c:pt>
                <c:pt idx="199">
                  <c:v>304.95699999999999</c:v>
                </c:pt>
                <c:pt idx="200">
                  <c:v>304.95699999999999</c:v>
                </c:pt>
                <c:pt idx="201">
                  <c:v>304.95699999999999</c:v>
                </c:pt>
                <c:pt idx="202">
                  <c:v>304.95699999999999</c:v>
                </c:pt>
                <c:pt idx="203">
                  <c:v>304.95699999999999</c:v>
                </c:pt>
                <c:pt idx="204">
                  <c:v>304.95699999999999</c:v>
                </c:pt>
                <c:pt idx="205">
                  <c:v>304.95699999999999</c:v>
                </c:pt>
                <c:pt idx="206">
                  <c:v>801.94100000000003</c:v>
                </c:pt>
                <c:pt idx="207">
                  <c:v>801.94100000000003</c:v>
                </c:pt>
                <c:pt idx="208">
                  <c:v>180.71099999999998</c:v>
                </c:pt>
                <c:pt idx="209">
                  <c:v>801.94100000000003</c:v>
                </c:pt>
                <c:pt idx="210">
                  <c:v>801.94100000000003</c:v>
                </c:pt>
                <c:pt idx="211">
                  <c:v>801.94100000000003</c:v>
                </c:pt>
                <c:pt idx="212">
                  <c:v>801.94100000000003</c:v>
                </c:pt>
                <c:pt idx="213">
                  <c:v>1174.6790000000001</c:v>
                </c:pt>
                <c:pt idx="214">
                  <c:v>1174.6790000000001</c:v>
                </c:pt>
                <c:pt idx="215">
                  <c:v>1174.6790000000001</c:v>
                </c:pt>
                <c:pt idx="216">
                  <c:v>864.06399999999985</c:v>
                </c:pt>
                <c:pt idx="217">
                  <c:v>677.69499999999994</c:v>
                </c:pt>
              </c:numCache>
            </c:numRef>
          </c:xVal>
          <c:yVal>
            <c:numRef>
              <c:f>Confidence_and_Prediction_Inte!$M$3:$M$220</c:f>
              <c:numCache>
                <c:formatCode>0</c:formatCode>
                <c:ptCount val="218"/>
                <c:pt idx="0">
                  <c:v>307.3130265017287</c:v>
                </c:pt>
                <c:pt idx="1">
                  <c:v>8.2441148959422534</c:v>
                </c:pt>
                <c:pt idx="2">
                  <c:v>307.3130265017287</c:v>
                </c:pt>
                <c:pt idx="3">
                  <c:v>307.3130265017287</c:v>
                </c:pt>
                <c:pt idx="4">
                  <c:v>307.3130265017287</c:v>
                </c:pt>
                <c:pt idx="5">
                  <c:v>307.3130265017287</c:v>
                </c:pt>
                <c:pt idx="6">
                  <c:v>543.46826471503471</c:v>
                </c:pt>
                <c:pt idx="7">
                  <c:v>246.94478633105379</c:v>
                </c:pt>
                <c:pt idx="8">
                  <c:v>885.1940864941688</c:v>
                </c:pt>
                <c:pt idx="9">
                  <c:v>1110.3394208423936</c:v>
                </c:pt>
                <c:pt idx="10">
                  <c:v>307.3130265017287</c:v>
                </c:pt>
                <c:pt idx="11">
                  <c:v>543.46826471503471</c:v>
                </c:pt>
                <c:pt idx="12">
                  <c:v>1110.3394208423936</c:v>
                </c:pt>
                <c:pt idx="13">
                  <c:v>1110.3394208423936</c:v>
                </c:pt>
                <c:pt idx="14">
                  <c:v>1110.3394208423936</c:v>
                </c:pt>
                <c:pt idx="15">
                  <c:v>426.55973781471158</c:v>
                </c:pt>
                <c:pt idx="16">
                  <c:v>426.55973781471158</c:v>
                </c:pt>
                <c:pt idx="17">
                  <c:v>658.40893587691437</c:v>
                </c:pt>
                <c:pt idx="18">
                  <c:v>426.55973781471158</c:v>
                </c:pt>
                <c:pt idx="19">
                  <c:v>658.40893587691437</c:v>
                </c:pt>
                <c:pt idx="20">
                  <c:v>426.55973781471158</c:v>
                </c:pt>
                <c:pt idx="21">
                  <c:v>426.55973781471158</c:v>
                </c:pt>
                <c:pt idx="22">
                  <c:v>8.2441148959422534</c:v>
                </c:pt>
                <c:pt idx="23">
                  <c:v>8.2441148959422534</c:v>
                </c:pt>
                <c:pt idx="24">
                  <c:v>307.3130265017287</c:v>
                </c:pt>
                <c:pt idx="25">
                  <c:v>8.2441148959422534</c:v>
                </c:pt>
                <c:pt idx="26">
                  <c:v>543.46826471503471</c:v>
                </c:pt>
                <c:pt idx="27">
                  <c:v>543.46826471503471</c:v>
                </c:pt>
                <c:pt idx="28">
                  <c:v>307.3130265017287</c:v>
                </c:pt>
                <c:pt idx="29">
                  <c:v>307.3130265017287</c:v>
                </c:pt>
                <c:pt idx="30">
                  <c:v>307.3130265017287</c:v>
                </c:pt>
                <c:pt idx="31">
                  <c:v>543.46826471503471</c:v>
                </c:pt>
                <c:pt idx="32">
                  <c:v>543.46826471503471</c:v>
                </c:pt>
                <c:pt idx="33">
                  <c:v>543.46826471503471</c:v>
                </c:pt>
                <c:pt idx="34">
                  <c:v>543.46826471503471</c:v>
                </c:pt>
                <c:pt idx="35">
                  <c:v>543.46826471503471</c:v>
                </c:pt>
                <c:pt idx="36">
                  <c:v>426.55973781471158</c:v>
                </c:pt>
                <c:pt idx="37">
                  <c:v>426.55973781471158</c:v>
                </c:pt>
                <c:pt idx="38">
                  <c:v>426.55973781471158</c:v>
                </c:pt>
                <c:pt idx="39">
                  <c:v>426.55973781471158</c:v>
                </c:pt>
                <c:pt idx="40">
                  <c:v>64.004606463699091</c:v>
                </c:pt>
                <c:pt idx="41">
                  <c:v>64.004606463699091</c:v>
                </c:pt>
                <c:pt idx="42">
                  <c:v>125.20943832560391</c:v>
                </c:pt>
                <c:pt idx="43">
                  <c:v>885.1940864941688</c:v>
                </c:pt>
                <c:pt idx="44">
                  <c:v>997.87761954384405</c:v>
                </c:pt>
                <c:pt idx="45">
                  <c:v>426.55973781471158</c:v>
                </c:pt>
                <c:pt idx="46">
                  <c:v>658.40893587691437</c:v>
                </c:pt>
                <c:pt idx="47">
                  <c:v>426.55973781471158</c:v>
                </c:pt>
                <c:pt idx="48">
                  <c:v>543.46826471503471</c:v>
                </c:pt>
                <c:pt idx="49">
                  <c:v>543.46826471503471</c:v>
                </c:pt>
                <c:pt idx="50">
                  <c:v>426.55973781471158</c:v>
                </c:pt>
                <c:pt idx="51">
                  <c:v>543.46826471503471</c:v>
                </c:pt>
                <c:pt idx="52">
                  <c:v>186.21322748362732</c:v>
                </c:pt>
                <c:pt idx="53">
                  <c:v>186.21322748362732</c:v>
                </c:pt>
                <c:pt idx="54">
                  <c:v>186.21322748362732</c:v>
                </c:pt>
                <c:pt idx="55">
                  <c:v>186.21322748362732</c:v>
                </c:pt>
                <c:pt idx="56">
                  <c:v>125.20943832560391</c:v>
                </c:pt>
                <c:pt idx="57">
                  <c:v>543.46826471503471</c:v>
                </c:pt>
                <c:pt idx="58">
                  <c:v>543.46826471503471</c:v>
                </c:pt>
                <c:pt idx="59">
                  <c:v>125.20943832560391</c:v>
                </c:pt>
                <c:pt idx="60">
                  <c:v>186.21322748362732</c:v>
                </c:pt>
                <c:pt idx="61">
                  <c:v>64.004606463699091</c:v>
                </c:pt>
                <c:pt idx="62">
                  <c:v>64.004606463699091</c:v>
                </c:pt>
                <c:pt idx="63">
                  <c:v>426.55973781471158</c:v>
                </c:pt>
                <c:pt idx="64">
                  <c:v>997.87761954384405</c:v>
                </c:pt>
                <c:pt idx="65">
                  <c:v>997.87761954384405</c:v>
                </c:pt>
                <c:pt idx="66">
                  <c:v>307.3130265017287</c:v>
                </c:pt>
                <c:pt idx="67">
                  <c:v>426.55973781471158</c:v>
                </c:pt>
                <c:pt idx="68">
                  <c:v>543.46826471503471</c:v>
                </c:pt>
                <c:pt idx="69">
                  <c:v>186.21322748362732</c:v>
                </c:pt>
                <c:pt idx="70">
                  <c:v>64.004606463699091</c:v>
                </c:pt>
                <c:pt idx="71">
                  <c:v>543.46826471503471</c:v>
                </c:pt>
                <c:pt idx="72">
                  <c:v>543.46826471503471</c:v>
                </c:pt>
                <c:pt idx="73">
                  <c:v>543.46826471503471</c:v>
                </c:pt>
                <c:pt idx="74">
                  <c:v>543.46826471503471</c:v>
                </c:pt>
                <c:pt idx="75">
                  <c:v>658.40893587691437</c:v>
                </c:pt>
                <c:pt idx="76">
                  <c:v>658.40893587691437</c:v>
                </c:pt>
                <c:pt idx="77">
                  <c:v>186.21322748362732</c:v>
                </c:pt>
                <c:pt idx="78">
                  <c:v>186.21322748362732</c:v>
                </c:pt>
                <c:pt idx="79">
                  <c:v>246.94478633105379</c:v>
                </c:pt>
                <c:pt idx="80">
                  <c:v>186.21322748362732</c:v>
                </c:pt>
                <c:pt idx="81">
                  <c:v>186.21322748362732</c:v>
                </c:pt>
                <c:pt idx="82">
                  <c:v>186.21322748362732</c:v>
                </c:pt>
                <c:pt idx="83">
                  <c:v>186.21322748362732</c:v>
                </c:pt>
                <c:pt idx="84">
                  <c:v>367.21501149747314</c:v>
                </c:pt>
                <c:pt idx="85">
                  <c:v>426.55973781471158</c:v>
                </c:pt>
                <c:pt idx="86">
                  <c:v>426.55973781471158</c:v>
                </c:pt>
                <c:pt idx="87">
                  <c:v>64.004606463699091</c:v>
                </c:pt>
                <c:pt idx="88">
                  <c:v>8.2441148959422534</c:v>
                </c:pt>
                <c:pt idx="89">
                  <c:v>8.2441148959422534</c:v>
                </c:pt>
                <c:pt idx="90">
                  <c:v>8.2441148959422534</c:v>
                </c:pt>
                <c:pt idx="91">
                  <c:v>307.3130265017287</c:v>
                </c:pt>
                <c:pt idx="92">
                  <c:v>64.004606463699091</c:v>
                </c:pt>
                <c:pt idx="93">
                  <c:v>186.21322748362732</c:v>
                </c:pt>
                <c:pt idx="94">
                  <c:v>186.21322748362732</c:v>
                </c:pt>
                <c:pt idx="95">
                  <c:v>64.004606463699091</c:v>
                </c:pt>
                <c:pt idx="96">
                  <c:v>543.46826471503471</c:v>
                </c:pt>
                <c:pt idx="97">
                  <c:v>307.3130265017287</c:v>
                </c:pt>
                <c:pt idx="98">
                  <c:v>658.40893587691437</c:v>
                </c:pt>
                <c:pt idx="99">
                  <c:v>543.46826471503471</c:v>
                </c:pt>
                <c:pt idx="100">
                  <c:v>367.21501149747314</c:v>
                </c:pt>
                <c:pt idx="101">
                  <c:v>426.55973781471158</c:v>
                </c:pt>
                <c:pt idx="102">
                  <c:v>307.3130265017287</c:v>
                </c:pt>
                <c:pt idx="103">
                  <c:v>658.40893587691437</c:v>
                </c:pt>
                <c:pt idx="104">
                  <c:v>658.40893587691437</c:v>
                </c:pt>
                <c:pt idx="105">
                  <c:v>658.40893587691437</c:v>
                </c:pt>
                <c:pt idx="106">
                  <c:v>658.40893587691437</c:v>
                </c:pt>
                <c:pt idx="107">
                  <c:v>307.3130265017287</c:v>
                </c:pt>
                <c:pt idx="108">
                  <c:v>64.004606463699091</c:v>
                </c:pt>
                <c:pt idx="109">
                  <c:v>426.55973781471158</c:v>
                </c:pt>
                <c:pt idx="110">
                  <c:v>426.55973781471158</c:v>
                </c:pt>
                <c:pt idx="111">
                  <c:v>658.40893587691437</c:v>
                </c:pt>
                <c:pt idx="112">
                  <c:v>658.40893587691437</c:v>
                </c:pt>
                <c:pt idx="113">
                  <c:v>543.46826471503471</c:v>
                </c:pt>
                <c:pt idx="114">
                  <c:v>543.46826471503471</c:v>
                </c:pt>
                <c:pt idx="115">
                  <c:v>543.46826471503471</c:v>
                </c:pt>
                <c:pt idx="116">
                  <c:v>543.46826471503471</c:v>
                </c:pt>
                <c:pt idx="117">
                  <c:v>658.40893587691437</c:v>
                </c:pt>
                <c:pt idx="118">
                  <c:v>715.38305855003455</c:v>
                </c:pt>
                <c:pt idx="119">
                  <c:v>658.40893587691437</c:v>
                </c:pt>
                <c:pt idx="120">
                  <c:v>772.13604557822566</c:v>
                </c:pt>
                <c:pt idx="121">
                  <c:v>658.40893587691437</c:v>
                </c:pt>
                <c:pt idx="122">
                  <c:v>543.46826471503471</c:v>
                </c:pt>
                <c:pt idx="123">
                  <c:v>601.13610722004432</c:v>
                </c:pt>
                <c:pt idx="124">
                  <c:v>658.40893587691437</c:v>
                </c:pt>
                <c:pt idx="125">
                  <c:v>1783.3256472942728</c:v>
                </c:pt>
                <c:pt idx="126">
                  <c:v>307.3130265017287</c:v>
                </c:pt>
                <c:pt idx="127">
                  <c:v>246.94478633105379</c:v>
                </c:pt>
                <c:pt idx="128">
                  <c:v>8.2441148959422534</c:v>
                </c:pt>
                <c:pt idx="129">
                  <c:v>543.46826471503471</c:v>
                </c:pt>
                <c:pt idx="130">
                  <c:v>658.40893587691437</c:v>
                </c:pt>
                <c:pt idx="131">
                  <c:v>543.46826471503471</c:v>
                </c:pt>
                <c:pt idx="132">
                  <c:v>543.46826471503471</c:v>
                </c:pt>
                <c:pt idx="133">
                  <c:v>543.46826471503471</c:v>
                </c:pt>
                <c:pt idx="134">
                  <c:v>543.46826471503471</c:v>
                </c:pt>
                <c:pt idx="135">
                  <c:v>543.46826471503471</c:v>
                </c:pt>
                <c:pt idx="136">
                  <c:v>543.46826471503471</c:v>
                </c:pt>
                <c:pt idx="137">
                  <c:v>8.2441148959422534</c:v>
                </c:pt>
                <c:pt idx="138">
                  <c:v>426.55973781471158</c:v>
                </c:pt>
                <c:pt idx="139">
                  <c:v>658.40893587691437</c:v>
                </c:pt>
                <c:pt idx="140">
                  <c:v>125.20943832560391</c:v>
                </c:pt>
                <c:pt idx="141">
                  <c:v>658.40893587691437</c:v>
                </c:pt>
                <c:pt idx="142">
                  <c:v>543.46826471503471</c:v>
                </c:pt>
                <c:pt idx="143">
                  <c:v>426.55973781471158</c:v>
                </c:pt>
                <c:pt idx="144">
                  <c:v>658.40893587691437</c:v>
                </c:pt>
                <c:pt idx="145">
                  <c:v>658.40893587691437</c:v>
                </c:pt>
                <c:pt idx="146">
                  <c:v>125.20943832560391</c:v>
                </c:pt>
                <c:pt idx="147">
                  <c:v>64.004606463699091</c:v>
                </c:pt>
                <c:pt idx="148">
                  <c:v>186.21322748362732</c:v>
                </c:pt>
                <c:pt idx="149">
                  <c:v>8.2441148959422534</c:v>
                </c:pt>
                <c:pt idx="150">
                  <c:v>307.3130265017287</c:v>
                </c:pt>
                <c:pt idx="151">
                  <c:v>307.3130265017287</c:v>
                </c:pt>
                <c:pt idx="152">
                  <c:v>307.3130265017287</c:v>
                </c:pt>
                <c:pt idx="153">
                  <c:v>125.20943832560391</c:v>
                </c:pt>
                <c:pt idx="154">
                  <c:v>64.004606463699091</c:v>
                </c:pt>
                <c:pt idx="155">
                  <c:v>601.13610722004432</c:v>
                </c:pt>
                <c:pt idx="156">
                  <c:v>601.13610722004432</c:v>
                </c:pt>
                <c:pt idx="157">
                  <c:v>8.2441148959422534</c:v>
                </c:pt>
                <c:pt idx="158">
                  <c:v>186.21322748362732</c:v>
                </c:pt>
                <c:pt idx="159">
                  <c:v>307.3130265017287</c:v>
                </c:pt>
                <c:pt idx="160">
                  <c:v>64.004606463699091</c:v>
                </c:pt>
                <c:pt idx="161">
                  <c:v>307.3130265017287</c:v>
                </c:pt>
                <c:pt idx="162">
                  <c:v>64.004606463699091</c:v>
                </c:pt>
                <c:pt idx="163">
                  <c:v>125.20943832560391</c:v>
                </c:pt>
                <c:pt idx="164">
                  <c:v>307.3130265017287</c:v>
                </c:pt>
                <c:pt idx="165">
                  <c:v>307.3130265017287</c:v>
                </c:pt>
                <c:pt idx="166">
                  <c:v>-58.813339664732766</c:v>
                </c:pt>
                <c:pt idx="167">
                  <c:v>186.21322748362732</c:v>
                </c:pt>
                <c:pt idx="168">
                  <c:v>658.40893587691437</c:v>
                </c:pt>
                <c:pt idx="169">
                  <c:v>658.40893587691437</c:v>
                </c:pt>
                <c:pt idx="170">
                  <c:v>186.21322748362732</c:v>
                </c:pt>
                <c:pt idx="171">
                  <c:v>543.46826471503471</c:v>
                </c:pt>
                <c:pt idx="172">
                  <c:v>64.004606463699091</c:v>
                </c:pt>
                <c:pt idx="173">
                  <c:v>8.2441148959422534</c:v>
                </c:pt>
                <c:pt idx="174">
                  <c:v>658.40893587691437</c:v>
                </c:pt>
                <c:pt idx="175">
                  <c:v>307.3130265017287</c:v>
                </c:pt>
                <c:pt idx="176">
                  <c:v>64.004606463699091</c:v>
                </c:pt>
                <c:pt idx="177">
                  <c:v>543.46826471503471</c:v>
                </c:pt>
                <c:pt idx="178">
                  <c:v>307.3130265017287</c:v>
                </c:pt>
                <c:pt idx="179">
                  <c:v>307.3130265017287</c:v>
                </c:pt>
                <c:pt idx="180">
                  <c:v>307.3130265017287</c:v>
                </c:pt>
                <c:pt idx="181">
                  <c:v>307.3130265017287</c:v>
                </c:pt>
                <c:pt idx="182">
                  <c:v>307.3130265017287</c:v>
                </c:pt>
                <c:pt idx="183">
                  <c:v>543.46826471503471</c:v>
                </c:pt>
                <c:pt idx="184">
                  <c:v>543.46826471503471</c:v>
                </c:pt>
                <c:pt idx="185">
                  <c:v>426.55973781471158</c:v>
                </c:pt>
                <c:pt idx="186">
                  <c:v>543.46826471503471</c:v>
                </c:pt>
                <c:pt idx="187">
                  <c:v>658.40893587691437</c:v>
                </c:pt>
                <c:pt idx="188">
                  <c:v>543.46826471503471</c:v>
                </c:pt>
                <c:pt idx="189">
                  <c:v>307.3130265017287</c:v>
                </c:pt>
                <c:pt idx="190">
                  <c:v>186.21322748362732</c:v>
                </c:pt>
                <c:pt idx="191">
                  <c:v>885.1940864941688</c:v>
                </c:pt>
                <c:pt idx="192">
                  <c:v>1222.6618835502588</c:v>
                </c:pt>
                <c:pt idx="193">
                  <c:v>186.21322748362732</c:v>
                </c:pt>
                <c:pt idx="194">
                  <c:v>1054.129972746679</c:v>
                </c:pt>
                <c:pt idx="195">
                  <c:v>307.3130265017287</c:v>
                </c:pt>
                <c:pt idx="196">
                  <c:v>125.20943832560391</c:v>
                </c:pt>
                <c:pt idx="197">
                  <c:v>64.004606463699091</c:v>
                </c:pt>
                <c:pt idx="198">
                  <c:v>307.3130265017287</c:v>
                </c:pt>
                <c:pt idx="199">
                  <c:v>307.3130265017287</c:v>
                </c:pt>
                <c:pt idx="200">
                  <c:v>307.3130265017287</c:v>
                </c:pt>
                <c:pt idx="201">
                  <c:v>307.3130265017287</c:v>
                </c:pt>
                <c:pt idx="202">
                  <c:v>307.3130265017287</c:v>
                </c:pt>
                <c:pt idx="203">
                  <c:v>307.3130265017287</c:v>
                </c:pt>
                <c:pt idx="204">
                  <c:v>307.3130265017287</c:v>
                </c:pt>
                <c:pt idx="205">
                  <c:v>307.3130265017287</c:v>
                </c:pt>
                <c:pt idx="206">
                  <c:v>772.13604557822566</c:v>
                </c:pt>
                <c:pt idx="207">
                  <c:v>772.13604557822566</c:v>
                </c:pt>
                <c:pt idx="208">
                  <c:v>186.21322748362732</c:v>
                </c:pt>
                <c:pt idx="209">
                  <c:v>772.13604557822566</c:v>
                </c:pt>
                <c:pt idx="210">
                  <c:v>772.13604557822566</c:v>
                </c:pt>
                <c:pt idx="211">
                  <c:v>772.13604557822566</c:v>
                </c:pt>
                <c:pt idx="212">
                  <c:v>772.13604557822566</c:v>
                </c:pt>
                <c:pt idx="213">
                  <c:v>1110.3394208423936</c:v>
                </c:pt>
                <c:pt idx="214">
                  <c:v>1110.3394208423936</c:v>
                </c:pt>
                <c:pt idx="215">
                  <c:v>1110.3394208423936</c:v>
                </c:pt>
                <c:pt idx="216">
                  <c:v>828.7257872863521</c:v>
                </c:pt>
                <c:pt idx="217">
                  <c:v>658.40893587691437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F74-4C79-A998-1D7DACAA5F28}"/>
            </c:ext>
          </c:extLst>
        </c:ser>
        <c:ser>
          <c:idx val="5"/>
          <c:order val="5"/>
          <c:tx>
            <c:v>Confidence_Interval_Max</c:v>
          </c:tx>
          <c:spPr>
            <a:ln w="28575">
              <a:noFill/>
            </a:ln>
          </c:spPr>
          <c:marker>
            <c:symbol val="none"/>
          </c:marker>
          <c:xVal>
            <c:numRef>
              <c:f>Confidence_and_Prediction_Inte!$C$3:$C$220</c:f>
              <c:numCache>
                <c:formatCode>0</c:formatCode>
                <c:ptCount val="218"/>
                <c:pt idx="0">
                  <c:v>304.95699999999999</c:v>
                </c:pt>
                <c:pt idx="1">
                  <c:v>0</c:v>
                </c:pt>
                <c:pt idx="2">
                  <c:v>304.95699999999999</c:v>
                </c:pt>
                <c:pt idx="3">
                  <c:v>304.95699999999999</c:v>
                </c:pt>
                <c:pt idx="4">
                  <c:v>304.95699999999999</c:v>
                </c:pt>
                <c:pt idx="5">
                  <c:v>304.95699999999999</c:v>
                </c:pt>
                <c:pt idx="6">
                  <c:v>553.44900000000007</c:v>
                </c:pt>
                <c:pt idx="7">
                  <c:v>242.834</c:v>
                </c:pt>
                <c:pt idx="8">
                  <c:v>926.1869999999999</c:v>
                </c:pt>
                <c:pt idx="9">
                  <c:v>1174.6790000000001</c:v>
                </c:pt>
                <c:pt idx="10">
                  <c:v>304.95699999999999</c:v>
                </c:pt>
                <c:pt idx="11">
                  <c:v>553.44900000000007</c:v>
                </c:pt>
                <c:pt idx="12">
                  <c:v>1174.6790000000001</c:v>
                </c:pt>
                <c:pt idx="13">
                  <c:v>1174.6790000000001</c:v>
                </c:pt>
                <c:pt idx="14">
                  <c:v>1174.6790000000001</c:v>
                </c:pt>
                <c:pt idx="15">
                  <c:v>429.20299999999997</c:v>
                </c:pt>
                <c:pt idx="16">
                  <c:v>429.20299999999997</c:v>
                </c:pt>
                <c:pt idx="17">
                  <c:v>677.69499999999994</c:v>
                </c:pt>
                <c:pt idx="18">
                  <c:v>429.20299999999997</c:v>
                </c:pt>
                <c:pt idx="19">
                  <c:v>677.69499999999994</c:v>
                </c:pt>
                <c:pt idx="20">
                  <c:v>429.20299999999997</c:v>
                </c:pt>
                <c:pt idx="21">
                  <c:v>429.20299999999997</c:v>
                </c:pt>
                <c:pt idx="22">
                  <c:v>0</c:v>
                </c:pt>
                <c:pt idx="23">
                  <c:v>0</c:v>
                </c:pt>
                <c:pt idx="24">
                  <c:v>304.95699999999999</c:v>
                </c:pt>
                <c:pt idx="25">
                  <c:v>0</c:v>
                </c:pt>
                <c:pt idx="26">
                  <c:v>553.44900000000007</c:v>
                </c:pt>
                <c:pt idx="27">
                  <c:v>553.44900000000007</c:v>
                </c:pt>
                <c:pt idx="28">
                  <c:v>304.95699999999999</c:v>
                </c:pt>
                <c:pt idx="29">
                  <c:v>304.95699999999999</c:v>
                </c:pt>
                <c:pt idx="30">
                  <c:v>304.95699999999999</c:v>
                </c:pt>
                <c:pt idx="31">
                  <c:v>553.44900000000007</c:v>
                </c:pt>
                <c:pt idx="32">
                  <c:v>553.44900000000007</c:v>
                </c:pt>
                <c:pt idx="33">
                  <c:v>553.44900000000007</c:v>
                </c:pt>
                <c:pt idx="34">
                  <c:v>553.44900000000007</c:v>
                </c:pt>
                <c:pt idx="35">
                  <c:v>553.44900000000007</c:v>
                </c:pt>
                <c:pt idx="36">
                  <c:v>429.20299999999997</c:v>
                </c:pt>
                <c:pt idx="37">
                  <c:v>429.20299999999997</c:v>
                </c:pt>
                <c:pt idx="38">
                  <c:v>429.20299999999997</c:v>
                </c:pt>
                <c:pt idx="39">
                  <c:v>429.20299999999997</c:v>
                </c:pt>
                <c:pt idx="40">
                  <c:v>56.464999999999989</c:v>
                </c:pt>
                <c:pt idx="41">
                  <c:v>56.464999999999989</c:v>
                </c:pt>
                <c:pt idx="42">
                  <c:v>118.58799999999999</c:v>
                </c:pt>
                <c:pt idx="43">
                  <c:v>926.1869999999999</c:v>
                </c:pt>
                <c:pt idx="44">
                  <c:v>1050.433</c:v>
                </c:pt>
                <c:pt idx="45">
                  <c:v>429.20299999999997</c:v>
                </c:pt>
                <c:pt idx="46">
                  <c:v>677.69499999999994</c:v>
                </c:pt>
                <c:pt idx="47">
                  <c:v>429.20299999999997</c:v>
                </c:pt>
                <c:pt idx="48">
                  <c:v>553.44900000000007</c:v>
                </c:pt>
                <c:pt idx="49">
                  <c:v>553.44900000000007</c:v>
                </c:pt>
                <c:pt idx="50">
                  <c:v>429.20299999999997</c:v>
                </c:pt>
                <c:pt idx="51">
                  <c:v>553.44900000000007</c:v>
                </c:pt>
                <c:pt idx="52">
                  <c:v>180.71099999999998</c:v>
                </c:pt>
                <c:pt idx="53">
                  <c:v>180.71099999999998</c:v>
                </c:pt>
                <c:pt idx="54">
                  <c:v>180.71099999999998</c:v>
                </c:pt>
                <c:pt idx="55">
                  <c:v>180.71099999999998</c:v>
                </c:pt>
                <c:pt idx="56">
                  <c:v>118.58799999999999</c:v>
                </c:pt>
                <c:pt idx="57">
                  <c:v>553.44900000000007</c:v>
                </c:pt>
                <c:pt idx="58">
                  <c:v>553.44900000000007</c:v>
                </c:pt>
                <c:pt idx="59">
                  <c:v>118.58799999999999</c:v>
                </c:pt>
                <c:pt idx="60">
                  <c:v>180.71099999999998</c:v>
                </c:pt>
                <c:pt idx="61">
                  <c:v>56.464999999999989</c:v>
                </c:pt>
                <c:pt idx="62">
                  <c:v>56.464999999999989</c:v>
                </c:pt>
                <c:pt idx="63">
                  <c:v>429.20299999999997</c:v>
                </c:pt>
                <c:pt idx="64">
                  <c:v>1050.433</c:v>
                </c:pt>
                <c:pt idx="65">
                  <c:v>1050.433</c:v>
                </c:pt>
                <c:pt idx="66">
                  <c:v>304.95699999999999</c:v>
                </c:pt>
                <c:pt idx="67">
                  <c:v>429.20299999999997</c:v>
                </c:pt>
                <c:pt idx="68">
                  <c:v>553.44900000000007</c:v>
                </c:pt>
                <c:pt idx="69">
                  <c:v>180.71099999999998</c:v>
                </c:pt>
                <c:pt idx="70">
                  <c:v>56.464999999999989</c:v>
                </c:pt>
                <c:pt idx="71">
                  <c:v>553.44900000000007</c:v>
                </c:pt>
                <c:pt idx="72">
                  <c:v>553.44900000000007</c:v>
                </c:pt>
                <c:pt idx="73">
                  <c:v>553.44900000000007</c:v>
                </c:pt>
                <c:pt idx="74">
                  <c:v>553.44900000000007</c:v>
                </c:pt>
                <c:pt idx="75">
                  <c:v>677.69499999999994</c:v>
                </c:pt>
                <c:pt idx="76">
                  <c:v>677.69499999999994</c:v>
                </c:pt>
                <c:pt idx="77">
                  <c:v>180.71099999999998</c:v>
                </c:pt>
                <c:pt idx="78">
                  <c:v>180.71099999999998</c:v>
                </c:pt>
                <c:pt idx="79">
                  <c:v>242.834</c:v>
                </c:pt>
                <c:pt idx="80">
                  <c:v>180.71099999999998</c:v>
                </c:pt>
                <c:pt idx="81">
                  <c:v>180.71099999999998</c:v>
                </c:pt>
                <c:pt idx="82">
                  <c:v>180.71099999999998</c:v>
                </c:pt>
                <c:pt idx="83">
                  <c:v>180.71099999999998</c:v>
                </c:pt>
                <c:pt idx="84">
                  <c:v>367.08</c:v>
                </c:pt>
                <c:pt idx="85">
                  <c:v>429.20299999999997</c:v>
                </c:pt>
                <c:pt idx="86">
                  <c:v>429.20299999999997</c:v>
                </c:pt>
                <c:pt idx="87">
                  <c:v>56.464999999999989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304.95699999999999</c:v>
                </c:pt>
                <c:pt idx="92">
                  <c:v>56.464999999999989</c:v>
                </c:pt>
                <c:pt idx="93">
                  <c:v>180.71099999999998</c:v>
                </c:pt>
                <c:pt idx="94">
                  <c:v>180.71099999999998</c:v>
                </c:pt>
                <c:pt idx="95">
                  <c:v>56.464999999999989</c:v>
                </c:pt>
                <c:pt idx="96">
                  <c:v>553.44900000000007</c:v>
                </c:pt>
                <c:pt idx="97">
                  <c:v>304.95699999999999</c:v>
                </c:pt>
                <c:pt idx="98">
                  <c:v>677.69499999999994</c:v>
                </c:pt>
                <c:pt idx="99">
                  <c:v>553.44900000000007</c:v>
                </c:pt>
                <c:pt idx="100">
                  <c:v>367.08</c:v>
                </c:pt>
                <c:pt idx="101">
                  <c:v>429.20299999999997</c:v>
                </c:pt>
                <c:pt idx="102">
                  <c:v>304.95699999999999</c:v>
                </c:pt>
                <c:pt idx="103">
                  <c:v>677.69499999999994</c:v>
                </c:pt>
                <c:pt idx="104">
                  <c:v>677.69499999999994</c:v>
                </c:pt>
                <c:pt idx="105">
                  <c:v>677.69499999999994</c:v>
                </c:pt>
                <c:pt idx="106">
                  <c:v>677.69499999999994</c:v>
                </c:pt>
                <c:pt idx="107">
                  <c:v>304.95699999999999</c:v>
                </c:pt>
                <c:pt idx="108">
                  <c:v>56.464999999999989</c:v>
                </c:pt>
                <c:pt idx="109">
                  <c:v>429.20299999999997</c:v>
                </c:pt>
                <c:pt idx="110">
                  <c:v>429.20299999999997</c:v>
                </c:pt>
                <c:pt idx="111">
                  <c:v>677.69499999999994</c:v>
                </c:pt>
                <c:pt idx="112">
                  <c:v>677.69499999999994</c:v>
                </c:pt>
                <c:pt idx="113">
                  <c:v>553.44900000000007</c:v>
                </c:pt>
                <c:pt idx="114">
                  <c:v>553.44900000000007</c:v>
                </c:pt>
                <c:pt idx="115">
                  <c:v>553.44900000000007</c:v>
                </c:pt>
                <c:pt idx="116">
                  <c:v>553.44900000000007</c:v>
                </c:pt>
                <c:pt idx="117">
                  <c:v>677.69499999999994</c:v>
                </c:pt>
                <c:pt idx="118">
                  <c:v>739.81799999999998</c:v>
                </c:pt>
                <c:pt idx="119">
                  <c:v>677.69499999999994</c:v>
                </c:pt>
                <c:pt idx="120">
                  <c:v>801.94100000000003</c:v>
                </c:pt>
                <c:pt idx="121">
                  <c:v>677.69499999999994</c:v>
                </c:pt>
                <c:pt idx="122">
                  <c:v>553.44900000000007</c:v>
                </c:pt>
                <c:pt idx="123">
                  <c:v>615.57199999999989</c:v>
                </c:pt>
                <c:pt idx="124">
                  <c:v>677.69499999999994</c:v>
                </c:pt>
                <c:pt idx="125">
                  <c:v>1920.155</c:v>
                </c:pt>
                <c:pt idx="126">
                  <c:v>304.95699999999999</c:v>
                </c:pt>
                <c:pt idx="127">
                  <c:v>242.834</c:v>
                </c:pt>
                <c:pt idx="128">
                  <c:v>0</c:v>
                </c:pt>
                <c:pt idx="129">
                  <c:v>553.44900000000007</c:v>
                </c:pt>
                <c:pt idx="130">
                  <c:v>677.69499999999994</c:v>
                </c:pt>
                <c:pt idx="131">
                  <c:v>553.44900000000007</c:v>
                </c:pt>
                <c:pt idx="132">
                  <c:v>553.44900000000007</c:v>
                </c:pt>
                <c:pt idx="133">
                  <c:v>553.44900000000007</c:v>
                </c:pt>
                <c:pt idx="134">
                  <c:v>553.44900000000007</c:v>
                </c:pt>
                <c:pt idx="135">
                  <c:v>553.44900000000007</c:v>
                </c:pt>
                <c:pt idx="136">
                  <c:v>553.44900000000007</c:v>
                </c:pt>
                <c:pt idx="137">
                  <c:v>0</c:v>
                </c:pt>
                <c:pt idx="138">
                  <c:v>429.20299999999997</c:v>
                </c:pt>
                <c:pt idx="139">
                  <c:v>677.69499999999994</c:v>
                </c:pt>
                <c:pt idx="140">
                  <c:v>118.58799999999999</c:v>
                </c:pt>
                <c:pt idx="141">
                  <c:v>677.69499999999994</c:v>
                </c:pt>
                <c:pt idx="142">
                  <c:v>553.44900000000007</c:v>
                </c:pt>
                <c:pt idx="143">
                  <c:v>429.20299999999997</c:v>
                </c:pt>
                <c:pt idx="144">
                  <c:v>677.69499999999994</c:v>
                </c:pt>
                <c:pt idx="145">
                  <c:v>677.69499999999994</c:v>
                </c:pt>
                <c:pt idx="146">
                  <c:v>118.58799999999999</c:v>
                </c:pt>
                <c:pt idx="147">
                  <c:v>56.464999999999989</c:v>
                </c:pt>
                <c:pt idx="148">
                  <c:v>180.71099999999998</c:v>
                </c:pt>
                <c:pt idx="149">
                  <c:v>0</c:v>
                </c:pt>
                <c:pt idx="150">
                  <c:v>304.95699999999999</c:v>
                </c:pt>
                <c:pt idx="151">
                  <c:v>304.95699999999999</c:v>
                </c:pt>
                <c:pt idx="152">
                  <c:v>304.95699999999999</c:v>
                </c:pt>
                <c:pt idx="153">
                  <c:v>118.58799999999999</c:v>
                </c:pt>
                <c:pt idx="154">
                  <c:v>56.464999999999989</c:v>
                </c:pt>
                <c:pt idx="155">
                  <c:v>615.57199999999989</c:v>
                </c:pt>
                <c:pt idx="156">
                  <c:v>615.57199999999989</c:v>
                </c:pt>
                <c:pt idx="157">
                  <c:v>0</c:v>
                </c:pt>
                <c:pt idx="158">
                  <c:v>180.71099999999998</c:v>
                </c:pt>
                <c:pt idx="159">
                  <c:v>304.95699999999999</c:v>
                </c:pt>
                <c:pt idx="160">
                  <c:v>56.464999999999989</c:v>
                </c:pt>
                <c:pt idx="161">
                  <c:v>304.95699999999999</c:v>
                </c:pt>
                <c:pt idx="162">
                  <c:v>56.464999999999989</c:v>
                </c:pt>
                <c:pt idx="163">
                  <c:v>118.58799999999999</c:v>
                </c:pt>
                <c:pt idx="164">
                  <c:v>304.95699999999999</c:v>
                </c:pt>
                <c:pt idx="165">
                  <c:v>304.95699999999999</c:v>
                </c:pt>
                <c:pt idx="166">
                  <c:v>-67.781000000000006</c:v>
                </c:pt>
                <c:pt idx="167">
                  <c:v>180.71099999999998</c:v>
                </c:pt>
                <c:pt idx="168">
                  <c:v>677.69499999999994</c:v>
                </c:pt>
                <c:pt idx="169">
                  <c:v>677.69499999999994</c:v>
                </c:pt>
                <c:pt idx="170">
                  <c:v>180.71099999999998</c:v>
                </c:pt>
                <c:pt idx="171">
                  <c:v>553.44900000000007</c:v>
                </c:pt>
                <c:pt idx="172">
                  <c:v>56.464999999999989</c:v>
                </c:pt>
                <c:pt idx="173">
                  <c:v>0</c:v>
                </c:pt>
                <c:pt idx="174">
                  <c:v>677.69499999999994</c:v>
                </c:pt>
                <c:pt idx="175">
                  <c:v>304.95699999999999</c:v>
                </c:pt>
                <c:pt idx="176">
                  <c:v>56.464999999999989</c:v>
                </c:pt>
                <c:pt idx="177">
                  <c:v>553.44900000000007</c:v>
                </c:pt>
                <c:pt idx="178">
                  <c:v>304.95699999999999</c:v>
                </c:pt>
                <c:pt idx="179">
                  <c:v>304.95699999999999</c:v>
                </c:pt>
                <c:pt idx="180">
                  <c:v>304.95699999999999</c:v>
                </c:pt>
                <c:pt idx="181">
                  <c:v>304.95699999999999</c:v>
                </c:pt>
                <c:pt idx="182">
                  <c:v>304.95699999999999</c:v>
                </c:pt>
                <c:pt idx="183">
                  <c:v>553.44900000000007</c:v>
                </c:pt>
                <c:pt idx="184">
                  <c:v>553.44900000000007</c:v>
                </c:pt>
                <c:pt idx="185">
                  <c:v>429.20299999999997</c:v>
                </c:pt>
                <c:pt idx="186">
                  <c:v>553.44900000000007</c:v>
                </c:pt>
                <c:pt idx="187">
                  <c:v>677.69499999999994</c:v>
                </c:pt>
                <c:pt idx="188">
                  <c:v>553.44900000000007</c:v>
                </c:pt>
                <c:pt idx="189">
                  <c:v>304.95699999999999</c:v>
                </c:pt>
                <c:pt idx="190">
                  <c:v>180.71099999999998</c:v>
                </c:pt>
                <c:pt idx="191">
                  <c:v>926.1869999999999</c:v>
                </c:pt>
                <c:pt idx="192">
                  <c:v>1298.925</c:v>
                </c:pt>
                <c:pt idx="193">
                  <c:v>180.71099999999998</c:v>
                </c:pt>
                <c:pt idx="194">
                  <c:v>1112.556</c:v>
                </c:pt>
                <c:pt idx="195">
                  <c:v>304.95699999999999</c:v>
                </c:pt>
                <c:pt idx="196">
                  <c:v>118.58799999999999</c:v>
                </c:pt>
                <c:pt idx="197">
                  <c:v>56.464999999999989</c:v>
                </c:pt>
                <c:pt idx="198">
                  <c:v>304.95699999999999</c:v>
                </c:pt>
                <c:pt idx="199">
                  <c:v>304.95699999999999</c:v>
                </c:pt>
                <c:pt idx="200">
                  <c:v>304.95699999999999</c:v>
                </c:pt>
                <c:pt idx="201">
                  <c:v>304.95699999999999</c:v>
                </c:pt>
                <c:pt idx="202">
                  <c:v>304.95699999999999</c:v>
                </c:pt>
                <c:pt idx="203">
                  <c:v>304.95699999999999</c:v>
                </c:pt>
                <c:pt idx="204">
                  <c:v>304.95699999999999</c:v>
                </c:pt>
                <c:pt idx="205">
                  <c:v>304.95699999999999</c:v>
                </c:pt>
                <c:pt idx="206">
                  <c:v>801.94100000000003</c:v>
                </c:pt>
                <c:pt idx="207">
                  <c:v>801.94100000000003</c:v>
                </c:pt>
                <c:pt idx="208">
                  <c:v>180.71099999999998</c:v>
                </c:pt>
                <c:pt idx="209">
                  <c:v>801.94100000000003</c:v>
                </c:pt>
                <c:pt idx="210">
                  <c:v>801.94100000000003</c:v>
                </c:pt>
                <c:pt idx="211">
                  <c:v>801.94100000000003</c:v>
                </c:pt>
                <c:pt idx="212">
                  <c:v>801.94100000000003</c:v>
                </c:pt>
                <c:pt idx="213">
                  <c:v>1174.6790000000001</c:v>
                </c:pt>
                <c:pt idx="214">
                  <c:v>1174.6790000000001</c:v>
                </c:pt>
                <c:pt idx="215">
                  <c:v>1174.6790000000001</c:v>
                </c:pt>
                <c:pt idx="216">
                  <c:v>864.06399999999985</c:v>
                </c:pt>
                <c:pt idx="217">
                  <c:v>677.69499999999994</c:v>
                </c:pt>
              </c:numCache>
            </c:numRef>
          </c:xVal>
          <c:yVal>
            <c:numRef>
              <c:f>Confidence_and_Prediction_Inte!$N$3:$N$220</c:f>
              <c:numCache>
                <c:formatCode>0</c:formatCode>
                <c:ptCount val="218"/>
                <c:pt idx="0">
                  <c:v>339.33836215683834</c:v>
                </c:pt>
                <c:pt idx="1">
                  <c:v>59.638519597590097</c:v>
                </c:pt>
                <c:pt idx="2">
                  <c:v>339.33836215683834</c:v>
                </c:pt>
                <c:pt idx="3">
                  <c:v>339.33836215683834</c:v>
                </c:pt>
                <c:pt idx="4">
                  <c:v>339.33836215683834</c:v>
                </c:pt>
                <c:pt idx="5">
                  <c:v>339.33836215683834</c:v>
                </c:pt>
                <c:pt idx="6">
                  <c:v>574.78864623020843</c:v>
                </c:pt>
                <c:pt idx="7">
                  <c:v>281.80522175584429</c:v>
                </c:pt>
                <c:pt idx="8">
                  <c:v>940.47110788108773</c:v>
                </c:pt>
                <c:pt idx="9">
                  <c:v>1186.9312958195394</c:v>
                </c:pt>
                <c:pt idx="10">
                  <c:v>339.33836215683834</c:v>
                </c:pt>
                <c:pt idx="11">
                  <c:v>574.78864623020843</c:v>
                </c:pt>
                <c:pt idx="12">
                  <c:v>1186.9312958195394</c:v>
                </c:pt>
                <c:pt idx="13">
                  <c:v>1186.9312958195394</c:v>
                </c:pt>
                <c:pt idx="14">
                  <c:v>1186.9312958195394</c:v>
                </c:pt>
                <c:pt idx="15">
                  <c:v>455.89441198719345</c:v>
                </c:pt>
                <c:pt idx="16">
                  <c:v>455.89441198719345</c:v>
                </c:pt>
                <c:pt idx="17">
                  <c:v>695.65073621166641</c:v>
                </c:pt>
                <c:pt idx="18">
                  <c:v>455.89441198719345</c:v>
                </c:pt>
                <c:pt idx="19">
                  <c:v>695.65073621166641</c:v>
                </c:pt>
                <c:pt idx="20">
                  <c:v>455.89441198719345</c:v>
                </c:pt>
                <c:pt idx="21">
                  <c:v>455.89441198719345</c:v>
                </c:pt>
                <c:pt idx="22">
                  <c:v>59.638519597590097</c:v>
                </c:pt>
                <c:pt idx="23">
                  <c:v>59.638519597590097</c:v>
                </c:pt>
                <c:pt idx="24">
                  <c:v>339.33836215683834</c:v>
                </c:pt>
                <c:pt idx="25">
                  <c:v>59.638519597590097</c:v>
                </c:pt>
                <c:pt idx="26">
                  <c:v>574.78864623020843</c:v>
                </c:pt>
                <c:pt idx="27">
                  <c:v>574.78864623020843</c:v>
                </c:pt>
                <c:pt idx="28">
                  <c:v>339.33836215683834</c:v>
                </c:pt>
                <c:pt idx="29">
                  <c:v>339.33836215683834</c:v>
                </c:pt>
                <c:pt idx="30">
                  <c:v>339.33836215683834</c:v>
                </c:pt>
                <c:pt idx="31">
                  <c:v>574.78864623020843</c:v>
                </c:pt>
                <c:pt idx="32">
                  <c:v>574.78864623020843</c:v>
                </c:pt>
                <c:pt idx="33">
                  <c:v>574.78864623020843</c:v>
                </c:pt>
                <c:pt idx="34">
                  <c:v>574.78864623020843</c:v>
                </c:pt>
                <c:pt idx="35">
                  <c:v>574.78864623020843</c:v>
                </c:pt>
                <c:pt idx="36">
                  <c:v>455.89441198719345</c:v>
                </c:pt>
                <c:pt idx="37">
                  <c:v>455.89441198719345</c:v>
                </c:pt>
                <c:pt idx="38">
                  <c:v>455.89441198719345</c:v>
                </c:pt>
                <c:pt idx="39">
                  <c:v>455.89441198719345</c:v>
                </c:pt>
                <c:pt idx="40">
                  <c:v>111.04125990819212</c:v>
                </c:pt>
                <c:pt idx="41">
                  <c:v>111.04125990819212</c:v>
                </c:pt>
                <c:pt idx="42">
                  <c:v>167.73780861795626</c:v>
                </c:pt>
                <c:pt idx="43">
                  <c:v>940.47110788108773</c:v>
                </c:pt>
                <c:pt idx="44">
                  <c:v>1063.5903359747508</c:v>
                </c:pt>
                <c:pt idx="45">
                  <c:v>455.89441198719345</c:v>
                </c:pt>
                <c:pt idx="46">
                  <c:v>695.65073621166641</c:v>
                </c:pt>
                <c:pt idx="47">
                  <c:v>455.89441198719345</c:v>
                </c:pt>
                <c:pt idx="48">
                  <c:v>574.78864623020843</c:v>
                </c:pt>
                <c:pt idx="49">
                  <c:v>574.78864623020843</c:v>
                </c:pt>
                <c:pt idx="50">
                  <c:v>455.89441198719345</c:v>
                </c:pt>
                <c:pt idx="51">
                  <c:v>574.78864623020843</c:v>
                </c:pt>
                <c:pt idx="52">
                  <c:v>224.63540003160179</c:v>
                </c:pt>
                <c:pt idx="53">
                  <c:v>224.63540003160179</c:v>
                </c:pt>
                <c:pt idx="54">
                  <c:v>224.63540003160179</c:v>
                </c:pt>
                <c:pt idx="55">
                  <c:v>224.63540003160179</c:v>
                </c:pt>
                <c:pt idx="56">
                  <c:v>167.73780861795626</c:v>
                </c:pt>
                <c:pt idx="57">
                  <c:v>574.78864623020843</c:v>
                </c:pt>
                <c:pt idx="58">
                  <c:v>574.78864623020843</c:v>
                </c:pt>
                <c:pt idx="59">
                  <c:v>167.73780861795626</c:v>
                </c:pt>
                <c:pt idx="60">
                  <c:v>224.63540003160179</c:v>
                </c:pt>
                <c:pt idx="61">
                  <c:v>111.04125990819212</c:v>
                </c:pt>
                <c:pt idx="62">
                  <c:v>111.04125990819212</c:v>
                </c:pt>
                <c:pt idx="63">
                  <c:v>455.89441198719345</c:v>
                </c:pt>
                <c:pt idx="64">
                  <c:v>1063.5903359747508</c:v>
                </c:pt>
                <c:pt idx="65">
                  <c:v>1063.5903359747508</c:v>
                </c:pt>
                <c:pt idx="66">
                  <c:v>339.33836215683834</c:v>
                </c:pt>
                <c:pt idx="67">
                  <c:v>455.89441198719345</c:v>
                </c:pt>
                <c:pt idx="68">
                  <c:v>574.78864623020843</c:v>
                </c:pt>
                <c:pt idx="69">
                  <c:v>224.63540003160179</c:v>
                </c:pt>
                <c:pt idx="70">
                  <c:v>111.04125990819212</c:v>
                </c:pt>
                <c:pt idx="71">
                  <c:v>574.78864623020843</c:v>
                </c:pt>
                <c:pt idx="72">
                  <c:v>574.78864623020843</c:v>
                </c:pt>
                <c:pt idx="73">
                  <c:v>574.78864623020843</c:v>
                </c:pt>
                <c:pt idx="74">
                  <c:v>574.78864623020843</c:v>
                </c:pt>
                <c:pt idx="75">
                  <c:v>695.65073621166641</c:v>
                </c:pt>
                <c:pt idx="76">
                  <c:v>695.65073621166641</c:v>
                </c:pt>
                <c:pt idx="77">
                  <c:v>224.63540003160179</c:v>
                </c:pt>
                <c:pt idx="78">
                  <c:v>224.63540003160179</c:v>
                </c:pt>
                <c:pt idx="79">
                  <c:v>281.80522175584429</c:v>
                </c:pt>
                <c:pt idx="80">
                  <c:v>224.63540003160179</c:v>
                </c:pt>
                <c:pt idx="81">
                  <c:v>224.63540003160179</c:v>
                </c:pt>
                <c:pt idx="82">
                  <c:v>224.63540003160179</c:v>
                </c:pt>
                <c:pt idx="83">
                  <c:v>224.63540003160179</c:v>
                </c:pt>
                <c:pt idx="84">
                  <c:v>397.33775773276295</c:v>
                </c:pt>
                <c:pt idx="85">
                  <c:v>455.89441198719345</c:v>
                </c:pt>
                <c:pt idx="86">
                  <c:v>455.89441198719345</c:v>
                </c:pt>
                <c:pt idx="87">
                  <c:v>111.04125990819212</c:v>
                </c:pt>
                <c:pt idx="88">
                  <c:v>59.638519597590097</c:v>
                </c:pt>
                <c:pt idx="89">
                  <c:v>59.638519597590097</c:v>
                </c:pt>
                <c:pt idx="90">
                  <c:v>59.638519597590097</c:v>
                </c:pt>
                <c:pt idx="91">
                  <c:v>339.33836215683834</c:v>
                </c:pt>
                <c:pt idx="92">
                  <c:v>111.04125990819212</c:v>
                </c:pt>
                <c:pt idx="93">
                  <c:v>224.63540003160179</c:v>
                </c:pt>
                <c:pt idx="94">
                  <c:v>224.63540003160179</c:v>
                </c:pt>
                <c:pt idx="95">
                  <c:v>111.04125990819212</c:v>
                </c:pt>
                <c:pt idx="96">
                  <c:v>574.78864623020843</c:v>
                </c:pt>
                <c:pt idx="97">
                  <c:v>339.33836215683834</c:v>
                </c:pt>
                <c:pt idx="98">
                  <c:v>695.65073621166641</c:v>
                </c:pt>
                <c:pt idx="99">
                  <c:v>574.78864623020843</c:v>
                </c:pt>
                <c:pt idx="100">
                  <c:v>397.33775773276295</c:v>
                </c:pt>
                <c:pt idx="101">
                  <c:v>455.89441198719345</c:v>
                </c:pt>
                <c:pt idx="102">
                  <c:v>339.33836215683834</c:v>
                </c:pt>
                <c:pt idx="103">
                  <c:v>695.65073621166641</c:v>
                </c:pt>
                <c:pt idx="104">
                  <c:v>695.65073621166641</c:v>
                </c:pt>
                <c:pt idx="105">
                  <c:v>695.65073621166641</c:v>
                </c:pt>
                <c:pt idx="106">
                  <c:v>695.65073621166641</c:v>
                </c:pt>
                <c:pt idx="107">
                  <c:v>339.33836215683834</c:v>
                </c:pt>
                <c:pt idx="108">
                  <c:v>111.04125990819212</c:v>
                </c:pt>
                <c:pt idx="109">
                  <c:v>455.89441198719345</c:v>
                </c:pt>
                <c:pt idx="110">
                  <c:v>455.89441198719345</c:v>
                </c:pt>
                <c:pt idx="111">
                  <c:v>695.65073621166641</c:v>
                </c:pt>
                <c:pt idx="112">
                  <c:v>695.65073621166641</c:v>
                </c:pt>
                <c:pt idx="113">
                  <c:v>574.78864623020843</c:v>
                </c:pt>
                <c:pt idx="114">
                  <c:v>574.78864623020843</c:v>
                </c:pt>
                <c:pt idx="115">
                  <c:v>574.78864623020843</c:v>
                </c:pt>
                <c:pt idx="116">
                  <c:v>574.78864623020843</c:v>
                </c:pt>
                <c:pt idx="117">
                  <c:v>695.65073621166641</c:v>
                </c:pt>
                <c:pt idx="118">
                  <c:v>756.57799411021529</c:v>
                </c:pt>
                <c:pt idx="119">
                  <c:v>695.65073621166641</c:v>
                </c:pt>
                <c:pt idx="120">
                  <c:v>817.72638765369322</c:v>
                </c:pt>
                <c:pt idx="121">
                  <c:v>695.65073621166641</c:v>
                </c:pt>
                <c:pt idx="122">
                  <c:v>574.78864623020843</c:v>
                </c:pt>
                <c:pt idx="123">
                  <c:v>635.02218429686741</c:v>
                </c:pt>
                <c:pt idx="124">
                  <c:v>695.65073621166641</c:v>
                </c:pt>
                <c:pt idx="125">
                  <c:v>1928.7616362276874</c:v>
                </c:pt>
                <c:pt idx="126">
                  <c:v>339.33836215683834</c:v>
                </c:pt>
                <c:pt idx="127">
                  <c:v>281.80522175584429</c:v>
                </c:pt>
                <c:pt idx="128">
                  <c:v>59.638519597590097</c:v>
                </c:pt>
                <c:pt idx="129">
                  <c:v>574.78864623020843</c:v>
                </c:pt>
                <c:pt idx="130">
                  <c:v>695.65073621166641</c:v>
                </c:pt>
                <c:pt idx="131">
                  <c:v>574.78864623020843</c:v>
                </c:pt>
                <c:pt idx="132">
                  <c:v>574.78864623020843</c:v>
                </c:pt>
                <c:pt idx="133">
                  <c:v>574.78864623020843</c:v>
                </c:pt>
                <c:pt idx="134">
                  <c:v>574.78864623020843</c:v>
                </c:pt>
                <c:pt idx="135">
                  <c:v>574.78864623020843</c:v>
                </c:pt>
                <c:pt idx="136">
                  <c:v>574.78864623020843</c:v>
                </c:pt>
                <c:pt idx="137">
                  <c:v>59.638519597590097</c:v>
                </c:pt>
                <c:pt idx="138">
                  <c:v>455.89441198719345</c:v>
                </c:pt>
                <c:pt idx="139">
                  <c:v>695.65073621166641</c:v>
                </c:pt>
                <c:pt idx="140">
                  <c:v>167.73780861795626</c:v>
                </c:pt>
                <c:pt idx="141">
                  <c:v>695.65073621166641</c:v>
                </c:pt>
                <c:pt idx="142">
                  <c:v>574.78864623020843</c:v>
                </c:pt>
                <c:pt idx="143">
                  <c:v>455.89441198719345</c:v>
                </c:pt>
                <c:pt idx="144">
                  <c:v>695.65073621166641</c:v>
                </c:pt>
                <c:pt idx="145">
                  <c:v>695.65073621166641</c:v>
                </c:pt>
                <c:pt idx="146">
                  <c:v>167.73780861795626</c:v>
                </c:pt>
                <c:pt idx="147">
                  <c:v>111.04125990819212</c:v>
                </c:pt>
                <c:pt idx="148">
                  <c:v>224.63540003160179</c:v>
                </c:pt>
                <c:pt idx="149">
                  <c:v>59.638519597590097</c:v>
                </c:pt>
                <c:pt idx="150">
                  <c:v>339.33836215683834</c:v>
                </c:pt>
                <c:pt idx="151">
                  <c:v>339.33836215683834</c:v>
                </c:pt>
                <c:pt idx="152">
                  <c:v>339.33836215683834</c:v>
                </c:pt>
                <c:pt idx="153">
                  <c:v>167.73780861795626</c:v>
                </c:pt>
                <c:pt idx="154">
                  <c:v>111.04125990819212</c:v>
                </c:pt>
                <c:pt idx="155">
                  <c:v>635.02218429686741</c:v>
                </c:pt>
                <c:pt idx="156">
                  <c:v>635.02218429686741</c:v>
                </c:pt>
                <c:pt idx="157">
                  <c:v>59.638519597590097</c:v>
                </c:pt>
                <c:pt idx="158">
                  <c:v>224.63540003160179</c:v>
                </c:pt>
                <c:pt idx="159">
                  <c:v>339.33836215683834</c:v>
                </c:pt>
                <c:pt idx="160">
                  <c:v>111.04125990819212</c:v>
                </c:pt>
                <c:pt idx="161">
                  <c:v>339.33836215683834</c:v>
                </c:pt>
                <c:pt idx="162">
                  <c:v>111.04125990819212</c:v>
                </c:pt>
                <c:pt idx="163">
                  <c:v>167.73780861795626</c:v>
                </c:pt>
                <c:pt idx="164">
                  <c:v>339.33836215683834</c:v>
                </c:pt>
                <c:pt idx="165">
                  <c:v>339.33836215683834</c:v>
                </c:pt>
                <c:pt idx="166">
                  <c:v>-1.9435551067139549</c:v>
                </c:pt>
                <c:pt idx="167">
                  <c:v>224.63540003160179</c:v>
                </c:pt>
                <c:pt idx="168">
                  <c:v>695.65073621166641</c:v>
                </c:pt>
                <c:pt idx="169">
                  <c:v>695.65073621166641</c:v>
                </c:pt>
                <c:pt idx="170">
                  <c:v>224.63540003160179</c:v>
                </c:pt>
                <c:pt idx="171">
                  <c:v>574.78864623020843</c:v>
                </c:pt>
                <c:pt idx="172">
                  <c:v>111.04125990819212</c:v>
                </c:pt>
                <c:pt idx="173">
                  <c:v>59.638519597590097</c:v>
                </c:pt>
                <c:pt idx="174">
                  <c:v>695.65073621166641</c:v>
                </c:pt>
                <c:pt idx="175">
                  <c:v>339.33836215683834</c:v>
                </c:pt>
                <c:pt idx="176">
                  <c:v>111.04125990819212</c:v>
                </c:pt>
                <c:pt idx="177">
                  <c:v>574.78864623020843</c:v>
                </c:pt>
                <c:pt idx="178">
                  <c:v>339.33836215683834</c:v>
                </c:pt>
                <c:pt idx="179">
                  <c:v>339.33836215683834</c:v>
                </c:pt>
                <c:pt idx="180">
                  <c:v>339.33836215683834</c:v>
                </c:pt>
                <c:pt idx="181">
                  <c:v>339.33836215683834</c:v>
                </c:pt>
                <c:pt idx="182">
                  <c:v>339.33836215683834</c:v>
                </c:pt>
                <c:pt idx="183">
                  <c:v>574.78864623020843</c:v>
                </c:pt>
                <c:pt idx="184">
                  <c:v>574.78864623020843</c:v>
                </c:pt>
                <c:pt idx="185">
                  <c:v>455.89441198719345</c:v>
                </c:pt>
                <c:pt idx="186">
                  <c:v>574.78864623020843</c:v>
                </c:pt>
                <c:pt idx="187">
                  <c:v>695.65073621166641</c:v>
                </c:pt>
                <c:pt idx="188">
                  <c:v>574.78864623020843</c:v>
                </c:pt>
                <c:pt idx="189">
                  <c:v>339.33836215683834</c:v>
                </c:pt>
                <c:pt idx="190">
                  <c:v>224.63540003160179</c:v>
                </c:pt>
                <c:pt idx="191">
                  <c:v>940.47110788108773</c:v>
                </c:pt>
                <c:pt idx="192">
                  <c:v>1310.4115942550118</c:v>
                </c:pt>
                <c:pt idx="193">
                  <c:v>224.63540003160179</c:v>
                </c:pt>
                <c:pt idx="194">
                  <c:v>1125.239363343585</c:v>
                </c:pt>
                <c:pt idx="195">
                  <c:v>339.33836215683834</c:v>
                </c:pt>
                <c:pt idx="196">
                  <c:v>167.73780861795626</c:v>
                </c:pt>
                <c:pt idx="197">
                  <c:v>111.04125990819212</c:v>
                </c:pt>
                <c:pt idx="198">
                  <c:v>339.33836215683834</c:v>
                </c:pt>
                <c:pt idx="199">
                  <c:v>339.33836215683834</c:v>
                </c:pt>
                <c:pt idx="200">
                  <c:v>339.33836215683834</c:v>
                </c:pt>
                <c:pt idx="201">
                  <c:v>339.33836215683834</c:v>
                </c:pt>
                <c:pt idx="202">
                  <c:v>339.33836215683834</c:v>
                </c:pt>
                <c:pt idx="203">
                  <c:v>339.33836215683834</c:v>
                </c:pt>
                <c:pt idx="204">
                  <c:v>339.33836215683834</c:v>
                </c:pt>
                <c:pt idx="205">
                  <c:v>339.33836215683834</c:v>
                </c:pt>
                <c:pt idx="206">
                  <c:v>817.72638765369322</c:v>
                </c:pt>
                <c:pt idx="207">
                  <c:v>817.72638765369322</c:v>
                </c:pt>
                <c:pt idx="208">
                  <c:v>224.63540003160179</c:v>
                </c:pt>
                <c:pt idx="209">
                  <c:v>817.72638765369322</c:v>
                </c:pt>
                <c:pt idx="210">
                  <c:v>817.72638765369322</c:v>
                </c:pt>
                <c:pt idx="211">
                  <c:v>817.72638765369322</c:v>
                </c:pt>
                <c:pt idx="212">
                  <c:v>817.72638765369322</c:v>
                </c:pt>
                <c:pt idx="213">
                  <c:v>1186.9312958195394</c:v>
                </c:pt>
                <c:pt idx="214">
                  <c:v>1186.9312958195394</c:v>
                </c:pt>
                <c:pt idx="215">
                  <c:v>1186.9312958195394</c:v>
                </c:pt>
                <c:pt idx="216">
                  <c:v>879.03802651723538</c:v>
                </c:pt>
                <c:pt idx="217">
                  <c:v>695.65073621166641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F74-4C79-A998-1D7DACAA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20992"/>
        <c:axId val="100022912"/>
      </c:scatterChart>
      <c:valAx>
        <c:axId val="100020992"/>
        <c:scaling>
          <c:orientation val="minMax"/>
          <c:max val="2000"/>
          <c:min val="0"/>
        </c:scaling>
        <c:delete val="0"/>
        <c:axPos val="b"/>
        <c:majorGridlines>
          <c:spPr>
            <a:ln w="12700"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de-DE" sz="1600"/>
                  <a:t>True Cooling Capacity (kW)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100022912"/>
        <c:crosses val="autoZero"/>
        <c:crossBetween val="midCat"/>
      </c:valAx>
      <c:valAx>
        <c:axId val="100022912"/>
        <c:scaling>
          <c:orientation val="minMax"/>
          <c:max val="2000"/>
          <c:min val="0"/>
        </c:scaling>
        <c:delete val="0"/>
        <c:axPos val="l"/>
        <c:majorGridlines>
          <c:spPr>
            <a:ln w="12700"/>
          </c:spPr>
        </c:majorGridlines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de-DE" sz="1600"/>
                  <a:t>Estimated Cooling Capacity (kW)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100020992"/>
        <c:crosses val="autoZero"/>
        <c:crossBetween val="midCat"/>
        <c:majorUnit val="500"/>
      </c:valAx>
      <c:spPr>
        <a:noFill/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 w="9525"/>
  </c:spPr>
  <c:printSettings>
    <c:headerFooter/>
    <c:pageMargins b="0.78740157499999996" l="0.7" r="0.7" t="0.78740157499999996" header="0.3" footer="0.3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71281010198806"/>
          <c:y val="0.10758411665642224"/>
          <c:w val="0.67927569451716163"/>
          <c:h val="0.76776231953585306"/>
        </c:manualLayout>
      </c:layout>
      <c:scatterChart>
        <c:scatterStyle val="lineMarker"/>
        <c:varyColors val="0"/>
        <c:ser>
          <c:idx val="0"/>
          <c:order val="0"/>
          <c:tx>
            <c:v>Vents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chemeClr val="tx1">
                  <a:alpha val="20000"/>
                </a:schemeClr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Confidence_and_Prediction_Inte!$B$3:$B$220</c:f>
              <c:numCache>
                <c:formatCode>General</c:formatCode>
                <c:ptCount val="218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5</c:v>
                </c:pt>
                <c:pt idx="8">
                  <c:v>16</c:v>
                </c:pt>
                <c:pt idx="9">
                  <c:v>20</c:v>
                </c:pt>
                <c:pt idx="10">
                  <c:v>6</c:v>
                </c:pt>
                <c:pt idx="11">
                  <c:v>10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12</c:v>
                </c:pt>
                <c:pt idx="20">
                  <c:v>8</c:v>
                </c:pt>
                <c:pt idx="21">
                  <c:v>8</c:v>
                </c:pt>
                <c:pt idx="22">
                  <c:v>0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16</c:v>
                </c:pt>
                <c:pt idx="44">
                  <c:v>18</c:v>
                </c:pt>
                <c:pt idx="45">
                  <c:v>8</c:v>
                </c:pt>
                <c:pt idx="46">
                  <c:v>12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8</c:v>
                </c:pt>
                <c:pt idx="51">
                  <c:v>10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10</c:v>
                </c:pt>
                <c:pt idx="58">
                  <c:v>10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8</c:v>
                </c:pt>
                <c:pt idx="64">
                  <c:v>18</c:v>
                </c:pt>
                <c:pt idx="65">
                  <c:v>18</c:v>
                </c:pt>
                <c:pt idx="66">
                  <c:v>6</c:v>
                </c:pt>
                <c:pt idx="67">
                  <c:v>8</c:v>
                </c:pt>
                <c:pt idx="68">
                  <c:v>10</c:v>
                </c:pt>
                <c:pt idx="69">
                  <c:v>4</c:v>
                </c:pt>
                <c:pt idx="70">
                  <c:v>2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12</c:v>
                </c:pt>
                <c:pt idx="76">
                  <c:v>12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7</c:v>
                </c:pt>
                <c:pt idx="85">
                  <c:v>8</c:v>
                </c:pt>
                <c:pt idx="86">
                  <c:v>8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6</c:v>
                </c:pt>
                <c:pt idx="92">
                  <c:v>2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10</c:v>
                </c:pt>
                <c:pt idx="97">
                  <c:v>6</c:v>
                </c:pt>
                <c:pt idx="98">
                  <c:v>12</c:v>
                </c:pt>
                <c:pt idx="99">
                  <c:v>10</c:v>
                </c:pt>
                <c:pt idx="100">
                  <c:v>7</c:v>
                </c:pt>
                <c:pt idx="101">
                  <c:v>8</c:v>
                </c:pt>
                <c:pt idx="102">
                  <c:v>6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6</c:v>
                </c:pt>
                <c:pt idx="108">
                  <c:v>2</c:v>
                </c:pt>
                <c:pt idx="109">
                  <c:v>8</c:v>
                </c:pt>
                <c:pt idx="110">
                  <c:v>8</c:v>
                </c:pt>
                <c:pt idx="111">
                  <c:v>12</c:v>
                </c:pt>
                <c:pt idx="112">
                  <c:v>12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12</c:v>
                </c:pt>
                <c:pt idx="118">
                  <c:v>13</c:v>
                </c:pt>
                <c:pt idx="119">
                  <c:v>12</c:v>
                </c:pt>
                <c:pt idx="120">
                  <c:v>14</c:v>
                </c:pt>
                <c:pt idx="121">
                  <c:v>12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32</c:v>
                </c:pt>
                <c:pt idx="126">
                  <c:v>6</c:v>
                </c:pt>
                <c:pt idx="127">
                  <c:v>5</c:v>
                </c:pt>
                <c:pt idx="128">
                  <c:v>0</c:v>
                </c:pt>
                <c:pt idx="129">
                  <c:v>10</c:v>
                </c:pt>
                <c:pt idx="130">
                  <c:v>12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0</c:v>
                </c:pt>
                <c:pt idx="138">
                  <c:v>8</c:v>
                </c:pt>
                <c:pt idx="139">
                  <c:v>12</c:v>
                </c:pt>
                <c:pt idx="140">
                  <c:v>3</c:v>
                </c:pt>
                <c:pt idx="141">
                  <c:v>12</c:v>
                </c:pt>
                <c:pt idx="142">
                  <c:v>10</c:v>
                </c:pt>
                <c:pt idx="143">
                  <c:v>8</c:v>
                </c:pt>
                <c:pt idx="144">
                  <c:v>12</c:v>
                </c:pt>
                <c:pt idx="145">
                  <c:v>12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0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2</c:v>
                </c:pt>
                <c:pt idx="155">
                  <c:v>11</c:v>
                </c:pt>
                <c:pt idx="156">
                  <c:v>11</c:v>
                </c:pt>
                <c:pt idx="157">
                  <c:v>0</c:v>
                </c:pt>
                <c:pt idx="158">
                  <c:v>4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2</c:v>
                </c:pt>
                <c:pt idx="163">
                  <c:v>3</c:v>
                </c:pt>
                <c:pt idx="164">
                  <c:v>6</c:v>
                </c:pt>
                <c:pt idx="165">
                  <c:v>6</c:v>
                </c:pt>
                <c:pt idx="166">
                  <c:v>0</c:v>
                </c:pt>
                <c:pt idx="167">
                  <c:v>4</c:v>
                </c:pt>
                <c:pt idx="168">
                  <c:v>12</c:v>
                </c:pt>
                <c:pt idx="169">
                  <c:v>12</c:v>
                </c:pt>
                <c:pt idx="170">
                  <c:v>4</c:v>
                </c:pt>
                <c:pt idx="171">
                  <c:v>10</c:v>
                </c:pt>
                <c:pt idx="172">
                  <c:v>2</c:v>
                </c:pt>
                <c:pt idx="173">
                  <c:v>0</c:v>
                </c:pt>
                <c:pt idx="174">
                  <c:v>12</c:v>
                </c:pt>
                <c:pt idx="175">
                  <c:v>6</c:v>
                </c:pt>
                <c:pt idx="176">
                  <c:v>2</c:v>
                </c:pt>
                <c:pt idx="177">
                  <c:v>10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10</c:v>
                </c:pt>
                <c:pt idx="184">
                  <c:v>10</c:v>
                </c:pt>
                <c:pt idx="185">
                  <c:v>8</c:v>
                </c:pt>
                <c:pt idx="186">
                  <c:v>10</c:v>
                </c:pt>
                <c:pt idx="187">
                  <c:v>12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16</c:v>
                </c:pt>
                <c:pt idx="192">
                  <c:v>22</c:v>
                </c:pt>
                <c:pt idx="193">
                  <c:v>4</c:v>
                </c:pt>
                <c:pt idx="194">
                  <c:v>19</c:v>
                </c:pt>
                <c:pt idx="195">
                  <c:v>6</c:v>
                </c:pt>
                <c:pt idx="196">
                  <c:v>3</c:v>
                </c:pt>
                <c:pt idx="197">
                  <c:v>2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14</c:v>
                </c:pt>
                <c:pt idx="207">
                  <c:v>14</c:v>
                </c:pt>
                <c:pt idx="208">
                  <c:v>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15</c:v>
                </c:pt>
                <c:pt idx="217">
                  <c:v>12</c:v>
                </c:pt>
              </c:numCache>
            </c:numRef>
          </c:xVal>
          <c:yVal>
            <c:numRef>
              <c:f>Confidence_and_Prediction_Inte!$E$3:$E$220</c:f>
              <c:numCache>
                <c:formatCode>General</c:formatCode>
                <c:ptCount val="21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10</c:v>
                </c:pt>
                <c:pt idx="7">
                  <c:v>5</c:v>
                </c:pt>
                <c:pt idx="8">
                  <c:v>16</c:v>
                </c:pt>
                <c:pt idx="9">
                  <c:v>21</c:v>
                </c:pt>
                <c:pt idx="10">
                  <c:v>8</c:v>
                </c:pt>
                <c:pt idx="11">
                  <c:v>10</c:v>
                </c:pt>
                <c:pt idx="12">
                  <c:v>21</c:v>
                </c:pt>
                <c:pt idx="13">
                  <c:v>20</c:v>
                </c:pt>
                <c:pt idx="14">
                  <c:v>20</c:v>
                </c:pt>
                <c:pt idx="15">
                  <c:v>8</c:v>
                </c:pt>
                <c:pt idx="16">
                  <c:v>8</c:v>
                </c:pt>
                <c:pt idx="17">
                  <c:v>11</c:v>
                </c:pt>
                <c:pt idx="18">
                  <c:v>8</c:v>
                </c:pt>
                <c:pt idx="19">
                  <c:v>12</c:v>
                </c:pt>
                <c:pt idx="20">
                  <c:v>9</c:v>
                </c:pt>
                <c:pt idx="21">
                  <c:v>9</c:v>
                </c:pt>
                <c:pt idx="22">
                  <c:v>4</c:v>
                </c:pt>
                <c:pt idx="23">
                  <c:v>1</c:v>
                </c:pt>
                <c:pt idx="24">
                  <c:v>6</c:v>
                </c:pt>
                <c:pt idx="25">
                  <c:v>4</c:v>
                </c:pt>
                <c:pt idx="26">
                  <c:v>10</c:v>
                </c:pt>
                <c:pt idx="27">
                  <c:v>10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18</c:v>
                </c:pt>
                <c:pt idx="44">
                  <c:v>18</c:v>
                </c:pt>
                <c:pt idx="45">
                  <c:v>9</c:v>
                </c:pt>
                <c:pt idx="46">
                  <c:v>12</c:v>
                </c:pt>
                <c:pt idx="47">
                  <c:v>7</c:v>
                </c:pt>
                <c:pt idx="48">
                  <c:v>10</c:v>
                </c:pt>
                <c:pt idx="49">
                  <c:v>10</c:v>
                </c:pt>
                <c:pt idx="50">
                  <c:v>8</c:v>
                </c:pt>
                <c:pt idx="51">
                  <c:v>11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11</c:v>
                </c:pt>
                <c:pt idx="58">
                  <c:v>11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8</c:v>
                </c:pt>
                <c:pt idx="64">
                  <c:v>18</c:v>
                </c:pt>
                <c:pt idx="65">
                  <c:v>18</c:v>
                </c:pt>
                <c:pt idx="66">
                  <c:v>6</c:v>
                </c:pt>
                <c:pt idx="67">
                  <c:v>8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1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12</c:v>
                </c:pt>
                <c:pt idx="76">
                  <c:v>12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6</c:v>
                </c:pt>
                <c:pt idx="82">
                  <c:v>4</c:v>
                </c:pt>
                <c:pt idx="83">
                  <c:v>3</c:v>
                </c:pt>
                <c:pt idx="84">
                  <c:v>6</c:v>
                </c:pt>
                <c:pt idx="85">
                  <c:v>9</c:v>
                </c:pt>
                <c:pt idx="86">
                  <c:v>8</c:v>
                </c:pt>
                <c:pt idx="87">
                  <c:v>2</c:v>
                </c:pt>
                <c:pt idx="88">
                  <c:v>3</c:v>
                </c:pt>
                <c:pt idx="89">
                  <c:v>5</c:v>
                </c:pt>
                <c:pt idx="90">
                  <c:v>3</c:v>
                </c:pt>
                <c:pt idx="91">
                  <c:v>5</c:v>
                </c:pt>
                <c:pt idx="92">
                  <c:v>2</c:v>
                </c:pt>
                <c:pt idx="93">
                  <c:v>5</c:v>
                </c:pt>
                <c:pt idx="94">
                  <c:v>4</c:v>
                </c:pt>
                <c:pt idx="95">
                  <c:v>2</c:v>
                </c:pt>
                <c:pt idx="96">
                  <c:v>11</c:v>
                </c:pt>
                <c:pt idx="97">
                  <c:v>9</c:v>
                </c:pt>
                <c:pt idx="98">
                  <c:v>12</c:v>
                </c:pt>
                <c:pt idx="99">
                  <c:v>10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6</c:v>
                </c:pt>
                <c:pt idx="108">
                  <c:v>2</c:v>
                </c:pt>
                <c:pt idx="109">
                  <c:v>8</c:v>
                </c:pt>
                <c:pt idx="110">
                  <c:v>7</c:v>
                </c:pt>
                <c:pt idx="111">
                  <c:v>12</c:v>
                </c:pt>
                <c:pt idx="112">
                  <c:v>12</c:v>
                </c:pt>
                <c:pt idx="113">
                  <c:v>11</c:v>
                </c:pt>
                <c:pt idx="114">
                  <c:v>10</c:v>
                </c:pt>
                <c:pt idx="115">
                  <c:v>11</c:v>
                </c:pt>
                <c:pt idx="116">
                  <c:v>11</c:v>
                </c:pt>
                <c:pt idx="117">
                  <c:v>15</c:v>
                </c:pt>
                <c:pt idx="118">
                  <c:v>15</c:v>
                </c:pt>
                <c:pt idx="119">
                  <c:v>12</c:v>
                </c:pt>
                <c:pt idx="120">
                  <c:v>14</c:v>
                </c:pt>
                <c:pt idx="121">
                  <c:v>12</c:v>
                </c:pt>
                <c:pt idx="122">
                  <c:v>10</c:v>
                </c:pt>
                <c:pt idx="123">
                  <c:v>12</c:v>
                </c:pt>
                <c:pt idx="124">
                  <c:v>12</c:v>
                </c:pt>
                <c:pt idx="125">
                  <c:v>32</c:v>
                </c:pt>
                <c:pt idx="126">
                  <c:v>14</c:v>
                </c:pt>
                <c:pt idx="127">
                  <c:v>5</c:v>
                </c:pt>
                <c:pt idx="128">
                  <c:v>10</c:v>
                </c:pt>
                <c:pt idx="129">
                  <c:v>10</c:v>
                </c:pt>
                <c:pt idx="130">
                  <c:v>12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</c:v>
                </c:pt>
                <c:pt idx="138">
                  <c:v>8</c:v>
                </c:pt>
                <c:pt idx="139">
                  <c:v>12</c:v>
                </c:pt>
                <c:pt idx="140">
                  <c:v>2</c:v>
                </c:pt>
                <c:pt idx="141">
                  <c:v>12</c:v>
                </c:pt>
                <c:pt idx="142">
                  <c:v>10</c:v>
                </c:pt>
                <c:pt idx="143">
                  <c:v>8</c:v>
                </c:pt>
                <c:pt idx="144">
                  <c:v>12</c:v>
                </c:pt>
                <c:pt idx="145">
                  <c:v>12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1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2</c:v>
                </c:pt>
                <c:pt idx="155">
                  <c:v>12</c:v>
                </c:pt>
                <c:pt idx="156">
                  <c:v>11</c:v>
                </c:pt>
                <c:pt idx="157">
                  <c:v>2</c:v>
                </c:pt>
                <c:pt idx="158">
                  <c:v>4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4</c:v>
                </c:pt>
                <c:pt idx="163">
                  <c:v>3</c:v>
                </c:pt>
                <c:pt idx="164">
                  <c:v>6</c:v>
                </c:pt>
                <c:pt idx="165">
                  <c:v>6</c:v>
                </c:pt>
                <c:pt idx="166">
                  <c:v>0</c:v>
                </c:pt>
                <c:pt idx="167">
                  <c:v>4</c:v>
                </c:pt>
                <c:pt idx="168">
                  <c:v>12</c:v>
                </c:pt>
                <c:pt idx="169">
                  <c:v>13</c:v>
                </c:pt>
                <c:pt idx="170">
                  <c:v>4</c:v>
                </c:pt>
                <c:pt idx="171">
                  <c:v>10</c:v>
                </c:pt>
                <c:pt idx="172">
                  <c:v>2</c:v>
                </c:pt>
                <c:pt idx="173">
                  <c:v>3</c:v>
                </c:pt>
                <c:pt idx="174">
                  <c:v>12</c:v>
                </c:pt>
                <c:pt idx="175">
                  <c:v>6</c:v>
                </c:pt>
                <c:pt idx="176">
                  <c:v>2</c:v>
                </c:pt>
                <c:pt idx="177">
                  <c:v>10</c:v>
                </c:pt>
                <c:pt idx="178">
                  <c:v>5</c:v>
                </c:pt>
                <c:pt idx="179">
                  <c:v>5</c:v>
                </c:pt>
                <c:pt idx="180">
                  <c:v>4</c:v>
                </c:pt>
                <c:pt idx="181">
                  <c:v>3</c:v>
                </c:pt>
                <c:pt idx="182">
                  <c:v>3</c:v>
                </c:pt>
                <c:pt idx="183">
                  <c:v>7</c:v>
                </c:pt>
                <c:pt idx="184">
                  <c:v>5</c:v>
                </c:pt>
                <c:pt idx="185">
                  <c:v>8</c:v>
                </c:pt>
                <c:pt idx="186">
                  <c:v>10</c:v>
                </c:pt>
                <c:pt idx="187">
                  <c:v>10</c:v>
                </c:pt>
                <c:pt idx="188">
                  <c:v>12</c:v>
                </c:pt>
                <c:pt idx="189">
                  <c:v>6</c:v>
                </c:pt>
                <c:pt idx="190">
                  <c:v>4</c:v>
                </c:pt>
                <c:pt idx="191">
                  <c:v>8</c:v>
                </c:pt>
                <c:pt idx="192">
                  <c:v>22</c:v>
                </c:pt>
                <c:pt idx="193">
                  <c:v>4</c:v>
                </c:pt>
                <c:pt idx="194">
                  <c:v>21</c:v>
                </c:pt>
                <c:pt idx="195">
                  <c:v>6</c:v>
                </c:pt>
                <c:pt idx="196">
                  <c:v>3</c:v>
                </c:pt>
                <c:pt idx="197">
                  <c:v>2</c:v>
                </c:pt>
                <c:pt idx="198">
                  <c:v>7</c:v>
                </c:pt>
                <c:pt idx="199">
                  <c:v>6</c:v>
                </c:pt>
                <c:pt idx="200">
                  <c:v>6</c:v>
                </c:pt>
                <c:pt idx="201">
                  <c:v>7</c:v>
                </c:pt>
                <c:pt idx="202">
                  <c:v>7</c:v>
                </c:pt>
                <c:pt idx="203">
                  <c:v>6</c:v>
                </c:pt>
                <c:pt idx="204">
                  <c:v>6</c:v>
                </c:pt>
                <c:pt idx="205">
                  <c:v>9</c:v>
                </c:pt>
                <c:pt idx="206">
                  <c:v>14</c:v>
                </c:pt>
                <c:pt idx="207">
                  <c:v>14</c:v>
                </c:pt>
                <c:pt idx="208">
                  <c:v>8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20</c:v>
                </c:pt>
                <c:pt idx="214">
                  <c:v>21</c:v>
                </c:pt>
                <c:pt idx="215">
                  <c:v>20</c:v>
                </c:pt>
                <c:pt idx="216">
                  <c:v>16</c:v>
                </c:pt>
                <c:pt idx="217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AA-4D16-86DD-CD24337E4549}"/>
            </c:ext>
          </c:extLst>
        </c:ser>
        <c:ser>
          <c:idx val="1"/>
          <c:order val="1"/>
          <c:tx>
            <c:v>1:1</c:v>
          </c:tx>
          <c:spPr>
            <a:ln w="28575">
              <a:noFill/>
            </a:ln>
          </c:spP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1AA-4D16-86DD-CD24337E4549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91AA-4D16-86DD-CD24337E4549}"/>
              </c:ext>
            </c:extLst>
          </c:dPt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AA-4D16-86DD-CD24337E4549}"/>
            </c:ext>
          </c:extLst>
        </c:ser>
        <c:ser>
          <c:idx val="2"/>
          <c:order val="2"/>
          <c:tx>
            <c:v>Prediction_Interval_Min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Confidence_and_Prediction_Inte!$B$3:$B$220</c:f>
              <c:numCache>
                <c:formatCode>General</c:formatCode>
                <c:ptCount val="218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5</c:v>
                </c:pt>
                <c:pt idx="8">
                  <c:v>16</c:v>
                </c:pt>
                <c:pt idx="9">
                  <c:v>20</c:v>
                </c:pt>
                <c:pt idx="10">
                  <c:v>6</c:v>
                </c:pt>
                <c:pt idx="11">
                  <c:v>10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12</c:v>
                </c:pt>
                <c:pt idx="20">
                  <c:v>8</c:v>
                </c:pt>
                <c:pt idx="21">
                  <c:v>8</c:v>
                </c:pt>
                <c:pt idx="22">
                  <c:v>0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16</c:v>
                </c:pt>
                <c:pt idx="44">
                  <c:v>18</c:v>
                </c:pt>
                <c:pt idx="45">
                  <c:v>8</c:v>
                </c:pt>
                <c:pt idx="46">
                  <c:v>12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8</c:v>
                </c:pt>
                <c:pt idx="51">
                  <c:v>10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10</c:v>
                </c:pt>
                <c:pt idx="58">
                  <c:v>10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8</c:v>
                </c:pt>
                <c:pt idx="64">
                  <c:v>18</c:v>
                </c:pt>
                <c:pt idx="65">
                  <c:v>18</c:v>
                </c:pt>
                <c:pt idx="66">
                  <c:v>6</c:v>
                </c:pt>
                <c:pt idx="67">
                  <c:v>8</c:v>
                </c:pt>
                <c:pt idx="68">
                  <c:v>10</c:v>
                </c:pt>
                <c:pt idx="69">
                  <c:v>4</c:v>
                </c:pt>
                <c:pt idx="70">
                  <c:v>2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12</c:v>
                </c:pt>
                <c:pt idx="76">
                  <c:v>12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7</c:v>
                </c:pt>
                <c:pt idx="85">
                  <c:v>8</c:v>
                </c:pt>
                <c:pt idx="86">
                  <c:v>8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6</c:v>
                </c:pt>
                <c:pt idx="92">
                  <c:v>2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10</c:v>
                </c:pt>
                <c:pt idx="97">
                  <c:v>6</c:v>
                </c:pt>
                <c:pt idx="98">
                  <c:v>12</c:v>
                </c:pt>
                <c:pt idx="99">
                  <c:v>10</c:v>
                </c:pt>
                <c:pt idx="100">
                  <c:v>7</c:v>
                </c:pt>
                <c:pt idx="101">
                  <c:v>8</c:v>
                </c:pt>
                <c:pt idx="102">
                  <c:v>6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6</c:v>
                </c:pt>
                <c:pt idx="108">
                  <c:v>2</c:v>
                </c:pt>
                <c:pt idx="109">
                  <c:v>8</c:v>
                </c:pt>
                <c:pt idx="110">
                  <c:v>8</c:v>
                </c:pt>
                <c:pt idx="111">
                  <c:v>12</c:v>
                </c:pt>
                <c:pt idx="112">
                  <c:v>12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12</c:v>
                </c:pt>
                <c:pt idx="118">
                  <c:v>13</c:v>
                </c:pt>
                <c:pt idx="119">
                  <c:v>12</c:v>
                </c:pt>
                <c:pt idx="120">
                  <c:v>14</c:v>
                </c:pt>
                <c:pt idx="121">
                  <c:v>12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32</c:v>
                </c:pt>
                <c:pt idx="126">
                  <c:v>6</c:v>
                </c:pt>
                <c:pt idx="127">
                  <c:v>5</c:v>
                </c:pt>
                <c:pt idx="128">
                  <c:v>0</c:v>
                </c:pt>
                <c:pt idx="129">
                  <c:v>10</c:v>
                </c:pt>
                <c:pt idx="130">
                  <c:v>12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0</c:v>
                </c:pt>
                <c:pt idx="138">
                  <c:v>8</c:v>
                </c:pt>
                <c:pt idx="139">
                  <c:v>12</c:v>
                </c:pt>
                <c:pt idx="140">
                  <c:v>3</c:v>
                </c:pt>
                <c:pt idx="141">
                  <c:v>12</c:v>
                </c:pt>
                <c:pt idx="142">
                  <c:v>10</c:v>
                </c:pt>
                <c:pt idx="143">
                  <c:v>8</c:v>
                </c:pt>
                <c:pt idx="144">
                  <c:v>12</c:v>
                </c:pt>
                <c:pt idx="145">
                  <c:v>12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0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2</c:v>
                </c:pt>
                <c:pt idx="155">
                  <c:v>11</c:v>
                </c:pt>
                <c:pt idx="156">
                  <c:v>11</c:v>
                </c:pt>
                <c:pt idx="157">
                  <c:v>0</c:v>
                </c:pt>
                <c:pt idx="158">
                  <c:v>4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2</c:v>
                </c:pt>
                <c:pt idx="163">
                  <c:v>3</c:v>
                </c:pt>
                <c:pt idx="164">
                  <c:v>6</c:v>
                </c:pt>
                <c:pt idx="165">
                  <c:v>6</c:v>
                </c:pt>
                <c:pt idx="166">
                  <c:v>0</c:v>
                </c:pt>
                <c:pt idx="167">
                  <c:v>4</c:v>
                </c:pt>
                <c:pt idx="168">
                  <c:v>12</c:v>
                </c:pt>
                <c:pt idx="169">
                  <c:v>12</c:v>
                </c:pt>
                <c:pt idx="170">
                  <c:v>4</c:v>
                </c:pt>
                <c:pt idx="171">
                  <c:v>10</c:v>
                </c:pt>
                <c:pt idx="172">
                  <c:v>2</c:v>
                </c:pt>
                <c:pt idx="173">
                  <c:v>0</c:v>
                </c:pt>
                <c:pt idx="174">
                  <c:v>12</c:v>
                </c:pt>
                <c:pt idx="175">
                  <c:v>6</c:v>
                </c:pt>
                <c:pt idx="176">
                  <c:v>2</c:v>
                </c:pt>
                <c:pt idx="177">
                  <c:v>10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10</c:v>
                </c:pt>
                <c:pt idx="184">
                  <c:v>10</c:v>
                </c:pt>
                <c:pt idx="185">
                  <c:v>8</c:v>
                </c:pt>
                <c:pt idx="186">
                  <c:v>10</c:v>
                </c:pt>
                <c:pt idx="187">
                  <c:v>12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16</c:v>
                </c:pt>
                <c:pt idx="192">
                  <c:v>22</c:v>
                </c:pt>
                <c:pt idx="193">
                  <c:v>4</c:v>
                </c:pt>
                <c:pt idx="194">
                  <c:v>19</c:v>
                </c:pt>
                <c:pt idx="195">
                  <c:v>6</c:v>
                </c:pt>
                <c:pt idx="196">
                  <c:v>3</c:v>
                </c:pt>
                <c:pt idx="197">
                  <c:v>2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14</c:v>
                </c:pt>
                <c:pt idx="207">
                  <c:v>14</c:v>
                </c:pt>
                <c:pt idx="208">
                  <c:v>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15</c:v>
                </c:pt>
                <c:pt idx="217">
                  <c:v>12</c:v>
                </c:pt>
              </c:numCache>
            </c:numRef>
          </c:xVal>
          <c:yVal>
            <c:numRef>
              <c:f>Confidence_and_Prediction_Inte!$P$3:$P$220</c:f>
              <c:numCache>
                <c:formatCode>0</c:formatCode>
                <c:ptCount val="218"/>
                <c:pt idx="0">
                  <c:v>2.736682954686529</c:v>
                </c:pt>
                <c:pt idx="1">
                  <c:v>-2.8332323845449721</c:v>
                </c:pt>
                <c:pt idx="2">
                  <c:v>2.736682954686529</c:v>
                </c:pt>
                <c:pt idx="3">
                  <c:v>2.736682954686529</c:v>
                </c:pt>
                <c:pt idx="4">
                  <c:v>2.736682954686529</c:v>
                </c:pt>
                <c:pt idx="5">
                  <c:v>2.736682954686529</c:v>
                </c:pt>
                <c:pt idx="6">
                  <c:v>6.4499563244117386</c:v>
                </c:pt>
                <c:pt idx="7">
                  <c:v>1.8083641718217724</c:v>
                </c:pt>
                <c:pt idx="8">
                  <c:v>12.019861092581804</c:v>
                </c:pt>
                <c:pt idx="9">
                  <c:v>15.733127412726621</c:v>
                </c:pt>
                <c:pt idx="10">
                  <c:v>2.736682954686529</c:v>
                </c:pt>
                <c:pt idx="11">
                  <c:v>6.4499563244117386</c:v>
                </c:pt>
                <c:pt idx="12">
                  <c:v>15.733127412726621</c:v>
                </c:pt>
                <c:pt idx="13">
                  <c:v>15.733127412726621</c:v>
                </c:pt>
                <c:pt idx="14">
                  <c:v>15.733127412726621</c:v>
                </c:pt>
                <c:pt idx="15">
                  <c:v>4.5933199919181114</c:v>
                </c:pt>
                <c:pt idx="16">
                  <c:v>4.5933199919181114</c:v>
                </c:pt>
                <c:pt idx="17">
                  <c:v>8.3065919520789073</c:v>
                </c:pt>
                <c:pt idx="18">
                  <c:v>4.5933199919181114</c:v>
                </c:pt>
                <c:pt idx="19">
                  <c:v>8.3065919520789073</c:v>
                </c:pt>
                <c:pt idx="20">
                  <c:v>4.5933199919181114</c:v>
                </c:pt>
                <c:pt idx="21">
                  <c:v>4.5933199919181114</c:v>
                </c:pt>
                <c:pt idx="22">
                  <c:v>-2.8332323845449721</c:v>
                </c:pt>
                <c:pt idx="23">
                  <c:v>-2.8332323845449721</c:v>
                </c:pt>
                <c:pt idx="24">
                  <c:v>2.736682954686529</c:v>
                </c:pt>
                <c:pt idx="25">
                  <c:v>-2.8332323845449721</c:v>
                </c:pt>
                <c:pt idx="26">
                  <c:v>6.4499563244117386</c:v>
                </c:pt>
                <c:pt idx="27">
                  <c:v>6.4499563244117386</c:v>
                </c:pt>
                <c:pt idx="28">
                  <c:v>2.736682954686529</c:v>
                </c:pt>
                <c:pt idx="29">
                  <c:v>2.736682954686529</c:v>
                </c:pt>
                <c:pt idx="30">
                  <c:v>2.736682954686529</c:v>
                </c:pt>
                <c:pt idx="31">
                  <c:v>6.4499563244117386</c:v>
                </c:pt>
                <c:pt idx="32">
                  <c:v>6.4499563244117386</c:v>
                </c:pt>
                <c:pt idx="33">
                  <c:v>6.4499563244117386</c:v>
                </c:pt>
                <c:pt idx="34">
                  <c:v>6.4499563244117386</c:v>
                </c:pt>
                <c:pt idx="35">
                  <c:v>6.4499563244117386</c:v>
                </c:pt>
                <c:pt idx="36">
                  <c:v>4.5933199919181114</c:v>
                </c:pt>
                <c:pt idx="37">
                  <c:v>4.5933199919181114</c:v>
                </c:pt>
                <c:pt idx="38">
                  <c:v>4.5933199919181114</c:v>
                </c:pt>
                <c:pt idx="39">
                  <c:v>4.5933199919181114</c:v>
                </c:pt>
                <c:pt idx="40">
                  <c:v>-0.97659323363450046</c:v>
                </c:pt>
                <c:pt idx="41">
                  <c:v>-0.97659323363450046</c:v>
                </c:pt>
                <c:pt idx="42">
                  <c:v>-4.8273922349928888E-2</c:v>
                </c:pt>
                <c:pt idx="43">
                  <c:v>12.019861092581804</c:v>
                </c:pt>
                <c:pt idx="44">
                  <c:v>13.876494605242488</c:v>
                </c:pt>
                <c:pt idx="45">
                  <c:v>4.5933199919181114</c:v>
                </c:pt>
                <c:pt idx="46">
                  <c:v>8.3065919520789073</c:v>
                </c:pt>
                <c:pt idx="47">
                  <c:v>4.5933199919181114</c:v>
                </c:pt>
                <c:pt idx="48">
                  <c:v>6.4499563244117386</c:v>
                </c:pt>
                <c:pt idx="49">
                  <c:v>6.4499563244117386</c:v>
                </c:pt>
                <c:pt idx="50">
                  <c:v>4.5933199919181114</c:v>
                </c:pt>
                <c:pt idx="51">
                  <c:v>6.4499563244117386</c:v>
                </c:pt>
                <c:pt idx="52">
                  <c:v>0.88004521280589465</c:v>
                </c:pt>
                <c:pt idx="53">
                  <c:v>0.88004521280589465</c:v>
                </c:pt>
                <c:pt idx="54">
                  <c:v>0.88004521280589465</c:v>
                </c:pt>
                <c:pt idx="55">
                  <c:v>0.88004521280589465</c:v>
                </c:pt>
                <c:pt idx="56">
                  <c:v>-4.8273922349928888E-2</c:v>
                </c:pt>
                <c:pt idx="57">
                  <c:v>6.4499563244117386</c:v>
                </c:pt>
                <c:pt idx="58">
                  <c:v>6.4499563244117386</c:v>
                </c:pt>
                <c:pt idx="59">
                  <c:v>-4.8273922349928888E-2</c:v>
                </c:pt>
                <c:pt idx="60">
                  <c:v>0.88004521280589465</c:v>
                </c:pt>
                <c:pt idx="61">
                  <c:v>-0.97659323363450046</c:v>
                </c:pt>
                <c:pt idx="62">
                  <c:v>-0.97659323363450046</c:v>
                </c:pt>
                <c:pt idx="63">
                  <c:v>4.5933199919181114</c:v>
                </c:pt>
                <c:pt idx="64">
                  <c:v>13.876494605242488</c:v>
                </c:pt>
                <c:pt idx="65">
                  <c:v>13.876494605242488</c:v>
                </c:pt>
                <c:pt idx="66">
                  <c:v>2.736682954686529</c:v>
                </c:pt>
                <c:pt idx="67">
                  <c:v>4.5933199919181114</c:v>
                </c:pt>
                <c:pt idx="68">
                  <c:v>6.4499563244117386</c:v>
                </c:pt>
                <c:pt idx="69">
                  <c:v>0.88004521280589465</c:v>
                </c:pt>
                <c:pt idx="70">
                  <c:v>-0.97659323363450046</c:v>
                </c:pt>
                <c:pt idx="71">
                  <c:v>6.4499563244117386</c:v>
                </c:pt>
                <c:pt idx="72">
                  <c:v>6.4499563244117386</c:v>
                </c:pt>
                <c:pt idx="73">
                  <c:v>6.4499563244117386</c:v>
                </c:pt>
                <c:pt idx="74">
                  <c:v>6.4499563244117386</c:v>
                </c:pt>
                <c:pt idx="75">
                  <c:v>8.3065919520789073</c:v>
                </c:pt>
                <c:pt idx="76">
                  <c:v>8.3065919520789073</c:v>
                </c:pt>
                <c:pt idx="77">
                  <c:v>0.88004521280589465</c:v>
                </c:pt>
                <c:pt idx="78">
                  <c:v>0.88004521280589465</c:v>
                </c:pt>
                <c:pt idx="79">
                  <c:v>1.8083641718217724</c:v>
                </c:pt>
                <c:pt idx="80">
                  <c:v>0.88004521280589465</c:v>
                </c:pt>
                <c:pt idx="81">
                  <c:v>0.88004521280589465</c:v>
                </c:pt>
                <c:pt idx="82">
                  <c:v>0.88004521280589465</c:v>
                </c:pt>
                <c:pt idx="83">
                  <c:v>0.88004521280589465</c:v>
                </c:pt>
                <c:pt idx="84">
                  <c:v>3.6650015613890177</c:v>
                </c:pt>
                <c:pt idx="85">
                  <c:v>4.5933199919181114</c:v>
                </c:pt>
                <c:pt idx="86">
                  <c:v>4.5933199919181114</c:v>
                </c:pt>
                <c:pt idx="87">
                  <c:v>-0.97659323363450046</c:v>
                </c:pt>
                <c:pt idx="88">
                  <c:v>-2.8332323845449721</c:v>
                </c:pt>
                <c:pt idx="89">
                  <c:v>-2.8332323845449721</c:v>
                </c:pt>
                <c:pt idx="90">
                  <c:v>-2.8332323845449721</c:v>
                </c:pt>
                <c:pt idx="91">
                  <c:v>2.736682954686529</c:v>
                </c:pt>
                <c:pt idx="92">
                  <c:v>-0.97659323363450046</c:v>
                </c:pt>
                <c:pt idx="93">
                  <c:v>0.88004521280589465</c:v>
                </c:pt>
                <c:pt idx="94">
                  <c:v>0.88004521280589465</c:v>
                </c:pt>
                <c:pt idx="95">
                  <c:v>-0.97659323363450046</c:v>
                </c:pt>
                <c:pt idx="96">
                  <c:v>6.4499563244117386</c:v>
                </c:pt>
                <c:pt idx="97">
                  <c:v>2.736682954686529</c:v>
                </c:pt>
                <c:pt idx="98">
                  <c:v>8.3065919520789073</c:v>
                </c:pt>
                <c:pt idx="99">
                  <c:v>6.4499563244117386</c:v>
                </c:pt>
                <c:pt idx="100">
                  <c:v>3.6650015613890177</c:v>
                </c:pt>
                <c:pt idx="101">
                  <c:v>4.5933199919181114</c:v>
                </c:pt>
                <c:pt idx="102">
                  <c:v>2.736682954686529</c:v>
                </c:pt>
                <c:pt idx="103">
                  <c:v>8.3065919520789073</c:v>
                </c:pt>
                <c:pt idx="104">
                  <c:v>8.3065919520789073</c:v>
                </c:pt>
                <c:pt idx="105">
                  <c:v>8.3065919520789073</c:v>
                </c:pt>
                <c:pt idx="106">
                  <c:v>8.3065919520789073</c:v>
                </c:pt>
                <c:pt idx="107">
                  <c:v>2.736682954686529</c:v>
                </c:pt>
                <c:pt idx="108">
                  <c:v>-0.97659323363450046</c:v>
                </c:pt>
                <c:pt idx="109">
                  <c:v>4.5933199919181114</c:v>
                </c:pt>
                <c:pt idx="110">
                  <c:v>4.5933199919181114</c:v>
                </c:pt>
                <c:pt idx="111">
                  <c:v>8.3065919520789073</c:v>
                </c:pt>
                <c:pt idx="112">
                  <c:v>8.3065919520789073</c:v>
                </c:pt>
                <c:pt idx="113">
                  <c:v>6.4499563244117386</c:v>
                </c:pt>
                <c:pt idx="114">
                  <c:v>6.4499563244117386</c:v>
                </c:pt>
                <c:pt idx="115">
                  <c:v>6.4499563244117386</c:v>
                </c:pt>
                <c:pt idx="116">
                  <c:v>6.4499563244117386</c:v>
                </c:pt>
                <c:pt idx="117">
                  <c:v>8.3065919520789073</c:v>
                </c:pt>
                <c:pt idx="118">
                  <c:v>9.234909501575018</c:v>
                </c:pt>
                <c:pt idx="119">
                  <c:v>8.3065919520789073</c:v>
                </c:pt>
                <c:pt idx="120">
                  <c:v>10.163226874831505</c:v>
                </c:pt>
                <c:pt idx="121">
                  <c:v>8.3065919520789073</c:v>
                </c:pt>
                <c:pt idx="122">
                  <c:v>6.4499563244117386</c:v>
                </c:pt>
                <c:pt idx="123">
                  <c:v>7.378274226354149</c:v>
                </c:pt>
                <c:pt idx="124">
                  <c:v>8.3065919520789073</c:v>
                </c:pt>
                <c:pt idx="125">
                  <c:v>26.872909444105382</c:v>
                </c:pt>
                <c:pt idx="126">
                  <c:v>2.736682954686529</c:v>
                </c:pt>
                <c:pt idx="127">
                  <c:v>1.8083641718217724</c:v>
                </c:pt>
                <c:pt idx="128">
                  <c:v>-2.8332323845449721</c:v>
                </c:pt>
                <c:pt idx="129">
                  <c:v>6.4499563244117386</c:v>
                </c:pt>
                <c:pt idx="130">
                  <c:v>8.3065919520789073</c:v>
                </c:pt>
                <c:pt idx="131">
                  <c:v>6.4499563244117386</c:v>
                </c:pt>
                <c:pt idx="132">
                  <c:v>6.4499563244117386</c:v>
                </c:pt>
                <c:pt idx="133">
                  <c:v>6.4499563244117386</c:v>
                </c:pt>
                <c:pt idx="134">
                  <c:v>6.4499563244117386</c:v>
                </c:pt>
                <c:pt idx="135">
                  <c:v>6.4499563244117386</c:v>
                </c:pt>
                <c:pt idx="136">
                  <c:v>6.4499563244117386</c:v>
                </c:pt>
                <c:pt idx="137">
                  <c:v>-2.8332323845449721</c:v>
                </c:pt>
                <c:pt idx="138">
                  <c:v>4.5933199919181114</c:v>
                </c:pt>
                <c:pt idx="139">
                  <c:v>8.3065919520789073</c:v>
                </c:pt>
                <c:pt idx="140">
                  <c:v>-4.8273922349928888E-2</c:v>
                </c:pt>
                <c:pt idx="141">
                  <c:v>8.3065919520789073</c:v>
                </c:pt>
                <c:pt idx="142">
                  <c:v>6.4499563244117386</c:v>
                </c:pt>
                <c:pt idx="143">
                  <c:v>4.5933199919181114</c:v>
                </c:pt>
                <c:pt idx="144">
                  <c:v>8.3065919520789073</c:v>
                </c:pt>
                <c:pt idx="145">
                  <c:v>8.3065919520789073</c:v>
                </c:pt>
                <c:pt idx="146">
                  <c:v>-4.8273922349928888E-2</c:v>
                </c:pt>
                <c:pt idx="147">
                  <c:v>-0.97659323363450046</c:v>
                </c:pt>
                <c:pt idx="148">
                  <c:v>0.88004521280589465</c:v>
                </c:pt>
                <c:pt idx="149">
                  <c:v>-2.8332323845449721</c:v>
                </c:pt>
                <c:pt idx="150">
                  <c:v>2.736682954686529</c:v>
                </c:pt>
                <c:pt idx="151">
                  <c:v>2.736682954686529</c:v>
                </c:pt>
                <c:pt idx="152">
                  <c:v>2.736682954686529</c:v>
                </c:pt>
                <c:pt idx="153">
                  <c:v>-4.8273922349928888E-2</c:v>
                </c:pt>
                <c:pt idx="154">
                  <c:v>-0.97659323363450046</c:v>
                </c:pt>
                <c:pt idx="155">
                  <c:v>7.378274226354149</c:v>
                </c:pt>
                <c:pt idx="156">
                  <c:v>7.378274226354149</c:v>
                </c:pt>
                <c:pt idx="157">
                  <c:v>-2.8332323845449721</c:v>
                </c:pt>
                <c:pt idx="158">
                  <c:v>0.88004521280589465</c:v>
                </c:pt>
                <c:pt idx="159">
                  <c:v>2.736682954686529</c:v>
                </c:pt>
                <c:pt idx="160">
                  <c:v>-0.97659323363450046</c:v>
                </c:pt>
                <c:pt idx="161">
                  <c:v>2.736682954686529</c:v>
                </c:pt>
                <c:pt idx="162">
                  <c:v>-0.97659323363450046</c:v>
                </c:pt>
                <c:pt idx="163">
                  <c:v>-4.8273922349928888E-2</c:v>
                </c:pt>
                <c:pt idx="164">
                  <c:v>2.736682954686529</c:v>
                </c:pt>
                <c:pt idx="165">
                  <c:v>2.736682954686529</c:v>
                </c:pt>
                <c:pt idx="166">
                  <c:v>-2.8332323845449721</c:v>
                </c:pt>
                <c:pt idx="167">
                  <c:v>0.88004521280589465</c:v>
                </c:pt>
                <c:pt idx="168">
                  <c:v>8.3065919520789073</c:v>
                </c:pt>
                <c:pt idx="169">
                  <c:v>8.3065919520789073</c:v>
                </c:pt>
                <c:pt idx="170">
                  <c:v>0.88004521280589465</c:v>
                </c:pt>
                <c:pt idx="171">
                  <c:v>6.4499563244117386</c:v>
                </c:pt>
                <c:pt idx="172">
                  <c:v>-0.97659323363450046</c:v>
                </c:pt>
                <c:pt idx="173">
                  <c:v>-2.8332323845449721</c:v>
                </c:pt>
                <c:pt idx="174">
                  <c:v>8.3065919520789073</c:v>
                </c:pt>
                <c:pt idx="175">
                  <c:v>2.736682954686529</c:v>
                </c:pt>
                <c:pt idx="176">
                  <c:v>-0.97659323363450046</c:v>
                </c:pt>
                <c:pt idx="177">
                  <c:v>6.4499563244117386</c:v>
                </c:pt>
                <c:pt idx="178">
                  <c:v>2.736682954686529</c:v>
                </c:pt>
                <c:pt idx="179">
                  <c:v>2.736682954686529</c:v>
                </c:pt>
                <c:pt idx="180">
                  <c:v>2.736682954686529</c:v>
                </c:pt>
                <c:pt idx="181">
                  <c:v>2.736682954686529</c:v>
                </c:pt>
                <c:pt idx="182">
                  <c:v>2.736682954686529</c:v>
                </c:pt>
                <c:pt idx="183">
                  <c:v>6.4499563244117386</c:v>
                </c:pt>
                <c:pt idx="184">
                  <c:v>6.4499563244117386</c:v>
                </c:pt>
                <c:pt idx="185">
                  <c:v>4.5933199919181114</c:v>
                </c:pt>
                <c:pt idx="186">
                  <c:v>6.4499563244117386</c:v>
                </c:pt>
                <c:pt idx="187">
                  <c:v>8.3065919520789073</c:v>
                </c:pt>
                <c:pt idx="188">
                  <c:v>6.4499563244117386</c:v>
                </c:pt>
                <c:pt idx="189">
                  <c:v>2.736682954686529</c:v>
                </c:pt>
                <c:pt idx="190">
                  <c:v>0.88004521280589465</c:v>
                </c:pt>
                <c:pt idx="191">
                  <c:v>12.019861092581804</c:v>
                </c:pt>
                <c:pt idx="192">
                  <c:v>17.589759514947666</c:v>
                </c:pt>
                <c:pt idx="193">
                  <c:v>0.88004521280589465</c:v>
                </c:pt>
                <c:pt idx="194">
                  <c:v>14.804811097137042</c:v>
                </c:pt>
                <c:pt idx="195">
                  <c:v>2.736682954686529</c:v>
                </c:pt>
                <c:pt idx="196">
                  <c:v>-4.8273922349928888E-2</c:v>
                </c:pt>
                <c:pt idx="197">
                  <c:v>-0.97659323363450046</c:v>
                </c:pt>
                <c:pt idx="198">
                  <c:v>2.736682954686529</c:v>
                </c:pt>
                <c:pt idx="199">
                  <c:v>2.736682954686529</c:v>
                </c:pt>
                <c:pt idx="200">
                  <c:v>2.736682954686529</c:v>
                </c:pt>
                <c:pt idx="201">
                  <c:v>2.736682954686529</c:v>
                </c:pt>
                <c:pt idx="202">
                  <c:v>2.736682954686529</c:v>
                </c:pt>
                <c:pt idx="203">
                  <c:v>2.736682954686529</c:v>
                </c:pt>
                <c:pt idx="204">
                  <c:v>2.736682954686529</c:v>
                </c:pt>
                <c:pt idx="205">
                  <c:v>2.736682954686529</c:v>
                </c:pt>
                <c:pt idx="206">
                  <c:v>10.163226874831505</c:v>
                </c:pt>
                <c:pt idx="207">
                  <c:v>10.163226874831505</c:v>
                </c:pt>
                <c:pt idx="208">
                  <c:v>0.88004521280589465</c:v>
                </c:pt>
                <c:pt idx="209">
                  <c:v>10.163226874831505</c:v>
                </c:pt>
                <c:pt idx="210">
                  <c:v>10.163226874831505</c:v>
                </c:pt>
                <c:pt idx="211">
                  <c:v>10.163226874831505</c:v>
                </c:pt>
                <c:pt idx="212">
                  <c:v>10.163226874831505</c:v>
                </c:pt>
                <c:pt idx="213">
                  <c:v>15.733127412726621</c:v>
                </c:pt>
                <c:pt idx="214">
                  <c:v>15.733127412726621</c:v>
                </c:pt>
                <c:pt idx="215">
                  <c:v>15.733127412726621</c:v>
                </c:pt>
                <c:pt idx="216">
                  <c:v>11.091544071837408</c:v>
                </c:pt>
                <c:pt idx="217">
                  <c:v>8.3065919520789073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AA-4D16-86DD-CD24337E4549}"/>
            </c:ext>
          </c:extLst>
        </c:ser>
        <c:ser>
          <c:idx val="3"/>
          <c:order val="3"/>
          <c:tx>
            <c:v>Prediction_Interval_Max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Confidence_and_Prediction_Inte!$B$3:$B$220</c:f>
              <c:numCache>
                <c:formatCode>General</c:formatCode>
                <c:ptCount val="218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5</c:v>
                </c:pt>
                <c:pt idx="8">
                  <c:v>16</c:v>
                </c:pt>
                <c:pt idx="9">
                  <c:v>20</c:v>
                </c:pt>
                <c:pt idx="10">
                  <c:v>6</c:v>
                </c:pt>
                <c:pt idx="11">
                  <c:v>10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12</c:v>
                </c:pt>
                <c:pt idx="20">
                  <c:v>8</c:v>
                </c:pt>
                <c:pt idx="21">
                  <c:v>8</c:v>
                </c:pt>
                <c:pt idx="22">
                  <c:v>0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16</c:v>
                </c:pt>
                <c:pt idx="44">
                  <c:v>18</c:v>
                </c:pt>
                <c:pt idx="45">
                  <c:v>8</c:v>
                </c:pt>
                <c:pt idx="46">
                  <c:v>12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8</c:v>
                </c:pt>
                <c:pt idx="51">
                  <c:v>10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10</c:v>
                </c:pt>
                <c:pt idx="58">
                  <c:v>10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8</c:v>
                </c:pt>
                <c:pt idx="64">
                  <c:v>18</c:v>
                </c:pt>
                <c:pt idx="65">
                  <c:v>18</c:v>
                </c:pt>
                <c:pt idx="66">
                  <c:v>6</c:v>
                </c:pt>
                <c:pt idx="67">
                  <c:v>8</c:v>
                </c:pt>
                <c:pt idx="68">
                  <c:v>10</c:v>
                </c:pt>
                <c:pt idx="69">
                  <c:v>4</c:v>
                </c:pt>
                <c:pt idx="70">
                  <c:v>2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12</c:v>
                </c:pt>
                <c:pt idx="76">
                  <c:v>12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7</c:v>
                </c:pt>
                <c:pt idx="85">
                  <c:v>8</c:v>
                </c:pt>
                <c:pt idx="86">
                  <c:v>8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6</c:v>
                </c:pt>
                <c:pt idx="92">
                  <c:v>2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10</c:v>
                </c:pt>
                <c:pt idx="97">
                  <c:v>6</c:v>
                </c:pt>
                <c:pt idx="98">
                  <c:v>12</c:v>
                </c:pt>
                <c:pt idx="99">
                  <c:v>10</c:v>
                </c:pt>
                <c:pt idx="100">
                  <c:v>7</c:v>
                </c:pt>
                <c:pt idx="101">
                  <c:v>8</c:v>
                </c:pt>
                <c:pt idx="102">
                  <c:v>6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6</c:v>
                </c:pt>
                <c:pt idx="108">
                  <c:v>2</c:v>
                </c:pt>
                <c:pt idx="109">
                  <c:v>8</c:v>
                </c:pt>
                <c:pt idx="110">
                  <c:v>8</c:v>
                </c:pt>
                <c:pt idx="111">
                  <c:v>12</c:v>
                </c:pt>
                <c:pt idx="112">
                  <c:v>12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12</c:v>
                </c:pt>
                <c:pt idx="118">
                  <c:v>13</c:v>
                </c:pt>
                <c:pt idx="119">
                  <c:v>12</c:v>
                </c:pt>
                <c:pt idx="120">
                  <c:v>14</c:v>
                </c:pt>
                <c:pt idx="121">
                  <c:v>12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32</c:v>
                </c:pt>
                <c:pt idx="126">
                  <c:v>6</c:v>
                </c:pt>
                <c:pt idx="127">
                  <c:v>5</c:v>
                </c:pt>
                <c:pt idx="128">
                  <c:v>0</c:v>
                </c:pt>
                <c:pt idx="129">
                  <c:v>10</c:v>
                </c:pt>
                <c:pt idx="130">
                  <c:v>12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0</c:v>
                </c:pt>
                <c:pt idx="138">
                  <c:v>8</c:v>
                </c:pt>
                <c:pt idx="139">
                  <c:v>12</c:v>
                </c:pt>
                <c:pt idx="140">
                  <c:v>3</c:v>
                </c:pt>
                <c:pt idx="141">
                  <c:v>12</c:v>
                </c:pt>
                <c:pt idx="142">
                  <c:v>10</c:v>
                </c:pt>
                <c:pt idx="143">
                  <c:v>8</c:v>
                </c:pt>
                <c:pt idx="144">
                  <c:v>12</c:v>
                </c:pt>
                <c:pt idx="145">
                  <c:v>12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0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2</c:v>
                </c:pt>
                <c:pt idx="155">
                  <c:v>11</c:v>
                </c:pt>
                <c:pt idx="156">
                  <c:v>11</c:v>
                </c:pt>
                <c:pt idx="157">
                  <c:v>0</c:v>
                </c:pt>
                <c:pt idx="158">
                  <c:v>4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2</c:v>
                </c:pt>
                <c:pt idx="163">
                  <c:v>3</c:v>
                </c:pt>
                <c:pt idx="164">
                  <c:v>6</c:v>
                </c:pt>
                <c:pt idx="165">
                  <c:v>6</c:v>
                </c:pt>
                <c:pt idx="166">
                  <c:v>0</c:v>
                </c:pt>
                <c:pt idx="167">
                  <c:v>4</c:v>
                </c:pt>
                <c:pt idx="168">
                  <c:v>12</c:v>
                </c:pt>
                <c:pt idx="169">
                  <c:v>12</c:v>
                </c:pt>
                <c:pt idx="170">
                  <c:v>4</c:v>
                </c:pt>
                <c:pt idx="171">
                  <c:v>10</c:v>
                </c:pt>
                <c:pt idx="172">
                  <c:v>2</c:v>
                </c:pt>
                <c:pt idx="173">
                  <c:v>0</c:v>
                </c:pt>
                <c:pt idx="174">
                  <c:v>12</c:v>
                </c:pt>
                <c:pt idx="175">
                  <c:v>6</c:v>
                </c:pt>
                <c:pt idx="176">
                  <c:v>2</c:v>
                </c:pt>
                <c:pt idx="177">
                  <c:v>10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10</c:v>
                </c:pt>
                <c:pt idx="184">
                  <c:v>10</c:v>
                </c:pt>
                <c:pt idx="185">
                  <c:v>8</c:v>
                </c:pt>
                <c:pt idx="186">
                  <c:v>10</c:v>
                </c:pt>
                <c:pt idx="187">
                  <c:v>12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16</c:v>
                </c:pt>
                <c:pt idx="192">
                  <c:v>22</c:v>
                </c:pt>
                <c:pt idx="193">
                  <c:v>4</c:v>
                </c:pt>
                <c:pt idx="194">
                  <c:v>19</c:v>
                </c:pt>
                <c:pt idx="195">
                  <c:v>6</c:v>
                </c:pt>
                <c:pt idx="196">
                  <c:v>3</c:v>
                </c:pt>
                <c:pt idx="197">
                  <c:v>2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14</c:v>
                </c:pt>
                <c:pt idx="207">
                  <c:v>14</c:v>
                </c:pt>
                <c:pt idx="208">
                  <c:v>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15</c:v>
                </c:pt>
                <c:pt idx="217">
                  <c:v>12</c:v>
                </c:pt>
              </c:numCache>
            </c:numRef>
          </c:xVal>
          <c:yVal>
            <c:numRef>
              <c:f>Confidence_and_Prediction_Inte!$Q$3:$Q$220</c:f>
              <c:numCache>
                <c:formatCode>0</c:formatCode>
                <c:ptCount val="218"/>
                <c:pt idx="0">
                  <c:v>10.041239338614877</c:v>
                </c:pt>
                <c:pt idx="1">
                  <c:v>4.4722539330722881</c:v>
                </c:pt>
                <c:pt idx="2">
                  <c:v>10.041239338614877</c:v>
                </c:pt>
                <c:pt idx="3">
                  <c:v>10.041239338614877</c:v>
                </c:pt>
                <c:pt idx="4">
                  <c:v>10.041239338614877</c:v>
                </c:pt>
                <c:pt idx="5">
                  <c:v>10.041239338614877</c:v>
                </c:pt>
                <c:pt idx="6">
                  <c:v>13.753899798739061</c:v>
                </c:pt>
                <c:pt idx="7">
                  <c:v>9.1130746640172866</c:v>
                </c:pt>
                <c:pt idx="8">
                  <c:v>19.322895775343085</c:v>
                </c:pt>
                <c:pt idx="9">
                  <c:v>23.035563285047669</c:v>
                </c:pt>
                <c:pt idx="10">
                  <c:v>10.041239338614877</c:v>
                </c:pt>
                <c:pt idx="11">
                  <c:v>13.753899798739061</c:v>
                </c:pt>
                <c:pt idx="12">
                  <c:v>23.035563285047669</c:v>
                </c:pt>
                <c:pt idx="13">
                  <c:v>23.035563285047669</c:v>
                </c:pt>
                <c:pt idx="14">
                  <c:v>23.035563285047669</c:v>
                </c:pt>
                <c:pt idx="15">
                  <c:v>11.897569216307993</c:v>
                </c:pt>
                <c:pt idx="16">
                  <c:v>11.897569216307993</c:v>
                </c:pt>
                <c:pt idx="17">
                  <c:v>15.610231085996592</c:v>
                </c:pt>
                <c:pt idx="18">
                  <c:v>11.897569216307993</c:v>
                </c:pt>
                <c:pt idx="19">
                  <c:v>15.610231085996592</c:v>
                </c:pt>
                <c:pt idx="20">
                  <c:v>11.897569216307993</c:v>
                </c:pt>
                <c:pt idx="21">
                  <c:v>11.897569216307993</c:v>
                </c:pt>
                <c:pt idx="22">
                  <c:v>4.4722539330722881</c:v>
                </c:pt>
                <c:pt idx="23">
                  <c:v>4.4722539330722881</c:v>
                </c:pt>
                <c:pt idx="24">
                  <c:v>10.041239338614877</c:v>
                </c:pt>
                <c:pt idx="25">
                  <c:v>4.4722539330722881</c:v>
                </c:pt>
                <c:pt idx="26">
                  <c:v>13.753899798739061</c:v>
                </c:pt>
                <c:pt idx="27">
                  <c:v>13.753899798739061</c:v>
                </c:pt>
                <c:pt idx="28">
                  <c:v>10.041239338614877</c:v>
                </c:pt>
                <c:pt idx="29">
                  <c:v>10.041239338614877</c:v>
                </c:pt>
                <c:pt idx="30">
                  <c:v>10.041239338614877</c:v>
                </c:pt>
                <c:pt idx="31">
                  <c:v>13.753899798739061</c:v>
                </c:pt>
                <c:pt idx="32">
                  <c:v>13.753899798739061</c:v>
                </c:pt>
                <c:pt idx="33">
                  <c:v>13.753899798739061</c:v>
                </c:pt>
                <c:pt idx="34">
                  <c:v>13.753899798739061</c:v>
                </c:pt>
                <c:pt idx="35">
                  <c:v>13.753899798739061</c:v>
                </c:pt>
                <c:pt idx="36">
                  <c:v>11.897569216307993</c:v>
                </c:pt>
                <c:pt idx="37">
                  <c:v>11.897569216307993</c:v>
                </c:pt>
                <c:pt idx="38">
                  <c:v>11.897569216307993</c:v>
                </c:pt>
                <c:pt idx="39">
                  <c:v>11.897569216307993</c:v>
                </c:pt>
                <c:pt idx="40">
                  <c:v>6.3285816970865136</c:v>
                </c:pt>
                <c:pt idx="41">
                  <c:v>6.3285816970865136</c:v>
                </c:pt>
                <c:pt idx="42">
                  <c:v>7.25674584326429</c:v>
                </c:pt>
                <c:pt idx="43">
                  <c:v>19.322895775343085</c:v>
                </c:pt>
                <c:pt idx="44">
                  <c:v>21.179229177607102</c:v>
                </c:pt>
                <c:pt idx="45">
                  <c:v>11.897569216307993</c:v>
                </c:pt>
                <c:pt idx="46">
                  <c:v>15.610231085996592</c:v>
                </c:pt>
                <c:pt idx="47">
                  <c:v>11.897569216307993</c:v>
                </c:pt>
                <c:pt idx="48">
                  <c:v>13.753899798739061</c:v>
                </c:pt>
                <c:pt idx="49">
                  <c:v>13.753899798739061</c:v>
                </c:pt>
                <c:pt idx="50">
                  <c:v>11.897569216307993</c:v>
                </c:pt>
                <c:pt idx="51">
                  <c:v>13.753899798739061</c:v>
                </c:pt>
                <c:pt idx="52">
                  <c:v>8.1849101655708143</c:v>
                </c:pt>
                <c:pt idx="53">
                  <c:v>8.1849101655708143</c:v>
                </c:pt>
                <c:pt idx="54">
                  <c:v>8.1849101655708143</c:v>
                </c:pt>
                <c:pt idx="55">
                  <c:v>8.1849101655708143</c:v>
                </c:pt>
                <c:pt idx="56">
                  <c:v>7.25674584326429</c:v>
                </c:pt>
                <c:pt idx="57">
                  <c:v>13.753899798739061</c:v>
                </c:pt>
                <c:pt idx="58">
                  <c:v>13.753899798739061</c:v>
                </c:pt>
                <c:pt idx="59">
                  <c:v>7.25674584326429</c:v>
                </c:pt>
                <c:pt idx="60">
                  <c:v>8.1849101655708143</c:v>
                </c:pt>
                <c:pt idx="61">
                  <c:v>6.3285816970865136</c:v>
                </c:pt>
                <c:pt idx="62">
                  <c:v>6.3285816970865136</c:v>
                </c:pt>
                <c:pt idx="63">
                  <c:v>11.897569216307993</c:v>
                </c:pt>
                <c:pt idx="64">
                  <c:v>21.179229177607102</c:v>
                </c:pt>
                <c:pt idx="65">
                  <c:v>21.179229177607102</c:v>
                </c:pt>
                <c:pt idx="66">
                  <c:v>10.041239338614877</c:v>
                </c:pt>
                <c:pt idx="67">
                  <c:v>11.897569216307993</c:v>
                </c:pt>
                <c:pt idx="68">
                  <c:v>13.753899798739061</c:v>
                </c:pt>
                <c:pt idx="69">
                  <c:v>8.1849101655708143</c:v>
                </c:pt>
                <c:pt idx="70">
                  <c:v>6.3285816970865136</c:v>
                </c:pt>
                <c:pt idx="71">
                  <c:v>13.753899798739061</c:v>
                </c:pt>
                <c:pt idx="72">
                  <c:v>13.753899798739061</c:v>
                </c:pt>
                <c:pt idx="73">
                  <c:v>13.753899798739061</c:v>
                </c:pt>
                <c:pt idx="74">
                  <c:v>13.753899798739061</c:v>
                </c:pt>
                <c:pt idx="75">
                  <c:v>15.610231085996592</c:v>
                </c:pt>
                <c:pt idx="76">
                  <c:v>15.610231085996592</c:v>
                </c:pt>
                <c:pt idx="77">
                  <c:v>8.1849101655708143</c:v>
                </c:pt>
                <c:pt idx="78">
                  <c:v>8.1849101655708143</c:v>
                </c:pt>
                <c:pt idx="79">
                  <c:v>9.1130746640172866</c:v>
                </c:pt>
                <c:pt idx="80">
                  <c:v>8.1849101655708143</c:v>
                </c:pt>
                <c:pt idx="81">
                  <c:v>8.1849101655708143</c:v>
                </c:pt>
                <c:pt idx="82">
                  <c:v>8.1849101655708143</c:v>
                </c:pt>
                <c:pt idx="83">
                  <c:v>8.1849101655708143</c:v>
                </c:pt>
                <c:pt idx="84">
                  <c:v>10.969404189374739</c:v>
                </c:pt>
                <c:pt idx="85">
                  <c:v>11.897569216307993</c:v>
                </c:pt>
                <c:pt idx="86">
                  <c:v>11.897569216307993</c:v>
                </c:pt>
                <c:pt idx="87">
                  <c:v>6.3285816970865136</c:v>
                </c:pt>
                <c:pt idx="88">
                  <c:v>4.4722539330722881</c:v>
                </c:pt>
                <c:pt idx="89">
                  <c:v>4.4722539330722881</c:v>
                </c:pt>
                <c:pt idx="90">
                  <c:v>4.4722539330722881</c:v>
                </c:pt>
                <c:pt idx="91">
                  <c:v>10.041239338614877</c:v>
                </c:pt>
                <c:pt idx="92">
                  <c:v>6.3285816970865136</c:v>
                </c:pt>
                <c:pt idx="93">
                  <c:v>8.1849101655708143</c:v>
                </c:pt>
                <c:pt idx="94">
                  <c:v>8.1849101655708143</c:v>
                </c:pt>
                <c:pt idx="95">
                  <c:v>6.3285816970865136</c:v>
                </c:pt>
                <c:pt idx="96">
                  <c:v>13.753899798739061</c:v>
                </c:pt>
                <c:pt idx="97">
                  <c:v>10.041239338614877</c:v>
                </c:pt>
                <c:pt idx="98">
                  <c:v>15.610231085996592</c:v>
                </c:pt>
                <c:pt idx="99">
                  <c:v>13.753899798739061</c:v>
                </c:pt>
                <c:pt idx="100">
                  <c:v>10.969404189374739</c:v>
                </c:pt>
                <c:pt idx="101">
                  <c:v>11.897569216307993</c:v>
                </c:pt>
                <c:pt idx="102">
                  <c:v>10.041239338614877</c:v>
                </c:pt>
                <c:pt idx="103">
                  <c:v>15.610231085996592</c:v>
                </c:pt>
                <c:pt idx="104">
                  <c:v>15.610231085996592</c:v>
                </c:pt>
                <c:pt idx="105">
                  <c:v>15.610231085996592</c:v>
                </c:pt>
                <c:pt idx="106">
                  <c:v>15.610231085996592</c:v>
                </c:pt>
                <c:pt idx="107">
                  <c:v>10.041239338614877</c:v>
                </c:pt>
                <c:pt idx="108">
                  <c:v>6.3285816970865136</c:v>
                </c:pt>
                <c:pt idx="109">
                  <c:v>11.897569216307993</c:v>
                </c:pt>
                <c:pt idx="110">
                  <c:v>11.897569216307993</c:v>
                </c:pt>
                <c:pt idx="111">
                  <c:v>15.610231085996592</c:v>
                </c:pt>
                <c:pt idx="112">
                  <c:v>15.610231085996592</c:v>
                </c:pt>
                <c:pt idx="113">
                  <c:v>13.753899798739061</c:v>
                </c:pt>
                <c:pt idx="114">
                  <c:v>13.753899798739061</c:v>
                </c:pt>
                <c:pt idx="115">
                  <c:v>13.753899798739061</c:v>
                </c:pt>
                <c:pt idx="116">
                  <c:v>13.753899798739061</c:v>
                </c:pt>
                <c:pt idx="117">
                  <c:v>15.610231085996592</c:v>
                </c:pt>
                <c:pt idx="118">
                  <c:v>16.538396993962827</c:v>
                </c:pt>
                <c:pt idx="119">
                  <c:v>15.610231085996592</c:v>
                </c:pt>
                <c:pt idx="120">
                  <c:v>17.466563078168694</c:v>
                </c:pt>
                <c:pt idx="121">
                  <c:v>15.610231085996592</c:v>
                </c:pt>
                <c:pt idx="122">
                  <c:v>13.753899798739061</c:v>
                </c:pt>
                <c:pt idx="123">
                  <c:v>14.682065354259004</c:v>
                </c:pt>
                <c:pt idx="124">
                  <c:v>15.610231085996592</c:v>
                </c:pt>
                <c:pt idx="125">
                  <c:v>34.173582743217089</c:v>
                </c:pt>
                <c:pt idx="126">
                  <c:v>10.041239338614877</c:v>
                </c:pt>
                <c:pt idx="127">
                  <c:v>9.1130746640172866</c:v>
                </c:pt>
                <c:pt idx="128">
                  <c:v>4.4722539330722881</c:v>
                </c:pt>
                <c:pt idx="129">
                  <c:v>13.753899798739061</c:v>
                </c:pt>
                <c:pt idx="130">
                  <c:v>15.610231085996592</c:v>
                </c:pt>
                <c:pt idx="131">
                  <c:v>13.753899798739061</c:v>
                </c:pt>
                <c:pt idx="132">
                  <c:v>13.753899798739061</c:v>
                </c:pt>
                <c:pt idx="133">
                  <c:v>13.753899798739061</c:v>
                </c:pt>
                <c:pt idx="134">
                  <c:v>13.753899798739061</c:v>
                </c:pt>
                <c:pt idx="135">
                  <c:v>13.753899798739061</c:v>
                </c:pt>
                <c:pt idx="136">
                  <c:v>13.753899798739061</c:v>
                </c:pt>
                <c:pt idx="137">
                  <c:v>4.4722539330722881</c:v>
                </c:pt>
                <c:pt idx="138">
                  <c:v>11.897569216307993</c:v>
                </c:pt>
                <c:pt idx="139">
                  <c:v>15.610231085996592</c:v>
                </c:pt>
                <c:pt idx="140">
                  <c:v>7.25674584326429</c:v>
                </c:pt>
                <c:pt idx="141">
                  <c:v>15.610231085996592</c:v>
                </c:pt>
                <c:pt idx="142">
                  <c:v>13.753899798739061</c:v>
                </c:pt>
                <c:pt idx="143">
                  <c:v>11.897569216307993</c:v>
                </c:pt>
                <c:pt idx="144">
                  <c:v>15.610231085996592</c:v>
                </c:pt>
                <c:pt idx="145">
                  <c:v>15.610231085996592</c:v>
                </c:pt>
                <c:pt idx="146">
                  <c:v>7.25674584326429</c:v>
                </c:pt>
                <c:pt idx="147">
                  <c:v>6.3285816970865136</c:v>
                </c:pt>
                <c:pt idx="148">
                  <c:v>8.1849101655708143</c:v>
                </c:pt>
                <c:pt idx="149">
                  <c:v>4.4722539330722881</c:v>
                </c:pt>
                <c:pt idx="150">
                  <c:v>10.041239338614877</c:v>
                </c:pt>
                <c:pt idx="151">
                  <c:v>10.041239338614877</c:v>
                </c:pt>
                <c:pt idx="152">
                  <c:v>10.041239338614877</c:v>
                </c:pt>
                <c:pt idx="153">
                  <c:v>7.25674584326429</c:v>
                </c:pt>
                <c:pt idx="154">
                  <c:v>6.3285816970865136</c:v>
                </c:pt>
                <c:pt idx="155">
                  <c:v>14.682065354259004</c:v>
                </c:pt>
                <c:pt idx="156">
                  <c:v>14.682065354259004</c:v>
                </c:pt>
                <c:pt idx="157">
                  <c:v>4.4722539330722881</c:v>
                </c:pt>
                <c:pt idx="158">
                  <c:v>8.1849101655708143</c:v>
                </c:pt>
                <c:pt idx="159">
                  <c:v>10.041239338614877</c:v>
                </c:pt>
                <c:pt idx="160">
                  <c:v>6.3285816970865136</c:v>
                </c:pt>
                <c:pt idx="161">
                  <c:v>10.041239338614877</c:v>
                </c:pt>
                <c:pt idx="162">
                  <c:v>6.3285816970865136</c:v>
                </c:pt>
                <c:pt idx="163">
                  <c:v>7.25674584326429</c:v>
                </c:pt>
                <c:pt idx="164">
                  <c:v>10.041239338614877</c:v>
                </c:pt>
                <c:pt idx="165">
                  <c:v>10.041239338614877</c:v>
                </c:pt>
                <c:pt idx="166">
                  <c:v>4.4722539330722881</c:v>
                </c:pt>
                <c:pt idx="167">
                  <c:v>8.1849101655708143</c:v>
                </c:pt>
                <c:pt idx="168">
                  <c:v>15.610231085996592</c:v>
                </c:pt>
                <c:pt idx="169">
                  <c:v>15.610231085996592</c:v>
                </c:pt>
                <c:pt idx="170">
                  <c:v>8.1849101655708143</c:v>
                </c:pt>
                <c:pt idx="171">
                  <c:v>13.753899798739061</c:v>
                </c:pt>
                <c:pt idx="172">
                  <c:v>6.3285816970865136</c:v>
                </c:pt>
                <c:pt idx="173">
                  <c:v>4.4722539330722881</c:v>
                </c:pt>
                <c:pt idx="174">
                  <c:v>15.610231085996592</c:v>
                </c:pt>
                <c:pt idx="175">
                  <c:v>10.041239338614877</c:v>
                </c:pt>
                <c:pt idx="176">
                  <c:v>6.3285816970865136</c:v>
                </c:pt>
                <c:pt idx="177">
                  <c:v>13.753899798739061</c:v>
                </c:pt>
                <c:pt idx="178">
                  <c:v>10.041239338614877</c:v>
                </c:pt>
                <c:pt idx="179">
                  <c:v>10.041239338614877</c:v>
                </c:pt>
                <c:pt idx="180">
                  <c:v>10.041239338614877</c:v>
                </c:pt>
                <c:pt idx="181">
                  <c:v>10.041239338614877</c:v>
                </c:pt>
                <c:pt idx="182">
                  <c:v>10.041239338614877</c:v>
                </c:pt>
                <c:pt idx="183">
                  <c:v>13.753899798739061</c:v>
                </c:pt>
                <c:pt idx="184">
                  <c:v>13.753899798739061</c:v>
                </c:pt>
                <c:pt idx="185">
                  <c:v>11.897569216307993</c:v>
                </c:pt>
                <c:pt idx="186">
                  <c:v>13.753899798739061</c:v>
                </c:pt>
                <c:pt idx="187">
                  <c:v>15.610231085996592</c:v>
                </c:pt>
                <c:pt idx="188">
                  <c:v>13.753899798739061</c:v>
                </c:pt>
                <c:pt idx="189">
                  <c:v>10.041239338614877</c:v>
                </c:pt>
                <c:pt idx="190">
                  <c:v>8.1849101655708143</c:v>
                </c:pt>
                <c:pt idx="191">
                  <c:v>19.322895775343085</c:v>
                </c:pt>
                <c:pt idx="192">
                  <c:v>24.891898097751323</c:v>
                </c:pt>
                <c:pt idx="193">
                  <c:v>8.1849101655708143</c:v>
                </c:pt>
                <c:pt idx="194">
                  <c:v>22.107396143174899</c:v>
                </c:pt>
                <c:pt idx="195">
                  <c:v>10.041239338614877</c:v>
                </c:pt>
                <c:pt idx="196">
                  <c:v>7.25674584326429</c:v>
                </c:pt>
                <c:pt idx="197">
                  <c:v>6.3285816970865136</c:v>
                </c:pt>
                <c:pt idx="198">
                  <c:v>10.041239338614877</c:v>
                </c:pt>
                <c:pt idx="199">
                  <c:v>10.041239338614877</c:v>
                </c:pt>
                <c:pt idx="200">
                  <c:v>10.041239338614877</c:v>
                </c:pt>
                <c:pt idx="201">
                  <c:v>10.041239338614877</c:v>
                </c:pt>
                <c:pt idx="202">
                  <c:v>10.041239338614877</c:v>
                </c:pt>
                <c:pt idx="203">
                  <c:v>10.041239338614877</c:v>
                </c:pt>
                <c:pt idx="204">
                  <c:v>10.041239338614877</c:v>
                </c:pt>
                <c:pt idx="205">
                  <c:v>10.041239338614877</c:v>
                </c:pt>
                <c:pt idx="206">
                  <c:v>17.466563078168694</c:v>
                </c:pt>
                <c:pt idx="207">
                  <c:v>17.466563078168694</c:v>
                </c:pt>
                <c:pt idx="208">
                  <c:v>8.1849101655708143</c:v>
                </c:pt>
                <c:pt idx="209">
                  <c:v>17.466563078168694</c:v>
                </c:pt>
                <c:pt idx="210">
                  <c:v>17.466563078168694</c:v>
                </c:pt>
                <c:pt idx="211">
                  <c:v>17.466563078168694</c:v>
                </c:pt>
                <c:pt idx="212">
                  <c:v>17.466563078168694</c:v>
                </c:pt>
                <c:pt idx="213">
                  <c:v>23.035563285047669</c:v>
                </c:pt>
                <c:pt idx="214">
                  <c:v>23.035563285047669</c:v>
                </c:pt>
                <c:pt idx="215">
                  <c:v>23.035563285047669</c:v>
                </c:pt>
                <c:pt idx="216">
                  <c:v>18.394729338625137</c:v>
                </c:pt>
                <c:pt idx="217">
                  <c:v>15.610231085996592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AA-4D16-86DD-CD24337E4549}"/>
            </c:ext>
          </c:extLst>
        </c:ser>
        <c:ser>
          <c:idx val="4"/>
          <c:order val="4"/>
          <c:tx>
            <c:v>Confidence_Interval_Min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Confidence_and_Prediction_Inte!$B$3:$B$220</c:f>
              <c:numCache>
                <c:formatCode>General</c:formatCode>
                <c:ptCount val="218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5</c:v>
                </c:pt>
                <c:pt idx="8">
                  <c:v>16</c:v>
                </c:pt>
                <c:pt idx="9">
                  <c:v>20</c:v>
                </c:pt>
                <c:pt idx="10">
                  <c:v>6</c:v>
                </c:pt>
                <c:pt idx="11">
                  <c:v>10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12</c:v>
                </c:pt>
                <c:pt idx="20">
                  <c:v>8</c:v>
                </c:pt>
                <c:pt idx="21">
                  <c:v>8</c:v>
                </c:pt>
                <c:pt idx="22">
                  <c:v>0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16</c:v>
                </c:pt>
                <c:pt idx="44">
                  <c:v>18</c:v>
                </c:pt>
                <c:pt idx="45">
                  <c:v>8</c:v>
                </c:pt>
                <c:pt idx="46">
                  <c:v>12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8</c:v>
                </c:pt>
                <c:pt idx="51">
                  <c:v>10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10</c:v>
                </c:pt>
                <c:pt idx="58">
                  <c:v>10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8</c:v>
                </c:pt>
                <c:pt idx="64">
                  <c:v>18</c:v>
                </c:pt>
                <c:pt idx="65">
                  <c:v>18</c:v>
                </c:pt>
                <c:pt idx="66">
                  <c:v>6</c:v>
                </c:pt>
                <c:pt idx="67">
                  <c:v>8</c:v>
                </c:pt>
                <c:pt idx="68">
                  <c:v>10</c:v>
                </c:pt>
                <c:pt idx="69">
                  <c:v>4</c:v>
                </c:pt>
                <c:pt idx="70">
                  <c:v>2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12</c:v>
                </c:pt>
                <c:pt idx="76">
                  <c:v>12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7</c:v>
                </c:pt>
                <c:pt idx="85">
                  <c:v>8</c:v>
                </c:pt>
                <c:pt idx="86">
                  <c:v>8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6</c:v>
                </c:pt>
                <c:pt idx="92">
                  <c:v>2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10</c:v>
                </c:pt>
                <c:pt idx="97">
                  <c:v>6</c:v>
                </c:pt>
                <c:pt idx="98">
                  <c:v>12</c:v>
                </c:pt>
                <c:pt idx="99">
                  <c:v>10</c:v>
                </c:pt>
                <c:pt idx="100">
                  <c:v>7</c:v>
                </c:pt>
                <c:pt idx="101">
                  <c:v>8</c:v>
                </c:pt>
                <c:pt idx="102">
                  <c:v>6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6</c:v>
                </c:pt>
                <c:pt idx="108">
                  <c:v>2</c:v>
                </c:pt>
                <c:pt idx="109">
                  <c:v>8</c:v>
                </c:pt>
                <c:pt idx="110">
                  <c:v>8</c:v>
                </c:pt>
                <c:pt idx="111">
                  <c:v>12</c:v>
                </c:pt>
                <c:pt idx="112">
                  <c:v>12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12</c:v>
                </c:pt>
                <c:pt idx="118">
                  <c:v>13</c:v>
                </c:pt>
                <c:pt idx="119">
                  <c:v>12</c:v>
                </c:pt>
                <c:pt idx="120">
                  <c:v>14</c:v>
                </c:pt>
                <c:pt idx="121">
                  <c:v>12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32</c:v>
                </c:pt>
                <c:pt idx="126">
                  <c:v>6</c:v>
                </c:pt>
                <c:pt idx="127">
                  <c:v>5</c:v>
                </c:pt>
                <c:pt idx="128">
                  <c:v>0</c:v>
                </c:pt>
                <c:pt idx="129">
                  <c:v>10</c:v>
                </c:pt>
                <c:pt idx="130">
                  <c:v>12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0</c:v>
                </c:pt>
                <c:pt idx="138">
                  <c:v>8</c:v>
                </c:pt>
                <c:pt idx="139">
                  <c:v>12</c:v>
                </c:pt>
                <c:pt idx="140">
                  <c:v>3</c:v>
                </c:pt>
                <c:pt idx="141">
                  <c:v>12</c:v>
                </c:pt>
                <c:pt idx="142">
                  <c:v>10</c:v>
                </c:pt>
                <c:pt idx="143">
                  <c:v>8</c:v>
                </c:pt>
                <c:pt idx="144">
                  <c:v>12</c:v>
                </c:pt>
                <c:pt idx="145">
                  <c:v>12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0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2</c:v>
                </c:pt>
                <c:pt idx="155">
                  <c:v>11</c:v>
                </c:pt>
                <c:pt idx="156">
                  <c:v>11</c:v>
                </c:pt>
                <c:pt idx="157">
                  <c:v>0</c:v>
                </c:pt>
                <c:pt idx="158">
                  <c:v>4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2</c:v>
                </c:pt>
                <c:pt idx="163">
                  <c:v>3</c:v>
                </c:pt>
                <c:pt idx="164">
                  <c:v>6</c:v>
                </c:pt>
                <c:pt idx="165">
                  <c:v>6</c:v>
                </c:pt>
                <c:pt idx="166">
                  <c:v>0</c:v>
                </c:pt>
                <c:pt idx="167">
                  <c:v>4</c:v>
                </c:pt>
                <c:pt idx="168">
                  <c:v>12</c:v>
                </c:pt>
                <c:pt idx="169">
                  <c:v>12</c:v>
                </c:pt>
                <c:pt idx="170">
                  <c:v>4</c:v>
                </c:pt>
                <c:pt idx="171">
                  <c:v>10</c:v>
                </c:pt>
                <c:pt idx="172">
                  <c:v>2</c:v>
                </c:pt>
                <c:pt idx="173">
                  <c:v>0</c:v>
                </c:pt>
                <c:pt idx="174">
                  <c:v>12</c:v>
                </c:pt>
                <c:pt idx="175">
                  <c:v>6</c:v>
                </c:pt>
                <c:pt idx="176">
                  <c:v>2</c:v>
                </c:pt>
                <c:pt idx="177">
                  <c:v>10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10</c:v>
                </c:pt>
                <c:pt idx="184">
                  <c:v>10</c:v>
                </c:pt>
                <c:pt idx="185">
                  <c:v>8</c:v>
                </c:pt>
                <c:pt idx="186">
                  <c:v>10</c:v>
                </c:pt>
                <c:pt idx="187">
                  <c:v>12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16</c:v>
                </c:pt>
                <c:pt idx="192">
                  <c:v>22</c:v>
                </c:pt>
                <c:pt idx="193">
                  <c:v>4</c:v>
                </c:pt>
                <c:pt idx="194">
                  <c:v>19</c:v>
                </c:pt>
                <c:pt idx="195">
                  <c:v>6</c:v>
                </c:pt>
                <c:pt idx="196">
                  <c:v>3</c:v>
                </c:pt>
                <c:pt idx="197">
                  <c:v>2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14</c:v>
                </c:pt>
                <c:pt idx="207">
                  <c:v>14</c:v>
                </c:pt>
                <c:pt idx="208">
                  <c:v>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15</c:v>
                </c:pt>
                <c:pt idx="217">
                  <c:v>12</c:v>
                </c:pt>
              </c:numCache>
            </c:numRef>
          </c:xVal>
          <c:yVal>
            <c:numRef>
              <c:f>Confidence_and_Prediction_Inte!$R$3:$R$220</c:f>
              <c:numCache>
                <c:formatCode>0</c:formatCode>
                <c:ptCount val="218"/>
                <c:pt idx="0">
                  <c:v>5.9622907820855584</c:v>
                </c:pt>
                <c:pt idx="1">
                  <c:v>0.38887845693911371</c:v>
                </c:pt>
                <c:pt idx="2">
                  <c:v>5.9622907820855584</c:v>
                </c:pt>
                <c:pt idx="3">
                  <c:v>5.9622907820855584</c:v>
                </c:pt>
                <c:pt idx="4">
                  <c:v>5.9622907820855584</c:v>
                </c:pt>
                <c:pt idx="5">
                  <c:v>5.9622907820855584</c:v>
                </c:pt>
                <c:pt idx="6">
                  <c:v>9.6778889389189775</c:v>
                </c:pt>
                <c:pt idx="7">
                  <c:v>5.0333899756868821</c:v>
                </c:pt>
                <c:pt idx="8">
                  <c:v>15.251270706225133</c:v>
                </c:pt>
                <c:pt idx="9">
                  <c:v>18.966848012558671</c:v>
                </c:pt>
                <c:pt idx="10">
                  <c:v>5.9622907820855584</c:v>
                </c:pt>
                <c:pt idx="11">
                  <c:v>9.6778889389189775</c:v>
                </c:pt>
                <c:pt idx="12">
                  <c:v>18.966848012558671</c:v>
                </c:pt>
                <c:pt idx="13">
                  <c:v>18.966848012558671</c:v>
                </c:pt>
                <c:pt idx="14">
                  <c:v>18.966848012558671</c:v>
                </c:pt>
                <c:pt idx="15">
                  <c:v>7.8200908789605537</c:v>
                </c:pt>
                <c:pt idx="16">
                  <c:v>7.8200908789605537</c:v>
                </c:pt>
                <c:pt idx="17">
                  <c:v>11.535684942957513</c:v>
                </c:pt>
                <c:pt idx="18">
                  <c:v>7.8200908789605537</c:v>
                </c:pt>
                <c:pt idx="19">
                  <c:v>11.535684942957513</c:v>
                </c:pt>
                <c:pt idx="20">
                  <c:v>7.8200908789605537</c:v>
                </c:pt>
                <c:pt idx="21">
                  <c:v>7.8200908789605537</c:v>
                </c:pt>
                <c:pt idx="22">
                  <c:v>0.38887845693911371</c:v>
                </c:pt>
                <c:pt idx="23">
                  <c:v>0.38887845693911371</c:v>
                </c:pt>
                <c:pt idx="24">
                  <c:v>5.9622907820855584</c:v>
                </c:pt>
                <c:pt idx="25">
                  <c:v>0.38887845693911371</c:v>
                </c:pt>
                <c:pt idx="26">
                  <c:v>9.6778889389189775</c:v>
                </c:pt>
                <c:pt idx="27">
                  <c:v>9.6778889389189775</c:v>
                </c:pt>
                <c:pt idx="28">
                  <c:v>5.9622907820855584</c:v>
                </c:pt>
                <c:pt idx="29">
                  <c:v>5.9622907820855584</c:v>
                </c:pt>
                <c:pt idx="30">
                  <c:v>5.9622907820855584</c:v>
                </c:pt>
                <c:pt idx="31">
                  <c:v>9.6778889389189775</c:v>
                </c:pt>
                <c:pt idx="32">
                  <c:v>9.6778889389189775</c:v>
                </c:pt>
                <c:pt idx="33">
                  <c:v>9.6778889389189775</c:v>
                </c:pt>
                <c:pt idx="34">
                  <c:v>9.6778889389189775</c:v>
                </c:pt>
                <c:pt idx="35">
                  <c:v>9.6778889389189775</c:v>
                </c:pt>
                <c:pt idx="36">
                  <c:v>7.8200908789605537</c:v>
                </c:pt>
                <c:pt idx="37">
                  <c:v>7.8200908789605537</c:v>
                </c:pt>
                <c:pt idx="38">
                  <c:v>7.8200908789605537</c:v>
                </c:pt>
                <c:pt idx="39">
                  <c:v>7.8200908789605537</c:v>
                </c:pt>
                <c:pt idx="40">
                  <c:v>2.2466845525784782</c:v>
                </c:pt>
                <c:pt idx="41">
                  <c:v>2.2466845525784782</c:v>
                </c:pt>
                <c:pt idx="42">
                  <c:v>3.1755868586213487</c:v>
                </c:pt>
                <c:pt idx="43">
                  <c:v>15.251270706225133</c:v>
                </c:pt>
                <c:pt idx="44">
                  <c:v>17.109060426404191</c:v>
                </c:pt>
                <c:pt idx="45">
                  <c:v>7.8200908789605537</c:v>
                </c:pt>
                <c:pt idx="46">
                  <c:v>11.535684942957513</c:v>
                </c:pt>
                <c:pt idx="47">
                  <c:v>7.8200908789605537</c:v>
                </c:pt>
                <c:pt idx="48">
                  <c:v>9.6778889389189775</c:v>
                </c:pt>
                <c:pt idx="49">
                  <c:v>9.6778889389189775</c:v>
                </c:pt>
                <c:pt idx="50">
                  <c:v>7.8200908789605537</c:v>
                </c:pt>
                <c:pt idx="51">
                  <c:v>9.6778889389189775</c:v>
                </c:pt>
                <c:pt idx="52">
                  <c:v>4.1044886670927294</c:v>
                </c:pt>
                <c:pt idx="53">
                  <c:v>4.1044886670927294</c:v>
                </c:pt>
                <c:pt idx="54">
                  <c:v>4.1044886670927294</c:v>
                </c:pt>
                <c:pt idx="55">
                  <c:v>4.1044886670927294</c:v>
                </c:pt>
                <c:pt idx="56">
                  <c:v>3.1755868586213487</c:v>
                </c:pt>
                <c:pt idx="57">
                  <c:v>9.6778889389189775</c:v>
                </c:pt>
                <c:pt idx="58">
                  <c:v>9.6778889389189775</c:v>
                </c:pt>
                <c:pt idx="59">
                  <c:v>3.1755868586213487</c:v>
                </c:pt>
                <c:pt idx="60">
                  <c:v>4.1044886670927294</c:v>
                </c:pt>
                <c:pt idx="61">
                  <c:v>2.2466845525784782</c:v>
                </c:pt>
                <c:pt idx="62">
                  <c:v>2.2466845525784782</c:v>
                </c:pt>
                <c:pt idx="63">
                  <c:v>7.8200908789605537</c:v>
                </c:pt>
                <c:pt idx="64">
                  <c:v>17.109060426404191</c:v>
                </c:pt>
                <c:pt idx="65">
                  <c:v>17.109060426404191</c:v>
                </c:pt>
                <c:pt idx="66">
                  <c:v>5.9622907820855584</c:v>
                </c:pt>
                <c:pt idx="67">
                  <c:v>7.8200908789605537</c:v>
                </c:pt>
                <c:pt idx="68">
                  <c:v>9.6778889389189775</c:v>
                </c:pt>
                <c:pt idx="69">
                  <c:v>4.1044886670927294</c:v>
                </c:pt>
                <c:pt idx="70">
                  <c:v>2.2466845525784782</c:v>
                </c:pt>
                <c:pt idx="71">
                  <c:v>9.6778889389189775</c:v>
                </c:pt>
                <c:pt idx="72">
                  <c:v>9.6778889389189775</c:v>
                </c:pt>
                <c:pt idx="73">
                  <c:v>9.6778889389189775</c:v>
                </c:pt>
                <c:pt idx="74">
                  <c:v>9.6778889389189775</c:v>
                </c:pt>
                <c:pt idx="75">
                  <c:v>11.535684942957513</c:v>
                </c:pt>
                <c:pt idx="76">
                  <c:v>11.535684942957513</c:v>
                </c:pt>
                <c:pt idx="77">
                  <c:v>4.1044886670927294</c:v>
                </c:pt>
                <c:pt idx="78">
                  <c:v>4.1044886670927294</c:v>
                </c:pt>
                <c:pt idx="79">
                  <c:v>5.0333899756868821</c:v>
                </c:pt>
                <c:pt idx="80">
                  <c:v>4.1044886670927294</c:v>
                </c:pt>
                <c:pt idx="81">
                  <c:v>4.1044886670927294</c:v>
                </c:pt>
                <c:pt idx="82">
                  <c:v>4.1044886670927294</c:v>
                </c:pt>
                <c:pt idx="83">
                  <c:v>4.1044886670927294</c:v>
                </c:pt>
                <c:pt idx="84">
                  <c:v>6.8911910839579384</c:v>
                </c:pt>
                <c:pt idx="85">
                  <c:v>7.8200908789605537</c:v>
                </c:pt>
                <c:pt idx="86">
                  <c:v>7.8200908789605537</c:v>
                </c:pt>
                <c:pt idx="87">
                  <c:v>2.2466845525784782</c:v>
                </c:pt>
                <c:pt idx="88">
                  <c:v>0.38887845693911371</c:v>
                </c:pt>
                <c:pt idx="89">
                  <c:v>0.38887845693911371</c:v>
                </c:pt>
                <c:pt idx="90">
                  <c:v>0.38887845693911371</c:v>
                </c:pt>
                <c:pt idx="91">
                  <c:v>5.9622907820855584</c:v>
                </c:pt>
                <c:pt idx="92">
                  <c:v>2.2466845525784782</c:v>
                </c:pt>
                <c:pt idx="93">
                  <c:v>4.1044886670927294</c:v>
                </c:pt>
                <c:pt idx="94">
                  <c:v>4.1044886670927294</c:v>
                </c:pt>
                <c:pt idx="95">
                  <c:v>2.2466845525784782</c:v>
                </c:pt>
                <c:pt idx="96">
                  <c:v>9.6778889389189775</c:v>
                </c:pt>
                <c:pt idx="97">
                  <c:v>5.9622907820855584</c:v>
                </c:pt>
                <c:pt idx="98">
                  <c:v>11.535684942957513</c:v>
                </c:pt>
                <c:pt idx="99">
                  <c:v>9.6778889389189775</c:v>
                </c:pt>
                <c:pt idx="100">
                  <c:v>6.8911910839579384</c:v>
                </c:pt>
                <c:pt idx="101">
                  <c:v>7.8200908789605537</c:v>
                </c:pt>
                <c:pt idx="102">
                  <c:v>5.9622907820855584</c:v>
                </c:pt>
                <c:pt idx="103">
                  <c:v>11.535684942957513</c:v>
                </c:pt>
                <c:pt idx="104">
                  <c:v>11.535684942957513</c:v>
                </c:pt>
                <c:pt idx="105">
                  <c:v>11.535684942957513</c:v>
                </c:pt>
                <c:pt idx="106">
                  <c:v>11.535684942957513</c:v>
                </c:pt>
                <c:pt idx="107">
                  <c:v>5.9622907820855584</c:v>
                </c:pt>
                <c:pt idx="108">
                  <c:v>2.2466845525784782</c:v>
                </c:pt>
                <c:pt idx="109">
                  <c:v>7.8200908789605537</c:v>
                </c:pt>
                <c:pt idx="110">
                  <c:v>7.8200908789605537</c:v>
                </c:pt>
                <c:pt idx="111">
                  <c:v>11.535684942957513</c:v>
                </c:pt>
                <c:pt idx="112">
                  <c:v>11.535684942957513</c:v>
                </c:pt>
                <c:pt idx="113">
                  <c:v>9.6778889389189775</c:v>
                </c:pt>
                <c:pt idx="114">
                  <c:v>9.6778889389189775</c:v>
                </c:pt>
                <c:pt idx="115">
                  <c:v>9.6778889389189775</c:v>
                </c:pt>
                <c:pt idx="116">
                  <c:v>9.6778889389189775</c:v>
                </c:pt>
                <c:pt idx="117">
                  <c:v>11.535684942957513</c:v>
                </c:pt>
                <c:pt idx="118">
                  <c:v>12.464582168011788</c:v>
                </c:pt>
                <c:pt idx="119">
                  <c:v>11.535684942957513</c:v>
                </c:pt>
                <c:pt idx="120">
                  <c:v>13.393478871865998</c:v>
                </c:pt>
                <c:pt idx="121">
                  <c:v>11.535684942957513</c:v>
                </c:pt>
                <c:pt idx="122">
                  <c:v>9.6778889389189775</c:v>
                </c:pt>
                <c:pt idx="123">
                  <c:v>10.606787199123994</c:v>
                </c:pt>
                <c:pt idx="124">
                  <c:v>11.535684942957513</c:v>
                </c:pt>
                <c:pt idx="125">
                  <c:v>30.11352757614987</c:v>
                </c:pt>
                <c:pt idx="126">
                  <c:v>5.9622907820855584</c:v>
                </c:pt>
                <c:pt idx="127">
                  <c:v>5.0333899756868821</c:v>
                </c:pt>
                <c:pt idx="128">
                  <c:v>0.38887845693911371</c:v>
                </c:pt>
                <c:pt idx="129">
                  <c:v>9.6778889389189775</c:v>
                </c:pt>
                <c:pt idx="130">
                  <c:v>11.535684942957513</c:v>
                </c:pt>
                <c:pt idx="131">
                  <c:v>9.6778889389189775</c:v>
                </c:pt>
                <c:pt idx="132">
                  <c:v>9.6778889389189775</c:v>
                </c:pt>
                <c:pt idx="133">
                  <c:v>9.6778889389189775</c:v>
                </c:pt>
                <c:pt idx="134">
                  <c:v>9.6778889389189775</c:v>
                </c:pt>
                <c:pt idx="135">
                  <c:v>9.6778889389189775</c:v>
                </c:pt>
                <c:pt idx="136">
                  <c:v>9.6778889389189775</c:v>
                </c:pt>
                <c:pt idx="137">
                  <c:v>0.38887845693911371</c:v>
                </c:pt>
                <c:pt idx="138">
                  <c:v>7.8200908789605537</c:v>
                </c:pt>
                <c:pt idx="139">
                  <c:v>11.535684942957513</c:v>
                </c:pt>
                <c:pt idx="140">
                  <c:v>3.1755868586213487</c:v>
                </c:pt>
                <c:pt idx="141">
                  <c:v>11.535684942957513</c:v>
                </c:pt>
                <c:pt idx="142">
                  <c:v>9.6778889389189775</c:v>
                </c:pt>
                <c:pt idx="143">
                  <c:v>7.8200908789605537</c:v>
                </c:pt>
                <c:pt idx="144">
                  <c:v>11.535684942957513</c:v>
                </c:pt>
                <c:pt idx="145">
                  <c:v>11.535684942957513</c:v>
                </c:pt>
                <c:pt idx="146">
                  <c:v>3.1755868586213487</c:v>
                </c:pt>
                <c:pt idx="147">
                  <c:v>2.2466845525784782</c:v>
                </c:pt>
                <c:pt idx="148">
                  <c:v>4.1044886670927294</c:v>
                </c:pt>
                <c:pt idx="149">
                  <c:v>0.38887845693911371</c:v>
                </c:pt>
                <c:pt idx="150">
                  <c:v>5.9622907820855584</c:v>
                </c:pt>
                <c:pt idx="151">
                  <c:v>5.9622907820855584</c:v>
                </c:pt>
                <c:pt idx="152">
                  <c:v>5.9622907820855584</c:v>
                </c:pt>
                <c:pt idx="153">
                  <c:v>3.1755868586213487</c:v>
                </c:pt>
                <c:pt idx="154">
                  <c:v>2.2466845525784782</c:v>
                </c:pt>
                <c:pt idx="155">
                  <c:v>10.606787199123994</c:v>
                </c:pt>
                <c:pt idx="156">
                  <c:v>10.606787199123994</c:v>
                </c:pt>
                <c:pt idx="157">
                  <c:v>0.38887845693911371</c:v>
                </c:pt>
                <c:pt idx="158">
                  <c:v>4.1044886670927294</c:v>
                </c:pt>
                <c:pt idx="159">
                  <c:v>5.9622907820855584</c:v>
                </c:pt>
                <c:pt idx="160">
                  <c:v>2.2466845525784782</c:v>
                </c:pt>
                <c:pt idx="161">
                  <c:v>5.9622907820855584</c:v>
                </c:pt>
                <c:pt idx="162">
                  <c:v>2.2466845525784782</c:v>
                </c:pt>
                <c:pt idx="163">
                  <c:v>3.1755868586213487</c:v>
                </c:pt>
                <c:pt idx="164">
                  <c:v>5.9622907820855584</c:v>
                </c:pt>
                <c:pt idx="165">
                  <c:v>5.9622907820855584</c:v>
                </c:pt>
                <c:pt idx="166">
                  <c:v>0.38887845693911371</c:v>
                </c:pt>
                <c:pt idx="167">
                  <c:v>4.1044886670927294</c:v>
                </c:pt>
                <c:pt idx="168">
                  <c:v>11.535684942957513</c:v>
                </c:pt>
                <c:pt idx="169">
                  <c:v>11.535684942957513</c:v>
                </c:pt>
                <c:pt idx="170">
                  <c:v>4.1044886670927294</c:v>
                </c:pt>
                <c:pt idx="171">
                  <c:v>9.6778889389189775</c:v>
                </c:pt>
                <c:pt idx="172">
                  <c:v>2.2466845525784782</c:v>
                </c:pt>
                <c:pt idx="173">
                  <c:v>0.38887845693911371</c:v>
                </c:pt>
                <c:pt idx="174">
                  <c:v>11.535684942957513</c:v>
                </c:pt>
                <c:pt idx="175">
                  <c:v>5.9622907820855584</c:v>
                </c:pt>
                <c:pt idx="176">
                  <c:v>2.2466845525784782</c:v>
                </c:pt>
                <c:pt idx="177">
                  <c:v>9.6778889389189775</c:v>
                </c:pt>
                <c:pt idx="178">
                  <c:v>5.9622907820855584</c:v>
                </c:pt>
                <c:pt idx="179">
                  <c:v>5.9622907820855584</c:v>
                </c:pt>
                <c:pt idx="180">
                  <c:v>5.9622907820855584</c:v>
                </c:pt>
                <c:pt idx="181">
                  <c:v>5.9622907820855584</c:v>
                </c:pt>
                <c:pt idx="182">
                  <c:v>5.9622907820855584</c:v>
                </c:pt>
                <c:pt idx="183">
                  <c:v>9.6778889389189775</c:v>
                </c:pt>
                <c:pt idx="184">
                  <c:v>9.6778889389189775</c:v>
                </c:pt>
                <c:pt idx="185">
                  <c:v>7.8200908789605537</c:v>
                </c:pt>
                <c:pt idx="186">
                  <c:v>9.6778889389189775</c:v>
                </c:pt>
                <c:pt idx="187">
                  <c:v>11.535684942957513</c:v>
                </c:pt>
                <c:pt idx="188">
                  <c:v>9.6778889389189775</c:v>
                </c:pt>
                <c:pt idx="189">
                  <c:v>5.9622907820855584</c:v>
                </c:pt>
                <c:pt idx="190">
                  <c:v>4.1044886670927294</c:v>
                </c:pt>
                <c:pt idx="191">
                  <c:v>15.251270706225133</c:v>
                </c:pt>
                <c:pt idx="192">
                  <c:v>20.824633444627977</c:v>
                </c:pt>
                <c:pt idx="193">
                  <c:v>4.1044886670927294</c:v>
                </c:pt>
                <c:pt idx="194">
                  <c:v>18.037954487483201</c:v>
                </c:pt>
                <c:pt idx="195">
                  <c:v>5.9622907820855584</c:v>
                </c:pt>
                <c:pt idx="196">
                  <c:v>3.1755868586213487</c:v>
                </c:pt>
                <c:pt idx="197">
                  <c:v>2.2466845525784782</c:v>
                </c:pt>
                <c:pt idx="198">
                  <c:v>5.9622907820855584</c:v>
                </c:pt>
                <c:pt idx="199">
                  <c:v>5.9622907820855584</c:v>
                </c:pt>
                <c:pt idx="200">
                  <c:v>5.9622907820855584</c:v>
                </c:pt>
                <c:pt idx="201">
                  <c:v>5.9622907820855584</c:v>
                </c:pt>
                <c:pt idx="202">
                  <c:v>5.9622907820855584</c:v>
                </c:pt>
                <c:pt idx="203">
                  <c:v>5.9622907820855584</c:v>
                </c:pt>
                <c:pt idx="204">
                  <c:v>5.9622907820855584</c:v>
                </c:pt>
                <c:pt idx="205">
                  <c:v>5.9622907820855584</c:v>
                </c:pt>
                <c:pt idx="206">
                  <c:v>13.393478871865998</c:v>
                </c:pt>
                <c:pt idx="207">
                  <c:v>13.393478871865998</c:v>
                </c:pt>
                <c:pt idx="208">
                  <c:v>4.1044886670927294</c:v>
                </c:pt>
                <c:pt idx="209">
                  <c:v>13.393478871865998</c:v>
                </c:pt>
                <c:pt idx="210">
                  <c:v>13.393478871865998</c:v>
                </c:pt>
                <c:pt idx="211">
                  <c:v>13.393478871865998</c:v>
                </c:pt>
                <c:pt idx="212">
                  <c:v>13.393478871865998</c:v>
                </c:pt>
                <c:pt idx="213">
                  <c:v>18.966848012558671</c:v>
                </c:pt>
                <c:pt idx="214">
                  <c:v>18.966848012558671</c:v>
                </c:pt>
                <c:pt idx="215">
                  <c:v>18.966848012558671</c:v>
                </c:pt>
                <c:pt idx="216">
                  <c:v>14.322375052086173</c:v>
                </c:pt>
                <c:pt idx="217">
                  <c:v>11.535684942957513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1AA-4D16-86DD-CD24337E4549}"/>
            </c:ext>
          </c:extLst>
        </c:ser>
        <c:ser>
          <c:idx val="5"/>
          <c:order val="5"/>
          <c:tx>
            <c:v>Confidence_Interval_Max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Confidence_and_Prediction_Inte!$B$3:$B$220</c:f>
              <c:numCache>
                <c:formatCode>General</c:formatCode>
                <c:ptCount val="218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5</c:v>
                </c:pt>
                <c:pt idx="8">
                  <c:v>16</c:v>
                </c:pt>
                <c:pt idx="9">
                  <c:v>20</c:v>
                </c:pt>
                <c:pt idx="10">
                  <c:v>6</c:v>
                </c:pt>
                <c:pt idx="11">
                  <c:v>10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12</c:v>
                </c:pt>
                <c:pt idx="20">
                  <c:v>8</c:v>
                </c:pt>
                <c:pt idx="21">
                  <c:v>8</c:v>
                </c:pt>
                <c:pt idx="22">
                  <c:v>0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16</c:v>
                </c:pt>
                <c:pt idx="44">
                  <c:v>18</c:v>
                </c:pt>
                <c:pt idx="45">
                  <c:v>8</c:v>
                </c:pt>
                <c:pt idx="46">
                  <c:v>12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8</c:v>
                </c:pt>
                <c:pt idx="51">
                  <c:v>10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10</c:v>
                </c:pt>
                <c:pt idx="58">
                  <c:v>10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8</c:v>
                </c:pt>
                <c:pt idx="64">
                  <c:v>18</c:v>
                </c:pt>
                <c:pt idx="65">
                  <c:v>18</c:v>
                </c:pt>
                <c:pt idx="66">
                  <c:v>6</c:v>
                </c:pt>
                <c:pt idx="67">
                  <c:v>8</c:v>
                </c:pt>
                <c:pt idx="68">
                  <c:v>10</c:v>
                </c:pt>
                <c:pt idx="69">
                  <c:v>4</c:v>
                </c:pt>
                <c:pt idx="70">
                  <c:v>2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12</c:v>
                </c:pt>
                <c:pt idx="76">
                  <c:v>12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7</c:v>
                </c:pt>
                <c:pt idx="85">
                  <c:v>8</c:v>
                </c:pt>
                <c:pt idx="86">
                  <c:v>8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6</c:v>
                </c:pt>
                <c:pt idx="92">
                  <c:v>2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10</c:v>
                </c:pt>
                <c:pt idx="97">
                  <c:v>6</c:v>
                </c:pt>
                <c:pt idx="98">
                  <c:v>12</c:v>
                </c:pt>
                <c:pt idx="99">
                  <c:v>10</c:v>
                </c:pt>
                <c:pt idx="100">
                  <c:v>7</c:v>
                </c:pt>
                <c:pt idx="101">
                  <c:v>8</c:v>
                </c:pt>
                <c:pt idx="102">
                  <c:v>6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6</c:v>
                </c:pt>
                <c:pt idx="108">
                  <c:v>2</c:v>
                </c:pt>
                <c:pt idx="109">
                  <c:v>8</c:v>
                </c:pt>
                <c:pt idx="110">
                  <c:v>8</c:v>
                </c:pt>
                <c:pt idx="111">
                  <c:v>12</c:v>
                </c:pt>
                <c:pt idx="112">
                  <c:v>12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12</c:v>
                </c:pt>
                <c:pt idx="118">
                  <c:v>13</c:v>
                </c:pt>
                <c:pt idx="119">
                  <c:v>12</c:v>
                </c:pt>
                <c:pt idx="120">
                  <c:v>14</c:v>
                </c:pt>
                <c:pt idx="121">
                  <c:v>12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32</c:v>
                </c:pt>
                <c:pt idx="126">
                  <c:v>6</c:v>
                </c:pt>
                <c:pt idx="127">
                  <c:v>5</c:v>
                </c:pt>
                <c:pt idx="128">
                  <c:v>0</c:v>
                </c:pt>
                <c:pt idx="129">
                  <c:v>10</c:v>
                </c:pt>
                <c:pt idx="130">
                  <c:v>12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0</c:v>
                </c:pt>
                <c:pt idx="138">
                  <c:v>8</c:v>
                </c:pt>
                <c:pt idx="139">
                  <c:v>12</c:v>
                </c:pt>
                <c:pt idx="140">
                  <c:v>3</c:v>
                </c:pt>
                <c:pt idx="141">
                  <c:v>12</c:v>
                </c:pt>
                <c:pt idx="142">
                  <c:v>10</c:v>
                </c:pt>
                <c:pt idx="143">
                  <c:v>8</c:v>
                </c:pt>
                <c:pt idx="144">
                  <c:v>12</c:v>
                </c:pt>
                <c:pt idx="145">
                  <c:v>12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0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2</c:v>
                </c:pt>
                <c:pt idx="155">
                  <c:v>11</c:v>
                </c:pt>
                <c:pt idx="156">
                  <c:v>11</c:v>
                </c:pt>
                <c:pt idx="157">
                  <c:v>0</c:v>
                </c:pt>
                <c:pt idx="158">
                  <c:v>4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2</c:v>
                </c:pt>
                <c:pt idx="163">
                  <c:v>3</c:v>
                </c:pt>
                <c:pt idx="164">
                  <c:v>6</c:v>
                </c:pt>
                <c:pt idx="165">
                  <c:v>6</c:v>
                </c:pt>
                <c:pt idx="166">
                  <c:v>0</c:v>
                </c:pt>
                <c:pt idx="167">
                  <c:v>4</c:v>
                </c:pt>
                <c:pt idx="168">
                  <c:v>12</c:v>
                </c:pt>
                <c:pt idx="169">
                  <c:v>12</c:v>
                </c:pt>
                <c:pt idx="170">
                  <c:v>4</c:v>
                </c:pt>
                <c:pt idx="171">
                  <c:v>10</c:v>
                </c:pt>
                <c:pt idx="172">
                  <c:v>2</c:v>
                </c:pt>
                <c:pt idx="173">
                  <c:v>0</c:v>
                </c:pt>
                <c:pt idx="174">
                  <c:v>12</c:v>
                </c:pt>
                <c:pt idx="175">
                  <c:v>6</c:v>
                </c:pt>
                <c:pt idx="176">
                  <c:v>2</c:v>
                </c:pt>
                <c:pt idx="177">
                  <c:v>10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10</c:v>
                </c:pt>
                <c:pt idx="184">
                  <c:v>10</c:v>
                </c:pt>
                <c:pt idx="185">
                  <c:v>8</c:v>
                </c:pt>
                <c:pt idx="186">
                  <c:v>10</c:v>
                </c:pt>
                <c:pt idx="187">
                  <c:v>12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16</c:v>
                </c:pt>
                <c:pt idx="192">
                  <c:v>22</c:v>
                </c:pt>
                <c:pt idx="193">
                  <c:v>4</c:v>
                </c:pt>
                <c:pt idx="194">
                  <c:v>19</c:v>
                </c:pt>
                <c:pt idx="195">
                  <c:v>6</c:v>
                </c:pt>
                <c:pt idx="196">
                  <c:v>3</c:v>
                </c:pt>
                <c:pt idx="197">
                  <c:v>2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14</c:v>
                </c:pt>
                <c:pt idx="207">
                  <c:v>14</c:v>
                </c:pt>
                <c:pt idx="208">
                  <c:v>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15</c:v>
                </c:pt>
                <c:pt idx="217">
                  <c:v>12</c:v>
                </c:pt>
              </c:numCache>
            </c:numRef>
          </c:xVal>
          <c:yVal>
            <c:numRef>
              <c:f>Confidence_and_Prediction_Inte!$S$3:$S$220</c:f>
              <c:numCache>
                <c:formatCode>0</c:formatCode>
                <c:ptCount val="218"/>
                <c:pt idx="0">
                  <c:v>6.8156315112158481</c:v>
                </c:pt>
                <c:pt idx="1">
                  <c:v>1.2501430915882019</c:v>
                </c:pt>
                <c:pt idx="2">
                  <c:v>6.8156315112158481</c:v>
                </c:pt>
                <c:pt idx="3">
                  <c:v>6.8156315112158481</c:v>
                </c:pt>
                <c:pt idx="4">
                  <c:v>6.8156315112158481</c:v>
                </c:pt>
                <c:pt idx="5">
                  <c:v>6.8156315112158481</c:v>
                </c:pt>
                <c:pt idx="6">
                  <c:v>10.525967184231822</c:v>
                </c:pt>
                <c:pt idx="7">
                  <c:v>5.8880488601521765</c:v>
                </c:pt>
                <c:pt idx="8">
                  <c:v>16.091486161699756</c:v>
                </c:pt>
                <c:pt idx="9">
                  <c:v>19.801842685215618</c:v>
                </c:pt>
                <c:pt idx="10">
                  <c:v>6.8156315112158481</c:v>
                </c:pt>
                <c:pt idx="11">
                  <c:v>10.525967184231822</c:v>
                </c:pt>
                <c:pt idx="12">
                  <c:v>19.801842685215618</c:v>
                </c:pt>
                <c:pt idx="13">
                  <c:v>19.801842685215618</c:v>
                </c:pt>
                <c:pt idx="14">
                  <c:v>19.801842685215618</c:v>
                </c:pt>
                <c:pt idx="15">
                  <c:v>8.6707983292655495</c:v>
                </c:pt>
                <c:pt idx="16">
                  <c:v>8.6707983292655495</c:v>
                </c:pt>
                <c:pt idx="17">
                  <c:v>12.381138095117986</c:v>
                </c:pt>
                <c:pt idx="18">
                  <c:v>8.6707983292655495</c:v>
                </c:pt>
                <c:pt idx="19">
                  <c:v>12.381138095117986</c:v>
                </c:pt>
                <c:pt idx="20">
                  <c:v>8.6707983292655495</c:v>
                </c:pt>
                <c:pt idx="21">
                  <c:v>8.6707983292655495</c:v>
                </c:pt>
                <c:pt idx="22">
                  <c:v>1.2501430915882019</c:v>
                </c:pt>
                <c:pt idx="23">
                  <c:v>1.2501430915882019</c:v>
                </c:pt>
                <c:pt idx="24">
                  <c:v>6.8156315112158481</c:v>
                </c:pt>
                <c:pt idx="25">
                  <c:v>1.2501430915882019</c:v>
                </c:pt>
                <c:pt idx="26">
                  <c:v>10.525967184231822</c:v>
                </c:pt>
                <c:pt idx="27">
                  <c:v>10.525967184231822</c:v>
                </c:pt>
                <c:pt idx="28">
                  <c:v>6.8156315112158481</c:v>
                </c:pt>
                <c:pt idx="29">
                  <c:v>6.8156315112158481</c:v>
                </c:pt>
                <c:pt idx="30">
                  <c:v>6.8156315112158481</c:v>
                </c:pt>
                <c:pt idx="31">
                  <c:v>10.525967184231822</c:v>
                </c:pt>
                <c:pt idx="32">
                  <c:v>10.525967184231822</c:v>
                </c:pt>
                <c:pt idx="33">
                  <c:v>10.525967184231822</c:v>
                </c:pt>
                <c:pt idx="34">
                  <c:v>10.525967184231822</c:v>
                </c:pt>
                <c:pt idx="35">
                  <c:v>10.525967184231822</c:v>
                </c:pt>
                <c:pt idx="36">
                  <c:v>8.6707983292655495</c:v>
                </c:pt>
                <c:pt idx="37">
                  <c:v>8.6707983292655495</c:v>
                </c:pt>
                <c:pt idx="38">
                  <c:v>8.6707983292655495</c:v>
                </c:pt>
                <c:pt idx="39">
                  <c:v>8.6707983292655495</c:v>
                </c:pt>
                <c:pt idx="40">
                  <c:v>3.105303910873535</c:v>
                </c:pt>
                <c:pt idx="41">
                  <c:v>3.105303910873535</c:v>
                </c:pt>
                <c:pt idx="42">
                  <c:v>4.0328850622930128</c:v>
                </c:pt>
                <c:pt idx="43">
                  <c:v>16.091486161699756</c:v>
                </c:pt>
                <c:pt idx="44">
                  <c:v>17.946663356445399</c:v>
                </c:pt>
                <c:pt idx="45">
                  <c:v>8.6707983292655495</c:v>
                </c:pt>
                <c:pt idx="46">
                  <c:v>12.381138095117986</c:v>
                </c:pt>
                <c:pt idx="47">
                  <c:v>8.6707983292655495</c:v>
                </c:pt>
                <c:pt idx="48">
                  <c:v>10.525967184231822</c:v>
                </c:pt>
                <c:pt idx="49">
                  <c:v>10.525967184231822</c:v>
                </c:pt>
                <c:pt idx="50">
                  <c:v>8.6707983292655495</c:v>
                </c:pt>
                <c:pt idx="51">
                  <c:v>10.525967184231822</c:v>
                </c:pt>
                <c:pt idx="52">
                  <c:v>4.9604667112839795</c:v>
                </c:pt>
                <c:pt idx="53">
                  <c:v>4.9604667112839795</c:v>
                </c:pt>
                <c:pt idx="54">
                  <c:v>4.9604667112839795</c:v>
                </c:pt>
                <c:pt idx="55">
                  <c:v>4.9604667112839795</c:v>
                </c:pt>
                <c:pt idx="56">
                  <c:v>4.0328850622930128</c:v>
                </c:pt>
                <c:pt idx="57">
                  <c:v>10.525967184231822</c:v>
                </c:pt>
                <c:pt idx="58">
                  <c:v>10.525967184231822</c:v>
                </c:pt>
                <c:pt idx="59">
                  <c:v>4.0328850622930128</c:v>
                </c:pt>
                <c:pt idx="60">
                  <c:v>4.9604667112839795</c:v>
                </c:pt>
                <c:pt idx="61">
                  <c:v>3.105303910873535</c:v>
                </c:pt>
                <c:pt idx="62">
                  <c:v>3.105303910873535</c:v>
                </c:pt>
                <c:pt idx="63">
                  <c:v>8.6707983292655495</c:v>
                </c:pt>
                <c:pt idx="64">
                  <c:v>17.946663356445399</c:v>
                </c:pt>
                <c:pt idx="65">
                  <c:v>17.946663356445399</c:v>
                </c:pt>
                <c:pt idx="66">
                  <c:v>6.8156315112158481</c:v>
                </c:pt>
                <c:pt idx="67">
                  <c:v>8.6707983292655495</c:v>
                </c:pt>
                <c:pt idx="68">
                  <c:v>10.525967184231822</c:v>
                </c:pt>
                <c:pt idx="69">
                  <c:v>4.9604667112839795</c:v>
                </c:pt>
                <c:pt idx="70">
                  <c:v>3.105303910873535</c:v>
                </c:pt>
                <c:pt idx="71">
                  <c:v>10.525967184231822</c:v>
                </c:pt>
                <c:pt idx="72">
                  <c:v>10.525967184231822</c:v>
                </c:pt>
                <c:pt idx="73">
                  <c:v>10.525967184231822</c:v>
                </c:pt>
                <c:pt idx="74">
                  <c:v>10.525967184231822</c:v>
                </c:pt>
                <c:pt idx="75">
                  <c:v>12.381138095117986</c:v>
                </c:pt>
                <c:pt idx="76">
                  <c:v>12.381138095117986</c:v>
                </c:pt>
                <c:pt idx="77">
                  <c:v>4.9604667112839795</c:v>
                </c:pt>
                <c:pt idx="78">
                  <c:v>4.9604667112839795</c:v>
                </c:pt>
                <c:pt idx="79">
                  <c:v>5.8880488601521765</c:v>
                </c:pt>
                <c:pt idx="80">
                  <c:v>4.9604667112839795</c:v>
                </c:pt>
                <c:pt idx="81">
                  <c:v>4.9604667112839795</c:v>
                </c:pt>
                <c:pt idx="82">
                  <c:v>4.9604667112839795</c:v>
                </c:pt>
                <c:pt idx="83">
                  <c:v>4.9604667112839795</c:v>
                </c:pt>
                <c:pt idx="84">
                  <c:v>7.7432146668058177</c:v>
                </c:pt>
                <c:pt idx="85">
                  <c:v>8.6707983292655495</c:v>
                </c:pt>
                <c:pt idx="86">
                  <c:v>8.6707983292655495</c:v>
                </c:pt>
                <c:pt idx="87">
                  <c:v>3.105303910873535</c:v>
                </c:pt>
                <c:pt idx="88">
                  <c:v>1.2501430915882019</c:v>
                </c:pt>
                <c:pt idx="89">
                  <c:v>1.2501430915882019</c:v>
                </c:pt>
                <c:pt idx="90">
                  <c:v>1.2501430915882019</c:v>
                </c:pt>
                <c:pt idx="91">
                  <c:v>6.8156315112158481</c:v>
                </c:pt>
                <c:pt idx="92">
                  <c:v>3.105303910873535</c:v>
                </c:pt>
                <c:pt idx="93">
                  <c:v>4.9604667112839795</c:v>
                </c:pt>
                <c:pt idx="94">
                  <c:v>4.9604667112839795</c:v>
                </c:pt>
                <c:pt idx="95">
                  <c:v>3.105303910873535</c:v>
                </c:pt>
                <c:pt idx="96">
                  <c:v>10.525967184231822</c:v>
                </c:pt>
                <c:pt idx="97">
                  <c:v>6.8156315112158481</c:v>
                </c:pt>
                <c:pt idx="98">
                  <c:v>12.381138095117986</c:v>
                </c:pt>
                <c:pt idx="99">
                  <c:v>10.525967184231822</c:v>
                </c:pt>
                <c:pt idx="100">
                  <c:v>7.7432146668058177</c:v>
                </c:pt>
                <c:pt idx="101">
                  <c:v>8.6707983292655495</c:v>
                </c:pt>
                <c:pt idx="102">
                  <c:v>6.8156315112158481</c:v>
                </c:pt>
                <c:pt idx="103">
                  <c:v>12.381138095117986</c:v>
                </c:pt>
                <c:pt idx="104">
                  <c:v>12.381138095117986</c:v>
                </c:pt>
                <c:pt idx="105">
                  <c:v>12.381138095117986</c:v>
                </c:pt>
                <c:pt idx="106">
                  <c:v>12.381138095117986</c:v>
                </c:pt>
                <c:pt idx="107">
                  <c:v>6.8156315112158481</c:v>
                </c:pt>
                <c:pt idx="108">
                  <c:v>3.105303910873535</c:v>
                </c:pt>
                <c:pt idx="109">
                  <c:v>8.6707983292655495</c:v>
                </c:pt>
                <c:pt idx="110">
                  <c:v>8.6707983292655495</c:v>
                </c:pt>
                <c:pt idx="111">
                  <c:v>12.381138095117986</c:v>
                </c:pt>
                <c:pt idx="112">
                  <c:v>12.381138095117986</c:v>
                </c:pt>
                <c:pt idx="113">
                  <c:v>10.525967184231822</c:v>
                </c:pt>
                <c:pt idx="114">
                  <c:v>10.525967184231822</c:v>
                </c:pt>
                <c:pt idx="115">
                  <c:v>10.525967184231822</c:v>
                </c:pt>
                <c:pt idx="116">
                  <c:v>10.525967184231822</c:v>
                </c:pt>
                <c:pt idx="117">
                  <c:v>12.381138095117986</c:v>
                </c:pt>
                <c:pt idx="118">
                  <c:v>13.308724327526058</c:v>
                </c:pt>
                <c:pt idx="119">
                  <c:v>12.381138095117986</c:v>
                </c:pt>
                <c:pt idx="120">
                  <c:v>14.2363110811342</c:v>
                </c:pt>
                <c:pt idx="121">
                  <c:v>12.381138095117986</c:v>
                </c:pt>
                <c:pt idx="122">
                  <c:v>10.525967184231822</c:v>
                </c:pt>
                <c:pt idx="123">
                  <c:v>11.453552381489159</c:v>
                </c:pt>
                <c:pt idx="124">
                  <c:v>12.381138095117986</c:v>
                </c:pt>
                <c:pt idx="125">
                  <c:v>30.932964611172601</c:v>
                </c:pt>
                <c:pt idx="126">
                  <c:v>6.8156315112158481</c:v>
                </c:pt>
                <c:pt idx="127">
                  <c:v>5.8880488601521765</c:v>
                </c:pt>
                <c:pt idx="128">
                  <c:v>1.2501430915882019</c:v>
                </c:pt>
                <c:pt idx="129">
                  <c:v>10.525967184231822</c:v>
                </c:pt>
                <c:pt idx="130">
                  <c:v>12.381138095117986</c:v>
                </c:pt>
                <c:pt idx="131">
                  <c:v>10.525967184231822</c:v>
                </c:pt>
                <c:pt idx="132">
                  <c:v>10.525967184231822</c:v>
                </c:pt>
                <c:pt idx="133">
                  <c:v>10.525967184231822</c:v>
                </c:pt>
                <c:pt idx="134">
                  <c:v>10.525967184231822</c:v>
                </c:pt>
                <c:pt idx="135">
                  <c:v>10.525967184231822</c:v>
                </c:pt>
                <c:pt idx="136">
                  <c:v>10.525967184231822</c:v>
                </c:pt>
                <c:pt idx="137">
                  <c:v>1.2501430915882019</c:v>
                </c:pt>
                <c:pt idx="138">
                  <c:v>8.6707983292655495</c:v>
                </c:pt>
                <c:pt idx="139">
                  <c:v>12.381138095117986</c:v>
                </c:pt>
                <c:pt idx="140">
                  <c:v>4.0328850622930128</c:v>
                </c:pt>
                <c:pt idx="141">
                  <c:v>12.381138095117986</c:v>
                </c:pt>
                <c:pt idx="142">
                  <c:v>10.525967184231822</c:v>
                </c:pt>
                <c:pt idx="143">
                  <c:v>8.6707983292655495</c:v>
                </c:pt>
                <c:pt idx="144">
                  <c:v>12.381138095117986</c:v>
                </c:pt>
                <c:pt idx="145">
                  <c:v>12.381138095117986</c:v>
                </c:pt>
                <c:pt idx="146">
                  <c:v>4.0328850622930128</c:v>
                </c:pt>
                <c:pt idx="147">
                  <c:v>3.105303910873535</c:v>
                </c:pt>
                <c:pt idx="148">
                  <c:v>4.9604667112839795</c:v>
                </c:pt>
                <c:pt idx="149">
                  <c:v>1.2501430915882019</c:v>
                </c:pt>
                <c:pt idx="150">
                  <c:v>6.8156315112158481</c:v>
                </c:pt>
                <c:pt idx="151">
                  <c:v>6.8156315112158481</c:v>
                </c:pt>
                <c:pt idx="152">
                  <c:v>6.8156315112158481</c:v>
                </c:pt>
                <c:pt idx="153">
                  <c:v>4.0328850622930128</c:v>
                </c:pt>
                <c:pt idx="154">
                  <c:v>3.105303910873535</c:v>
                </c:pt>
                <c:pt idx="155">
                  <c:v>11.453552381489159</c:v>
                </c:pt>
                <c:pt idx="156">
                  <c:v>11.453552381489159</c:v>
                </c:pt>
                <c:pt idx="157">
                  <c:v>1.2501430915882019</c:v>
                </c:pt>
                <c:pt idx="158">
                  <c:v>4.9604667112839795</c:v>
                </c:pt>
                <c:pt idx="159">
                  <c:v>6.8156315112158481</c:v>
                </c:pt>
                <c:pt idx="160">
                  <c:v>3.105303910873535</c:v>
                </c:pt>
                <c:pt idx="161">
                  <c:v>6.8156315112158481</c:v>
                </c:pt>
                <c:pt idx="162">
                  <c:v>3.105303910873535</c:v>
                </c:pt>
                <c:pt idx="163">
                  <c:v>4.0328850622930128</c:v>
                </c:pt>
                <c:pt idx="164">
                  <c:v>6.8156315112158481</c:v>
                </c:pt>
                <c:pt idx="165">
                  <c:v>6.8156315112158481</c:v>
                </c:pt>
                <c:pt idx="166">
                  <c:v>1.2501430915882019</c:v>
                </c:pt>
                <c:pt idx="167">
                  <c:v>4.9604667112839795</c:v>
                </c:pt>
                <c:pt idx="168">
                  <c:v>12.381138095117986</c:v>
                </c:pt>
                <c:pt idx="169">
                  <c:v>12.381138095117986</c:v>
                </c:pt>
                <c:pt idx="170">
                  <c:v>4.9604667112839795</c:v>
                </c:pt>
                <c:pt idx="171">
                  <c:v>10.525967184231822</c:v>
                </c:pt>
                <c:pt idx="172">
                  <c:v>3.105303910873535</c:v>
                </c:pt>
                <c:pt idx="173">
                  <c:v>1.2501430915882019</c:v>
                </c:pt>
                <c:pt idx="174">
                  <c:v>12.381138095117986</c:v>
                </c:pt>
                <c:pt idx="175">
                  <c:v>6.8156315112158481</c:v>
                </c:pt>
                <c:pt idx="176">
                  <c:v>3.105303910873535</c:v>
                </c:pt>
                <c:pt idx="177">
                  <c:v>10.525967184231822</c:v>
                </c:pt>
                <c:pt idx="178">
                  <c:v>6.8156315112158481</c:v>
                </c:pt>
                <c:pt idx="179">
                  <c:v>6.8156315112158481</c:v>
                </c:pt>
                <c:pt idx="180">
                  <c:v>6.8156315112158481</c:v>
                </c:pt>
                <c:pt idx="181">
                  <c:v>6.8156315112158481</c:v>
                </c:pt>
                <c:pt idx="182">
                  <c:v>6.8156315112158481</c:v>
                </c:pt>
                <c:pt idx="183">
                  <c:v>10.525967184231822</c:v>
                </c:pt>
                <c:pt idx="184">
                  <c:v>10.525967184231822</c:v>
                </c:pt>
                <c:pt idx="185">
                  <c:v>8.6707983292655495</c:v>
                </c:pt>
                <c:pt idx="186">
                  <c:v>10.525967184231822</c:v>
                </c:pt>
                <c:pt idx="187">
                  <c:v>12.381138095117986</c:v>
                </c:pt>
                <c:pt idx="188">
                  <c:v>10.525967184231822</c:v>
                </c:pt>
                <c:pt idx="189">
                  <c:v>6.8156315112158481</c:v>
                </c:pt>
                <c:pt idx="190">
                  <c:v>4.9604667112839795</c:v>
                </c:pt>
                <c:pt idx="191">
                  <c:v>16.091486161699756</c:v>
                </c:pt>
                <c:pt idx="192">
                  <c:v>21.657024168071011</c:v>
                </c:pt>
                <c:pt idx="193">
                  <c:v>4.9604667112839795</c:v>
                </c:pt>
                <c:pt idx="194">
                  <c:v>18.874252752828742</c:v>
                </c:pt>
                <c:pt idx="195">
                  <c:v>6.8156315112158481</c:v>
                </c:pt>
                <c:pt idx="196">
                  <c:v>4.0328850622930128</c:v>
                </c:pt>
                <c:pt idx="197">
                  <c:v>3.105303910873535</c:v>
                </c:pt>
                <c:pt idx="198">
                  <c:v>6.8156315112158481</c:v>
                </c:pt>
                <c:pt idx="199">
                  <c:v>6.8156315112158481</c:v>
                </c:pt>
                <c:pt idx="200">
                  <c:v>6.8156315112158481</c:v>
                </c:pt>
                <c:pt idx="201">
                  <c:v>6.8156315112158481</c:v>
                </c:pt>
                <c:pt idx="202">
                  <c:v>6.8156315112158481</c:v>
                </c:pt>
                <c:pt idx="203">
                  <c:v>6.8156315112158481</c:v>
                </c:pt>
                <c:pt idx="204">
                  <c:v>6.8156315112158481</c:v>
                </c:pt>
                <c:pt idx="205">
                  <c:v>6.8156315112158481</c:v>
                </c:pt>
                <c:pt idx="206">
                  <c:v>14.2363110811342</c:v>
                </c:pt>
                <c:pt idx="207">
                  <c:v>14.2363110811342</c:v>
                </c:pt>
                <c:pt idx="208">
                  <c:v>4.9604667112839795</c:v>
                </c:pt>
                <c:pt idx="209">
                  <c:v>14.2363110811342</c:v>
                </c:pt>
                <c:pt idx="210">
                  <c:v>14.2363110811342</c:v>
                </c:pt>
                <c:pt idx="211">
                  <c:v>14.2363110811342</c:v>
                </c:pt>
                <c:pt idx="212">
                  <c:v>14.2363110811342</c:v>
                </c:pt>
                <c:pt idx="213">
                  <c:v>19.801842685215618</c:v>
                </c:pt>
                <c:pt idx="214">
                  <c:v>19.801842685215618</c:v>
                </c:pt>
                <c:pt idx="215">
                  <c:v>19.801842685215618</c:v>
                </c:pt>
                <c:pt idx="216">
                  <c:v>15.163898358376372</c:v>
                </c:pt>
                <c:pt idx="217">
                  <c:v>12.381138095117986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1AA-4D16-86DD-CD24337E4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63968"/>
        <c:axId val="100165888"/>
      </c:scatterChart>
      <c:valAx>
        <c:axId val="100163968"/>
        <c:scaling>
          <c:orientation val="minMax"/>
          <c:max val="3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800"/>
                </a:pPr>
                <a:r>
                  <a:rPr lang="de-DE" sz="800"/>
                  <a:t>True Number of Vents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165888"/>
        <c:crosses val="autoZero"/>
        <c:crossBetween val="midCat"/>
      </c:valAx>
      <c:valAx>
        <c:axId val="100165888"/>
        <c:scaling>
          <c:orientation val="minMax"/>
          <c:max val="3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Predicted</a:t>
                </a:r>
                <a:r>
                  <a:rPr lang="de-DE" baseline="0"/>
                  <a:t> Number of Vents</a:t>
                </a:r>
                <a:endParaRPr lang="de-DE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1639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</xdr:colOff>
      <xdr:row>14</xdr:row>
      <xdr:rowOff>19050</xdr:rowOff>
    </xdr:from>
    <xdr:to>
      <xdr:col>24</xdr:col>
      <xdr:colOff>249236</xdr:colOff>
      <xdr:row>16</xdr:row>
      <xdr:rowOff>94071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9775" y="2514600"/>
          <a:ext cx="3273719" cy="452211"/>
        </a:xfrm>
        <a:prstGeom prst="rect">
          <a:avLst/>
        </a:prstGeom>
      </xdr:spPr>
    </xdr:pic>
    <xdr:clientData/>
  </xdr:twoCellAnchor>
  <xdr:twoCellAnchor>
    <xdr:from>
      <xdr:col>19</xdr:col>
      <xdr:colOff>142315</xdr:colOff>
      <xdr:row>41</xdr:row>
      <xdr:rowOff>28575</xdr:rowOff>
    </xdr:from>
    <xdr:to>
      <xdr:col>25</xdr:col>
      <xdr:colOff>723340</xdr:colOff>
      <xdr:row>66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151840</xdr:colOff>
      <xdr:row>66</xdr:row>
      <xdr:rowOff>125506</xdr:rowOff>
    </xdr:from>
    <xdr:to>
      <xdr:col>25</xdr:col>
      <xdr:colOff>732865</xdr:colOff>
      <xdr:row>91</xdr:row>
      <xdr:rowOff>173131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0.73094</cdr:x>
      <cdr:y>0.27397</cdr:y>
    </cdr:from>
    <cdr:to>
      <cdr:x>0.90785</cdr:x>
      <cdr:y>0.43819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4032940" y="1317851"/>
          <a:ext cx="976089" cy="789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400">
              <a:solidFill>
                <a:srgbClr val="317761"/>
              </a:solidFill>
            </a:rPr>
            <a:t>95 %</a:t>
          </a:r>
          <a:endParaRPr lang="en-GB" sz="1400" baseline="0">
            <a:solidFill>
              <a:srgbClr val="317761"/>
            </a:solidFill>
          </a:endParaRPr>
        </a:p>
        <a:p xmlns:a="http://schemas.openxmlformats.org/drawingml/2006/main">
          <a:pPr algn="ctr"/>
          <a:r>
            <a:rPr lang="en-GB" sz="1400" baseline="0">
              <a:solidFill>
                <a:srgbClr val="317761"/>
              </a:solidFill>
            </a:rPr>
            <a:t>prediction</a:t>
          </a:r>
        </a:p>
        <a:p xmlns:a="http://schemas.openxmlformats.org/drawingml/2006/main">
          <a:pPr algn="ctr"/>
          <a:r>
            <a:rPr lang="en-GB" sz="1400" baseline="0">
              <a:solidFill>
                <a:srgbClr val="317761"/>
              </a:solidFill>
            </a:rPr>
            <a:t>interval</a:t>
          </a:r>
          <a:endParaRPr lang="en-GB" sz="1400">
            <a:solidFill>
              <a:srgbClr val="317761"/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elle62" displayName="Tabelle62" ref="A2:C221" totalsRowCount="1" headerRowDxfId="18" dataDxfId="16" headerRowBorderDxfId="17" tableBorderDxfId="15" totalsRowBorderDxfId="14">
  <autoFilter ref="A2:C220" xr:uid="{00000000-0009-0000-0100-000001000000}"/>
  <sortState ref="A2:B219">
    <sortCondition ref="A1:A219"/>
  </sortState>
  <tableColumns count="3">
    <tableColumn id="1" xr3:uid="{00000000-0010-0000-0500-000001000000}" name="Ground Truth" dataDxfId="13" totalsRowDxfId="12"/>
    <tableColumn id="2" xr3:uid="{00000000-0010-0000-0500-000002000000}" name="Vents" totalsRowFunction="custom" dataDxfId="11" totalsRowDxfId="10">
      <totalsRowFormula>SUM(Tabelle62[Vents])</totalsRowFormula>
    </tableColumn>
    <tableColumn id="3" xr3:uid="{00000000-0010-0000-0500-000003000000}" name="True Cooling Capacity [kW]" totalsRowFunction="custom" dataDxfId="9" totalsRowDxfId="8">
      <calculatedColumnFormula>(62.123*Tabelle62[[#This Row],[Vents]])-67.781</calculatedColumnFormula>
      <totalsRowFormula>SUM(Tabelle62[True Cooling Capacity '[kW']])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elle93" displayName="Tabelle93" ref="D2:E221" totalsRowCount="1" headerRowDxfId="7" dataDxfId="5" headerRowBorderDxfId="6" totalsRowBorderDxfId="4">
  <autoFilter ref="D2:E220" xr:uid="{00000000-0009-0000-0100-000002000000}"/>
  <sortState ref="D2:E219">
    <sortCondition ref="D1:D219"/>
  </sortState>
  <tableColumns count="2">
    <tableColumn id="1" xr3:uid="{00000000-0010-0000-0600-000001000000}" name="Model 3 Thresh 0,3" dataDxfId="3" totalsRowDxfId="2"/>
    <tableColumn id="2" xr3:uid="{00000000-0010-0000-0600-000002000000}" name="Vents" totalsRowFunction="custom" dataDxfId="1" totalsRowDxfId="0">
      <totalsRowFormula>SUM(Tabelle93[Vents])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22"/>
  <sheetViews>
    <sheetView tabSelected="1" topLeftCell="E1" zoomScale="85" zoomScaleNormal="85" workbookViewId="0">
      <selection activeCell="Y27" sqref="Y27"/>
    </sheetView>
  </sheetViews>
  <sheetFormatPr baseColWidth="10" defaultRowHeight="14.4" x14ac:dyDescent="0.3"/>
  <cols>
    <col min="1" max="1" width="19.6640625" customWidth="1"/>
    <col min="4" max="4" width="20.109375" bestFit="1" customWidth="1"/>
    <col min="8" max="8" width="29.88671875" bestFit="1" customWidth="1"/>
    <col min="10" max="10" width="11.44140625" style="2"/>
    <col min="11" max="13" width="11.44140625" style="3"/>
    <col min="14" max="14" width="11.44140625" style="1"/>
    <col min="15" max="15" width="11.44140625" style="2"/>
    <col min="16" max="18" width="11.44140625" style="3"/>
    <col min="19" max="19" width="11.44140625" style="1"/>
    <col min="20" max="20" width="16.88671875" customWidth="1"/>
  </cols>
  <sheetData>
    <row r="1" spans="1:24" ht="15" thickBot="1" x14ac:dyDescent="0.35">
      <c r="J1" s="38" t="s">
        <v>245</v>
      </c>
      <c r="K1" s="30"/>
      <c r="L1" s="30"/>
      <c r="M1" s="30"/>
      <c r="N1" s="35"/>
      <c r="O1" s="38" t="s">
        <v>246</v>
      </c>
      <c r="P1" s="30"/>
      <c r="Q1" s="30"/>
      <c r="R1" s="30"/>
      <c r="S1" s="35"/>
    </row>
    <row r="2" spans="1:24" ht="15" thickBot="1" x14ac:dyDescent="0.35">
      <c r="A2" s="14" t="s">
        <v>220</v>
      </c>
      <c r="B2" s="15" t="s">
        <v>218</v>
      </c>
      <c r="C2" s="27" t="s">
        <v>224</v>
      </c>
      <c r="D2" s="16" t="s">
        <v>221</v>
      </c>
      <c r="E2" s="17" t="s">
        <v>218</v>
      </c>
      <c r="F2" s="17" t="s">
        <v>219</v>
      </c>
      <c r="G2" s="18" t="s">
        <v>222</v>
      </c>
      <c r="H2" s="24" t="s">
        <v>223</v>
      </c>
      <c r="I2" s="6" t="s">
        <v>249</v>
      </c>
      <c r="J2" s="31" t="s">
        <v>225</v>
      </c>
      <c r="K2" s="32" t="s">
        <v>226</v>
      </c>
      <c r="L2" s="33" t="s">
        <v>227</v>
      </c>
      <c r="M2" s="9" t="s">
        <v>228</v>
      </c>
      <c r="N2" s="39" t="s">
        <v>229</v>
      </c>
      <c r="O2" s="31" t="s">
        <v>225</v>
      </c>
      <c r="P2" s="32" t="s">
        <v>226</v>
      </c>
      <c r="Q2" s="33" t="s">
        <v>227</v>
      </c>
      <c r="R2" s="9" t="s">
        <v>228</v>
      </c>
      <c r="S2" s="39" t="s">
        <v>229</v>
      </c>
      <c r="U2" s="8" t="s">
        <v>248</v>
      </c>
    </row>
    <row r="3" spans="1:24" x14ac:dyDescent="0.3">
      <c r="A3" s="10" t="s">
        <v>0</v>
      </c>
      <c r="B3" s="10">
        <v>6</v>
      </c>
      <c r="C3" s="28">
        <f>(62.123*Tabelle62[[#This Row],[Vents]])-67.781</f>
        <v>304.95699999999999</v>
      </c>
      <c r="D3" s="7" t="s">
        <v>0</v>
      </c>
      <c r="E3" s="13">
        <v>3</v>
      </c>
      <c r="F3" s="12">
        <v>-3</v>
      </c>
      <c r="G3" s="11">
        <v>9</v>
      </c>
      <c r="H3" s="25">
        <f>(62.123*Tabelle93[[#This Row],[Vents]])-67.781</f>
        <v>118.58799999999999</v>
      </c>
      <c r="I3" s="44">
        <f>(H3-C3)^2</f>
        <v>34733.404160999999</v>
      </c>
      <c r="J3" s="40">
        <f t="array" ref="J3:J220">TREND(H3:H220,C3:C220)</f>
        <v>323.32569432928352</v>
      </c>
      <c r="K3" s="41">
        <f>J3-$V$12*$V$13*SQRT(1+1/$V$9+(Tabelle62[[#This Row],[True Cooling Capacity '[kW']]]-$V$10)^2/$V$11)</f>
        <v>106.28344391493971</v>
      </c>
      <c r="L3" s="41">
        <f>J3+$V$12*$V$13*SQRT(1+1/$V$9+(Tabelle62[[#This Row],[True Cooling Capacity '[kW']]]-$V$10)^2/$V$11)</f>
        <v>540.36794474362728</v>
      </c>
      <c r="M3" s="41">
        <f>J3-$V$12*$V$13*SQRT(1/$V$9+(Tabelle62[[#This Row],[True Cooling Capacity '[kW']]]-$V$10)^2/$V$11)</f>
        <v>307.3130265017287</v>
      </c>
      <c r="N3" s="42">
        <f>J3+$V$12*$V$13*SQRT(1/$V$9+(Tabelle62[[#This Row],[True Cooling Capacity '[kW']]]-$V$10)^2/$V$11)</f>
        <v>339.33836215683834</v>
      </c>
      <c r="O3" s="40">
        <f t="array" ref="O3:O220">TREND(E3:E220,B3:B220)</f>
        <v>6.3889611466507032</v>
      </c>
      <c r="P3" s="41">
        <f>O3-$V$30*$V$31*SQRT(1+1/$V$27+(Tabelle62[[#This Row],[Vents]]-$V$28)^2/$V$29)</f>
        <v>2.736682954686529</v>
      </c>
      <c r="Q3" s="41">
        <f>O3+$V$30*$V$31*SQRT(1+1/$V$27+(Tabelle62[[#This Row],[Vents]]-$V$28)^2/$V$29)</f>
        <v>10.041239338614877</v>
      </c>
      <c r="R3" s="41">
        <f>O3-$V$30*$V$31*SQRT(1/$V$27+(Tabelle62[[#This Row],[Vents]]-$V$28)^2/$V$29)</f>
        <v>5.9622907820855584</v>
      </c>
      <c r="S3" s="41">
        <f>O3+$V$30*$V$31*SQRT(1/$V$27+(Tabelle62[[#This Row],[Vents]]-$V$28)^2/$V$29)</f>
        <v>6.8156315112158481</v>
      </c>
      <c r="U3" s="30" t="s">
        <v>230</v>
      </c>
      <c r="V3" s="4">
        <f t="array" ref="V3:W7">LINEST(H3:H220,C3:C220,TRUE,TRUE)</f>
        <v>0.94893502061771784</v>
      </c>
      <c r="W3" s="4">
        <v>33.941317246766175</v>
      </c>
      <c r="X3" s="35" t="s">
        <v>231</v>
      </c>
    </row>
    <row r="4" spans="1:24" x14ac:dyDescent="0.3">
      <c r="A4" s="10" t="s">
        <v>214</v>
      </c>
      <c r="B4" s="10">
        <v>0</v>
      </c>
      <c r="C4" s="28">
        <v>0</v>
      </c>
      <c r="D4" s="7" t="s">
        <v>214</v>
      </c>
      <c r="E4" s="13">
        <v>4</v>
      </c>
      <c r="F4" s="12">
        <v>4</v>
      </c>
      <c r="G4" s="11">
        <v>16</v>
      </c>
      <c r="H4" s="25">
        <f>(62.123*Tabelle93[[#This Row],[Vents]])-67.781</f>
        <v>180.71099999999998</v>
      </c>
      <c r="I4" s="44">
        <f t="shared" ref="I4:I67" si="0">(H4-C4)^2</f>
        <v>32656.465520999995</v>
      </c>
      <c r="J4" s="40">
        <v>33.941317246766175</v>
      </c>
      <c r="K4" s="41">
        <f>J4-$V$12*$V$13*SQRT(1+1/$V$9+(Tabelle62[[#This Row],[True Cooling Capacity '[kW']]]-$V$10)^2/$V$11)</f>
        <v>-184.0295045221722</v>
      </c>
      <c r="L4" s="41">
        <f>J4+$V$12*$V$13*SQRT(1+1/$V$9+(Tabelle62[[#This Row],[True Cooling Capacity '[kW']]]-$V$10)^2/$V$11)</f>
        <v>251.91213901570455</v>
      </c>
      <c r="M4" s="41">
        <f>J4-$V$12*$V$13*SQRT(1/$V$9+(Tabelle62[[#This Row],[True Cooling Capacity '[kW']]]-$V$10)^2/$V$11)</f>
        <v>8.2441148959422534</v>
      </c>
      <c r="N4" s="42">
        <f>J4+$V$12*$V$13*SQRT(1/$V$9+(Tabelle62[[#This Row],[True Cooling Capacity '[kW']]]-$V$10)^2/$V$11)</f>
        <v>59.638519597590097</v>
      </c>
      <c r="O4" s="40">
        <v>0.81951077426365782</v>
      </c>
      <c r="P4" s="41">
        <f>O4-$V$30*$V$31*SQRT(1+1/$V$27+(Tabelle62[[#This Row],[Vents]]-$V$28)^2/$V$29)</f>
        <v>-2.8332323845449721</v>
      </c>
      <c r="Q4" s="41">
        <f>O4+$V$30*$V$31*SQRT(1+1/$V$27+(Tabelle62[[#This Row],[Vents]]-$V$28)^2/$V$29)</f>
        <v>4.4722539330722881</v>
      </c>
      <c r="R4" s="41">
        <f>O4-$V$30*$V$31*SQRT(1/$V$27+(Tabelle62[[#This Row],[Vents]]-$V$28)^2/$V$29)</f>
        <v>0.38887845693911371</v>
      </c>
      <c r="S4" s="41">
        <f>O4+$V$30*$V$31*SQRT(1/$V$27+(Tabelle62[[#This Row],[Vents]]-$V$28)^2/$V$29)</f>
        <v>1.2501430915882019</v>
      </c>
      <c r="U4" s="3" t="s">
        <v>232</v>
      </c>
      <c r="V4" s="5">
        <v>2.4396047709145476E-2</v>
      </c>
      <c r="W4" s="5">
        <v>13.037597632590607</v>
      </c>
      <c r="X4" s="1" t="s">
        <v>233</v>
      </c>
    </row>
    <row r="5" spans="1:24" x14ac:dyDescent="0.3">
      <c r="A5" s="10" t="s">
        <v>38</v>
      </c>
      <c r="B5" s="10">
        <v>6</v>
      </c>
      <c r="C5" s="28">
        <f>(62.123*Tabelle62[[#This Row],[Vents]])-67.781</f>
        <v>304.95699999999999</v>
      </c>
      <c r="D5" s="7" t="s">
        <v>38</v>
      </c>
      <c r="E5" s="13">
        <v>4</v>
      </c>
      <c r="F5" s="12">
        <v>-2</v>
      </c>
      <c r="G5" s="11">
        <v>4</v>
      </c>
      <c r="H5" s="25">
        <f>(62.123*Tabelle93[[#This Row],[Vents]])-67.781</f>
        <v>180.71099999999998</v>
      </c>
      <c r="I5" s="44">
        <f t="shared" si="0"/>
        <v>15437.068516000003</v>
      </c>
      <c r="J5" s="40">
        <v>323.32569432928352</v>
      </c>
      <c r="K5" s="41">
        <f>J5-$V$12*$V$13*SQRT(1+1/$V$9+(Tabelle62[[#This Row],[True Cooling Capacity '[kW']]]-$V$10)^2/$V$11)</f>
        <v>106.28344391493971</v>
      </c>
      <c r="L5" s="41">
        <f>J5+$V$12*$V$13*SQRT(1+1/$V$9+(Tabelle62[[#This Row],[True Cooling Capacity '[kW']]]-$V$10)^2/$V$11)</f>
        <v>540.36794474362728</v>
      </c>
      <c r="M5" s="41">
        <f>J5-$V$12*$V$13*SQRT(1/$V$9+(Tabelle62[[#This Row],[True Cooling Capacity '[kW']]]-$V$10)^2/$V$11)</f>
        <v>307.3130265017287</v>
      </c>
      <c r="N5" s="42">
        <f>J5+$V$12*$V$13*SQRT(1/$V$9+(Tabelle62[[#This Row],[True Cooling Capacity '[kW']]]-$V$10)^2/$V$11)</f>
        <v>339.33836215683834</v>
      </c>
      <c r="O5" s="40">
        <v>6.3889611466507032</v>
      </c>
      <c r="P5" s="41">
        <f>O5-$V$30*$V$31*SQRT(1+1/$V$27+(Tabelle62[[#This Row],[Vents]]-$V$28)^2/$V$29)</f>
        <v>2.736682954686529</v>
      </c>
      <c r="Q5" s="41">
        <f>O5+$V$30*$V$31*SQRT(1+1/$V$27+(Tabelle62[[#This Row],[Vents]]-$V$28)^2/$V$29)</f>
        <v>10.041239338614877</v>
      </c>
      <c r="R5" s="41">
        <f>O5-$V$30*$V$31*SQRT(1/$V$27+(Tabelle62[[#This Row],[Vents]]-$V$28)^2/$V$29)</f>
        <v>5.9622907820855584</v>
      </c>
      <c r="S5" s="41">
        <f>O5+$V$30*$V$31*SQRT(1/$V$27+(Tabelle62[[#This Row],[Vents]]-$V$28)^2/$V$29)</f>
        <v>6.8156315112158481</v>
      </c>
      <c r="U5" s="3" t="s">
        <v>234</v>
      </c>
      <c r="V5" s="5">
        <v>0.87507105596311263</v>
      </c>
      <c r="W5" s="5">
        <v>109.81732255015527</v>
      </c>
      <c r="X5" s="1" t="s">
        <v>235</v>
      </c>
    </row>
    <row r="6" spans="1:24" x14ac:dyDescent="0.3">
      <c r="A6" s="10" t="s">
        <v>39</v>
      </c>
      <c r="B6" s="10">
        <v>6</v>
      </c>
      <c r="C6" s="28">
        <f>(62.123*Tabelle62[[#This Row],[Vents]])-67.781</f>
        <v>304.95699999999999</v>
      </c>
      <c r="D6" s="7" t="s">
        <v>39</v>
      </c>
      <c r="E6" s="13">
        <v>2</v>
      </c>
      <c r="F6" s="12">
        <v>-4</v>
      </c>
      <c r="G6" s="11">
        <v>16</v>
      </c>
      <c r="H6" s="25">
        <f>(62.123*Tabelle93[[#This Row],[Vents]])-67.781</f>
        <v>56.464999999999989</v>
      </c>
      <c r="I6" s="44">
        <f t="shared" si="0"/>
        <v>61748.274064000012</v>
      </c>
      <c r="J6" s="40">
        <v>323.32569432928352</v>
      </c>
      <c r="K6" s="41">
        <f>J6-$V$12*$V$13*SQRT(1+1/$V$9+(Tabelle62[[#This Row],[True Cooling Capacity '[kW']]]-$V$10)^2/$V$11)</f>
        <v>106.28344391493971</v>
      </c>
      <c r="L6" s="41">
        <f>J6+$V$12*$V$13*SQRT(1+1/$V$9+(Tabelle62[[#This Row],[True Cooling Capacity '[kW']]]-$V$10)^2/$V$11)</f>
        <v>540.36794474362728</v>
      </c>
      <c r="M6" s="41">
        <f>J6-$V$12*$V$13*SQRT(1/$V$9+(Tabelle62[[#This Row],[True Cooling Capacity '[kW']]]-$V$10)^2/$V$11)</f>
        <v>307.3130265017287</v>
      </c>
      <c r="N6" s="42">
        <f>J6+$V$12*$V$13*SQRT(1/$V$9+(Tabelle62[[#This Row],[True Cooling Capacity '[kW']]]-$V$10)^2/$V$11)</f>
        <v>339.33836215683834</v>
      </c>
      <c r="O6" s="40">
        <v>6.3889611466507032</v>
      </c>
      <c r="P6" s="41">
        <f>O6-$V$30*$V$31*SQRT(1+1/$V$27+(Tabelle62[[#This Row],[Vents]]-$V$28)^2/$V$29)</f>
        <v>2.736682954686529</v>
      </c>
      <c r="Q6" s="41">
        <f>O6+$V$30*$V$31*SQRT(1+1/$V$27+(Tabelle62[[#This Row],[Vents]]-$V$28)^2/$V$29)</f>
        <v>10.041239338614877</v>
      </c>
      <c r="R6" s="41">
        <f>O6-$V$30*$V$31*SQRT(1/$V$27+(Tabelle62[[#This Row],[Vents]]-$V$28)^2/$V$29)</f>
        <v>5.9622907820855584</v>
      </c>
      <c r="S6" s="41">
        <f>O6+$V$30*$V$31*SQRT(1/$V$27+(Tabelle62[[#This Row],[Vents]]-$V$28)^2/$V$29)</f>
        <v>6.8156315112158481</v>
      </c>
      <c r="U6" s="3" t="s">
        <v>236</v>
      </c>
      <c r="V6" s="5">
        <v>1512.9828363251215</v>
      </c>
      <c r="W6" s="5">
        <v>216</v>
      </c>
      <c r="X6" s="1" t="s">
        <v>237</v>
      </c>
    </row>
    <row r="7" spans="1:24" ht="15" thickBot="1" x14ac:dyDescent="0.35">
      <c r="A7" s="10" t="s">
        <v>37</v>
      </c>
      <c r="B7" s="10">
        <v>6</v>
      </c>
      <c r="C7" s="28">
        <f>(62.123*Tabelle62[[#This Row],[Vents]])-67.781</f>
        <v>304.95699999999999</v>
      </c>
      <c r="D7" s="7" t="s">
        <v>37</v>
      </c>
      <c r="E7" s="13">
        <v>4</v>
      </c>
      <c r="F7" s="12">
        <v>-2</v>
      </c>
      <c r="G7" s="11">
        <v>4</v>
      </c>
      <c r="H7" s="25">
        <f>(62.123*Tabelle93[[#This Row],[Vents]])-67.781</f>
        <v>180.71099999999998</v>
      </c>
      <c r="I7" s="44">
        <f t="shared" si="0"/>
        <v>15437.068516000003</v>
      </c>
      <c r="J7" s="40">
        <v>323.32569432928352</v>
      </c>
      <c r="K7" s="41">
        <f>J7-$V$12*$V$13*SQRT(1+1/$V$9+(Tabelle62[[#This Row],[True Cooling Capacity '[kW']]]-$V$10)^2/$V$11)</f>
        <v>106.28344391493971</v>
      </c>
      <c r="L7" s="41">
        <f>J7+$V$12*$V$13*SQRT(1+1/$V$9+(Tabelle62[[#This Row],[True Cooling Capacity '[kW']]]-$V$10)^2/$V$11)</f>
        <v>540.36794474362728</v>
      </c>
      <c r="M7" s="41">
        <f>J7-$V$12*$V$13*SQRT(1/$V$9+(Tabelle62[[#This Row],[True Cooling Capacity '[kW']]]-$V$10)^2/$V$11)</f>
        <v>307.3130265017287</v>
      </c>
      <c r="N7" s="42">
        <f>J7+$V$12*$V$13*SQRT(1/$V$9+(Tabelle62[[#This Row],[True Cooling Capacity '[kW']]]-$V$10)^2/$V$11)</f>
        <v>339.33836215683834</v>
      </c>
      <c r="O7" s="40">
        <v>6.3889611466507032</v>
      </c>
      <c r="P7" s="41">
        <f>O7-$V$30*$V$31*SQRT(1+1/$V$27+(Tabelle62[[#This Row],[Vents]]-$V$28)^2/$V$29)</f>
        <v>2.736682954686529</v>
      </c>
      <c r="Q7" s="41">
        <f>O7+$V$30*$V$31*SQRT(1+1/$V$27+(Tabelle62[[#This Row],[Vents]]-$V$28)^2/$V$29)</f>
        <v>10.041239338614877</v>
      </c>
      <c r="R7" s="41">
        <f>O7-$V$30*$V$31*SQRT(1/$V$27+(Tabelle62[[#This Row],[Vents]]-$V$28)^2/$V$29)</f>
        <v>5.9622907820855584</v>
      </c>
      <c r="S7" s="41">
        <f>O7+$V$30*$V$31*SQRT(1/$V$27+(Tabelle62[[#This Row],[Vents]]-$V$28)^2/$V$29)</f>
        <v>6.8156315112158481</v>
      </c>
      <c r="U7" s="43" t="s">
        <v>238</v>
      </c>
      <c r="V7" s="34">
        <v>18246337.483197164</v>
      </c>
      <c r="W7" s="34">
        <v>2604926.3757303259</v>
      </c>
      <c r="X7" s="36" t="s">
        <v>239</v>
      </c>
    </row>
    <row r="8" spans="1:24" x14ac:dyDescent="0.3">
      <c r="A8" s="10" t="s">
        <v>40</v>
      </c>
      <c r="B8" s="10">
        <v>6</v>
      </c>
      <c r="C8" s="28">
        <f>(62.123*Tabelle62[[#This Row],[Vents]])-67.781</f>
        <v>304.95699999999999</v>
      </c>
      <c r="D8" s="7" t="s">
        <v>40</v>
      </c>
      <c r="E8" s="13">
        <v>4</v>
      </c>
      <c r="F8" s="12">
        <v>-2</v>
      </c>
      <c r="G8" s="11">
        <v>4</v>
      </c>
      <c r="H8" s="25">
        <f>(62.123*Tabelle93[[#This Row],[Vents]])-67.781</f>
        <v>180.71099999999998</v>
      </c>
      <c r="I8" s="44">
        <f t="shared" si="0"/>
        <v>15437.068516000003</v>
      </c>
      <c r="J8" s="40">
        <v>323.32569432928352</v>
      </c>
      <c r="K8" s="41">
        <f>J8-$V$12*$V$13*SQRT(1+1/$V$9+(Tabelle62[[#This Row],[True Cooling Capacity '[kW']]]-$V$10)^2/$V$11)</f>
        <v>106.28344391493971</v>
      </c>
      <c r="L8" s="41">
        <f>J8+$V$12*$V$13*SQRT(1+1/$V$9+(Tabelle62[[#This Row],[True Cooling Capacity '[kW']]]-$V$10)^2/$V$11)</f>
        <v>540.36794474362728</v>
      </c>
      <c r="M8" s="41">
        <f>J8-$V$12*$V$13*SQRT(1/$V$9+(Tabelle62[[#This Row],[True Cooling Capacity '[kW']]]-$V$10)^2/$V$11)</f>
        <v>307.3130265017287</v>
      </c>
      <c r="N8" s="42">
        <f>J8+$V$12*$V$13*SQRT(1/$V$9+(Tabelle62[[#This Row],[True Cooling Capacity '[kW']]]-$V$10)^2/$V$11)</f>
        <v>339.33836215683834</v>
      </c>
      <c r="O8" s="40">
        <v>6.3889611466507032</v>
      </c>
      <c r="P8" s="41">
        <f>O8-$V$30*$V$31*SQRT(1+1/$V$27+(Tabelle62[[#This Row],[Vents]]-$V$28)^2/$V$29)</f>
        <v>2.736682954686529</v>
      </c>
      <c r="Q8" s="41">
        <f>O8+$V$30*$V$31*SQRT(1+1/$V$27+(Tabelle62[[#This Row],[Vents]]-$V$28)^2/$V$29)</f>
        <v>10.041239338614877</v>
      </c>
      <c r="R8" s="41">
        <f>O8-$V$30*$V$31*SQRT(1/$V$27+(Tabelle62[[#This Row],[Vents]]-$V$28)^2/$V$29)</f>
        <v>5.9622907820855584</v>
      </c>
      <c r="S8" s="41">
        <f>O8+$V$30*$V$31*SQRT(1/$V$27+(Tabelle62[[#This Row],[Vents]]-$V$28)^2/$V$29)</f>
        <v>6.8156315112158481</v>
      </c>
    </row>
    <row r="9" spans="1:24" x14ac:dyDescent="0.3">
      <c r="A9" s="10" t="s">
        <v>45</v>
      </c>
      <c r="B9" s="10">
        <v>10</v>
      </c>
      <c r="C9" s="28">
        <f>(62.123*Tabelle62[[#This Row],[Vents]])-67.781</f>
        <v>553.44900000000007</v>
      </c>
      <c r="D9" s="7" t="s">
        <v>45</v>
      </c>
      <c r="E9" s="13">
        <v>10</v>
      </c>
      <c r="F9" s="12">
        <v>0</v>
      </c>
      <c r="G9" s="11">
        <v>0</v>
      </c>
      <c r="H9" s="25">
        <f>(62.123*Tabelle93[[#This Row],[Vents]])-67.781</f>
        <v>553.44900000000007</v>
      </c>
      <c r="I9" s="44">
        <f t="shared" si="0"/>
        <v>0</v>
      </c>
      <c r="J9" s="40">
        <v>559.12845547262157</v>
      </c>
      <c r="K9" s="41">
        <f>J9-$V$12*$V$13*SQRT(1+1/$V$9+(Tabelle62[[#This Row],[True Cooling Capacity '[kW']]]-$V$10)^2/$V$11)</f>
        <v>342.11192497659897</v>
      </c>
      <c r="L9" s="41">
        <f>J9+$V$12*$V$13*SQRT(1+1/$V$9+(Tabelle62[[#This Row],[True Cooling Capacity '[kW']]]-$V$10)^2/$V$11)</f>
        <v>776.14498596864416</v>
      </c>
      <c r="M9" s="41">
        <f>J9-$V$12*$V$13*SQRT(1/$V$9+(Tabelle62[[#This Row],[True Cooling Capacity '[kW']]]-$V$10)^2/$V$11)</f>
        <v>543.46826471503471</v>
      </c>
      <c r="N9" s="42">
        <f>J9+$V$12*$V$13*SQRT(1/$V$9+(Tabelle62[[#This Row],[True Cooling Capacity '[kW']]]-$V$10)^2/$V$11)</f>
        <v>574.78864623020843</v>
      </c>
      <c r="O9" s="40">
        <v>10.1019280615754</v>
      </c>
      <c r="P9" s="41">
        <f>O9-$V$30*$V$31*SQRT(1+1/$V$27+(Tabelle62[[#This Row],[Vents]]-$V$28)^2/$V$29)</f>
        <v>6.4499563244117386</v>
      </c>
      <c r="Q9" s="41">
        <f>O9+$V$30*$V$31*SQRT(1+1/$V$27+(Tabelle62[[#This Row],[Vents]]-$V$28)^2/$V$29)</f>
        <v>13.753899798739061</v>
      </c>
      <c r="R9" s="41">
        <f>O9-$V$30*$V$31*SQRT(1/$V$27+(Tabelle62[[#This Row],[Vents]]-$V$28)^2/$V$29)</f>
        <v>9.6778889389189775</v>
      </c>
      <c r="S9" s="41">
        <f>O9+$V$30*$V$31*SQRT(1/$V$27+(Tabelle62[[#This Row],[Vents]]-$V$28)^2/$V$29)</f>
        <v>10.525967184231822</v>
      </c>
      <c r="U9" t="s">
        <v>240</v>
      </c>
      <c r="V9">
        <f>COUNT(Tabelle62[Vents])</f>
        <v>218</v>
      </c>
    </row>
    <row r="10" spans="1:24" x14ac:dyDescent="0.3">
      <c r="A10" s="10" t="s">
        <v>46</v>
      </c>
      <c r="B10" s="10">
        <v>5</v>
      </c>
      <c r="C10" s="28">
        <f>(62.123*Tabelle62[[#This Row],[Vents]])-67.781</f>
        <v>242.834</v>
      </c>
      <c r="D10" s="7" t="s">
        <v>46</v>
      </c>
      <c r="E10" s="13">
        <v>5</v>
      </c>
      <c r="F10" s="12">
        <v>0</v>
      </c>
      <c r="G10" s="11">
        <v>0</v>
      </c>
      <c r="H10" s="25">
        <f>(62.123*Tabelle93[[#This Row],[Vents]])-67.781</f>
        <v>242.834</v>
      </c>
      <c r="I10" s="44">
        <f t="shared" si="0"/>
        <v>0</v>
      </c>
      <c r="J10" s="40">
        <v>264.37500404344905</v>
      </c>
      <c r="K10" s="41">
        <f>J10-$V$12*$V$13*SQRT(1+1/$V$9+(Tabelle62[[#This Row],[True Cooling Capacity '[kW']]]-$V$10)^2/$V$11)</f>
        <v>47.223569732117369</v>
      </c>
      <c r="L10" s="41">
        <f>J10+$V$12*$V$13*SQRT(1+1/$V$9+(Tabelle62[[#This Row],[True Cooling Capacity '[kW']]]-$V$10)^2/$V$11)</f>
        <v>481.52643835478074</v>
      </c>
      <c r="M10" s="41">
        <f>J10-$V$12*$V$13*SQRT(1/$V$9+(Tabelle62[[#This Row],[True Cooling Capacity '[kW']]]-$V$10)^2/$V$11)</f>
        <v>246.94478633105379</v>
      </c>
      <c r="N10" s="42">
        <f>J10+$V$12*$V$13*SQRT(1/$V$9+(Tabelle62[[#This Row],[True Cooling Capacity '[kW']]]-$V$10)^2/$V$11)</f>
        <v>281.80522175584429</v>
      </c>
      <c r="O10" s="40">
        <v>5.4607194179195293</v>
      </c>
      <c r="P10" s="41">
        <f>O10-$V$30*$V$31*SQRT(1+1/$V$27+(Tabelle62[[#This Row],[Vents]]-$V$28)^2/$V$29)</f>
        <v>1.8083641718217724</v>
      </c>
      <c r="Q10" s="41">
        <f>O10+$V$30*$V$31*SQRT(1+1/$V$27+(Tabelle62[[#This Row],[Vents]]-$V$28)^2/$V$29)</f>
        <v>9.1130746640172866</v>
      </c>
      <c r="R10" s="41">
        <f>O10-$V$30*$V$31*SQRT(1/$V$27+(Tabelle62[[#This Row],[Vents]]-$V$28)^2/$V$29)</f>
        <v>5.0333899756868821</v>
      </c>
      <c r="S10" s="41">
        <f>O10+$V$30*$V$31*SQRT(1/$V$27+(Tabelle62[[#This Row],[Vents]]-$V$28)^2/$V$29)</f>
        <v>5.8880488601521765</v>
      </c>
      <c r="U10" t="s">
        <v>241</v>
      </c>
      <c r="V10">
        <f>AVERAGE(Tabelle62[True Cooling Capacity '[kW']])</f>
        <v>438.91838990825659</v>
      </c>
    </row>
    <row r="11" spans="1:24" x14ac:dyDescent="0.3">
      <c r="A11" s="10" t="s">
        <v>44</v>
      </c>
      <c r="B11" s="10">
        <v>16</v>
      </c>
      <c r="C11" s="28">
        <f>(62.123*Tabelle62[[#This Row],[Vents]])-67.781</f>
        <v>926.1869999999999</v>
      </c>
      <c r="D11" s="7" t="s">
        <v>44</v>
      </c>
      <c r="E11" s="13">
        <v>16</v>
      </c>
      <c r="F11" s="12">
        <v>0</v>
      </c>
      <c r="G11" s="11">
        <v>0</v>
      </c>
      <c r="H11" s="25">
        <f>(62.123*Tabelle93[[#This Row],[Vents]])-67.781</f>
        <v>926.1869999999999</v>
      </c>
      <c r="I11" s="44">
        <f t="shared" si="0"/>
        <v>0</v>
      </c>
      <c r="J11" s="40">
        <v>912.83259718762827</v>
      </c>
      <c r="K11" s="41">
        <f>J11-$V$12*$V$13*SQRT(1+1/$V$9+(Tabelle62[[#This Row],[True Cooling Capacity '[kW']]]-$V$10)^2/$V$11)</f>
        <v>694.62439338373929</v>
      </c>
      <c r="L11" s="41">
        <f>J11+$V$12*$V$13*SQRT(1+1/$V$9+(Tabelle62[[#This Row],[True Cooling Capacity '[kW']]]-$V$10)^2/$V$11)</f>
        <v>1131.0408009915172</v>
      </c>
      <c r="M11" s="41">
        <f>J11-$V$12*$V$13*SQRT(1/$V$9+(Tabelle62[[#This Row],[True Cooling Capacity '[kW']]]-$V$10)^2/$V$11)</f>
        <v>885.1940864941688</v>
      </c>
      <c r="N11" s="42">
        <f>J11+$V$12*$V$13*SQRT(1/$V$9+(Tabelle62[[#This Row],[True Cooling Capacity '[kW']]]-$V$10)^2/$V$11)</f>
        <v>940.47110788108773</v>
      </c>
      <c r="O11" s="40">
        <v>15.671378433962445</v>
      </c>
      <c r="P11" s="41">
        <f>O11-$V$30*$V$31*SQRT(1+1/$V$27+(Tabelle62[[#This Row],[Vents]]-$V$28)^2/$V$29)</f>
        <v>12.019861092581804</v>
      </c>
      <c r="Q11" s="41">
        <f>O11+$V$30*$V$31*SQRT(1+1/$V$27+(Tabelle62[[#This Row],[Vents]]-$V$28)^2/$V$29)</f>
        <v>19.322895775343085</v>
      </c>
      <c r="R11" s="41">
        <f>O11-$V$30*$V$31*SQRT(1/$V$27+(Tabelle62[[#This Row],[Vents]]-$V$28)^2/$V$29)</f>
        <v>15.251270706225133</v>
      </c>
      <c r="S11" s="41">
        <f>O11+$V$30*$V$31*SQRT(1/$V$27+(Tabelle62[[#This Row],[Vents]]-$V$28)^2/$V$29)</f>
        <v>16.091486161699756</v>
      </c>
      <c r="U11" t="s">
        <v>242</v>
      </c>
      <c r="V11">
        <f>DEVSQ(Tabelle62[True Cooling Capacity '[kW']])</f>
        <v>20262953.788981836</v>
      </c>
    </row>
    <row r="12" spans="1:24" x14ac:dyDescent="0.3">
      <c r="A12" s="10" t="s">
        <v>41</v>
      </c>
      <c r="B12" s="10">
        <v>20</v>
      </c>
      <c r="C12" s="28">
        <f>(62.123*Tabelle62[[#This Row],[Vents]])-67.781</f>
        <v>1174.6790000000001</v>
      </c>
      <c r="D12" s="7" t="s">
        <v>41</v>
      </c>
      <c r="E12" s="13">
        <v>21</v>
      </c>
      <c r="F12" s="12">
        <v>1</v>
      </c>
      <c r="G12" s="11">
        <v>1</v>
      </c>
      <c r="H12" s="25">
        <f>(62.123*Tabelle93[[#This Row],[Vents]])-67.781</f>
        <v>1236.8019999999999</v>
      </c>
      <c r="I12" s="44">
        <f t="shared" si="0"/>
        <v>3859.2671289999776</v>
      </c>
      <c r="J12" s="40">
        <v>1148.6353583309665</v>
      </c>
      <c r="K12" s="41">
        <f>J12-$V$12*$V$13*SQRT(1+1/$V$9+(Tabelle62[[#This Row],[True Cooling Capacity '[kW']]]-$V$10)^2/$V$11)</f>
        <v>928.82291154485802</v>
      </c>
      <c r="L12" s="41">
        <f>J12+$V$12*$V$13*SQRT(1+1/$V$9+(Tabelle62[[#This Row],[True Cooling Capacity '[kW']]]-$V$10)^2/$V$11)</f>
        <v>1368.4478051170749</v>
      </c>
      <c r="M12" s="41">
        <f>J12-$V$12*$V$13*SQRT(1/$V$9+(Tabelle62[[#This Row],[True Cooling Capacity '[kW']]]-$V$10)^2/$V$11)</f>
        <v>1110.3394208423936</v>
      </c>
      <c r="N12" s="42">
        <f>J12+$V$12*$V$13*SQRT(1/$V$9+(Tabelle62[[#This Row],[True Cooling Capacity '[kW']]]-$V$10)^2/$V$11)</f>
        <v>1186.9312958195394</v>
      </c>
      <c r="O12" s="40">
        <v>19.384345348887145</v>
      </c>
      <c r="P12" s="41">
        <f>O12-$V$30*$V$31*SQRT(1+1/$V$27+(Tabelle62[[#This Row],[Vents]]-$V$28)^2/$V$29)</f>
        <v>15.733127412726621</v>
      </c>
      <c r="Q12" s="41">
        <f>O12+$V$30*$V$31*SQRT(1+1/$V$27+(Tabelle62[[#This Row],[Vents]]-$V$28)^2/$V$29)</f>
        <v>23.035563285047669</v>
      </c>
      <c r="R12" s="41">
        <f>O12-$V$30*$V$31*SQRT(1/$V$27+(Tabelle62[[#This Row],[Vents]]-$V$28)^2/$V$29)</f>
        <v>18.966848012558671</v>
      </c>
      <c r="S12" s="41">
        <f>O12+$V$30*$V$31*SQRT(1/$V$27+(Tabelle62[[#This Row],[Vents]]-$V$28)^2/$V$29)</f>
        <v>19.801842685215618</v>
      </c>
      <c r="U12" t="s">
        <v>243</v>
      </c>
      <c r="V12">
        <f>_xlfn.T.INV.2T(0.05,W6)</f>
        <v>1.9710074720044739</v>
      </c>
    </row>
    <row r="13" spans="1:24" x14ac:dyDescent="0.3">
      <c r="A13" s="10" t="s">
        <v>42</v>
      </c>
      <c r="B13" s="10">
        <v>6</v>
      </c>
      <c r="C13" s="28">
        <f>(62.123*Tabelle62[[#This Row],[Vents]])-67.781</f>
        <v>304.95699999999999</v>
      </c>
      <c r="D13" s="7" t="s">
        <v>42</v>
      </c>
      <c r="E13" s="13">
        <v>8</v>
      </c>
      <c r="F13" s="12">
        <v>2</v>
      </c>
      <c r="G13" s="11">
        <v>4</v>
      </c>
      <c r="H13" s="25">
        <f>(62.123*Tabelle93[[#This Row],[Vents]])-67.781</f>
        <v>429.20299999999997</v>
      </c>
      <c r="I13" s="44">
        <f t="shared" si="0"/>
        <v>15437.068515999996</v>
      </c>
      <c r="J13" s="40">
        <v>323.32569432928352</v>
      </c>
      <c r="K13" s="41">
        <f>J13-$V$12*$V$13*SQRT(1+1/$V$9+(Tabelle62[[#This Row],[True Cooling Capacity '[kW']]]-$V$10)^2/$V$11)</f>
        <v>106.28344391493971</v>
      </c>
      <c r="L13" s="41">
        <f>J13+$V$12*$V$13*SQRT(1+1/$V$9+(Tabelle62[[#This Row],[True Cooling Capacity '[kW']]]-$V$10)^2/$V$11)</f>
        <v>540.36794474362728</v>
      </c>
      <c r="M13" s="41">
        <f>J13-$V$12*$V$13*SQRT(1/$V$9+(Tabelle62[[#This Row],[True Cooling Capacity '[kW']]]-$V$10)^2/$V$11)</f>
        <v>307.3130265017287</v>
      </c>
      <c r="N13" s="42">
        <f>J13+$V$12*$V$13*SQRT(1/$V$9+(Tabelle62[[#This Row],[True Cooling Capacity '[kW']]]-$V$10)^2/$V$11)</f>
        <v>339.33836215683834</v>
      </c>
      <c r="O13" s="40">
        <v>6.3889611466507032</v>
      </c>
      <c r="P13" s="41">
        <f>O13-$V$30*$V$31*SQRT(1+1/$V$27+(Tabelle62[[#This Row],[Vents]]-$V$28)^2/$V$29)</f>
        <v>2.736682954686529</v>
      </c>
      <c r="Q13" s="41">
        <f>O13+$V$30*$V$31*SQRT(1+1/$V$27+(Tabelle62[[#This Row],[Vents]]-$V$28)^2/$V$29)</f>
        <v>10.041239338614877</v>
      </c>
      <c r="R13" s="41">
        <f>O13-$V$30*$V$31*SQRT(1/$V$27+(Tabelle62[[#This Row],[Vents]]-$V$28)^2/$V$29)</f>
        <v>5.9622907820855584</v>
      </c>
      <c r="S13" s="41">
        <f>O13+$V$30*$V$31*SQRT(1/$V$27+(Tabelle62[[#This Row],[Vents]]-$V$28)^2/$V$29)</f>
        <v>6.8156315112158481</v>
      </c>
      <c r="U13" t="s">
        <v>244</v>
      </c>
      <c r="V13">
        <f>SQRT(W7/W6)</f>
        <v>109.81732255015527</v>
      </c>
    </row>
    <row r="14" spans="1:24" x14ac:dyDescent="0.3">
      <c r="A14" s="10" t="s">
        <v>43</v>
      </c>
      <c r="B14" s="10">
        <v>10</v>
      </c>
      <c r="C14" s="28">
        <f>(62.123*Tabelle62[[#This Row],[Vents]])-67.781</f>
        <v>553.44900000000007</v>
      </c>
      <c r="D14" s="7" t="s">
        <v>43</v>
      </c>
      <c r="E14" s="13">
        <v>10</v>
      </c>
      <c r="F14" s="12">
        <v>0</v>
      </c>
      <c r="G14" s="11">
        <v>0</v>
      </c>
      <c r="H14" s="25">
        <f>(62.123*Tabelle93[[#This Row],[Vents]])-67.781</f>
        <v>553.44900000000007</v>
      </c>
      <c r="I14" s="44">
        <f t="shared" si="0"/>
        <v>0</v>
      </c>
      <c r="J14" s="40">
        <v>559.12845547262157</v>
      </c>
      <c r="K14" s="41">
        <f>J14-$V$12*$V$13*SQRT(1+1/$V$9+(Tabelle62[[#This Row],[True Cooling Capacity '[kW']]]-$V$10)^2/$V$11)</f>
        <v>342.11192497659897</v>
      </c>
      <c r="L14" s="41">
        <f>J14+$V$12*$V$13*SQRT(1+1/$V$9+(Tabelle62[[#This Row],[True Cooling Capacity '[kW']]]-$V$10)^2/$V$11)</f>
        <v>776.14498596864416</v>
      </c>
      <c r="M14" s="41">
        <f>J14-$V$12*$V$13*SQRT(1/$V$9+(Tabelle62[[#This Row],[True Cooling Capacity '[kW']]]-$V$10)^2/$V$11)</f>
        <v>543.46826471503471</v>
      </c>
      <c r="N14" s="42">
        <f>J14+$V$12*$V$13*SQRT(1/$V$9+(Tabelle62[[#This Row],[True Cooling Capacity '[kW']]]-$V$10)^2/$V$11)</f>
        <v>574.78864623020843</v>
      </c>
      <c r="O14" s="40">
        <v>10.1019280615754</v>
      </c>
      <c r="P14" s="41">
        <f>O14-$V$30*$V$31*SQRT(1+1/$V$27+(Tabelle62[[#This Row],[Vents]]-$V$28)^2/$V$29)</f>
        <v>6.4499563244117386</v>
      </c>
      <c r="Q14" s="41">
        <f>O14+$V$30*$V$31*SQRT(1+1/$V$27+(Tabelle62[[#This Row],[Vents]]-$V$28)^2/$V$29)</f>
        <v>13.753899798739061</v>
      </c>
      <c r="R14" s="41">
        <f>O14-$V$30*$V$31*SQRT(1/$V$27+(Tabelle62[[#This Row],[Vents]]-$V$28)^2/$V$29)</f>
        <v>9.6778889389189775</v>
      </c>
      <c r="S14" s="41">
        <f>O14+$V$30*$V$31*SQRT(1/$V$27+(Tabelle62[[#This Row],[Vents]]-$V$28)^2/$V$29)</f>
        <v>10.525967184231822</v>
      </c>
    </row>
    <row r="15" spans="1:24" x14ac:dyDescent="0.3">
      <c r="A15" s="10" t="s">
        <v>85</v>
      </c>
      <c r="B15" s="10">
        <v>20</v>
      </c>
      <c r="C15" s="28">
        <f>(62.123*Tabelle62[[#This Row],[Vents]])-67.781</f>
        <v>1174.6790000000001</v>
      </c>
      <c r="D15" s="7" t="s">
        <v>85</v>
      </c>
      <c r="E15" s="13">
        <v>21</v>
      </c>
      <c r="F15" s="12">
        <v>1</v>
      </c>
      <c r="G15" s="11">
        <v>1</v>
      </c>
      <c r="H15" s="25">
        <f>(62.123*Tabelle93[[#This Row],[Vents]])-67.781</f>
        <v>1236.8019999999999</v>
      </c>
      <c r="I15" s="44">
        <f t="shared" si="0"/>
        <v>3859.2671289999776</v>
      </c>
      <c r="J15" s="40">
        <v>1148.6353583309665</v>
      </c>
      <c r="K15" s="41">
        <f>J15-$V$12*$V$13*SQRT(1+1/$V$9+(Tabelle62[[#This Row],[True Cooling Capacity '[kW']]]-$V$10)^2/$V$11)</f>
        <v>928.82291154485802</v>
      </c>
      <c r="L15" s="41">
        <f>J15+$V$12*$V$13*SQRT(1+1/$V$9+(Tabelle62[[#This Row],[True Cooling Capacity '[kW']]]-$V$10)^2/$V$11)</f>
        <v>1368.4478051170749</v>
      </c>
      <c r="M15" s="41">
        <f>J15-$V$12*$V$13*SQRT(1/$V$9+(Tabelle62[[#This Row],[True Cooling Capacity '[kW']]]-$V$10)^2/$V$11)</f>
        <v>1110.3394208423936</v>
      </c>
      <c r="N15" s="42">
        <f>J15+$V$12*$V$13*SQRT(1/$V$9+(Tabelle62[[#This Row],[True Cooling Capacity '[kW']]]-$V$10)^2/$V$11)</f>
        <v>1186.9312958195394</v>
      </c>
      <c r="O15" s="40">
        <v>19.384345348887145</v>
      </c>
      <c r="P15" s="41">
        <f>O15-$V$30*$V$31*SQRT(1+1/$V$27+(Tabelle62[[#This Row],[Vents]]-$V$28)^2/$V$29)</f>
        <v>15.733127412726621</v>
      </c>
      <c r="Q15" s="41">
        <f>O15+$V$30*$V$31*SQRT(1+1/$V$27+(Tabelle62[[#This Row],[Vents]]-$V$28)^2/$V$29)</f>
        <v>23.035563285047669</v>
      </c>
      <c r="R15" s="41">
        <f>O15-$V$30*$V$31*SQRT(1/$V$27+(Tabelle62[[#This Row],[Vents]]-$V$28)^2/$V$29)</f>
        <v>18.966848012558671</v>
      </c>
      <c r="S15" s="41">
        <f>O15+$V$30*$V$31*SQRT(1/$V$27+(Tabelle62[[#This Row],[Vents]]-$V$28)^2/$V$29)</f>
        <v>19.801842685215618</v>
      </c>
    </row>
    <row r="16" spans="1:24" x14ac:dyDescent="0.3">
      <c r="A16" s="10" t="s">
        <v>86</v>
      </c>
      <c r="B16" s="10">
        <v>20</v>
      </c>
      <c r="C16" s="28">
        <f>(62.123*Tabelle62[[#This Row],[Vents]])-67.781</f>
        <v>1174.6790000000001</v>
      </c>
      <c r="D16" s="7" t="s">
        <v>86</v>
      </c>
      <c r="E16" s="13">
        <v>20</v>
      </c>
      <c r="F16" s="12">
        <v>0</v>
      </c>
      <c r="G16" s="11">
        <v>0</v>
      </c>
      <c r="H16" s="25">
        <f>(62.123*Tabelle93[[#This Row],[Vents]])-67.781</f>
        <v>1174.6790000000001</v>
      </c>
      <c r="I16" s="44">
        <f t="shared" si="0"/>
        <v>0</v>
      </c>
      <c r="J16" s="40">
        <v>1148.6353583309665</v>
      </c>
      <c r="K16" s="41">
        <f>J16-$V$12*$V$13*SQRT(1+1/$V$9+(Tabelle62[[#This Row],[True Cooling Capacity '[kW']]]-$V$10)^2/$V$11)</f>
        <v>928.82291154485802</v>
      </c>
      <c r="L16" s="41">
        <f>J16+$V$12*$V$13*SQRT(1+1/$V$9+(Tabelle62[[#This Row],[True Cooling Capacity '[kW']]]-$V$10)^2/$V$11)</f>
        <v>1368.4478051170749</v>
      </c>
      <c r="M16" s="41">
        <f>J16-$V$12*$V$13*SQRT(1/$V$9+(Tabelle62[[#This Row],[True Cooling Capacity '[kW']]]-$V$10)^2/$V$11)</f>
        <v>1110.3394208423936</v>
      </c>
      <c r="N16" s="42">
        <f>J16+$V$12*$V$13*SQRT(1/$V$9+(Tabelle62[[#This Row],[True Cooling Capacity '[kW']]]-$V$10)^2/$V$11)</f>
        <v>1186.9312958195394</v>
      </c>
      <c r="O16" s="40">
        <v>19.384345348887145</v>
      </c>
      <c r="P16" s="41">
        <f>O16-$V$30*$V$31*SQRT(1+1/$V$27+(Tabelle62[[#This Row],[Vents]]-$V$28)^2/$V$29)</f>
        <v>15.733127412726621</v>
      </c>
      <c r="Q16" s="41">
        <f>O16+$V$30*$V$31*SQRT(1+1/$V$27+(Tabelle62[[#This Row],[Vents]]-$V$28)^2/$V$29)</f>
        <v>23.035563285047669</v>
      </c>
      <c r="R16" s="41">
        <f>O16-$V$30*$V$31*SQRT(1/$V$27+(Tabelle62[[#This Row],[Vents]]-$V$28)^2/$V$29)</f>
        <v>18.966848012558671</v>
      </c>
      <c r="S16" s="41">
        <f>O16+$V$30*$V$31*SQRT(1/$V$27+(Tabelle62[[#This Row],[Vents]]-$V$28)^2/$V$29)</f>
        <v>19.801842685215618</v>
      </c>
    </row>
    <row r="17" spans="1:24" x14ac:dyDescent="0.3">
      <c r="A17" s="10" t="s">
        <v>84</v>
      </c>
      <c r="B17" s="10">
        <v>20</v>
      </c>
      <c r="C17" s="28">
        <f>(62.123*Tabelle62[[#This Row],[Vents]])-67.781</f>
        <v>1174.6790000000001</v>
      </c>
      <c r="D17" s="7" t="s">
        <v>84</v>
      </c>
      <c r="E17" s="13">
        <v>20</v>
      </c>
      <c r="F17" s="12">
        <v>0</v>
      </c>
      <c r="G17" s="11">
        <v>0</v>
      </c>
      <c r="H17" s="25">
        <f>(62.123*Tabelle93[[#This Row],[Vents]])-67.781</f>
        <v>1174.6790000000001</v>
      </c>
      <c r="I17" s="44">
        <f t="shared" si="0"/>
        <v>0</v>
      </c>
      <c r="J17" s="40">
        <v>1148.6353583309665</v>
      </c>
      <c r="K17" s="41">
        <f>J17-$V$12*$V$13*SQRT(1+1/$V$9+(Tabelle62[[#This Row],[True Cooling Capacity '[kW']]]-$V$10)^2/$V$11)</f>
        <v>928.82291154485802</v>
      </c>
      <c r="L17" s="41">
        <f>J17+$V$12*$V$13*SQRT(1+1/$V$9+(Tabelle62[[#This Row],[True Cooling Capacity '[kW']]]-$V$10)^2/$V$11)</f>
        <v>1368.4478051170749</v>
      </c>
      <c r="M17" s="41">
        <f>J17-$V$12*$V$13*SQRT(1/$V$9+(Tabelle62[[#This Row],[True Cooling Capacity '[kW']]]-$V$10)^2/$V$11)</f>
        <v>1110.3394208423936</v>
      </c>
      <c r="N17" s="42">
        <f>J17+$V$12*$V$13*SQRT(1/$V$9+(Tabelle62[[#This Row],[True Cooling Capacity '[kW']]]-$V$10)^2/$V$11)</f>
        <v>1186.9312958195394</v>
      </c>
      <c r="O17" s="40">
        <v>19.384345348887145</v>
      </c>
      <c r="P17" s="41">
        <f>O17-$V$30*$V$31*SQRT(1+1/$V$27+(Tabelle62[[#This Row],[Vents]]-$V$28)^2/$V$29)</f>
        <v>15.733127412726621</v>
      </c>
      <c r="Q17" s="41">
        <f>O17+$V$30*$V$31*SQRT(1+1/$V$27+(Tabelle62[[#This Row],[Vents]]-$V$28)^2/$V$29)</f>
        <v>23.035563285047669</v>
      </c>
      <c r="R17" s="41">
        <f>O17-$V$30*$V$31*SQRT(1/$V$27+(Tabelle62[[#This Row],[Vents]]-$V$28)^2/$V$29)</f>
        <v>18.966848012558671</v>
      </c>
      <c r="S17" s="41">
        <f>O17+$V$30*$V$31*SQRT(1/$V$27+(Tabelle62[[#This Row],[Vents]]-$V$28)^2/$V$29)</f>
        <v>19.801842685215618</v>
      </c>
    </row>
    <row r="18" spans="1:24" x14ac:dyDescent="0.3">
      <c r="A18" s="10" t="s">
        <v>51</v>
      </c>
      <c r="B18" s="10">
        <v>8</v>
      </c>
      <c r="C18" s="28">
        <f>(62.123*Tabelle62[[#This Row],[Vents]])-67.781</f>
        <v>429.20299999999997</v>
      </c>
      <c r="D18" s="7" t="s">
        <v>51</v>
      </c>
      <c r="E18" s="13">
        <v>8</v>
      </c>
      <c r="F18" s="12">
        <v>0</v>
      </c>
      <c r="G18" s="11">
        <v>0</v>
      </c>
      <c r="H18" s="25">
        <f>(62.123*Tabelle93[[#This Row],[Vents]])-67.781</f>
        <v>429.20299999999997</v>
      </c>
      <c r="I18" s="44">
        <f t="shared" si="0"/>
        <v>0</v>
      </c>
      <c r="J18" s="40">
        <v>441.22707490095252</v>
      </c>
      <c r="K18" s="41">
        <f>J18-$V$12*$V$13*SQRT(1+1/$V$9+(Tabelle62[[#This Row],[True Cooling Capacity '[kW']]]-$V$10)^2/$V$11)</f>
        <v>224.27992992972105</v>
      </c>
      <c r="L18" s="41">
        <f>J18+$V$12*$V$13*SQRT(1+1/$V$9+(Tabelle62[[#This Row],[True Cooling Capacity '[kW']]]-$V$10)^2/$V$11)</f>
        <v>658.17421987218404</v>
      </c>
      <c r="M18" s="41">
        <f>J18-$V$12*$V$13*SQRT(1/$V$9+(Tabelle62[[#This Row],[True Cooling Capacity '[kW']]]-$V$10)^2/$V$11)</f>
        <v>426.55973781471158</v>
      </c>
      <c r="N18" s="42">
        <f>J18+$V$12*$V$13*SQRT(1/$V$9+(Tabelle62[[#This Row],[True Cooling Capacity '[kW']]]-$V$10)^2/$V$11)</f>
        <v>455.89441198719345</v>
      </c>
      <c r="O18" s="40">
        <v>8.245444604113052</v>
      </c>
      <c r="P18" s="41">
        <f>O18-$V$30*$V$31*SQRT(1+1/$V$27+(Tabelle62[[#This Row],[Vents]]-$V$28)^2/$V$29)</f>
        <v>4.5933199919181114</v>
      </c>
      <c r="Q18" s="41">
        <f>O18+$V$30*$V$31*SQRT(1+1/$V$27+(Tabelle62[[#This Row],[Vents]]-$V$28)^2/$V$29)</f>
        <v>11.897569216307993</v>
      </c>
      <c r="R18" s="41">
        <f>O18-$V$30*$V$31*SQRT(1/$V$27+(Tabelle62[[#This Row],[Vents]]-$V$28)^2/$V$29)</f>
        <v>7.8200908789605537</v>
      </c>
      <c r="S18" s="41">
        <f>O18+$V$30*$V$31*SQRT(1/$V$27+(Tabelle62[[#This Row],[Vents]]-$V$28)^2/$V$29)</f>
        <v>8.6707983292655495</v>
      </c>
    </row>
    <row r="19" spans="1:24" x14ac:dyDescent="0.3">
      <c r="A19" s="10" t="s">
        <v>49</v>
      </c>
      <c r="B19" s="10">
        <v>8</v>
      </c>
      <c r="C19" s="28">
        <f>(62.123*Tabelle62[[#This Row],[Vents]])-67.781</f>
        <v>429.20299999999997</v>
      </c>
      <c r="D19" s="7" t="s">
        <v>49</v>
      </c>
      <c r="E19" s="13">
        <v>8</v>
      </c>
      <c r="F19" s="12">
        <v>0</v>
      </c>
      <c r="G19" s="11">
        <v>0</v>
      </c>
      <c r="H19" s="25">
        <f>(62.123*Tabelle93[[#This Row],[Vents]])-67.781</f>
        <v>429.20299999999997</v>
      </c>
      <c r="I19" s="44">
        <f t="shared" si="0"/>
        <v>0</v>
      </c>
      <c r="J19" s="40">
        <v>441.22707490095252</v>
      </c>
      <c r="K19" s="41">
        <f>J19-$V$12*$V$13*SQRT(1+1/$V$9+(Tabelle62[[#This Row],[True Cooling Capacity '[kW']]]-$V$10)^2/$V$11)</f>
        <v>224.27992992972105</v>
      </c>
      <c r="L19" s="41">
        <f>J19+$V$12*$V$13*SQRT(1+1/$V$9+(Tabelle62[[#This Row],[True Cooling Capacity '[kW']]]-$V$10)^2/$V$11)</f>
        <v>658.17421987218404</v>
      </c>
      <c r="M19" s="41">
        <f>J19-$V$12*$V$13*SQRT(1/$V$9+(Tabelle62[[#This Row],[True Cooling Capacity '[kW']]]-$V$10)^2/$V$11)</f>
        <v>426.55973781471158</v>
      </c>
      <c r="N19" s="42">
        <f>J19+$V$12*$V$13*SQRT(1/$V$9+(Tabelle62[[#This Row],[True Cooling Capacity '[kW']]]-$V$10)^2/$V$11)</f>
        <v>455.89441198719345</v>
      </c>
      <c r="O19" s="40">
        <v>8.245444604113052</v>
      </c>
      <c r="P19" s="41">
        <f>O19-$V$30*$V$31*SQRT(1+1/$V$27+(Tabelle62[[#This Row],[Vents]]-$V$28)^2/$V$29)</f>
        <v>4.5933199919181114</v>
      </c>
      <c r="Q19" s="41">
        <f>O19+$V$30*$V$31*SQRT(1+1/$V$27+(Tabelle62[[#This Row],[Vents]]-$V$28)^2/$V$29)</f>
        <v>11.897569216307993</v>
      </c>
      <c r="R19" s="41">
        <f>O19-$V$30*$V$31*SQRT(1/$V$27+(Tabelle62[[#This Row],[Vents]]-$V$28)^2/$V$29)</f>
        <v>7.8200908789605537</v>
      </c>
      <c r="S19" s="41">
        <f>O19+$V$30*$V$31*SQRT(1/$V$27+(Tabelle62[[#This Row],[Vents]]-$V$28)^2/$V$29)</f>
        <v>8.6707983292655495</v>
      </c>
    </row>
    <row r="20" spans="1:24" ht="15" thickBot="1" x14ac:dyDescent="0.35">
      <c r="A20" s="10" t="s">
        <v>47</v>
      </c>
      <c r="B20" s="10">
        <v>12</v>
      </c>
      <c r="C20" s="28">
        <f>(62.123*Tabelle62[[#This Row],[Vents]])-67.781</f>
        <v>677.69499999999994</v>
      </c>
      <c r="D20" s="7" t="s">
        <v>47</v>
      </c>
      <c r="E20" s="13">
        <v>11</v>
      </c>
      <c r="F20" s="12">
        <v>-1</v>
      </c>
      <c r="G20" s="11">
        <v>1</v>
      </c>
      <c r="H20" s="25">
        <f>(62.123*Tabelle93[[#This Row],[Vents]])-67.781</f>
        <v>615.57199999999989</v>
      </c>
      <c r="I20" s="44">
        <f t="shared" si="0"/>
        <v>3859.2671290000058</v>
      </c>
      <c r="J20" s="40">
        <v>677.02983604429039</v>
      </c>
      <c r="K20" s="41">
        <f>J20-$V$12*$V$13*SQRT(1+1/$V$9+(Tabelle62[[#This Row],[True Cooling Capacity '[kW']]]-$V$10)^2/$V$11)</f>
        <v>459.77958666121026</v>
      </c>
      <c r="L20" s="41">
        <f>J20+$V$12*$V$13*SQRT(1+1/$V$9+(Tabelle62[[#This Row],[True Cooling Capacity '[kW']]]-$V$10)^2/$V$11)</f>
        <v>894.28008542737052</v>
      </c>
      <c r="M20" s="41">
        <f>J20-$V$12*$V$13*SQRT(1/$V$9+(Tabelle62[[#This Row],[True Cooling Capacity '[kW']]]-$V$10)^2/$V$11)</f>
        <v>658.40893587691437</v>
      </c>
      <c r="N20" s="42">
        <f>J20+$V$12*$V$13*SQRT(1/$V$9+(Tabelle62[[#This Row],[True Cooling Capacity '[kW']]]-$V$10)^2/$V$11)</f>
        <v>695.65073621166641</v>
      </c>
      <c r="O20" s="40">
        <v>11.95841151903775</v>
      </c>
      <c r="P20" s="41">
        <f>O20-$V$30*$V$31*SQRT(1+1/$V$27+(Tabelle62[[#This Row],[Vents]]-$V$28)^2/$V$29)</f>
        <v>8.3065919520789073</v>
      </c>
      <c r="Q20" s="41">
        <f>O20+$V$30*$V$31*SQRT(1+1/$V$27+(Tabelle62[[#This Row],[Vents]]-$V$28)^2/$V$29)</f>
        <v>15.610231085996592</v>
      </c>
      <c r="R20" s="41">
        <f>O20-$V$30*$V$31*SQRT(1/$V$27+(Tabelle62[[#This Row],[Vents]]-$V$28)^2/$V$29)</f>
        <v>11.535684942957513</v>
      </c>
      <c r="S20" s="41">
        <f>O20+$V$30*$V$31*SQRT(1/$V$27+(Tabelle62[[#This Row],[Vents]]-$V$28)^2/$V$29)</f>
        <v>12.381138095117986</v>
      </c>
      <c r="U20" s="37" t="s">
        <v>247</v>
      </c>
    </row>
    <row r="21" spans="1:24" x14ac:dyDescent="0.3">
      <c r="A21" s="10" t="s">
        <v>53</v>
      </c>
      <c r="B21" s="10">
        <v>8</v>
      </c>
      <c r="C21" s="28">
        <f>(62.123*Tabelle62[[#This Row],[Vents]])-67.781</f>
        <v>429.20299999999997</v>
      </c>
      <c r="D21" s="7" t="s">
        <v>53</v>
      </c>
      <c r="E21" s="13">
        <v>8</v>
      </c>
      <c r="F21" s="12">
        <v>0</v>
      </c>
      <c r="G21" s="11">
        <v>0</v>
      </c>
      <c r="H21" s="25">
        <f>(62.123*Tabelle93[[#This Row],[Vents]])-67.781</f>
        <v>429.20299999999997</v>
      </c>
      <c r="I21" s="44">
        <f t="shared" si="0"/>
        <v>0</v>
      </c>
      <c r="J21" s="40">
        <v>441.22707490095252</v>
      </c>
      <c r="K21" s="41">
        <f>J21-$V$12*$V$13*SQRT(1+1/$V$9+(Tabelle62[[#This Row],[True Cooling Capacity '[kW']]]-$V$10)^2/$V$11)</f>
        <v>224.27992992972105</v>
      </c>
      <c r="L21" s="41">
        <f>J21+$V$12*$V$13*SQRT(1+1/$V$9+(Tabelle62[[#This Row],[True Cooling Capacity '[kW']]]-$V$10)^2/$V$11)</f>
        <v>658.17421987218404</v>
      </c>
      <c r="M21" s="41">
        <f>J21-$V$12*$V$13*SQRT(1/$V$9+(Tabelle62[[#This Row],[True Cooling Capacity '[kW']]]-$V$10)^2/$V$11)</f>
        <v>426.55973781471158</v>
      </c>
      <c r="N21" s="42">
        <f>J21+$V$12*$V$13*SQRT(1/$V$9+(Tabelle62[[#This Row],[True Cooling Capacity '[kW']]]-$V$10)^2/$V$11)</f>
        <v>455.89441198719345</v>
      </c>
      <c r="O21" s="40">
        <v>8.245444604113052</v>
      </c>
      <c r="P21" s="41">
        <f>O21-$V$30*$V$31*SQRT(1+1/$V$27+(Tabelle62[[#This Row],[Vents]]-$V$28)^2/$V$29)</f>
        <v>4.5933199919181114</v>
      </c>
      <c r="Q21" s="41">
        <f>O21+$V$30*$V$31*SQRT(1+1/$V$27+(Tabelle62[[#This Row],[Vents]]-$V$28)^2/$V$29)</f>
        <v>11.897569216307993</v>
      </c>
      <c r="R21" s="41">
        <f>O21-$V$30*$V$31*SQRT(1/$V$27+(Tabelle62[[#This Row],[Vents]]-$V$28)^2/$V$29)</f>
        <v>7.8200908789605537</v>
      </c>
      <c r="S21" s="41">
        <f>O21+$V$30*$V$31*SQRT(1/$V$27+(Tabelle62[[#This Row],[Vents]]-$V$28)^2/$V$29)</f>
        <v>8.6707983292655495</v>
      </c>
      <c r="U21" s="30" t="s">
        <v>230</v>
      </c>
      <c r="V21" s="4">
        <f t="array" ref="V21:W25">LINEST(E3:E220,B3:B220,TRUE,TRUE)</f>
        <v>0.92824172873117428</v>
      </c>
      <c r="W21" s="4">
        <v>0.81951077426365782</v>
      </c>
      <c r="X21" s="35" t="s">
        <v>231</v>
      </c>
    </row>
    <row r="22" spans="1:24" x14ac:dyDescent="0.3">
      <c r="A22" s="10" t="s">
        <v>52</v>
      </c>
      <c r="B22" s="10">
        <v>12</v>
      </c>
      <c r="C22" s="28">
        <f>(62.123*Tabelle62[[#This Row],[Vents]])-67.781</f>
        <v>677.69499999999994</v>
      </c>
      <c r="D22" s="7" t="s">
        <v>52</v>
      </c>
      <c r="E22" s="13">
        <v>12</v>
      </c>
      <c r="F22" s="12">
        <v>0</v>
      </c>
      <c r="G22" s="11">
        <v>0</v>
      </c>
      <c r="H22" s="25">
        <f>(62.123*Tabelle93[[#This Row],[Vents]])-67.781</f>
        <v>677.69499999999994</v>
      </c>
      <c r="I22" s="44">
        <f t="shared" si="0"/>
        <v>0</v>
      </c>
      <c r="J22" s="40">
        <v>677.02983604429039</v>
      </c>
      <c r="K22" s="41">
        <f>J22-$V$12*$V$13*SQRT(1+1/$V$9+(Tabelle62[[#This Row],[True Cooling Capacity '[kW']]]-$V$10)^2/$V$11)</f>
        <v>459.77958666121026</v>
      </c>
      <c r="L22" s="41">
        <f>J22+$V$12*$V$13*SQRT(1+1/$V$9+(Tabelle62[[#This Row],[True Cooling Capacity '[kW']]]-$V$10)^2/$V$11)</f>
        <v>894.28008542737052</v>
      </c>
      <c r="M22" s="41">
        <f>J22-$V$12*$V$13*SQRT(1/$V$9+(Tabelle62[[#This Row],[True Cooling Capacity '[kW']]]-$V$10)^2/$V$11)</f>
        <v>658.40893587691437</v>
      </c>
      <c r="N22" s="42">
        <f>J22+$V$12*$V$13*SQRT(1/$V$9+(Tabelle62[[#This Row],[True Cooling Capacity '[kW']]]-$V$10)^2/$V$11)</f>
        <v>695.65073621166641</v>
      </c>
      <c r="O22" s="40">
        <v>11.95841151903775</v>
      </c>
      <c r="P22" s="41">
        <f>O22-$V$30*$V$31*SQRT(1+1/$V$27+(Tabelle62[[#This Row],[Vents]]-$V$28)^2/$V$29)</f>
        <v>8.3065919520789073</v>
      </c>
      <c r="Q22" s="41">
        <f>O22+$V$30*$V$31*SQRT(1+1/$V$27+(Tabelle62[[#This Row],[Vents]]-$V$28)^2/$V$29)</f>
        <v>15.610231085996592</v>
      </c>
      <c r="R22" s="41">
        <f>O22-$V$30*$V$31*SQRT(1/$V$27+(Tabelle62[[#This Row],[Vents]]-$V$28)^2/$V$29)</f>
        <v>11.535684942957513</v>
      </c>
      <c r="S22" s="41">
        <f>O22+$V$30*$V$31*SQRT(1/$V$27+(Tabelle62[[#This Row],[Vents]]-$V$28)^2/$V$29)</f>
        <v>12.381138095117986</v>
      </c>
      <c r="U22" s="3" t="s">
        <v>232</v>
      </c>
      <c r="V22" s="5">
        <v>2.4930680645581741E-2</v>
      </c>
      <c r="W22" s="5">
        <v>0.23722937369822261</v>
      </c>
      <c r="X22" s="1" t="s">
        <v>233</v>
      </c>
    </row>
    <row r="23" spans="1:24" x14ac:dyDescent="0.3">
      <c r="A23" s="10" t="s">
        <v>50</v>
      </c>
      <c r="B23" s="10">
        <v>8</v>
      </c>
      <c r="C23" s="28">
        <f>(62.123*Tabelle62[[#This Row],[Vents]])-67.781</f>
        <v>429.20299999999997</v>
      </c>
      <c r="D23" s="7" t="s">
        <v>50</v>
      </c>
      <c r="E23" s="13">
        <v>9</v>
      </c>
      <c r="F23" s="12">
        <v>1</v>
      </c>
      <c r="G23" s="11">
        <v>1</v>
      </c>
      <c r="H23" s="25">
        <f>(62.123*Tabelle93[[#This Row],[Vents]])-67.781</f>
        <v>491.32599999999996</v>
      </c>
      <c r="I23" s="44">
        <f t="shared" si="0"/>
        <v>3859.2671289999989</v>
      </c>
      <c r="J23" s="40">
        <v>441.22707490095252</v>
      </c>
      <c r="K23" s="41">
        <f>J23-$V$12*$V$13*SQRT(1+1/$V$9+(Tabelle62[[#This Row],[True Cooling Capacity '[kW']]]-$V$10)^2/$V$11)</f>
        <v>224.27992992972105</v>
      </c>
      <c r="L23" s="41">
        <f>J23+$V$12*$V$13*SQRT(1+1/$V$9+(Tabelle62[[#This Row],[True Cooling Capacity '[kW']]]-$V$10)^2/$V$11)</f>
        <v>658.17421987218404</v>
      </c>
      <c r="M23" s="41">
        <f>J23-$V$12*$V$13*SQRT(1/$V$9+(Tabelle62[[#This Row],[True Cooling Capacity '[kW']]]-$V$10)^2/$V$11)</f>
        <v>426.55973781471158</v>
      </c>
      <c r="N23" s="42">
        <f>J23+$V$12*$V$13*SQRT(1/$V$9+(Tabelle62[[#This Row],[True Cooling Capacity '[kW']]]-$V$10)^2/$V$11)</f>
        <v>455.89441198719345</v>
      </c>
      <c r="O23" s="40">
        <v>8.245444604113052</v>
      </c>
      <c r="P23" s="41">
        <f>O23-$V$30*$V$31*SQRT(1+1/$V$27+(Tabelle62[[#This Row],[Vents]]-$V$28)^2/$V$29)</f>
        <v>4.5933199919181114</v>
      </c>
      <c r="Q23" s="41">
        <f>O23+$V$30*$V$31*SQRT(1+1/$V$27+(Tabelle62[[#This Row],[Vents]]-$V$28)^2/$V$29)</f>
        <v>11.897569216307993</v>
      </c>
      <c r="R23" s="41">
        <f>O23-$V$30*$V$31*SQRT(1/$V$27+(Tabelle62[[#This Row],[Vents]]-$V$28)^2/$V$29)</f>
        <v>7.8200908789605537</v>
      </c>
      <c r="S23" s="41">
        <f>O23+$V$30*$V$31*SQRT(1/$V$27+(Tabelle62[[#This Row],[Vents]]-$V$28)^2/$V$29)</f>
        <v>8.6707983292655495</v>
      </c>
      <c r="U23" s="3" t="s">
        <v>234</v>
      </c>
      <c r="V23" s="5">
        <v>0.86519289278510192</v>
      </c>
      <c r="W23" s="5">
        <v>1.8403127097854683</v>
      </c>
      <c r="X23" s="1" t="s">
        <v>235</v>
      </c>
    </row>
    <row r="24" spans="1:24" x14ac:dyDescent="0.3">
      <c r="A24" s="10" t="s">
        <v>48</v>
      </c>
      <c r="B24" s="10">
        <v>8</v>
      </c>
      <c r="C24" s="28">
        <f>(62.123*Tabelle62[[#This Row],[Vents]])-67.781</f>
        <v>429.20299999999997</v>
      </c>
      <c r="D24" s="7" t="s">
        <v>48</v>
      </c>
      <c r="E24" s="13">
        <v>9</v>
      </c>
      <c r="F24" s="12">
        <v>1</v>
      </c>
      <c r="G24" s="11">
        <v>1</v>
      </c>
      <c r="H24" s="25">
        <f>(62.123*Tabelle93[[#This Row],[Vents]])-67.781</f>
        <v>491.32599999999996</v>
      </c>
      <c r="I24" s="44">
        <f t="shared" si="0"/>
        <v>3859.2671289999989</v>
      </c>
      <c r="J24" s="40">
        <v>441.22707490095252</v>
      </c>
      <c r="K24" s="41">
        <f>J24-$V$12*$V$13*SQRT(1+1/$V$9+(Tabelle62[[#This Row],[True Cooling Capacity '[kW']]]-$V$10)^2/$V$11)</f>
        <v>224.27992992972105</v>
      </c>
      <c r="L24" s="41">
        <f>J24+$V$12*$V$13*SQRT(1+1/$V$9+(Tabelle62[[#This Row],[True Cooling Capacity '[kW']]]-$V$10)^2/$V$11)</f>
        <v>658.17421987218404</v>
      </c>
      <c r="M24" s="41">
        <f>J24-$V$12*$V$13*SQRT(1/$V$9+(Tabelle62[[#This Row],[True Cooling Capacity '[kW']]]-$V$10)^2/$V$11)</f>
        <v>426.55973781471158</v>
      </c>
      <c r="N24" s="42">
        <f>J24+$V$12*$V$13*SQRT(1/$V$9+(Tabelle62[[#This Row],[True Cooling Capacity '[kW']]]-$V$10)^2/$V$11)</f>
        <v>455.89441198719345</v>
      </c>
      <c r="O24" s="40">
        <v>8.245444604113052</v>
      </c>
      <c r="P24" s="41">
        <f>O24-$V$30*$V$31*SQRT(1+1/$V$27+(Tabelle62[[#This Row],[Vents]]-$V$28)^2/$V$29)</f>
        <v>4.5933199919181114</v>
      </c>
      <c r="Q24" s="41">
        <f>O24+$V$30*$V$31*SQRT(1+1/$V$27+(Tabelle62[[#This Row],[Vents]]-$V$28)^2/$V$29)</f>
        <v>11.897569216307993</v>
      </c>
      <c r="R24" s="41">
        <f>O24-$V$30*$V$31*SQRT(1/$V$27+(Tabelle62[[#This Row],[Vents]]-$V$28)^2/$V$29)</f>
        <v>7.8200908789605537</v>
      </c>
      <c r="S24" s="41">
        <f>O24+$V$30*$V$31*SQRT(1/$V$27+(Tabelle62[[#This Row],[Vents]]-$V$28)^2/$V$29)</f>
        <v>8.6707983292655495</v>
      </c>
      <c r="U24" s="3" t="s">
        <v>236</v>
      </c>
      <c r="V24" s="5">
        <v>1386.2894078994746</v>
      </c>
      <c r="W24" s="5">
        <v>216</v>
      </c>
      <c r="X24" s="1" t="s">
        <v>237</v>
      </c>
    </row>
    <row r="25" spans="1:24" ht="15" thickBot="1" x14ac:dyDescent="0.35">
      <c r="A25" s="10" t="s">
        <v>54</v>
      </c>
      <c r="B25" s="10">
        <v>0</v>
      </c>
      <c r="C25" s="28">
        <v>0</v>
      </c>
      <c r="D25" s="7" t="s">
        <v>54</v>
      </c>
      <c r="E25" s="13">
        <v>4</v>
      </c>
      <c r="F25" s="12">
        <v>4</v>
      </c>
      <c r="G25" s="11">
        <v>16</v>
      </c>
      <c r="H25" s="25">
        <f>(62.123*Tabelle93[[#This Row],[Vents]])-67.781</f>
        <v>180.71099999999998</v>
      </c>
      <c r="I25" s="44">
        <f t="shared" si="0"/>
        <v>32656.465520999995</v>
      </c>
      <c r="J25" s="40">
        <v>33.941317246766175</v>
      </c>
      <c r="K25" s="41">
        <f>J25-$V$12*$V$13*SQRT(1+1/$V$9+(Tabelle62[[#This Row],[True Cooling Capacity '[kW']]]-$V$10)^2/$V$11)</f>
        <v>-184.0295045221722</v>
      </c>
      <c r="L25" s="41">
        <f>J25+$V$12*$V$13*SQRT(1+1/$V$9+(Tabelle62[[#This Row],[True Cooling Capacity '[kW']]]-$V$10)^2/$V$11)</f>
        <v>251.91213901570455</v>
      </c>
      <c r="M25" s="41">
        <f>J25-$V$12*$V$13*SQRT(1/$V$9+(Tabelle62[[#This Row],[True Cooling Capacity '[kW']]]-$V$10)^2/$V$11)</f>
        <v>8.2441148959422534</v>
      </c>
      <c r="N25" s="42">
        <f>J25+$V$12*$V$13*SQRT(1/$V$9+(Tabelle62[[#This Row],[True Cooling Capacity '[kW']]]-$V$10)^2/$V$11)</f>
        <v>59.638519597590097</v>
      </c>
      <c r="O25" s="40">
        <v>0.81951077426365782</v>
      </c>
      <c r="P25" s="41">
        <f>O25-$V$30*$V$31*SQRT(1+1/$V$27+(Tabelle62[[#This Row],[Vents]]-$V$28)^2/$V$29)</f>
        <v>-2.8332323845449721</v>
      </c>
      <c r="Q25" s="41">
        <f>O25+$V$30*$V$31*SQRT(1+1/$V$27+(Tabelle62[[#This Row],[Vents]]-$V$28)^2/$V$29)</f>
        <v>4.4722539330722881</v>
      </c>
      <c r="R25" s="41">
        <f>O25-$V$30*$V$31*SQRT(1/$V$27+(Tabelle62[[#This Row],[Vents]]-$V$28)^2/$V$29)</f>
        <v>0.38887845693911371</v>
      </c>
      <c r="S25" s="41">
        <f>O25+$V$30*$V$31*SQRT(1/$V$27+(Tabelle62[[#This Row],[Vents]]-$V$28)^2/$V$29)</f>
        <v>1.2501430915882019</v>
      </c>
      <c r="U25" s="43" t="s">
        <v>238</v>
      </c>
      <c r="V25" s="34">
        <v>4695.0168579952078</v>
      </c>
      <c r="W25" s="34">
        <v>731.53818787635373</v>
      </c>
      <c r="X25" s="36" t="s">
        <v>239</v>
      </c>
    </row>
    <row r="26" spans="1:24" x14ac:dyDescent="0.3">
      <c r="A26" s="10" t="s">
        <v>55</v>
      </c>
      <c r="B26" s="10">
        <v>0</v>
      </c>
      <c r="C26" s="28">
        <v>0</v>
      </c>
      <c r="D26" s="7" t="s">
        <v>55</v>
      </c>
      <c r="E26" s="13">
        <v>1</v>
      </c>
      <c r="F26" s="12">
        <v>1</v>
      </c>
      <c r="G26" s="11">
        <v>1</v>
      </c>
      <c r="H26" s="25">
        <v>0</v>
      </c>
      <c r="I26" s="44">
        <f t="shared" si="0"/>
        <v>0</v>
      </c>
      <c r="J26" s="40">
        <v>33.941317246766175</v>
      </c>
      <c r="K26" s="41">
        <f>J26-$V$12*$V$13*SQRT(1+1/$V$9+(Tabelle62[[#This Row],[True Cooling Capacity '[kW']]]-$V$10)^2/$V$11)</f>
        <v>-184.0295045221722</v>
      </c>
      <c r="L26" s="41">
        <f>J26+$V$12*$V$13*SQRT(1+1/$V$9+(Tabelle62[[#This Row],[True Cooling Capacity '[kW']]]-$V$10)^2/$V$11)</f>
        <v>251.91213901570455</v>
      </c>
      <c r="M26" s="41">
        <f>J26-$V$12*$V$13*SQRT(1/$V$9+(Tabelle62[[#This Row],[True Cooling Capacity '[kW']]]-$V$10)^2/$V$11)</f>
        <v>8.2441148959422534</v>
      </c>
      <c r="N26" s="42">
        <f>J26+$V$12*$V$13*SQRT(1/$V$9+(Tabelle62[[#This Row],[True Cooling Capacity '[kW']]]-$V$10)^2/$V$11)</f>
        <v>59.638519597590097</v>
      </c>
      <c r="O26" s="40">
        <v>0.81951077426365782</v>
      </c>
      <c r="P26" s="41">
        <f>O26-$V$30*$V$31*SQRT(1+1/$V$27+(Tabelle62[[#This Row],[Vents]]-$V$28)^2/$V$29)</f>
        <v>-2.8332323845449721</v>
      </c>
      <c r="Q26" s="41">
        <f>O26+$V$30*$V$31*SQRT(1+1/$V$27+(Tabelle62[[#This Row],[Vents]]-$V$28)^2/$V$29)</f>
        <v>4.4722539330722881</v>
      </c>
      <c r="R26" s="41">
        <f>O26-$V$30*$V$31*SQRT(1/$V$27+(Tabelle62[[#This Row],[Vents]]-$V$28)^2/$V$29)</f>
        <v>0.38887845693911371</v>
      </c>
      <c r="S26" s="41">
        <f>O26+$V$30*$V$31*SQRT(1/$V$27+(Tabelle62[[#This Row],[Vents]]-$V$28)^2/$V$29)</f>
        <v>1.2501430915882019</v>
      </c>
    </row>
    <row r="27" spans="1:24" x14ac:dyDescent="0.3">
      <c r="A27" s="10" t="s">
        <v>82</v>
      </c>
      <c r="B27" s="10">
        <v>6</v>
      </c>
      <c r="C27" s="28">
        <f>(62.123*Tabelle62[[#This Row],[Vents]])-67.781</f>
        <v>304.95699999999999</v>
      </c>
      <c r="D27" s="7" t="s">
        <v>82</v>
      </c>
      <c r="E27" s="13">
        <v>6</v>
      </c>
      <c r="F27" s="12">
        <v>0</v>
      </c>
      <c r="G27" s="11">
        <v>0</v>
      </c>
      <c r="H27" s="25">
        <f>(62.123*Tabelle93[[#This Row],[Vents]])-67.781</f>
        <v>304.95699999999999</v>
      </c>
      <c r="I27" s="44">
        <f t="shared" si="0"/>
        <v>0</v>
      </c>
      <c r="J27" s="40">
        <v>323.32569432928352</v>
      </c>
      <c r="K27" s="41">
        <f>J27-$V$12*$V$13*SQRT(1+1/$V$9+(Tabelle62[[#This Row],[True Cooling Capacity '[kW']]]-$V$10)^2/$V$11)</f>
        <v>106.28344391493971</v>
      </c>
      <c r="L27" s="41">
        <f>J27+$V$12*$V$13*SQRT(1+1/$V$9+(Tabelle62[[#This Row],[True Cooling Capacity '[kW']]]-$V$10)^2/$V$11)</f>
        <v>540.36794474362728</v>
      </c>
      <c r="M27" s="41">
        <f>J27-$V$12*$V$13*SQRT(1/$V$9+(Tabelle62[[#This Row],[True Cooling Capacity '[kW']]]-$V$10)^2/$V$11)</f>
        <v>307.3130265017287</v>
      </c>
      <c r="N27" s="42">
        <f>J27+$V$12*$V$13*SQRT(1/$V$9+(Tabelle62[[#This Row],[True Cooling Capacity '[kW']]]-$V$10)^2/$V$11)</f>
        <v>339.33836215683834</v>
      </c>
      <c r="O27" s="40">
        <v>6.3889611466507032</v>
      </c>
      <c r="P27" s="41">
        <f>O27-$V$30*$V$31*SQRT(1+1/$V$27+(Tabelle62[[#This Row],[Vents]]-$V$28)^2/$V$29)</f>
        <v>2.736682954686529</v>
      </c>
      <c r="Q27" s="41">
        <f>O27+$V$30*$V$31*SQRT(1+1/$V$27+(Tabelle62[[#This Row],[Vents]]-$V$28)^2/$V$29)</f>
        <v>10.041239338614877</v>
      </c>
      <c r="R27" s="41">
        <f>O27-$V$30*$V$31*SQRT(1/$V$27+(Tabelle62[[#This Row],[Vents]]-$V$28)^2/$V$29)</f>
        <v>5.9622907820855584</v>
      </c>
      <c r="S27" s="41">
        <f>O27+$V$30*$V$31*SQRT(1/$V$27+(Tabelle62[[#This Row],[Vents]]-$V$28)^2/$V$29)</f>
        <v>6.8156315112158481</v>
      </c>
      <c r="U27" t="s">
        <v>240</v>
      </c>
      <c r="V27">
        <f>COUNT(Tabelle62[Vents])</f>
        <v>218</v>
      </c>
    </row>
    <row r="28" spans="1:24" x14ac:dyDescent="0.3">
      <c r="A28" s="10" t="s">
        <v>83</v>
      </c>
      <c r="B28" s="10">
        <v>0</v>
      </c>
      <c r="C28" s="28">
        <v>0</v>
      </c>
      <c r="D28" s="7" t="s">
        <v>83</v>
      </c>
      <c r="E28" s="13">
        <v>4</v>
      </c>
      <c r="F28" s="12">
        <v>4</v>
      </c>
      <c r="G28" s="11">
        <v>16</v>
      </c>
      <c r="H28" s="25">
        <f>(62.123*Tabelle93[[#This Row],[Vents]])-67.781</f>
        <v>180.71099999999998</v>
      </c>
      <c r="I28" s="44">
        <f t="shared" si="0"/>
        <v>32656.465520999995</v>
      </c>
      <c r="J28" s="40">
        <v>33.941317246766175</v>
      </c>
      <c r="K28" s="41">
        <f>J28-$V$12*$V$13*SQRT(1+1/$V$9+(Tabelle62[[#This Row],[True Cooling Capacity '[kW']]]-$V$10)^2/$V$11)</f>
        <v>-184.0295045221722</v>
      </c>
      <c r="L28" s="41">
        <f>J28+$V$12*$V$13*SQRT(1+1/$V$9+(Tabelle62[[#This Row],[True Cooling Capacity '[kW']]]-$V$10)^2/$V$11)</f>
        <v>251.91213901570455</v>
      </c>
      <c r="M28" s="41">
        <f>J28-$V$12*$V$13*SQRT(1/$V$9+(Tabelle62[[#This Row],[True Cooling Capacity '[kW']]]-$V$10)^2/$V$11)</f>
        <v>8.2441148959422534</v>
      </c>
      <c r="N28" s="42">
        <f>J28+$V$12*$V$13*SQRT(1/$V$9+(Tabelle62[[#This Row],[True Cooling Capacity '[kW']]]-$V$10)^2/$V$11)</f>
        <v>59.638519597590097</v>
      </c>
      <c r="O28" s="40">
        <v>0.81951077426365782</v>
      </c>
      <c r="P28" s="41">
        <f>O28-$V$30*$V$31*SQRT(1+1/$V$27+(Tabelle62[[#This Row],[Vents]]-$V$28)^2/$V$29)</f>
        <v>-2.8332323845449721</v>
      </c>
      <c r="Q28" s="41">
        <f>O28+$V$30*$V$31*SQRT(1+1/$V$27+(Tabelle62[[#This Row],[Vents]]-$V$28)^2/$V$29)</f>
        <v>4.4722539330722881</v>
      </c>
      <c r="R28" s="41">
        <f>O28-$V$30*$V$31*SQRT(1/$V$27+(Tabelle62[[#This Row],[Vents]]-$V$28)^2/$V$29)</f>
        <v>0.38887845693911371</v>
      </c>
      <c r="S28" s="41">
        <f>O28+$V$30*$V$31*SQRT(1/$V$27+(Tabelle62[[#This Row],[Vents]]-$V$28)^2/$V$29)</f>
        <v>1.2501430915882019</v>
      </c>
      <c r="U28" t="s">
        <v>241</v>
      </c>
      <c r="V28">
        <f>AVERAGE(Tabelle62[True Cooling Capacity '[kW']])</f>
        <v>438.91838990825659</v>
      </c>
    </row>
    <row r="29" spans="1:24" x14ac:dyDescent="0.3">
      <c r="A29" s="10" t="s">
        <v>80</v>
      </c>
      <c r="B29" s="10">
        <v>10</v>
      </c>
      <c r="C29" s="28">
        <f>(62.123*Tabelle62[[#This Row],[Vents]])-67.781</f>
        <v>553.44900000000007</v>
      </c>
      <c r="D29" s="7" t="s">
        <v>80</v>
      </c>
      <c r="E29" s="13">
        <v>10</v>
      </c>
      <c r="F29" s="12">
        <v>0</v>
      </c>
      <c r="G29" s="11">
        <v>0</v>
      </c>
      <c r="H29" s="25">
        <f>(62.123*Tabelle93[[#This Row],[Vents]])-67.781</f>
        <v>553.44900000000007</v>
      </c>
      <c r="I29" s="44">
        <f t="shared" si="0"/>
        <v>0</v>
      </c>
      <c r="J29" s="40">
        <v>559.12845547262157</v>
      </c>
      <c r="K29" s="41">
        <f>J29-$V$12*$V$13*SQRT(1+1/$V$9+(Tabelle62[[#This Row],[True Cooling Capacity '[kW']]]-$V$10)^2/$V$11)</f>
        <v>342.11192497659897</v>
      </c>
      <c r="L29" s="41">
        <f>J29+$V$12*$V$13*SQRT(1+1/$V$9+(Tabelle62[[#This Row],[True Cooling Capacity '[kW']]]-$V$10)^2/$V$11)</f>
        <v>776.14498596864416</v>
      </c>
      <c r="M29" s="41">
        <f>J29-$V$12*$V$13*SQRT(1/$V$9+(Tabelle62[[#This Row],[True Cooling Capacity '[kW']]]-$V$10)^2/$V$11)</f>
        <v>543.46826471503471</v>
      </c>
      <c r="N29" s="42">
        <f>J29+$V$12*$V$13*SQRT(1/$V$9+(Tabelle62[[#This Row],[True Cooling Capacity '[kW']]]-$V$10)^2/$V$11)</f>
        <v>574.78864623020843</v>
      </c>
      <c r="O29" s="40">
        <v>10.1019280615754</v>
      </c>
      <c r="P29" s="41">
        <f>O29-$V$30*$V$31*SQRT(1+1/$V$27+(Tabelle62[[#This Row],[Vents]]-$V$28)^2/$V$29)</f>
        <v>6.4499563244117386</v>
      </c>
      <c r="Q29" s="41">
        <f>O29+$V$30*$V$31*SQRT(1+1/$V$27+(Tabelle62[[#This Row],[Vents]]-$V$28)^2/$V$29)</f>
        <v>13.753899798739061</v>
      </c>
      <c r="R29" s="41">
        <f>O29-$V$30*$V$31*SQRT(1/$V$27+(Tabelle62[[#This Row],[Vents]]-$V$28)^2/$V$29)</f>
        <v>9.6778889389189775</v>
      </c>
      <c r="S29" s="41">
        <f>O29+$V$30*$V$31*SQRT(1/$V$27+(Tabelle62[[#This Row],[Vents]]-$V$28)^2/$V$29)</f>
        <v>10.525967184231822</v>
      </c>
      <c r="U29" t="s">
        <v>242</v>
      </c>
      <c r="V29">
        <f>DEVSQ(Tabelle62[True Cooling Capacity '[kW']])</f>
        <v>20262953.788981836</v>
      </c>
    </row>
    <row r="30" spans="1:24" x14ac:dyDescent="0.3">
      <c r="A30" s="10" t="s">
        <v>81</v>
      </c>
      <c r="B30" s="10">
        <v>10</v>
      </c>
      <c r="C30" s="28">
        <f>(62.123*Tabelle62[[#This Row],[Vents]])-67.781</f>
        <v>553.44900000000007</v>
      </c>
      <c r="D30" s="7" t="s">
        <v>81</v>
      </c>
      <c r="E30" s="13">
        <v>10</v>
      </c>
      <c r="F30" s="12">
        <v>0</v>
      </c>
      <c r="G30" s="11">
        <v>0</v>
      </c>
      <c r="H30" s="25">
        <f>(62.123*Tabelle93[[#This Row],[Vents]])-67.781</f>
        <v>553.44900000000007</v>
      </c>
      <c r="I30" s="44">
        <f t="shared" si="0"/>
        <v>0</v>
      </c>
      <c r="J30" s="40">
        <v>559.12845547262157</v>
      </c>
      <c r="K30" s="41">
        <f>J30-$V$12*$V$13*SQRT(1+1/$V$9+(Tabelle62[[#This Row],[True Cooling Capacity '[kW']]]-$V$10)^2/$V$11)</f>
        <v>342.11192497659897</v>
      </c>
      <c r="L30" s="41">
        <f>J30+$V$12*$V$13*SQRT(1+1/$V$9+(Tabelle62[[#This Row],[True Cooling Capacity '[kW']]]-$V$10)^2/$V$11)</f>
        <v>776.14498596864416</v>
      </c>
      <c r="M30" s="41">
        <f>J30-$V$12*$V$13*SQRT(1/$V$9+(Tabelle62[[#This Row],[True Cooling Capacity '[kW']]]-$V$10)^2/$V$11)</f>
        <v>543.46826471503471</v>
      </c>
      <c r="N30" s="42">
        <f>J30+$V$12*$V$13*SQRT(1/$V$9+(Tabelle62[[#This Row],[True Cooling Capacity '[kW']]]-$V$10)^2/$V$11)</f>
        <v>574.78864623020843</v>
      </c>
      <c r="O30" s="40">
        <v>10.1019280615754</v>
      </c>
      <c r="P30" s="41">
        <f>O30-$V$30*$V$31*SQRT(1+1/$V$27+(Tabelle62[[#This Row],[Vents]]-$V$28)^2/$V$29)</f>
        <v>6.4499563244117386</v>
      </c>
      <c r="Q30" s="41">
        <f>O30+$V$30*$V$31*SQRT(1+1/$V$27+(Tabelle62[[#This Row],[Vents]]-$V$28)^2/$V$29)</f>
        <v>13.753899798739061</v>
      </c>
      <c r="R30" s="41">
        <f>O30-$V$30*$V$31*SQRT(1/$V$27+(Tabelle62[[#This Row],[Vents]]-$V$28)^2/$V$29)</f>
        <v>9.6778889389189775</v>
      </c>
      <c r="S30" s="41">
        <f>O30+$V$30*$V$31*SQRT(1/$V$27+(Tabelle62[[#This Row],[Vents]]-$V$28)^2/$V$29)</f>
        <v>10.525967184231822</v>
      </c>
      <c r="U30" t="s">
        <v>243</v>
      </c>
      <c r="V30">
        <f>_xlfn.T.INV.2T(0.05,W24)</f>
        <v>1.9710074720044739</v>
      </c>
    </row>
    <row r="31" spans="1:24" x14ac:dyDescent="0.3">
      <c r="A31" s="10" t="s">
        <v>79</v>
      </c>
      <c r="B31" s="10">
        <v>6</v>
      </c>
      <c r="C31" s="28">
        <f>(62.123*Tabelle62[[#This Row],[Vents]])-67.781</f>
        <v>304.95699999999999</v>
      </c>
      <c r="D31" s="7" t="s">
        <v>79</v>
      </c>
      <c r="E31" s="13">
        <v>12</v>
      </c>
      <c r="F31" s="12">
        <v>6</v>
      </c>
      <c r="G31" s="11">
        <v>36</v>
      </c>
      <c r="H31" s="25">
        <f>(62.123*Tabelle93[[#This Row],[Vents]])-67.781</f>
        <v>677.69499999999994</v>
      </c>
      <c r="I31" s="44">
        <f t="shared" si="0"/>
        <v>138933.61664399997</v>
      </c>
      <c r="J31" s="40">
        <v>323.32569432928352</v>
      </c>
      <c r="K31" s="41">
        <f>J31-$V$12*$V$13*SQRT(1+1/$V$9+(Tabelle62[[#This Row],[True Cooling Capacity '[kW']]]-$V$10)^2/$V$11)</f>
        <v>106.28344391493971</v>
      </c>
      <c r="L31" s="41">
        <f>J31+$V$12*$V$13*SQRT(1+1/$V$9+(Tabelle62[[#This Row],[True Cooling Capacity '[kW']]]-$V$10)^2/$V$11)</f>
        <v>540.36794474362728</v>
      </c>
      <c r="M31" s="41">
        <f>J31-$V$12*$V$13*SQRT(1/$V$9+(Tabelle62[[#This Row],[True Cooling Capacity '[kW']]]-$V$10)^2/$V$11)</f>
        <v>307.3130265017287</v>
      </c>
      <c r="N31" s="42">
        <f>J31+$V$12*$V$13*SQRT(1/$V$9+(Tabelle62[[#This Row],[True Cooling Capacity '[kW']]]-$V$10)^2/$V$11)</f>
        <v>339.33836215683834</v>
      </c>
      <c r="O31" s="40">
        <v>6.3889611466507032</v>
      </c>
      <c r="P31" s="41">
        <f>O31-$V$30*$V$31*SQRT(1+1/$V$27+(Tabelle62[[#This Row],[Vents]]-$V$28)^2/$V$29)</f>
        <v>2.736682954686529</v>
      </c>
      <c r="Q31" s="41">
        <f>O31+$V$30*$V$31*SQRT(1+1/$V$27+(Tabelle62[[#This Row],[Vents]]-$V$28)^2/$V$29)</f>
        <v>10.041239338614877</v>
      </c>
      <c r="R31" s="41">
        <f>O31-$V$30*$V$31*SQRT(1/$V$27+(Tabelle62[[#This Row],[Vents]]-$V$28)^2/$V$29)</f>
        <v>5.9622907820855584</v>
      </c>
      <c r="S31" s="41">
        <f>O31+$V$30*$V$31*SQRT(1/$V$27+(Tabelle62[[#This Row],[Vents]]-$V$28)^2/$V$29)</f>
        <v>6.8156315112158481</v>
      </c>
      <c r="U31" t="s">
        <v>244</v>
      </c>
      <c r="V31">
        <f>SQRT(W25/W24)</f>
        <v>1.8403127097854683</v>
      </c>
    </row>
    <row r="32" spans="1:24" x14ac:dyDescent="0.3">
      <c r="A32" s="10" t="s">
        <v>77</v>
      </c>
      <c r="B32" s="10">
        <v>6</v>
      </c>
      <c r="C32" s="28">
        <f>(62.123*Tabelle62[[#This Row],[Vents]])-67.781</f>
        <v>304.95699999999999</v>
      </c>
      <c r="D32" s="7" t="s">
        <v>77</v>
      </c>
      <c r="E32" s="13">
        <v>12</v>
      </c>
      <c r="F32" s="12">
        <v>6</v>
      </c>
      <c r="G32" s="11">
        <v>36</v>
      </c>
      <c r="H32" s="25">
        <f>(62.123*Tabelle93[[#This Row],[Vents]])-67.781</f>
        <v>677.69499999999994</v>
      </c>
      <c r="I32" s="44">
        <f t="shared" si="0"/>
        <v>138933.61664399997</v>
      </c>
      <c r="J32" s="40">
        <v>323.32569432928352</v>
      </c>
      <c r="K32" s="41">
        <f>J32-$V$12*$V$13*SQRT(1+1/$V$9+(Tabelle62[[#This Row],[True Cooling Capacity '[kW']]]-$V$10)^2/$V$11)</f>
        <v>106.28344391493971</v>
      </c>
      <c r="L32" s="41">
        <f>J32+$V$12*$V$13*SQRT(1+1/$V$9+(Tabelle62[[#This Row],[True Cooling Capacity '[kW']]]-$V$10)^2/$V$11)</f>
        <v>540.36794474362728</v>
      </c>
      <c r="M32" s="41">
        <f>J32-$V$12*$V$13*SQRT(1/$V$9+(Tabelle62[[#This Row],[True Cooling Capacity '[kW']]]-$V$10)^2/$V$11)</f>
        <v>307.3130265017287</v>
      </c>
      <c r="N32" s="42">
        <f>J32+$V$12*$V$13*SQRT(1/$V$9+(Tabelle62[[#This Row],[True Cooling Capacity '[kW']]]-$V$10)^2/$V$11)</f>
        <v>339.33836215683834</v>
      </c>
      <c r="O32" s="40">
        <v>6.3889611466507032</v>
      </c>
      <c r="P32" s="41">
        <f>O32-$V$30*$V$31*SQRT(1+1/$V$27+(Tabelle62[[#This Row],[Vents]]-$V$28)^2/$V$29)</f>
        <v>2.736682954686529</v>
      </c>
      <c r="Q32" s="41">
        <f>O32+$V$30*$V$31*SQRT(1+1/$V$27+(Tabelle62[[#This Row],[Vents]]-$V$28)^2/$V$29)</f>
        <v>10.041239338614877</v>
      </c>
      <c r="R32" s="41">
        <f>O32-$V$30*$V$31*SQRT(1/$V$27+(Tabelle62[[#This Row],[Vents]]-$V$28)^2/$V$29)</f>
        <v>5.9622907820855584</v>
      </c>
      <c r="S32" s="41">
        <f>O32+$V$30*$V$31*SQRT(1/$V$27+(Tabelle62[[#This Row],[Vents]]-$V$28)^2/$V$29)</f>
        <v>6.8156315112158481</v>
      </c>
    </row>
    <row r="33" spans="1:26" x14ac:dyDescent="0.3">
      <c r="A33" s="10" t="s">
        <v>78</v>
      </c>
      <c r="B33" s="10">
        <v>6</v>
      </c>
      <c r="C33" s="28">
        <f>(62.123*Tabelle62[[#This Row],[Vents]])-67.781</f>
        <v>304.95699999999999</v>
      </c>
      <c r="D33" s="7" t="s">
        <v>78</v>
      </c>
      <c r="E33" s="13">
        <v>12</v>
      </c>
      <c r="F33" s="12">
        <v>6</v>
      </c>
      <c r="G33" s="11">
        <v>36</v>
      </c>
      <c r="H33" s="25">
        <f>(62.123*Tabelle93[[#This Row],[Vents]])-67.781</f>
        <v>677.69499999999994</v>
      </c>
      <c r="I33" s="44">
        <f t="shared" si="0"/>
        <v>138933.61664399997</v>
      </c>
      <c r="J33" s="40">
        <v>323.32569432928352</v>
      </c>
      <c r="K33" s="41">
        <f>J33-$V$12*$V$13*SQRT(1+1/$V$9+(Tabelle62[[#This Row],[True Cooling Capacity '[kW']]]-$V$10)^2/$V$11)</f>
        <v>106.28344391493971</v>
      </c>
      <c r="L33" s="41">
        <f>J33+$V$12*$V$13*SQRT(1+1/$V$9+(Tabelle62[[#This Row],[True Cooling Capacity '[kW']]]-$V$10)^2/$V$11)</f>
        <v>540.36794474362728</v>
      </c>
      <c r="M33" s="41">
        <f>J33-$V$12*$V$13*SQRT(1/$V$9+(Tabelle62[[#This Row],[True Cooling Capacity '[kW']]]-$V$10)^2/$V$11)</f>
        <v>307.3130265017287</v>
      </c>
      <c r="N33" s="42">
        <f>J33+$V$12*$V$13*SQRT(1/$V$9+(Tabelle62[[#This Row],[True Cooling Capacity '[kW']]]-$V$10)^2/$V$11)</f>
        <v>339.33836215683834</v>
      </c>
      <c r="O33" s="40">
        <v>6.3889611466507032</v>
      </c>
      <c r="P33" s="41">
        <f>O33-$V$30*$V$31*SQRT(1+1/$V$27+(Tabelle62[[#This Row],[Vents]]-$V$28)^2/$V$29)</f>
        <v>2.736682954686529</v>
      </c>
      <c r="Q33" s="41">
        <f>O33+$V$30*$V$31*SQRT(1+1/$V$27+(Tabelle62[[#This Row],[Vents]]-$V$28)^2/$V$29)</f>
        <v>10.041239338614877</v>
      </c>
      <c r="R33" s="41">
        <f>O33-$V$30*$V$31*SQRT(1/$V$27+(Tabelle62[[#This Row],[Vents]]-$V$28)^2/$V$29)</f>
        <v>5.9622907820855584</v>
      </c>
      <c r="S33" s="41">
        <f>O33+$V$30*$V$31*SQRT(1/$V$27+(Tabelle62[[#This Row],[Vents]]-$V$28)^2/$V$29)</f>
        <v>6.8156315112158481</v>
      </c>
    </row>
    <row r="34" spans="1:26" x14ac:dyDescent="0.3">
      <c r="A34" s="10" t="s">
        <v>76</v>
      </c>
      <c r="B34" s="10">
        <v>10</v>
      </c>
      <c r="C34" s="28">
        <f>(62.123*Tabelle62[[#This Row],[Vents]])-67.781</f>
        <v>553.44900000000007</v>
      </c>
      <c r="D34" s="7" t="s">
        <v>76</v>
      </c>
      <c r="E34" s="13">
        <v>10</v>
      </c>
      <c r="F34" s="12">
        <v>0</v>
      </c>
      <c r="G34" s="11">
        <v>0</v>
      </c>
      <c r="H34" s="25">
        <f>(62.123*Tabelle93[[#This Row],[Vents]])-67.781</f>
        <v>553.44900000000007</v>
      </c>
      <c r="I34" s="44">
        <f t="shared" si="0"/>
        <v>0</v>
      </c>
      <c r="J34" s="40">
        <v>559.12845547262157</v>
      </c>
      <c r="K34" s="41">
        <f>J34-$V$12*$V$13*SQRT(1+1/$V$9+(Tabelle62[[#This Row],[True Cooling Capacity '[kW']]]-$V$10)^2/$V$11)</f>
        <v>342.11192497659897</v>
      </c>
      <c r="L34" s="41">
        <f>J34+$V$12*$V$13*SQRT(1+1/$V$9+(Tabelle62[[#This Row],[True Cooling Capacity '[kW']]]-$V$10)^2/$V$11)</f>
        <v>776.14498596864416</v>
      </c>
      <c r="M34" s="41">
        <f>J34-$V$12*$V$13*SQRT(1/$V$9+(Tabelle62[[#This Row],[True Cooling Capacity '[kW']]]-$V$10)^2/$V$11)</f>
        <v>543.46826471503471</v>
      </c>
      <c r="N34" s="42">
        <f>J34+$V$12*$V$13*SQRT(1/$V$9+(Tabelle62[[#This Row],[True Cooling Capacity '[kW']]]-$V$10)^2/$V$11)</f>
        <v>574.78864623020843</v>
      </c>
      <c r="O34" s="40">
        <v>10.1019280615754</v>
      </c>
      <c r="P34" s="41">
        <f>O34-$V$30*$V$31*SQRT(1+1/$V$27+(Tabelle62[[#This Row],[Vents]]-$V$28)^2/$V$29)</f>
        <v>6.4499563244117386</v>
      </c>
      <c r="Q34" s="41">
        <f>O34+$V$30*$V$31*SQRT(1+1/$V$27+(Tabelle62[[#This Row],[Vents]]-$V$28)^2/$V$29)</f>
        <v>13.753899798739061</v>
      </c>
      <c r="R34" s="41">
        <f>O34-$V$30*$V$31*SQRT(1/$V$27+(Tabelle62[[#This Row],[Vents]]-$V$28)^2/$V$29)</f>
        <v>9.6778889389189775</v>
      </c>
      <c r="S34" s="41">
        <f>O34+$V$30*$V$31*SQRT(1/$V$27+(Tabelle62[[#This Row],[Vents]]-$V$28)^2/$V$29)</f>
        <v>10.525967184231822</v>
      </c>
    </row>
    <row r="35" spans="1:26" x14ac:dyDescent="0.3">
      <c r="A35" s="10" t="s">
        <v>72</v>
      </c>
      <c r="B35" s="10">
        <v>10</v>
      </c>
      <c r="C35" s="28">
        <f>(62.123*Tabelle62[[#This Row],[Vents]])-67.781</f>
        <v>553.44900000000007</v>
      </c>
      <c r="D35" s="7" t="s">
        <v>72</v>
      </c>
      <c r="E35" s="13">
        <v>10</v>
      </c>
      <c r="F35" s="12">
        <v>0</v>
      </c>
      <c r="G35" s="11">
        <v>0</v>
      </c>
      <c r="H35" s="25">
        <f>(62.123*Tabelle93[[#This Row],[Vents]])-67.781</f>
        <v>553.44900000000007</v>
      </c>
      <c r="I35" s="44">
        <f t="shared" si="0"/>
        <v>0</v>
      </c>
      <c r="J35" s="40">
        <v>559.12845547262157</v>
      </c>
      <c r="K35" s="41">
        <f>J35-$V$12*$V$13*SQRT(1+1/$V$9+(Tabelle62[[#This Row],[True Cooling Capacity '[kW']]]-$V$10)^2/$V$11)</f>
        <v>342.11192497659897</v>
      </c>
      <c r="L35" s="41">
        <f>J35+$V$12*$V$13*SQRT(1+1/$V$9+(Tabelle62[[#This Row],[True Cooling Capacity '[kW']]]-$V$10)^2/$V$11)</f>
        <v>776.14498596864416</v>
      </c>
      <c r="M35" s="41">
        <f>J35-$V$12*$V$13*SQRT(1/$V$9+(Tabelle62[[#This Row],[True Cooling Capacity '[kW']]]-$V$10)^2/$V$11)</f>
        <v>543.46826471503471</v>
      </c>
      <c r="N35" s="42">
        <f>J35+$V$12*$V$13*SQRT(1/$V$9+(Tabelle62[[#This Row],[True Cooling Capacity '[kW']]]-$V$10)^2/$V$11)</f>
        <v>574.78864623020843</v>
      </c>
      <c r="O35" s="40">
        <v>10.1019280615754</v>
      </c>
      <c r="P35" s="41">
        <f>O35-$V$30*$V$31*SQRT(1+1/$V$27+(Tabelle62[[#This Row],[Vents]]-$V$28)^2/$V$29)</f>
        <v>6.4499563244117386</v>
      </c>
      <c r="Q35" s="41">
        <f>O35+$V$30*$V$31*SQRT(1+1/$V$27+(Tabelle62[[#This Row],[Vents]]-$V$28)^2/$V$29)</f>
        <v>13.753899798739061</v>
      </c>
      <c r="R35" s="41">
        <f>O35-$V$30*$V$31*SQRT(1/$V$27+(Tabelle62[[#This Row],[Vents]]-$V$28)^2/$V$29)</f>
        <v>9.6778889389189775</v>
      </c>
      <c r="S35" s="41">
        <f>O35+$V$30*$V$31*SQRT(1/$V$27+(Tabelle62[[#This Row],[Vents]]-$V$28)^2/$V$29)</f>
        <v>10.525967184231822</v>
      </c>
    </row>
    <row r="36" spans="1:26" x14ac:dyDescent="0.3">
      <c r="A36" s="10" t="s">
        <v>75</v>
      </c>
      <c r="B36" s="10">
        <v>10</v>
      </c>
      <c r="C36" s="28">
        <f>(62.123*Tabelle62[[#This Row],[Vents]])-67.781</f>
        <v>553.44900000000007</v>
      </c>
      <c r="D36" s="7" t="s">
        <v>75</v>
      </c>
      <c r="E36" s="13">
        <v>11</v>
      </c>
      <c r="F36" s="12">
        <v>1</v>
      </c>
      <c r="G36" s="11">
        <v>1</v>
      </c>
      <c r="H36" s="25">
        <f>(62.123*Tabelle93[[#This Row],[Vents]])-67.781</f>
        <v>615.57199999999989</v>
      </c>
      <c r="I36" s="44">
        <f t="shared" si="0"/>
        <v>3859.2671289999776</v>
      </c>
      <c r="J36" s="40">
        <v>559.12845547262157</v>
      </c>
      <c r="K36" s="41">
        <f>J36-$V$12*$V$13*SQRT(1+1/$V$9+(Tabelle62[[#This Row],[True Cooling Capacity '[kW']]]-$V$10)^2/$V$11)</f>
        <v>342.11192497659897</v>
      </c>
      <c r="L36" s="41">
        <f>J36+$V$12*$V$13*SQRT(1+1/$V$9+(Tabelle62[[#This Row],[True Cooling Capacity '[kW']]]-$V$10)^2/$V$11)</f>
        <v>776.14498596864416</v>
      </c>
      <c r="M36" s="41">
        <f>J36-$V$12*$V$13*SQRT(1/$V$9+(Tabelle62[[#This Row],[True Cooling Capacity '[kW']]]-$V$10)^2/$V$11)</f>
        <v>543.46826471503471</v>
      </c>
      <c r="N36" s="42">
        <f>J36+$V$12*$V$13*SQRT(1/$V$9+(Tabelle62[[#This Row],[True Cooling Capacity '[kW']]]-$V$10)^2/$V$11)</f>
        <v>574.78864623020843</v>
      </c>
      <c r="O36" s="40">
        <v>10.1019280615754</v>
      </c>
      <c r="P36" s="41">
        <f>O36-$V$30*$V$31*SQRT(1+1/$V$27+(Tabelle62[[#This Row],[Vents]]-$V$28)^2/$V$29)</f>
        <v>6.4499563244117386</v>
      </c>
      <c r="Q36" s="41">
        <f>O36+$V$30*$V$31*SQRT(1+1/$V$27+(Tabelle62[[#This Row],[Vents]]-$V$28)^2/$V$29)</f>
        <v>13.753899798739061</v>
      </c>
      <c r="R36" s="41">
        <f>O36-$V$30*$V$31*SQRT(1/$V$27+(Tabelle62[[#This Row],[Vents]]-$V$28)^2/$V$29)</f>
        <v>9.6778889389189775</v>
      </c>
      <c r="S36" s="41">
        <f>O36+$V$30*$V$31*SQRT(1/$V$27+(Tabelle62[[#This Row],[Vents]]-$V$28)^2/$V$29)</f>
        <v>10.525967184231822</v>
      </c>
      <c r="V36" t="s">
        <v>251</v>
      </c>
      <c r="Y36" t="s">
        <v>254</v>
      </c>
    </row>
    <row r="37" spans="1:26" x14ac:dyDescent="0.3">
      <c r="A37" s="10" t="s">
        <v>73</v>
      </c>
      <c r="B37" s="10">
        <v>10</v>
      </c>
      <c r="C37" s="28">
        <f>(62.123*Tabelle62[[#This Row],[Vents]])-67.781</f>
        <v>553.44900000000007</v>
      </c>
      <c r="D37" s="7" t="s">
        <v>73</v>
      </c>
      <c r="E37" s="13">
        <v>10</v>
      </c>
      <c r="F37" s="12">
        <v>0</v>
      </c>
      <c r="G37" s="11">
        <v>0</v>
      </c>
      <c r="H37" s="25">
        <f>(62.123*Tabelle93[[#This Row],[Vents]])-67.781</f>
        <v>553.44900000000007</v>
      </c>
      <c r="I37" s="44">
        <f t="shared" si="0"/>
        <v>0</v>
      </c>
      <c r="J37" s="40">
        <v>559.12845547262157</v>
      </c>
      <c r="K37" s="41">
        <f>J37-$V$12*$V$13*SQRT(1+1/$V$9+(Tabelle62[[#This Row],[True Cooling Capacity '[kW']]]-$V$10)^2/$V$11)</f>
        <v>342.11192497659897</v>
      </c>
      <c r="L37" s="41">
        <f>J37+$V$12*$V$13*SQRT(1+1/$V$9+(Tabelle62[[#This Row],[True Cooling Capacity '[kW']]]-$V$10)^2/$V$11)</f>
        <v>776.14498596864416</v>
      </c>
      <c r="M37" s="41">
        <f>J37-$V$12*$V$13*SQRT(1/$V$9+(Tabelle62[[#This Row],[True Cooling Capacity '[kW']]]-$V$10)^2/$V$11)</f>
        <v>543.46826471503471</v>
      </c>
      <c r="N37" s="42">
        <f>J37+$V$12*$V$13*SQRT(1/$V$9+(Tabelle62[[#This Row],[True Cooling Capacity '[kW']]]-$V$10)^2/$V$11)</f>
        <v>574.78864623020843</v>
      </c>
      <c r="O37" s="40">
        <v>10.1019280615754</v>
      </c>
      <c r="P37" s="41">
        <f>O37-$V$30*$V$31*SQRT(1+1/$V$27+(Tabelle62[[#This Row],[Vents]]-$V$28)^2/$V$29)</f>
        <v>6.4499563244117386</v>
      </c>
      <c r="Q37" s="41">
        <f>O37+$V$30*$V$31*SQRT(1+1/$V$27+(Tabelle62[[#This Row],[Vents]]-$V$28)^2/$V$29)</f>
        <v>13.753899798739061</v>
      </c>
      <c r="R37" s="41">
        <f>O37-$V$30*$V$31*SQRT(1/$V$27+(Tabelle62[[#This Row],[Vents]]-$V$28)^2/$V$29)</f>
        <v>9.6778889389189775</v>
      </c>
      <c r="S37" s="41">
        <f>O37+$V$30*$V$31*SQRT(1/$V$27+(Tabelle62[[#This Row],[Vents]]-$V$28)^2/$V$29)</f>
        <v>10.525967184231822</v>
      </c>
      <c r="U37" t="s">
        <v>255</v>
      </c>
      <c r="V37" t="s">
        <v>252</v>
      </c>
      <c r="W37" t="s">
        <v>253</v>
      </c>
      <c r="Y37" t="s">
        <v>255</v>
      </c>
      <c r="Z37" t="s">
        <v>256</v>
      </c>
    </row>
    <row r="38" spans="1:26" x14ac:dyDescent="0.3">
      <c r="A38" s="10" t="s">
        <v>74</v>
      </c>
      <c r="B38" s="10">
        <v>10</v>
      </c>
      <c r="C38" s="28">
        <f>(62.123*Tabelle62[[#This Row],[Vents]])-67.781</f>
        <v>553.44900000000007</v>
      </c>
      <c r="D38" s="7" t="s">
        <v>74</v>
      </c>
      <c r="E38" s="13">
        <v>10</v>
      </c>
      <c r="F38" s="12">
        <v>0</v>
      </c>
      <c r="G38" s="11">
        <v>0</v>
      </c>
      <c r="H38" s="25">
        <f>(62.123*Tabelle93[[#This Row],[Vents]])-67.781</f>
        <v>553.44900000000007</v>
      </c>
      <c r="I38" s="44">
        <f t="shared" si="0"/>
        <v>0</v>
      </c>
      <c r="J38" s="40">
        <v>559.12845547262157</v>
      </c>
      <c r="K38" s="41">
        <f>J38-$V$12*$V$13*SQRT(1+1/$V$9+(Tabelle62[[#This Row],[True Cooling Capacity '[kW']]]-$V$10)^2/$V$11)</f>
        <v>342.11192497659897</v>
      </c>
      <c r="L38" s="41">
        <f>J38+$V$12*$V$13*SQRT(1+1/$V$9+(Tabelle62[[#This Row],[True Cooling Capacity '[kW']]]-$V$10)^2/$V$11)</f>
        <v>776.14498596864416</v>
      </c>
      <c r="M38" s="41">
        <f>J38-$V$12*$V$13*SQRT(1/$V$9+(Tabelle62[[#This Row],[True Cooling Capacity '[kW']]]-$V$10)^2/$V$11)</f>
        <v>543.46826471503471</v>
      </c>
      <c r="N38" s="42">
        <f>J38+$V$12*$V$13*SQRT(1/$V$9+(Tabelle62[[#This Row],[True Cooling Capacity '[kW']]]-$V$10)^2/$V$11)</f>
        <v>574.78864623020843</v>
      </c>
      <c r="O38" s="40">
        <v>10.1019280615754</v>
      </c>
      <c r="P38" s="41">
        <f>O38-$V$30*$V$31*SQRT(1+1/$V$27+(Tabelle62[[#This Row],[Vents]]-$V$28)^2/$V$29)</f>
        <v>6.4499563244117386</v>
      </c>
      <c r="Q38" s="41">
        <f>O38+$V$30*$V$31*SQRT(1+1/$V$27+(Tabelle62[[#This Row],[Vents]]-$V$28)^2/$V$29)</f>
        <v>13.753899798739061</v>
      </c>
      <c r="R38" s="41">
        <f>O38-$V$30*$V$31*SQRT(1/$V$27+(Tabelle62[[#This Row],[Vents]]-$V$28)^2/$V$29)</f>
        <v>9.6778889389189775</v>
      </c>
      <c r="S38" s="41">
        <f>O38+$V$30*$V$31*SQRT(1/$V$27+(Tabelle62[[#This Row],[Vents]]-$V$28)^2/$V$29)</f>
        <v>10.525967184231822</v>
      </c>
      <c r="U38" t="s">
        <v>257</v>
      </c>
      <c r="V38" s="49">
        <f xml:space="preserve"> 0.9505*0 + 250.69</f>
        <v>250.69</v>
      </c>
      <c r="W38" s="49">
        <f xml:space="preserve"> 0.9505*2000 + 250.69</f>
        <v>2151.69</v>
      </c>
      <c r="Y38">
        <v>0</v>
      </c>
      <c r="Z38">
        <f xml:space="preserve"> 0.9489*0 + 33.941</f>
        <v>33.941000000000003</v>
      </c>
    </row>
    <row r="39" spans="1:26" x14ac:dyDescent="0.3">
      <c r="A39" s="10" t="s">
        <v>66</v>
      </c>
      <c r="B39" s="10">
        <v>8</v>
      </c>
      <c r="C39" s="28">
        <f>(62.123*Tabelle62[[#This Row],[Vents]])-67.781</f>
        <v>429.20299999999997</v>
      </c>
      <c r="D39" s="7" t="s">
        <v>66</v>
      </c>
      <c r="E39" s="13">
        <v>8</v>
      </c>
      <c r="F39" s="12">
        <v>0</v>
      </c>
      <c r="G39" s="11">
        <v>0</v>
      </c>
      <c r="H39" s="25">
        <f>(62.123*Tabelle93[[#This Row],[Vents]])-67.781</f>
        <v>429.20299999999997</v>
      </c>
      <c r="I39" s="44">
        <f t="shared" si="0"/>
        <v>0</v>
      </c>
      <c r="J39" s="40">
        <v>441.22707490095252</v>
      </c>
      <c r="K39" s="41">
        <f>J39-$V$12*$V$13*SQRT(1+1/$V$9+(Tabelle62[[#This Row],[True Cooling Capacity '[kW']]]-$V$10)^2/$V$11)</f>
        <v>224.27992992972105</v>
      </c>
      <c r="L39" s="41">
        <f>J39+$V$12*$V$13*SQRT(1+1/$V$9+(Tabelle62[[#This Row],[True Cooling Capacity '[kW']]]-$V$10)^2/$V$11)</f>
        <v>658.17421987218404</v>
      </c>
      <c r="M39" s="41">
        <f>J39-$V$12*$V$13*SQRT(1/$V$9+(Tabelle62[[#This Row],[True Cooling Capacity '[kW']]]-$V$10)^2/$V$11)</f>
        <v>426.55973781471158</v>
      </c>
      <c r="N39" s="42">
        <f>J39+$V$12*$V$13*SQRT(1/$V$9+(Tabelle62[[#This Row],[True Cooling Capacity '[kW']]]-$V$10)^2/$V$11)</f>
        <v>455.89441198719345</v>
      </c>
      <c r="O39" s="40">
        <v>8.245444604113052</v>
      </c>
      <c r="P39" s="41">
        <f>O39-$V$30*$V$31*SQRT(1+1/$V$27+(Tabelle62[[#This Row],[Vents]]-$V$28)^2/$V$29)</f>
        <v>4.5933199919181114</v>
      </c>
      <c r="Q39" s="41">
        <f>O39+$V$30*$V$31*SQRT(1+1/$V$27+(Tabelle62[[#This Row],[Vents]]-$V$28)^2/$V$29)</f>
        <v>11.897569216307993</v>
      </c>
      <c r="R39" s="41">
        <f>O39-$V$30*$V$31*SQRT(1/$V$27+(Tabelle62[[#This Row],[Vents]]-$V$28)^2/$V$29)</f>
        <v>7.8200908789605537</v>
      </c>
      <c r="S39" s="41">
        <f>O39+$V$30*$V$31*SQRT(1/$V$27+(Tabelle62[[#This Row],[Vents]]-$V$28)^2/$V$29)</f>
        <v>8.6707983292655495</v>
      </c>
      <c r="U39" t="s">
        <v>257</v>
      </c>
      <c r="V39" s="49">
        <f>0.9474*0 - 182.81</f>
        <v>-182.81</v>
      </c>
      <c r="W39" s="49">
        <f>0.9474*2000 - 182.81</f>
        <v>1711.99</v>
      </c>
      <c r="Y39">
        <v>2000</v>
      </c>
      <c r="Z39">
        <f xml:space="preserve"> 0.9489*2000 + 33.941</f>
        <v>1931.741</v>
      </c>
    </row>
    <row r="40" spans="1:26" x14ac:dyDescent="0.3">
      <c r="A40" s="10" t="s">
        <v>71</v>
      </c>
      <c r="B40" s="10">
        <v>8</v>
      </c>
      <c r="C40" s="28">
        <f>(62.123*Tabelle62[[#This Row],[Vents]])-67.781</f>
        <v>429.20299999999997</v>
      </c>
      <c r="D40" s="7" t="s">
        <v>71</v>
      </c>
      <c r="E40" s="13">
        <v>8</v>
      </c>
      <c r="F40" s="12">
        <v>0</v>
      </c>
      <c r="G40" s="11">
        <v>0</v>
      </c>
      <c r="H40" s="25">
        <f>(62.123*Tabelle93[[#This Row],[Vents]])-67.781</f>
        <v>429.20299999999997</v>
      </c>
      <c r="I40" s="44">
        <f t="shared" si="0"/>
        <v>0</v>
      </c>
      <c r="J40" s="40">
        <v>441.22707490095252</v>
      </c>
      <c r="K40" s="41">
        <f>J40-$V$12*$V$13*SQRT(1+1/$V$9+(Tabelle62[[#This Row],[True Cooling Capacity '[kW']]]-$V$10)^2/$V$11)</f>
        <v>224.27992992972105</v>
      </c>
      <c r="L40" s="41">
        <f>J40+$V$12*$V$13*SQRT(1+1/$V$9+(Tabelle62[[#This Row],[True Cooling Capacity '[kW']]]-$V$10)^2/$V$11)</f>
        <v>658.17421987218404</v>
      </c>
      <c r="M40" s="41">
        <f>J40-$V$12*$V$13*SQRT(1/$V$9+(Tabelle62[[#This Row],[True Cooling Capacity '[kW']]]-$V$10)^2/$V$11)</f>
        <v>426.55973781471158</v>
      </c>
      <c r="N40" s="42">
        <f>J40+$V$12*$V$13*SQRT(1/$V$9+(Tabelle62[[#This Row],[True Cooling Capacity '[kW']]]-$V$10)^2/$V$11)</f>
        <v>455.89441198719345</v>
      </c>
      <c r="O40" s="40">
        <v>8.245444604113052</v>
      </c>
      <c r="P40" s="41">
        <f>O40-$V$30*$V$31*SQRT(1+1/$V$27+(Tabelle62[[#This Row],[Vents]]-$V$28)^2/$V$29)</f>
        <v>4.5933199919181114</v>
      </c>
      <c r="Q40" s="41">
        <f>O40+$V$30*$V$31*SQRT(1+1/$V$27+(Tabelle62[[#This Row],[Vents]]-$V$28)^2/$V$29)</f>
        <v>11.897569216307993</v>
      </c>
      <c r="R40" s="41">
        <f>O40-$V$30*$V$31*SQRT(1/$V$27+(Tabelle62[[#This Row],[Vents]]-$V$28)^2/$V$29)</f>
        <v>7.8200908789605537</v>
      </c>
      <c r="S40" s="41">
        <f>O40+$V$30*$V$31*SQRT(1/$V$27+(Tabelle62[[#This Row],[Vents]]-$V$28)^2/$V$29)</f>
        <v>8.6707983292655495</v>
      </c>
    </row>
    <row r="41" spans="1:26" x14ac:dyDescent="0.3">
      <c r="A41" s="10" t="s">
        <v>68</v>
      </c>
      <c r="B41" s="10">
        <v>8</v>
      </c>
      <c r="C41" s="28">
        <f>(62.123*Tabelle62[[#This Row],[Vents]])-67.781</f>
        <v>429.20299999999997</v>
      </c>
      <c r="D41" s="7" t="s">
        <v>68</v>
      </c>
      <c r="E41" s="13">
        <v>8</v>
      </c>
      <c r="F41" s="12">
        <v>0</v>
      </c>
      <c r="G41" s="11">
        <v>0</v>
      </c>
      <c r="H41" s="25">
        <f>(62.123*Tabelle93[[#This Row],[Vents]])-67.781</f>
        <v>429.20299999999997</v>
      </c>
      <c r="I41" s="44">
        <f t="shared" si="0"/>
        <v>0</v>
      </c>
      <c r="J41" s="40">
        <v>441.22707490095252</v>
      </c>
      <c r="K41" s="41">
        <f>J41-$V$12*$V$13*SQRT(1+1/$V$9+(Tabelle62[[#This Row],[True Cooling Capacity '[kW']]]-$V$10)^2/$V$11)</f>
        <v>224.27992992972105</v>
      </c>
      <c r="L41" s="41">
        <f>J41+$V$12*$V$13*SQRT(1+1/$V$9+(Tabelle62[[#This Row],[True Cooling Capacity '[kW']]]-$V$10)^2/$V$11)</f>
        <v>658.17421987218404</v>
      </c>
      <c r="M41" s="41">
        <f>J41-$V$12*$V$13*SQRT(1/$V$9+(Tabelle62[[#This Row],[True Cooling Capacity '[kW']]]-$V$10)^2/$V$11)</f>
        <v>426.55973781471158</v>
      </c>
      <c r="N41" s="42">
        <f>J41+$V$12*$V$13*SQRT(1/$V$9+(Tabelle62[[#This Row],[True Cooling Capacity '[kW']]]-$V$10)^2/$V$11)</f>
        <v>455.89441198719345</v>
      </c>
      <c r="O41" s="40">
        <v>8.245444604113052</v>
      </c>
      <c r="P41" s="41">
        <f>O41-$V$30*$V$31*SQRT(1+1/$V$27+(Tabelle62[[#This Row],[Vents]]-$V$28)^2/$V$29)</f>
        <v>4.5933199919181114</v>
      </c>
      <c r="Q41" s="41">
        <f>O41+$V$30*$V$31*SQRT(1+1/$V$27+(Tabelle62[[#This Row],[Vents]]-$V$28)^2/$V$29)</f>
        <v>11.897569216307993</v>
      </c>
      <c r="R41" s="41">
        <f>O41-$V$30*$V$31*SQRT(1/$V$27+(Tabelle62[[#This Row],[Vents]]-$V$28)^2/$V$29)</f>
        <v>7.8200908789605537</v>
      </c>
      <c r="S41" s="41">
        <f>O41+$V$30*$V$31*SQRT(1/$V$27+(Tabelle62[[#This Row],[Vents]]-$V$28)^2/$V$29)</f>
        <v>8.6707983292655495</v>
      </c>
    </row>
    <row r="42" spans="1:26" x14ac:dyDescent="0.3">
      <c r="A42" s="10" t="s">
        <v>70</v>
      </c>
      <c r="B42" s="10">
        <v>8</v>
      </c>
      <c r="C42" s="28">
        <f>(62.123*Tabelle62[[#This Row],[Vents]])-67.781</f>
        <v>429.20299999999997</v>
      </c>
      <c r="D42" s="7" t="s">
        <v>70</v>
      </c>
      <c r="E42" s="13">
        <v>8</v>
      </c>
      <c r="F42" s="12">
        <v>0</v>
      </c>
      <c r="G42" s="11">
        <v>0</v>
      </c>
      <c r="H42" s="25">
        <f>(62.123*Tabelle93[[#This Row],[Vents]])-67.781</f>
        <v>429.20299999999997</v>
      </c>
      <c r="I42" s="44">
        <f t="shared" si="0"/>
        <v>0</v>
      </c>
      <c r="J42" s="40">
        <v>441.22707490095252</v>
      </c>
      <c r="K42" s="41">
        <f>J42-$V$12*$V$13*SQRT(1+1/$V$9+(Tabelle62[[#This Row],[True Cooling Capacity '[kW']]]-$V$10)^2/$V$11)</f>
        <v>224.27992992972105</v>
      </c>
      <c r="L42" s="41">
        <f>J42+$V$12*$V$13*SQRT(1+1/$V$9+(Tabelle62[[#This Row],[True Cooling Capacity '[kW']]]-$V$10)^2/$V$11)</f>
        <v>658.17421987218404</v>
      </c>
      <c r="M42" s="41">
        <f>J42-$V$12*$V$13*SQRT(1/$V$9+(Tabelle62[[#This Row],[True Cooling Capacity '[kW']]]-$V$10)^2/$V$11)</f>
        <v>426.55973781471158</v>
      </c>
      <c r="N42" s="42">
        <f>J42+$V$12*$V$13*SQRT(1/$V$9+(Tabelle62[[#This Row],[True Cooling Capacity '[kW']]]-$V$10)^2/$V$11)</f>
        <v>455.89441198719345</v>
      </c>
      <c r="O42" s="40">
        <v>8.245444604113052</v>
      </c>
      <c r="P42" s="41">
        <f>O42-$V$30*$V$31*SQRT(1+1/$V$27+(Tabelle62[[#This Row],[Vents]]-$V$28)^2/$V$29)</f>
        <v>4.5933199919181114</v>
      </c>
      <c r="Q42" s="41">
        <f>O42+$V$30*$V$31*SQRT(1+1/$V$27+(Tabelle62[[#This Row],[Vents]]-$V$28)^2/$V$29)</f>
        <v>11.897569216307993</v>
      </c>
      <c r="R42" s="41">
        <f>O42-$V$30*$V$31*SQRT(1/$V$27+(Tabelle62[[#This Row],[Vents]]-$V$28)^2/$V$29)</f>
        <v>7.8200908789605537</v>
      </c>
      <c r="S42" s="41">
        <f>O42+$V$30*$V$31*SQRT(1/$V$27+(Tabelle62[[#This Row],[Vents]]-$V$28)^2/$V$29)</f>
        <v>8.6707983292655495</v>
      </c>
    </row>
    <row r="43" spans="1:26" x14ac:dyDescent="0.3">
      <c r="A43" s="10" t="s">
        <v>65</v>
      </c>
      <c r="B43" s="10">
        <v>2</v>
      </c>
      <c r="C43" s="28">
        <f>(62.123*Tabelle62[[#This Row],[Vents]])-67.781</f>
        <v>56.464999999999989</v>
      </c>
      <c r="D43" s="7" t="s">
        <v>65</v>
      </c>
      <c r="E43" s="13">
        <v>2</v>
      </c>
      <c r="F43" s="12">
        <v>0</v>
      </c>
      <c r="G43" s="11">
        <v>0</v>
      </c>
      <c r="H43" s="25">
        <f>(62.123*Tabelle93[[#This Row],[Vents]])-67.781</f>
        <v>56.464999999999989</v>
      </c>
      <c r="I43" s="44">
        <f t="shared" si="0"/>
        <v>0</v>
      </c>
      <c r="J43" s="40">
        <v>87.522933185945604</v>
      </c>
      <c r="K43" s="41">
        <f>J43-$V$12*$V$13*SQRT(1+1/$V$9+(Tabelle62[[#This Row],[True Cooling Capacity '[kW']]]-$V$10)^2/$V$11)</f>
        <v>-130.20176597742778</v>
      </c>
      <c r="L43" s="41">
        <f>J43+$V$12*$V$13*SQRT(1+1/$V$9+(Tabelle62[[#This Row],[True Cooling Capacity '[kW']]]-$V$10)^2/$V$11)</f>
        <v>305.24763234931896</v>
      </c>
      <c r="M43" s="41">
        <f>J43-$V$12*$V$13*SQRT(1/$V$9+(Tabelle62[[#This Row],[True Cooling Capacity '[kW']]]-$V$10)^2/$V$11)</f>
        <v>64.004606463699091</v>
      </c>
      <c r="N43" s="42">
        <f>J43+$V$12*$V$13*SQRT(1/$V$9+(Tabelle62[[#This Row],[True Cooling Capacity '[kW']]]-$V$10)^2/$V$11)</f>
        <v>111.04125990819212</v>
      </c>
      <c r="O43" s="40">
        <v>2.6759942317260066</v>
      </c>
      <c r="P43" s="41">
        <f>O43-$V$30*$V$31*SQRT(1+1/$V$27+(Tabelle62[[#This Row],[Vents]]-$V$28)^2/$V$29)</f>
        <v>-0.97659323363450046</v>
      </c>
      <c r="Q43" s="41">
        <f>O43+$V$30*$V$31*SQRT(1+1/$V$27+(Tabelle62[[#This Row],[Vents]]-$V$28)^2/$V$29)</f>
        <v>6.3285816970865136</v>
      </c>
      <c r="R43" s="41">
        <f>O43-$V$30*$V$31*SQRT(1/$V$27+(Tabelle62[[#This Row],[Vents]]-$V$28)^2/$V$29)</f>
        <v>2.2466845525784782</v>
      </c>
      <c r="S43" s="41">
        <f>O43+$V$30*$V$31*SQRT(1/$V$27+(Tabelle62[[#This Row],[Vents]]-$V$28)^2/$V$29)</f>
        <v>3.105303910873535</v>
      </c>
    </row>
    <row r="44" spans="1:26" x14ac:dyDescent="0.3">
      <c r="A44" s="10" t="s">
        <v>67</v>
      </c>
      <c r="B44" s="10">
        <v>2</v>
      </c>
      <c r="C44" s="28">
        <f>(62.123*Tabelle62[[#This Row],[Vents]])-67.781</f>
        <v>56.464999999999989</v>
      </c>
      <c r="D44" s="7" t="s">
        <v>67</v>
      </c>
      <c r="E44" s="13">
        <v>2</v>
      </c>
      <c r="F44" s="12">
        <v>0</v>
      </c>
      <c r="G44" s="11">
        <v>0</v>
      </c>
      <c r="H44" s="25">
        <f>(62.123*Tabelle93[[#This Row],[Vents]])-67.781</f>
        <v>56.464999999999989</v>
      </c>
      <c r="I44" s="44">
        <f t="shared" si="0"/>
        <v>0</v>
      </c>
      <c r="J44" s="40">
        <v>87.522933185945604</v>
      </c>
      <c r="K44" s="41">
        <f>J44-$V$12*$V$13*SQRT(1+1/$V$9+(Tabelle62[[#This Row],[True Cooling Capacity '[kW']]]-$V$10)^2/$V$11)</f>
        <v>-130.20176597742778</v>
      </c>
      <c r="L44" s="41">
        <f>J44+$V$12*$V$13*SQRT(1+1/$V$9+(Tabelle62[[#This Row],[True Cooling Capacity '[kW']]]-$V$10)^2/$V$11)</f>
        <v>305.24763234931896</v>
      </c>
      <c r="M44" s="41">
        <f>J44-$V$12*$V$13*SQRT(1/$V$9+(Tabelle62[[#This Row],[True Cooling Capacity '[kW']]]-$V$10)^2/$V$11)</f>
        <v>64.004606463699091</v>
      </c>
      <c r="N44" s="42">
        <f>J44+$V$12*$V$13*SQRT(1/$V$9+(Tabelle62[[#This Row],[True Cooling Capacity '[kW']]]-$V$10)^2/$V$11)</f>
        <v>111.04125990819212</v>
      </c>
      <c r="O44" s="40">
        <v>2.6759942317260066</v>
      </c>
      <c r="P44" s="41">
        <f>O44-$V$30*$V$31*SQRT(1+1/$V$27+(Tabelle62[[#This Row],[Vents]]-$V$28)^2/$V$29)</f>
        <v>-0.97659323363450046</v>
      </c>
      <c r="Q44" s="41">
        <f>O44+$V$30*$V$31*SQRT(1+1/$V$27+(Tabelle62[[#This Row],[Vents]]-$V$28)^2/$V$29)</f>
        <v>6.3285816970865136</v>
      </c>
      <c r="R44" s="41">
        <f>O44-$V$30*$V$31*SQRT(1/$V$27+(Tabelle62[[#This Row],[Vents]]-$V$28)^2/$V$29)</f>
        <v>2.2466845525784782</v>
      </c>
      <c r="S44" s="41">
        <f>O44+$V$30*$V$31*SQRT(1/$V$27+(Tabelle62[[#This Row],[Vents]]-$V$28)^2/$V$29)</f>
        <v>3.105303910873535</v>
      </c>
    </row>
    <row r="45" spans="1:26" x14ac:dyDescent="0.3">
      <c r="A45" s="10" t="s">
        <v>69</v>
      </c>
      <c r="B45" s="10">
        <v>3</v>
      </c>
      <c r="C45" s="28">
        <f>(62.123*Tabelle62[[#This Row],[Vents]])-67.781</f>
        <v>118.58799999999999</v>
      </c>
      <c r="D45" s="7" t="s">
        <v>69</v>
      </c>
      <c r="E45" s="13">
        <v>5</v>
      </c>
      <c r="F45" s="12">
        <v>2</v>
      </c>
      <c r="G45" s="11">
        <v>4</v>
      </c>
      <c r="H45" s="25">
        <f>(62.123*Tabelle93[[#This Row],[Vents]])-67.781</f>
        <v>242.834</v>
      </c>
      <c r="I45" s="44">
        <f t="shared" si="0"/>
        <v>15437.068516000003</v>
      </c>
      <c r="J45" s="40">
        <v>146.47362347178009</v>
      </c>
      <c r="K45" s="41">
        <f>J45-$V$12*$V$13*SQRT(1+1/$V$9+(Tabelle62[[#This Row],[True Cooling Capacity '[kW']]]-$V$10)^2/$V$11)</f>
        <v>-71.019131588929866</v>
      </c>
      <c r="L45" s="41">
        <f>J45+$V$12*$V$13*SQRT(1+1/$V$9+(Tabelle62[[#This Row],[True Cooling Capacity '[kW']]]-$V$10)^2/$V$11)</f>
        <v>363.96637853249001</v>
      </c>
      <c r="M45" s="41">
        <f>J45-$V$12*$V$13*SQRT(1/$V$9+(Tabelle62[[#This Row],[True Cooling Capacity '[kW']]]-$V$10)^2/$V$11)</f>
        <v>125.20943832560391</v>
      </c>
      <c r="N45" s="42">
        <f>J45+$V$12*$V$13*SQRT(1/$V$9+(Tabelle62[[#This Row],[True Cooling Capacity '[kW']]]-$V$10)^2/$V$11)</f>
        <v>167.73780861795626</v>
      </c>
      <c r="O45" s="40">
        <v>3.6042359604571805</v>
      </c>
      <c r="P45" s="41">
        <f>O45-$V$30*$V$31*SQRT(1+1/$V$27+(Tabelle62[[#This Row],[Vents]]-$V$28)^2/$V$29)</f>
        <v>-4.8273922349928888E-2</v>
      </c>
      <c r="Q45" s="41">
        <f>O45+$V$30*$V$31*SQRT(1+1/$V$27+(Tabelle62[[#This Row],[Vents]]-$V$28)^2/$V$29)</f>
        <v>7.25674584326429</v>
      </c>
      <c r="R45" s="41">
        <f>O45-$V$30*$V$31*SQRT(1/$V$27+(Tabelle62[[#This Row],[Vents]]-$V$28)^2/$V$29)</f>
        <v>3.1755868586213487</v>
      </c>
      <c r="S45" s="41">
        <f>O45+$V$30*$V$31*SQRT(1/$V$27+(Tabelle62[[#This Row],[Vents]]-$V$28)^2/$V$29)</f>
        <v>4.0328850622930128</v>
      </c>
    </row>
    <row r="46" spans="1:26" x14ac:dyDescent="0.3">
      <c r="A46" s="10" t="s">
        <v>64</v>
      </c>
      <c r="B46" s="10">
        <v>16</v>
      </c>
      <c r="C46" s="28">
        <f>(62.123*Tabelle62[[#This Row],[Vents]])-67.781</f>
        <v>926.1869999999999</v>
      </c>
      <c r="D46" s="7" t="s">
        <v>64</v>
      </c>
      <c r="E46" s="13">
        <v>18</v>
      </c>
      <c r="F46" s="12">
        <v>2</v>
      </c>
      <c r="G46" s="11">
        <v>4</v>
      </c>
      <c r="H46" s="25">
        <f>(62.123*Tabelle93[[#This Row],[Vents]])-67.781</f>
        <v>1050.433</v>
      </c>
      <c r="I46" s="44">
        <f t="shared" si="0"/>
        <v>15437.068516000023</v>
      </c>
      <c r="J46" s="40">
        <v>912.83259718762827</v>
      </c>
      <c r="K46" s="41">
        <f>J46-$V$12*$V$13*SQRT(1+1/$V$9+(Tabelle62[[#This Row],[True Cooling Capacity '[kW']]]-$V$10)^2/$V$11)</f>
        <v>694.62439338373929</v>
      </c>
      <c r="L46" s="41">
        <f>J46+$V$12*$V$13*SQRT(1+1/$V$9+(Tabelle62[[#This Row],[True Cooling Capacity '[kW']]]-$V$10)^2/$V$11)</f>
        <v>1131.0408009915172</v>
      </c>
      <c r="M46" s="41">
        <f>J46-$V$12*$V$13*SQRT(1/$V$9+(Tabelle62[[#This Row],[True Cooling Capacity '[kW']]]-$V$10)^2/$V$11)</f>
        <v>885.1940864941688</v>
      </c>
      <c r="N46" s="42">
        <f>J46+$V$12*$V$13*SQRT(1/$V$9+(Tabelle62[[#This Row],[True Cooling Capacity '[kW']]]-$V$10)^2/$V$11)</f>
        <v>940.47110788108773</v>
      </c>
      <c r="O46" s="40">
        <v>15.671378433962445</v>
      </c>
      <c r="P46" s="41">
        <f>O46-$V$30*$V$31*SQRT(1+1/$V$27+(Tabelle62[[#This Row],[Vents]]-$V$28)^2/$V$29)</f>
        <v>12.019861092581804</v>
      </c>
      <c r="Q46" s="41">
        <f>O46+$V$30*$V$31*SQRT(1+1/$V$27+(Tabelle62[[#This Row],[Vents]]-$V$28)^2/$V$29)</f>
        <v>19.322895775343085</v>
      </c>
      <c r="R46" s="41">
        <f>O46-$V$30*$V$31*SQRT(1/$V$27+(Tabelle62[[#This Row],[Vents]]-$V$28)^2/$V$29)</f>
        <v>15.251270706225133</v>
      </c>
      <c r="S46" s="41">
        <f>O46+$V$30*$V$31*SQRT(1/$V$27+(Tabelle62[[#This Row],[Vents]]-$V$28)^2/$V$29)</f>
        <v>16.091486161699756</v>
      </c>
    </row>
    <row r="47" spans="1:26" x14ac:dyDescent="0.3">
      <c r="A47" s="10" t="s">
        <v>63</v>
      </c>
      <c r="B47" s="10">
        <v>18</v>
      </c>
      <c r="C47" s="28">
        <f>(62.123*Tabelle62[[#This Row],[Vents]])-67.781</f>
        <v>1050.433</v>
      </c>
      <c r="D47" s="7" t="s">
        <v>63</v>
      </c>
      <c r="E47" s="13">
        <v>18</v>
      </c>
      <c r="F47" s="12">
        <v>0</v>
      </c>
      <c r="G47" s="11">
        <v>0</v>
      </c>
      <c r="H47" s="25">
        <f>(62.123*Tabelle93[[#This Row],[Vents]])-67.781</f>
        <v>1050.433</v>
      </c>
      <c r="I47" s="44">
        <f t="shared" si="0"/>
        <v>0</v>
      </c>
      <c r="J47" s="40">
        <v>1030.7339777592974</v>
      </c>
      <c r="K47" s="41">
        <f>J47-$V$12*$V$13*SQRT(1+1/$V$9+(Tabelle62[[#This Row],[True Cooling Capacity '[kW']]]-$V$10)^2/$V$11)</f>
        <v>811.80368472256555</v>
      </c>
      <c r="L47" s="41">
        <f>J47+$V$12*$V$13*SQRT(1+1/$V$9+(Tabelle62[[#This Row],[True Cooling Capacity '[kW']]]-$V$10)^2/$V$11)</f>
        <v>1249.6642707960293</v>
      </c>
      <c r="M47" s="41">
        <f>J47-$V$12*$V$13*SQRT(1/$V$9+(Tabelle62[[#This Row],[True Cooling Capacity '[kW']]]-$V$10)^2/$V$11)</f>
        <v>997.87761954384405</v>
      </c>
      <c r="N47" s="42">
        <f>J47+$V$12*$V$13*SQRT(1/$V$9+(Tabelle62[[#This Row],[True Cooling Capacity '[kW']]]-$V$10)^2/$V$11)</f>
        <v>1063.5903359747508</v>
      </c>
      <c r="O47" s="40">
        <v>17.527861891424795</v>
      </c>
      <c r="P47" s="41">
        <f>O47-$V$30*$V$31*SQRT(1+1/$V$27+(Tabelle62[[#This Row],[Vents]]-$V$28)^2/$V$29)</f>
        <v>13.876494605242488</v>
      </c>
      <c r="Q47" s="41">
        <f>O47+$V$30*$V$31*SQRT(1+1/$V$27+(Tabelle62[[#This Row],[Vents]]-$V$28)^2/$V$29)</f>
        <v>21.179229177607102</v>
      </c>
      <c r="R47" s="41">
        <f>O47-$V$30*$V$31*SQRT(1/$V$27+(Tabelle62[[#This Row],[Vents]]-$V$28)^2/$V$29)</f>
        <v>17.109060426404191</v>
      </c>
      <c r="S47" s="41">
        <f>O47+$V$30*$V$31*SQRT(1/$V$27+(Tabelle62[[#This Row],[Vents]]-$V$28)^2/$V$29)</f>
        <v>17.946663356445399</v>
      </c>
    </row>
    <row r="48" spans="1:26" x14ac:dyDescent="0.3">
      <c r="A48" s="10" t="s">
        <v>60</v>
      </c>
      <c r="B48" s="10">
        <v>8</v>
      </c>
      <c r="C48" s="28">
        <f>(62.123*Tabelle62[[#This Row],[Vents]])-67.781</f>
        <v>429.20299999999997</v>
      </c>
      <c r="D48" s="7" t="s">
        <v>60</v>
      </c>
      <c r="E48" s="13">
        <v>9</v>
      </c>
      <c r="F48" s="12">
        <v>1</v>
      </c>
      <c r="G48" s="11">
        <v>1</v>
      </c>
      <c r="H48" s="25">
        <f>(62.123*Tabelle93[[#This Row],[Vents]])-67.781</f>
        <v>491.32599999999996</v>
      </c>
      <c r="I48" s="44">
        <f t="shared" si="0"/>
        <v>3859.2671289999989</v>
      </c>
      <c r="J48" s="40">
        <v>441.22707490095252</v>
      </c>
      <c r="K48" s="41">
        <f>J48-$V$12*$V$13*SQRT(1+1/$V$9+(Tabelle62[[#This Row],[True Cooling Capacity '[kW']]]-$V$10)^2/$V$11)</f>
        <v>224.27992992972105</v>
      </c>
      <c r="L48" s="41">
        <f>J48+$V$12*$V$13*SQRT(1+1/$V$9+(Tabelle62[[#This Row],[True Cooling Capacity '[kW']]]-$V$10)^2/$V$11)</f>
        <v>658.17421987218404</v>
      </c>
      <c r="M48" s="41">
        <f>J48-$V$12*$V$13*SQRT(1/$V$9+(Tabelle62[[#This Row],[True Cooling Capacity '[kW']]]-$V$10)^2/$V$11)</f>
        <v>426.55973781471158</v>
      </c>
      <c r="N48" s="42">
        <f>J48+$V$12*$V$13*SQRT(1/$V$9+(Tabelle62[[#This Row],[True Cooling Capacity '[kW']]]-$V$10)^2/$V$11)</f>
        <v>455.89441198719345</v>
      </c>
      <c r="O48" s="40">
        <v>8.245444604113052</v>
      </c>
      <c r="P48" s="41">
        <f>O48-$V$30*$V$31*SQRT(1+1/$V$27+(Tabelle62[[#This Row],[Vents]]-$V$28)^2/$V$29)</f>
        <v>4.5933199919181114</v>
      </c>
      <c r="Q48" s="41">
        <f>O48+$V$30*$V$31*SQRT(1+1/$V$27+(Tabelle62[[#This Row],[Vents]]-$V$28)^2/$V$29)</f>
        <v>11.897569216307993</v>
      </c>
      <c r="R48" s="41">
        <f>O48-$V$30*$V$31*SQRT(1/$V$27+(Tabelle62[[#This Row],[Vents]]-$V$28)^2/$V$29)</f>
        <v>7.8200908789605537</v>
      </c>
      <c r="S48" s="41">
        <f>O48+$V$30*$V$31*SQRT(1/$V$27+(Tabelle62[[#This Row],[Vents]]-$V$28)^2/$V$29)</f>
        <v>8.6707983292655495</v>
      </c>
    </row>
    <row r="49" spans="1:19" x14ac:dyDescent="0.3">
      <c r="A49" s="10" t="s">
        <v>62</v>
      </c>
      <c r="B49" s="10">
        <v>12</v>
      </c>
      <c r="C49" s="28">
        <f>(62.123*Tabelle62[[#This Row],[Vents]])-67.781</f>
        <v>677.69499999999994</v>
      </c>
      <c r="D49" s="7" t="s">
        <v>62</v>
      </c>
      <c r="E49" s="13">
        <v>12</v>
      </c>
      <c r="F49" s="12">
        <v>0</v>
      </c>
      <c r="G49" s="11">
        <v>0</v>
      </c>
      <c r="H49" s="25">
        <f>(62.123*Tabelle93[[#This Row],[Vents]])-67.781</f>
        <v>677.69499999999994</v>
      </c>
      <c r="I49" s="44">
        <f t="shared" si="0"/>
        <v>0</v>
      </c>
      <c r="J49" s="40">
        <v>677.02983604429039</v>
      </c>
      <c r="K49" s="41">
        <f>J49-$V$12*$V$13*SQRT(1+1/$V$9+(Tabelle62[[#This Row],[True Cooling Capacity '[kW']]]-$V$10)^2/$V$11)</f>
        <v>459.77958666121026</v>
      </c>
      <c r="L49" s="41">
        <f>J49+$V$12*$V$13*SQRT(1+1/$V$9+(Tabelle62[[#This Row],[True Cooling Capacity '[kW']]]-$V$10)^2/$V$11)</f>
        <v>894.28008542737052</v>
      </c>
      <c r="M49" s="41">
        <f>J49-$V$12*$V$13*SQRT(1/$V$9+(Tabelle62[[#This Row],[True Cooling Capacity '[kW']]]-$V$10)^2/$V$11)</f>
        <v>658.40893587691437</v>
      </c>
      <c r="N49" s="42">
        <f>J49+$V$12*$V$13*SQRT(1/$V$9+(Tabelle62[[#This Row],[True Cooling Capacity '[kW']]]-$V$10)^2/$V$11)</f>
        <v>695.65073621166641</v>
      </c>
      <c r="O49" s="40">
        <v>11.95841151903775</v>
      </c>
      <c r="P49" s="41">
        <f>O49-$V$30*$V$31*SQRT(1+1/$V$27+(Tabelle62[[#This Row],[Vents]]-$V$28)^2/$V$29)</f>
        <v>8.3065919520789073</v>
      </c>
      <c r="Q49" s="41">
        <f>O49+$V$30*$V$31*SQRT(1+1/$V$27+(Tabelle62[[#This Row],[Vents]]-$V$28)^2/$V$29)</f>
        <v>15.610231085996592</v>
      </c>
      <c r="R49" s="41">
        <f>O49-$V$30*$V$31*SQRT(1/$V$27+(Tabelle62[[#This Row],[Vents]]-$V$28)^2/$V$29)</f>
        <v>11.535684942957513</v>
      </c>
      <c r="S49" s="41">
        <f>O49+$V$30*$V$31*SQRT(1/$V$27+(Tabelle62[[#This Row],[Vents]]-$V$28)^2/$V$29)</f>
        <v>12.381138095117986</v>
      </c>
    </row>
    <row r="50" spans="1:19" x14ac:dyDescent="0.3">
      <c r="A50" s="10" t="s">
        <v>59</v>
      </c>
      <c r="B50" s="10">
        <v>8</v>
      </c>
      <c r="C50" s="28">
        <f>(62.123*Tabelle62[[#This Row],[Vents]])-67.781</f>
        <v>429.20299999999997</v>
      </c>
      <c r="D50" s="7" t="s">
        <v>59</v>
      </c>
      <c r="E50" s="13">
        <v>7</v>
      </c>
      <c r="F50" s="12">
        <v>-1</v>
      </c>
      <c r="G50" s="11">
        <v>1</v>
      </c>
      <c r="H50" s="25">
        <f>(62.123*Tabelle93[[#This Row],[Vents]])-67.781</f>
        <v>367.08</v>
      </c>
      <c r="I50" s="44">
        <f t="shared" si="0"/>
        <v>3859.2671289999989</v>
      </c>
      <c r="J50" s="40">
        <v>441.22707490095252</v>
      </c>
      <c r="K50" s="41">
        <f>J50-$V$12*$V$13*SQRT(1+1/$V$9+(Tabelle62[[#This Row],[True Cooling Capacity '[kW']]]-$V$10)^2/$V$11)</f>
        <v>224.27992992972105</v>
      </c>
      <c r="L50" s="41">
        <f>J50+$V$12*$V$13*SQRT(1+1/$V$9+(Tabelle62[[#This Row],[True Cooling Capacity '[kW']]]-$V$10)^2/$V$11)</f>
        <v>658.17421987218404</v>
      </c>
      <c r="M50" s="41">
        <f>J50-$V$12*$V$13*SQRT(1/$V$9+(Tabelle62[[#This Row],[True Cooling Capacity '[kW']]]-$V$10)^2/$V$11)</f>
        <v>426.55973781471158</v>
      </c>
      <c r="N50" s="42">
        <f>J50+$V$12*$V$13*SQRT(1/$V$9+(Tabelle62[[#This Row],[True Cooling Capacity '[kW']]]-$V$10)^2/$V$11)</f>
        <v>455.89441198719345</v>
      </c>
      <c r="O50" s="40">
        <v>8.245444604113052</v>
      </c>
      <c r="P50" s="41">
        <f>O50-$V$30*$V$31*SQRT(1+1/$V$27+(Tabelle62[[#This Row],[Vents]]-$V$28)^2/$V$29)</f>
        <v>4.5933199919181114</v>
      </c>
      <c r="Q50" s="41">
        <f>O50+$V$30*$V$31*SQRT(1+1/$V$27+(Tabelle62[[#This Row],[Vents]]-$V$28)^2/$V$29)</f>
        <v>11.897569216307993</v>
      </c>
      <c r="R50" s="41">
        <f>O50-$V$30*$V$31*SQRT(1/$V$27+(Tabelle62[[#This Row],[Vents]]-$V$28)^2/$V$29)</f>
        <v>7.8200908789605537</v>
      </c>
      <c r="S50" s="41">
        <f>O50+$V$30*$V$31*SQRT(1/$V$27+(Tabelle62[[#This Row],[Vents]]-$V$28)^2/$V$29)</f>
        <v>8.6707983292655495</v>
      </c>
    </row>
    <row r="51" spans="1:19" x14ac:dyDescent="0.3">
      <c r="A51" s="10" t="s">
        <v>61</v>
      </c>
      <c r="B51" s="10">
        <v>10</v>
      </c>
      <c r="C51" s="28">
        <f>(62.123*Tabelle62[[#This Row],[Vents]])-67.781</f>
        <v>553.44900000000007</v>
      </c>
      <c r="D51" s="7" t="s">
        <v>61</v>
      </c>
      <c r="E51" s="13">
        <v>10</v>
      </c>
      <c r="F51" s="12">
        <v>0</v>
      </c>
      <c r="G51" s="11">
        <v>0</v>
      </c>
      <c r="H51" s="25">
        <f>(62.123*Tabelle93[[#This Row],[Vents]])-67.781</f>
        <v>553.44900000000007</v>
      </c>
      <c r="I51" s="44">
        <f t="shared" si="0"/>
        <v>0</v>
      </c>
      <c r="J51" s="40">
        <v>559.12845547262157</v>
      </c>
      <c r="K51" s="41">
        <f>J51-$V$12*$V$13*SQRT(1+1/$V$9+(Tabelle62[[#This Row],[True Cooling Capacity '[kW']]]-$V$10)^2/$V$11)</f>
        <v>342.11192497659897</v>
      </c>
      <c r="L51" s="41">
        <f>J51+$V$12*$V$13*SQRT(1+1/$V$9+(Tabelle62[[#This Row],[True Cooling Capacity '[kW']]]-$V$10)^2/$V$11)</f>
        <v>776.14498596864416</v>
      </c>
      <c r="M51" s="41">
        <f>J51-$V$12*$V$13*SQRT(1/$V$9+(Tabelle62[[#This Row],[True Cooling Capacity '[kW']]]-$V$10)^2/$V$11)</f>
        <v>543.46826471503471</v>
      </c>
      <c r="N51" s="42">
        <f>J51+$V$12*$V$13*SQRT(1/$V$9+(Tabelle62[[#This Row],[True Cooling Capacity '[kW']]]-$V$10)^2/$V$11)</f>
        <v>574.78864623020843</v>
      </c>
      <c r="O51" s="40">
        <v>10.1019280615754</v>
      </c>
      <c r="P51" s="41">
        <f>O51-$V$30*$V$31*SQRT(1+1/$V$27+(Tabelle62[[#This Row],[Vents]]-$V$28)^2/$V$29)</f>
        <v>6.4499563244117386</v>
      </c>
      <c r="Q51" s="41">
        <f>O51+$V$30*$V$31*SQRT(1+1/$V$27+(Tabelle62[[#This Row],[Vents]]-$V$28)^2/$V$29)</f>
        <v>13.753899798739061</v>
      </c>
      <c r="R51" s="41">
        <f>O51-$V$30*$V$31*SQRT(1/$V$27+(Tabelle62[[#This Row],[Vents]]-$V$28)^2/$V$29)</f>
        <v>9.6778889389189775</v>
      </c>
      <c r="S51" s="41">
        <f>O51+$V$30*$V$31*SQRT(1/$V$27+(Tabelle62[[#This Row],[Vents]]-$V$28)^2/$V$29)</f>
        <v>10.525967184231822</v>
      </c>
    </row>
    <row r="52" spans="1:19" x14ac:dyDescent="0.3">
      <c r="A52" s="10" t="s">
        <v>57</v>
      </c>
      <c r="B52" s="10">
        <v>10</v>
      </c>
      <c r="C52" s="28">
        <f>(62.123*Tabelle62[[#This Row],[Vents]])-67.781</f>
        <v>553.44900000000007</v>
      </c>
      <c r="D52" s="7" t="s">
        <v>57</v>
      </c>
      <c r="E52" s="13">
        <v>10</v>
      </c>
      <c r="F52" s="12">
        <v>0</v>
      </c>
      <c r="G52" s="11">
        <v>0</v>
      </c>
      <c r="H52" s="25">
        <f>(62.123*Tabelle93[[#This Row],[Vents]])-67.781</f>
        <v>553.44900000000007</v>
      </c>
      <c r="I52" s="44">
        <f t="shared" si="0"/>
        <v>0</v>
      </c>
      <c r="J52" s="40">
        <v>559.12845547262157</v>
      </c>
      <c r="K52" s="41">
        <f>J52-$V$12*$V$13*SQRT(1+1/$V$9+(Tabelle62[[#This Row],[True Cooling Capacity '[kW']]]-$V$10)^2/$V$11)</f>
        <v>342.11192497659897</v>
      </c>
      <c r="L52" s="41">
        <f>J52+$V$12*$V$13*SQRT(1+1/$V$9+(Tabelle62[[#This Row],[True Cooling Capacity '[kW']]]-$V$10)^2/$V$11)</f>
        <v>776.14498596864416</v>
      </c>
      <c r="M52" s="41">
        <f>J52-$V$12*$V$13*SQRT(1/$V$9+(Tabelle62[[#This Row],[True Cooling Capacity '[kW']]]-$V$10)^2/$V$11)</f>
        <v>543.46826471503471</v>
      </c>
      <c r="N52" s="42">
        <f>J52+$V$12*$V$13*SQRT(1/$V$9+(Tabelle62[[#This Row],[True Cooling Capacity '[kW']]]-$V$10)^2/$V$11)</f>
        <v>574.78864623020843</v>
      </c>
      <c r="O52" s="40">
        <v>10.1019280615754</v>
      </c>
      <c r="P52" s="41">
        <f>O52-$V$30*$V$31*SQRT(1+1/$V$27+(Tabelle62[[#This Row],[Vents]]-$V$28)^2/$V$29)</f>
        <v>6.4499563244117386</v>
      </c>
      <c r="Q52" s="41">
        <f>O52+$V$30*$V$31*SQRT(1+1/$V$27+(Tabelle62[[#This Row],[Vents]]-$V$28)^2/$V$29)</f>
        <v>13.753899798739061</v>
      </c>
      <c r="R52" s="41">
        <f>O52-$V$30*$V$31*SQRT(1/$V$27+(Tabelle62[[#This Row],[Vents]]-$V$28)^2/$V$29)</f>
        <v>9.6778889389189775</v>
      </c>
      <c r="S52" s="41">
        <f>O52+$V$30*$V$31*SQRT(1/$V$27+(Tabelle62[[#This Row],[Vents]]-$V$28)^2/$V$29)</f>
        <v>10.525967184231822</v>
      </c>
    </row>
    <row r="53" spans="1:19" x14ac:dyDescent="0.3">
      <c r="A53" s="10" t="s">
        <v>56</v>
      </c>
      <c r="B53" s="10">
        <v>8</v>
      </c>
      <c r="C53" s="28">
        <f>(62.123*Tabelle62[[#This Row],[Vents]])-67.781</f>
        <v>429.20299999999997</v>
      </c>
      <c r="D53" s="7" t="s">
        <v>56</v>
      </c>
      <c r="E53" s="13">
        <v>8</v>
      </c>
      <c r="F53" s="12">
        <v>0</v>
      </c>
      <c r="G53" s="11">
        <v>0</v>
      </c>
      <c r="H53" s="25">
        <f>(62.123*Tabelle93[[#This Row],[Vents]])-67.781</f>
        <v>429.20299999999997</v>
      </c>
      <c r="I53" s="44">
        <f t="shared" si="0"/>
        <v>0</v>
      </c>
      <c r="J53" s="40">
        <v>441.22707490095252</v>
      </c>
      <c r="K53" s="41">
        <f>J53-$V$12*$V$13*SQRT(1+1/$V$9+(Tabelle62[[#This Row],[True Cooling Capacity '[kW']]]-$V$10)^2/$V$11)</f>
        <v>224.27992992972105</v>
      </c>
      <c r="L53" s="41">
        <f>J53+$V$12*$V$13*SQRT(1+1/$V$9+(Tabelle62[[#This Row],[True Cooling Capacity '[kW']]]-$V$10)^2/$V$11)</f>
        <v>658.17421987218404</v>
      </c>
      <c r="M53" s="41">
        <f>J53-$V$12*$V$13*SQRT(1/$V$9+(Tabelle62[[#This Row],[True Cooling Capacity '[kW']]]-$V$10)^2/$V$11)</f>
        <v>426.55973781471158</v>
      </c>
      <c r="N53" s="42">
        <f>J53+$V$12*$V$13*SQRT(1/$V$9+(Tabelle62[[#This Row],[True Cooling Capacity '[kW']]]-$V$10)^2/$V$11)</f>
        <v>455.89441198719345</v>
      </c>
      <c r="O53" s="40">
        <v>8.245444604113052</v>
      </c>
      <c r="P53" s="41">
        <f>O53-$V$30*$V$31*SQRT(1+1/$V$27+(Tabelle62[[#This Row],[Vents]]-$V$28)^2/$V$29)</f>
        <v>4.5933199919181114</v>
      </c>
      <c r="Q53" s="41">
        <f>O53+$V$30*$V$31*SQRT(1+1/$V$27+(Tabelle62[[#This Row],[Vents]]-$V$28)^2/$V$29)</f>
        <v>11.897569216307993</v>
      </c>
      <c r="R53" s="41">
        <f>O53-$V$30*$V$31*SQRT(1/$V$27+(Tabelle62[[#This Row],[Vents]]-$V$28)^2/$V$29)</f>
        <v>7.8200908789605537</v>
      </c>
      <c r="S53" s="41">
        <f>O53+$V$30*$V$31*SQRT(1/$V$27+(Tabelle62[[#This Row],[Vents]]-$V$28)^2/$V$29)</f>
        <v>8.6707983292655495</v>
      </c>
    </row>
    <row r="54" spans="1:19" x14ac:dyDescent="0.3">
      <c r="A54" s="10" t="s">
        <v>58</v>
      </c>
      <c r="B54" s="10">
        <v>10</v>
      </c>
      <c r="C54" s="28">
        <f>(62.123*Tabelle62[[#This Row],[Vents]])-67.781</f>
        <v>553.44900000000007</v>
      </c>
      <c r="D54" s="7" t="s">
        <v>58</v>
      </c>
      <c r="E54" s="13">
        <v>11</v>
      </c>
      <c r="F54" s="12">
        <v>1</v>
      </c>
      <c r="G54" s="11">
        <v>1</v>
      </c>
      <c r="H54" s="25">
        <f>(62.123*Tabelle93[[#This Row],[Vents]])-67.781</f>
        <v>615.57199999999989</v>
      </c>
      <c r="I54" s="44">
        <f t="shared" si="0"/>
        <v>3859.2671289999776</v>
      </c>
      <c r="J54" s="40">
        <v>559.12845547262157</v>
      </c>
      <c r="K54" s="41">
        <f>J54-$V$12*$V$13*SQRT(1+1/$V$9+(Tabelle62[[#This Row],[True Cooling Capacity '[kW']]]-$V$10)^2/$V$11)</f>
        <v>342.11192497659897</v>
      </c>
      <c r="L54" s="41">
        <f>J54+$V$12*$V$13*SQRT(1+1/$V$9+(Tabelle62[[#This Row],[True Cooling Capacity '[kW']]]-$V$10)^2/$V$11)</f>
        <v>776.14498596864416</v>
      </c>
      <c r="M54" s="41">
        <f>J54-$V$12*$V$13*SQRT(1/$V$9+(Tabelle62[[#This Row],[True Cooling Capacity '[kW']]]-$V$10)^2/$V$11)</f>
        <v>543.46826471503471</v>
      </c>
      <c r="N54" s="42">
        <f>J54+$V$12*$V$13*SQRT(1/$V$9+(Tabelle62[[#This Row],[True Cooling Capacity '[kW']]]-$V$10)^2/$V$11)</f>
        <v>574.78864623020843</v>
      </c>
      <c r="O54" s="40">
        <v>10.1019280615754</v>
      </c>
      <c r="P54" s="41">
        <f>O54-$V$30*$V$31*SQRT(1+1/$V$27+(Tabelle62[[#This Row],[Vents]]-$V$28)^2/$V$29)</f>
        <v>6.4499563244117386</v>
      </c>
      <c r="Q54" s="41">
        <f>O54+$V$30*$V$31*SQRT(1+1/$V$27+(Tabelle62[[#This Row],[Vents]]-$V$28)^2/$V$29)</f>
        <v>13.753899798739061</v>
      </c>
      <c r="R54" s="41">
        <f>O54-$V$30*$V$31*SQRT(1/$V$27+(Tabelle62[[#This Row],[Vents]]-$V$28)^2/$V$29)</f>
        <v>9.6778889389189775</v>
      </c>
      <c r="S54" s="41">
        <f>O54+$V$30*$V$31*SQRT(1/$V$27+(Tabelle62[[#This Row],[Vents]]-$V$28)^2/$V$29)</f>
        <v>10.525967184231822</v>
      </c>
    </row>
    <row r="55" spans="1:19" x14ac:dyDescent="0.3">
      <c r="A55" s="10" t="s">
        <v>98</v>
      </c>
      <c r="B55" s="10">
        <v>4</v>
      </c>
      <c r="C55" s="28">
        <f>(62.123*Tabelle62[[#This Row],[Vents]])-67.781</f>
        <v>180.71099999999998</v>
      </c>
      <c r="D55" s="7" t="s">
        <v>98</v>
      </c>
      <c r="E55" s="13">
        <v>4</v>
      </c>
      <c r="F55" s="12">
        <v>0</v>
      </c>
      <c r="G55" s="11">
        <v>0</v>
      </c>
      <c r="H55" s="25">
        <f>(62.123*Tabelle93[[#This Row],[Vents]])-67.781</f>
        <v>180.71099999999998</v>
      </c>
      <c r="I55" s="44">
        <f t="shared" si="0"/>
        <v>0</v>
      </c>
      <c r="J55" s="40">
        <v>205.42431375761456</v>
      </c>
      <c r="K55" s="41">
        <f>J55-$V$12*$V$13*SQRT(1+1/$V$9+(Tabelle62[[#This Row],[True Cooling Capacity '[kW']]]-$V$10)^2/$V$11)</f>
        <v>-11.877317091750399</v>
      </c>
      <c r="L55" s="41">
        <f>J55+$V$12*$V$13*SQRT(1+1/$V$9+(Tabelle62[[#This Row],[True Cooling Capacity '[kW']]]-$V$10)^2/$V$11)</f>
        <v>422.72594460697951</v>
      </c>
      <c r="M55" s="41">
        <f>J55-$V$12*$V$13*SQRT(1/$V$9+(Tabelle62[[#This Row],[True Cooling Capacity '[kW']]]-$V$10)^2/$V$11)</f>
        <v>186.21322748362732</v>
      </c>
      <c r="N55" s="42">
        <f>J55+$V$12*$V$13*SQRT(1/$V$9+(Tabelle62[[#This Row],[True Cooling Capacity '[kW']]]-$V$10)^2/$V$11)</f>
        <v>224.63540003160179</v>
      </c>
      <c r="O55" s="40">
        <v>4.5324776891883545</v>
      </c>
      <c r="P55" s="41">
        <f>O55-$V$30*$V$31*SQRT(1+1/$V$27+(Tabelle62[[#This Row],[Vents]]-$V$28)^2/$V$29)</f>
        <v>0.88004521280589465</v>
      </c>
      <c r="Q55" s="41">
        <f>O55+$V$30*$V$31*SQRT(1+1/$V$27+(Tabelle62[[#This Row],[Vents]]-$V$28)^2/$V$29)</f>
        <v>8.1849101655708143</v>
      </c>
      <c r="R55" s="41">
        <f>O55-$V$30*$V$31*SQRT(1/$V$27+(Tabelle62[[#This Row],[Vents]]-$V$28)^2/$V$29)</f>
        <v>4.1044886670927294</v>
      </c>
      <c r="S55" s="41">
        <f>O55+$V$30*$V$31*SQRT(1/$V$27+(Tabelle62[[#This Row],[Vents]]-$V$28)^2/$V$29)</f>
        <v>4.9604667112839795</v>
      </c>
    </row>
    <row r="56" spans="1:19" x14ac:dyDescent="0.3">
      <c r="A56" s="10" t="s">
        <v>95</v>
      </c>
      <c r="B56" s="10">
        <v>4</v>
      </c>
      <c r="C56" s="28">
        <f>(62.123*Tabelle62[[#This Row],[Vents]])-67.781</f>
        <v>180.71099999999998</v>
      </c>
      <c r="D56" s="7" t="s">
        <v>95</v>
      </c>
      <c r="E56" s="13">
        <v>4</v>
      </c>
      <c r="F56" s="12">
        <v>0</v>
      </c>
      <c r="G56" s="11">
        <v>0</v>
      </c>
      <c r="H56" s="25">
        <f>(62.123*Tabelle93[[#This Row],[Vents]])-67.781</f>
        <v>180.71099999999998</v>
      </c>
      <c r="I56" s="44">
        <f t="shared" si="0"/>
        <v>0</v>
      </c>
      <c r="J56" s="40">
        <v>205.42431375761456</v>
      </c>
      <c r="K56" s="41">
        <f>J56-$V$12*$V$13*SQRT(1+1/$V$9+(Tabelle62[[#This Row],[True Cooling Capacity '[kW']]]-$V$10)^2/$V$11)</f>
        <v>-11.877317091750399</v>
      </c>
      <c r="L56" s="41">
        <f>J56+$V$12*$V$13*SQRT(1+1/$V$9+(Tabelle62[[#This Row],[True Cooling Capacity '[kW']]]-$V$10)^2/$V$11)</f>
        <v>422.72594460697951</v>
      </c>
      <c r="M56" s="41">
        <f>J56-$V$12*$V$13*SQRT(1/$V$9+(Tabelle62[[#This Row],[True Cooling Capacity '[kW']]]-$V$10)^2/$V$11)</f>
        <v>186.21322748362732</v>
      </c>
      <c r="N56" s="42">
        <f>J56+$V$12*$V$13*SQRT(1/$V$9+(Tabelle62[[#This Row],[True Cooling Capacity '[kW']]]-$V$10)^2/$V$11)</f>
        <v>224.63540003160179</v>
      </c>
      <c r="O56" s="40">
        <v>4.5324776891883545</v>
      </c>
      <c r="P56" s="41">
        <f>O56-$V$30*$V$31*SQRT(1+1/$V$27+(Tabelle62[[#This Row],[Vents]]-$V$28)^2/$V$29)</f>
        <v>0.88004521280589465</v>
      </c>
      <c r="Q56" s="41">
        <f>O56+$V$30*$V$31*SQRT(1+1/$V$27+(Tabelle62[[#This Row],[Vents]]-$V$28)^2/$V$29)</f>
        <v>8.1849101655708143</v>
      </c>
      <c r="R56" s="41">
        <f>O56-$V$30*$V$31*SQRT(1/$V$27+(Tabelle62[[#This Row],[Vents]]-$V$28)^2/$V$29)</f>
        <v>4.1044886670927294</v>
      </c>
      <c r="S56" s="41">
        <f>O56+$V$30*$V$31*SQRT(1/$V$27+(Tabelle62[[#This Row],[Vents]]-$V$28)^2/$V$29)</f>
        <v>4.9604667112839795</v>
      </c>
    </row>
    <row r="57" spans="1:19" x14ac:dyDescent="0.3">
      <c r="A57" s="10" t="s">
        <v>97</v>
      </c>
      <c r="B57" s="10">
        <v>4</v>
      </c>
      <c r="C57" s="28">
        <f>(62.123*Tabelle62[[#This Row],[Vents]])-67.781</f>
        <v>180.71099999999998</v>
      </c>
      <c r="D57" s="7" t="s">
        <v>97</v>
      </c>
      <c r="E57" s="13">
        <v>4</v>
      </c>
      <c r="F57" s="12">
        <v>0</v>
      </c>
      <c r="G57" s="11">
        <v>0</v>
      </c>
      <c r="H57" s="25">
        <f>(62.123*Tabelle93[[#This Row],[Vents]])-67.781</f>
        <v>180.71099999999998</v>
      </c>
      <c r="I57" s="44">
        <f t="shared" si="0"/>
        <v>0</v>
      </c>
      <c r="J57" s="40">
        <v>205.42431375761456</v>
      </c>
      <c r="K57" s="41">
        <f>J57-$V$12*$V$13*SQRT(1+1/$V$9+(Tabelle62[[#This Row],[True Cooling Capacity '[kW']]]-$V$10)^2/$V$11)</f>
        <v>-11.877317091750399</v>
      </c>
      <c r="L57" s="41">
        <f>J57+$V$12*$V$13*SQRT(1+1/$V$9+(Tabelle62[[#This Row],[True Cooling Capacity '[kW']]]-$V$10)^2/$V$11)</f>
        <v>422.72594460697951</v>
      </c>
      <c r="M57" s="41">
        <f>J57-$V$12*$V$13*SQRT(1/$V$9+(Tabelle62[[#This Row],[True Cooling Capacity '[kW']]]-$V$10)^2/$V$11)</f>
        <v>186.21322748362732</v>
      </c>
      <c r="N57" s="42">
        <f>J57+$V$12*$V$13*SQRT(1/$V$9+(Tabelle62[[#This Row],[True Cooling Capacity '[kW']]]-$V$10)^2/$V$11)</f>
        <v>224.63540003160179</v>
      </c>
      <c r="O57" s="40">
        <v>4.5324776891883545</v>
      </c>
      <c r="P57" s="41">
        <f>O57-$V$30*$V$31*SQRT(1+1/$V$27+(Tabelle62[[#This Row],[Vents]]-$V$28)^2/$V$29)</f>
        <v>0.88004521280589465</v>
      </c>
      <c r="Q57" s="41">
        <f>O57+$V$30*$V$31*SQRT(1+1/$V$27+(Tabelle62[[#This Row],[Vents]]-$V$28)^2/$V$29)</f>
        <v>8.1849101655708143</v>
      </c>
      <c r="R57" s="41">
        <f>O57-$V$30*$V$31*SQRT(1/$V$27+(Tabelle62[[#This Row],[Vents]]-$V$28)^2/$V$29)</f>
        <v>4.1044886670927294</v>
      </c>
      <c r="S57" s="41">
        <f>O57+$V$30*$V$31*SQRT(1/$V$27+(Tabelle62[[#This Row],[Vents]]-$V$28)^2/$V$29)</f>
        <v>4.9604667112839795</v>
      </c>
    </row>
    <row r="58" spans="1:19" x14ac:dyDescent="0.3">
      <c r="A58" s="10" t="s">
        <v>96</v>
      </c>
      <c r="B58" s="10">
        <v>4</v>
      </c>
      <c r="C58" s="28">
        <f>(62.123*Tabelle62[[#This Row],[Vents]])-67.781</f>
        <v>180.71099999999998</v>
      </c>
      <c r="D58" s="7" t="s">
        <v>96</v>
      </c>
      <c r="E58" s="13">
        <v>4</v>
      </c>
      <c r="F58" s="12">
        <v>0</v>
      </c>
      <c r="G58" s="11">
        <v>0</v>
      </c>
      <c r="H58" s="25">
        <f>(62.123*Tabelle93[[#This Row],[Vents]])-67.781</f>
        <v>180.71099999999998</v>
      </c>
      <c r="I58" s="44">
        <f t="shared" si="0"/>
        <v>0</v>
      </c>
      <c r="J58" s="40">
        <v>205.42431375761456</v>
      </c>
      <c r="K58" s="41">
        <f>J58-$V$12*$V$13*SQRT(1+1/$V$9+(Tabelle62[[#This Row],[True Cooling Capacity '[kW']]]-$V$10)^2/$V$11)</f>
        <v>-11.877317091750399</v>
      </c>
      <c r="L58" s="41">
        <f>J58+$V$12*$V$13*SQRT(1+1/$V$9+(Tabelle62[[#This Row],[True Cooling Capacity '[kW']]]-$V$10)^2/$V$11)</f>
        <v>422.72594460697951</v>
      </c>
      <c r="M58" s="41">
        <f>J58-$V$12*$V$13*SQRT(1/$V$9+(Tabelle62[[#This Row],[True Cooling Capacity '[kW']]]-$V$10)^2/$V$11)</f>
        <v>186.21322748362732</v>
      </c>
      <c r="N58" s="42">
        <f>J58+$V$12*$V$13*SQRT(1/$V$9+(Tabelle62[[#This Row],[True Cooling Capacity '[kW']]]-$V$10)^2/$V$11)</f>
        <v>224.63540003160179</v>
      </c>
      <c r="O58" s="40">
        <v>4.5324776891883545</v>
      </c>
      <c r="P58" s="41">
        <f>O58-$V$30*$V$31*SQRT(1+1/$V$27+(Tabelle62[[#This Row],[Vents]]-$V$28)^2/$V$29)</f>
        <v>0.88004521280589465</v>
      </c>
      <c r="Q58" s="41">
        <f>O58+$V$30*$V$31*SQRT(1+1/$V$27+(Tabelle62[[#This Row],[Vents]]-$V$28)^2/$V$29)</f>
        <v>8.1849101655708143</v>
      </c>
      <c r="R58" s="41">
        <f>O58-$V$30*$V$31*SQRT(1/$V$27+(Tabelle62[[#This Row],[Vents]]-$V$28)^2/$V$29)</f>
        <v>4.1044886670927294</v>
      </c>
      <c r="S58" s="41">
        <f>O58+$V$30*$V$31*SQRT(1/$V$27+(Tabelle62[[#This Row],[Vents]]-$V$28)^2/$V$29)</f>
        <v>4.9604667112839795</v>
      </c>
    </row>
    <row r="59" spans="1:19" x14ac:dyDescent="0.3">
      <c r="A59" s="10" t="s">
        <v>94</v>
      </c>
      <c r="B59" s="10">
        <v>3</v>
      </c>
      <c r="C59" s="28">
        <f>(62.123*Tabelle62[[#This Row],[Vents]])-67.781</f>
        <v>118.58799999999999</v>
      </c>
      <c r="D59" s="7" t="s">
        <v>94</v>
      </c>
      <c r="E59" s="13">
        <v>3</v>
      </c>
      <c r="F59" s="12">
        <v>0</v>
      </c>
      <c r="G59" s="11">
        <v>0</v>
      </c>
      <c r="H59" s="25">
        <f>(62.123*Tabelle93[[#This Row],[Vents]])-67.781</f>
        <v>118.58799999999999</v>
      </c>
      <c r="I59" s="44">
        <f t="shared" si="0"/>
        <v>0</v>
      </c>
      <c r="J59" s="40">
        <v>146.47362347178009</v>
      </c>
      <c r="K59" s="41">
        <f>J59-$V$12*$V$13*SQRT(1+1/$V$9+(Tabelle62[[#This Row],[True Cooling Capacity '[kW']]]-$V$10)^2/$V$11)</f>
        <v>-71.019131588929866</v>
      </c>
      <c r="L59" s="41">
        <f>J59+$V$12*$V$13*SQRT(1+1/$V$9+(Tabelle62[[#This Row],[True Cooling Capacity '[kW']]]-$V$10)^2/$V$11)</f>
        <v>363.96637853249001</v>
      </c>
      <c r="M59" s="41">
        <f>J59-$V$12*$V$13*SQRT(1/$V$9+(Tabelle62[[#This Row],[True Cooling Capacity '[kW']]]-$V$10)^2/$V$11)</f>
        <v>125.20943832560391</v>
      </c>
      <c r="N59" s="42">
        <f>J59+$V$12*$V$13*SQRT(1/$V$9+(Tabelle62[[#This Row],[True Cooling Capacity '[kW']]]-$V$10)^2/$V$11)</f>
        <v>167.73780861795626</v>
      </c>
      <c r="O59" s="40">
        <v>3.6042359604571805</v>
      </c>
      <c r="P59" s="41">
        <f>O59-$V$30*$V$31*SQRT(1+1/$V$27+(Tabelle62[[#This Row],[Vents]]-$V$28)^2/$V$29)</f>
        <v>-4.8273922349928888E-2</v>
      </c>
      <c r="Q59" s="41">
        <f>O59+$V$30*$V$31*SQRT(1+1/$V$27+(Tabelle62[[#This Row],[Vents]]-$V$28)^2/$V$29)</f>
        <v>7.25674584326429</v>
      </c>
      <c r="R59" s="41">
        <f>O59-$V$30*$V$31*SQRT(1/$V$27+(Tabelle62[[#This Row],[Vents]]-$V$28)^2/$V$29)</f>
        <v>3.1755868586213487</v>
      </c>
      <c r="S59" s="41">
        <f>O59+$V$30*$V$31*SQRT(1/$V$27+(Tabelle62[[#This Row],[Vents]]-$V$28)^2/$V$29)</f>
        <v>4.0328850622930128</v>
      </c>
    </row>
    <row r="60" spans="1:19" x14ac:dyDescent="0.3">
      <c r="A60" s="10" t="s">
        <v>92</v>
      </c>
      <c r="B60" s="10">
        <v>10</v>
      </c>
      <c r="C60" s="28">
        <f>(62.123*Tabelle62[[#This Row],[Vents]])-67.781</f>
        <v>553.44900000000007</v>
      </c>
      <c r="D60" s="7" t="s">
        <v>92</v>
      </c>
      <c r="E60" s="13">
        <v>11</v>
      </c>
      <c r="F60" s="12">
        <v>1</v>
      </c>
      <c r="G60" s="11">
        <v>1</v>
      </c>
      <c r="H60" s="25">
        <f>(62.123*Tabelle93[[#This Row],[Vents]])-67.781</f>
        <v>615.57199999999989</v>
      </c>
      <c r="I60" s="44">
        <f t="shared" si="0"/>
        <v>3859.2671289999776</v>
      </c>
      <c r="J60" s="40">
        <v>559.12845547262157</v>
      </c>
      <c r="K60" s="41">
        <f>J60-$V$12*$V$13*SQRT(1+1/$V$9+(Tabelle62[[#This Row],[True Cooling Capacity '[kW']]]-$V$10)^2/$V$11)</f>
        <v>342.11192497659897</v>
      </c>
      <c r="L60" s="41">
        <f>J60+$V$12*$V$13*SQRT(1+1/$V$9+(Tabelle62[[#This Row],[True Cooling Capacity '[kW']]]-$V$10)^2/$V$11)</f>
        <v>776.14498596864416</v>
      </c>
      <c r="M60" s="41">
        <f>J60-$V$12*$V$13*SQRT(1/$V$9+(Tabelle62[[#This Row],[True Cooling Capacity '[kW']]]-$V$10)^2/$V$11)</f>
        <v>543.46826471503471</v>
      </c>
      <c r="N60" s="42">
        <f>J60+$V$12*$V$13*SQRT(1/$V$9+(Tabelle62[[#This Row],[True Cooling Capacity '[kW']]]-$V$10)^2/$V$11)</f>
        <v>574.78864623020843</v>
      </c>
      <c r="O60" s="40">
        <v>10.1019280615754</v>
      </c>
      <c r="P60" s="41">
        <f>O60-$V$30*$V$31*SQRT(1+1/$V$27+(Tabelle62[[#This Row],[Vents]]-$V$28)^2/$V$29)</f>
        <v>6.4499563244117386</v>
      </c>
      <c r="Q60" s="41">
        <f>O60+$V$30*$V$31*SQRT(1+1/$V$27+(Tabelle62[[#This Row],[Vents]]-$V$28)^2/$V$29)</f>
        <v>13.753899798739061</v>
      </c>
      <c r="R60" s="41">
        <f>O60-$V$30*$V$31*SQRT(1/$V$27+(Tabelle62[[#This Row],[Vents]]-$V$28)^2/$V$29)</f>
        <v>9.6778889389189775</v>
      </c>
      <c r="S60" s="41">
        <f>O60+$V$30*$V$31*SQRT(1/$V$27+(Tabelle62[[#This Row],[Vents]]-$V$28)^2/$V$29)</f>
        <v>10.525967184231822</v>
      </c>
    </row>
    <row r="61" spans="1:19" x14ac:dyDescent="0.3">
      <c r="A61" s="10" t="s">
        <v>93</v>
      </c>
      <c r="B61" s="10">
        <v>10</v>
      </c>
      <c r="C61" s="28">
        <f>(62.123*Tabelle62[[#This Row],[Vents]])-67.781</f>
        <v>553.44900000000007</v>
      </c>
      <c r="D61" s="7" t="s">
        <v>93</v>
      </c>
      <c r="E61" s="13">
        <v>11</v>
      </c>
      <c r="F61" s="12">
        <v>1</v>
      </c>
      <c r="G61" s="11">
        <v>1</v>
      </c>
      <c r="H61" s="25">
        <f>(62.123*Tabelle93[[#This Row],[Vents]])-67.781</f>
        <v>615.57199999999989</v>
      </c>
      <c r="I61" s="44">
        <f t="shared" si="0"/>
        <v>3859.2671289999776</v>
      </c>
      <c r="J61" s="40">
        <v>559.12845547262157</v>
      </c>
      <c r="K61" s="41">
        <f>J61-$V$12*$V$13*SQRT(1+1/$V$9+(Tabelle62[[#This Row],[True Cooling Capacity '[kW']]]-$V$10)^2/$V$11)</f>
        <v>342.11192497659897</v>
      </c>
      <c r="L61" s="41">
        <f>J61+$V$12*$V$13*SQRT(1+1/$V$9+(Tabelle62[[#This Row],[True Cooling Capacity '[kW']]]-$V$10)^2/$V$11)</f>
        <v>776.14498596864416</v>
      </c>
      <c r="M61" s="41">
        <f>J61-$V$12*$V$13*SQRT(1/$V$9+(Tabelle62[[#This Row],[True Cooling Capacity '[kW']]]-$V$10)^2/$V$11)</f>
        <v>543.46826471503471</v>
      </c>
      <c r="N61" s="42">
        <f>J61+$V$12*$V$13*SQRT(1/$V$9+(Tabelle62[[#This Row],[True Cooling Capacity '[kW']]]-$V$10)^2/$V$11)</f>
        <v>574.78864623020843</v>
      </c>
      <c r="O61" s="40">
        <v>10.1019280615754</v>
      </c>
      <c r="P61" s="41">
        <f>O61-$V$30*$V$31*SQRT(1+1/$V$27+(Tabelle62[[#This Row],[Vents]]-$V$28)^2/$V$29)</f>
        <v>6.4499563244117386</v>
      </c>
      <c r="Q61" s="41">
        <f>O61+$V$30*$V$31*SQRT(1+1/$V$27+(Tabelle62[[#This Row],[Vents]]-$V$28)^2/$V$29)</f>
        <v>13.753899798739061</v>
      </c>
      <c r="R61" s="41">
        <f>O61-$V$30*$V$31*SQRT(1/$V$27+(Tabelle62[[#This Row],[Vents]]-$V$28)^2/$V$29)</f>
        <v>9.6778889389189775</v>
      </c>
      <c r="S61" s="41">
        <f>O61+$V$30*$V$31*SQRT(1/$V$27+(Tabelle62[[#This Row],[Vents]]-$V$28)^2/$V$29)</f>
        <v>10.525967184231822</v>
      </c>
    </row>
    <row r="62" spans="1:19" x14ac:dyDescent="0.3">
      <c r="A62" s="10" t="s">
        <v>88</v>
      </c>
      <c r="B62" s="10">
        <v>3</v>
      </c>
      <c r="C62" s="28">
        <f>(62.123*Tabelle62[[#This Row],[Vents]])-67.781</f>
        <v>118.58799999999999</v>
      </c>
      <c r="D62" s="7" t="s">
        <v>88</v>
      </c>
      <c r="E62" s="13">
        <v>3</v>
      </c>
      <c r="F62" s="12">
        <v>0</v>
      </c>
      <c r="G62" s="11">
        <v>0</v>
      </c>
      <c r="H62" s="25">
        <f>(62.123*Tabelle93[[#This Row],[Vents]])-67.781</f>
        <v>118.58799999999999</v>
      </c>
      <c r="I62" s="44">
        <f t="shared" si="0"/>
        <v>0</v>
      </c>
      <c r="J62" s="40">
        <v>146.47362347178009</v>
      </c>
      <c r="K62" s="41">
        <f>J62-$V$12*$V$13*SQRT(1+1/$V$9+(Tabelle62[[#This Row],[True Cooling Capacity '[kW']]]-$V$10)^2/$V$11)</f>
        <v>-71.019131588929866</v>
      </c>
      <c r="L62" s="41">
        <f>J62+$V$12*$V$13*SQRT(1+1/$V$9+(Tabelle62[[#This Row],[True Cooling Capacity '[kW']]]-$V$10)^2/$V$11)</f>
        <v>363.96637853249001</v>
      </c>
      <c r="M62" s="41">
        <f>J62-$V$12*$V$13*SQRT(1/$V$9+(Tabelle62[[#This Row],[True Cooling Capacity '[kW']]]-$V$10)^2/$V$11)</f>
        <v>125.20943832560391</v>
      </c>
      <c r="N62" s="42">
        <f>J62+$V$12*$V$13*SQRT(1/$V$9+(Tabelle62[[#This Row],[True Cooling Capacity '[kW']]]-$V$10)^2/$V$11)</f>
        <v>167.73780861795626</v>
      </c>
      <c r="O62" s="40">
        <v>3.6042359604571805</v>
      </c>
      <c r="P62" s="41">
        <f>O62-$V$30*$V$31*SQRT(1+1/$V$27+(Tabelle62[[#This Row],[Vents]]-$V$28)^2/$V$29)</f>
        <v>-4.8273922349928888E-2</v>
      </c>
      <c r="Q62" s="41">
        <f>O62+$V$30*$V$31*SQRT(1+1/$V$27+(Tabelle62[[#This Row],[Vents]]-$V$28)^2/$V$29)</f>
        <v>7.25674584326429</v>
      </c>
      <c r="R62" s="41">
        <f>O62-$V$30*$V$31*SQRT(1/$V$27+(Tabelle62[[#This Row],[Vents]]-$V$28)^2/$V$29)</f>
        <v>3.1755868586213487</v>
      </c>
      <c r="S62" s="41">
        <f>O62+$V$30*$V$31*SQRT(1/$V$27+(Tabelle62[[#This Row],[Vents]]-$V$28)^2/$V$29)</f>
        <v>4.0328850622930128</v>
      </c>
    </row>
    <row r="63" spans="1:19" x14ac:dyDescent="0.3">
      <c r="A63" s="10" t="s">
        <v>91</v>
      </c>
      <c r="B63" s="10">
        <v>4</v>
      </c>
      <c r="C63" s="28">
        <f>(62.123*Tabelle62[[#This Row],[Vents]])-67.781</f>
        <v>180.71099999999998</v>
      </c>
      <c r="D63" s="7" t="s">
        <v>91</v>
      </c>
      <c r="E63" s="13">
        <v>4</v>
      </c>
      <c r="F63" s="12">
        <v>0</v>
      </c>
      <c r="G63" s="11">
        <v>0</v>
      </c>
      <c r="H63" s="25">
        <f>(62.123*Tabelle93[[#This Row],[Vents]])-67.781</f>
        <v>180.71099999999998</v>
      </c>
      <c r="I63" s="44">
        <f t="shared" si="0"/>
        <v>0</v>
      </c>
      <c r="J63" s="40">
        <v>205.42431375761456</v>
      </c>
      <c r="K63" s="41">
        <f>J63-$V$12*$V$13*SQRT(1+1/$V$9+(Tabelle62[[#This Row],[True Cooling Capacity '[kW']]]-$V$10)^2/$V$11)</f>
        <v>-11.877317091750399</v>
      </c>
      <c r="L63" s="41">
        <f>J63+$V$12*$V$13*SQRT(1+1/$V$9+(Tabelle62[[#This Row],[True Cooling Capacity '[kW']]]-$V$10)^2/$V$11)</f>
        <v>422.72594460697951</v>
      </c>
      <c r="M63" s="41">
        <f>J63-$V$12*$V$13*SQRT(1/$V$9+(Tabelle62[[#This Row],[True Cooling Capacity '[kW']]]-$V$10)^2/$V$11)</f>
        <v>186.21322748362732</v>
      </c>
      <c r="N63" s="42">
        <f>J63+$V$12*$V$13*SQRT(1/$V$9+(Tabelle62[[#This Row],[True Cooling Capacity '[kW']]]-$V$10)^2/$V$11)</f>
        <v>224.63540003160179</v>
      </c>
      <c r="O63" s="40">
        <v>4.5324776891883545</v>
      </c>
      <c r="P63" s="41">
        <f>O63-$V$30*$V$31*SQRT(1+1/$V$27+(Tabelle62[[#This Row],[Vents]]-$V$28)^2/$V$29)</f>
        <v>0.88004521280589465</v>
      </c>
      <c r="Q63" s="41">
        <f>O63+$V$30*$V$31*SQRT(1+1/$V$27+(Tabelle62[[#This Row],[Vents]]-$V$28)^2/$V$29)</f>
        <v>8.1849101655708143</v>
      </c>
      <c r="R63" s="41">
        <f>O63-$V$30*$V$31*SQRT(1/$V$27+(Tabelle62[[#This Row],[Vents]]-$V$28)^2/$V$29)</f>
        <v>4.1044886670927294</v>
      </c>
      <c r="S63" s="41">
        <f>O63+$V$30*$V$31*SQRT(1/$V$27+(Tabelle62[[#This Row],[Vents]]-$V$28)^2/$V$29)</f>
        <v>4.9604667112839795</v>
      </c>
    </row>
    <row r="64" spans="1:19" x14ac:dyDescent="0.3">
      <c r="A64" s="10" t="s">
        <v>89</v>
      </c>
      <c r="B64" s="10">
        <v>2</v>
      </c>
      <c r="C64" s="28">
        <f>(62.123*Tabelle62[[#This Row],[Vents]])-67.781</f>
        <v>56.464999999999989</v>
      </c>
      <c r="D64" s="7" t="s">
        <v>89</v>
      </c>
      <c r="E64" s="13">
        <v>2</v>
      </c>
      <c r="F64" s="12">
        <v>0</v>
      </c>
      <c r="G64" s="11">
        <v>0</v>
      </c>
      <c r="H64" s="25">
        <f>(62.123*Tabelle93[[#This Row],[Vents]])-67.781</f>
        <v>56.464999999999989</v>
      </c>
      <c r="I64" s="44">
        <f t="shared" si="0"/>
        <v>0</v>
      </c>
      <c r="J64" s="40">
        <v>87.522933185945604</v>
      </c>
      <c r="K64" s="41">
        <f>J64-$V$12*$V$13*SQRT(1+1/$V$9+(Tabelle62[[#This Row],[True Cooling Capacity '[kW']]]-$V$10)^2/$V$11)</f>
        <v>-130.20176597742778</v>
      </c>
      <c r="L64" s="41">
        <f>J64+$V$12*$V$13*SQRT(1+1/$V$9+(Tabelle62[[#This Row],[True Cooling Capacity '[kW']]]-$V$10)^2/$V$11)</f>
        <v>305.24763234931896</v>
      </c>
      <c r="M64" s="41">
        <f>J64-$V$12*$V$13*SQRT(1/$V$9+(Tabelle62[[#This Row],[True Cooling Capacity '[kW']]]-$V$10)^2/$V$11)</f>
        <v>64.004606463699091</v>
      </c>
      <c r="N64" s="42">
        <f>J64+$V$12*$V$13*SQRT(1/$V$9+(Tabelle62[[#This Row],[True Cooling Capacity '[kW']]]-$V$10)^2/$V$11)</f>
        <v>111.04125990819212</v>
      </c>
      <c r="O64" s="40">
        <v>2.6759942317260066</v>
      </c>
      <c r="P64" s="41">
        <f>O64-$V$30*$V$31*SQRT(1+1/$V$27+(Tabelle62[[#This Row],[Vents]]-$V$28)^2/$V$29)</f>
        <v>-0.97659323363450046</v>
      </c>
      <c r="Q64" s="41">
        <f>O64+$V$30*$V$31*SQRT(1+1/$V$27+(Tabelle62[[#This Row],[Vents]]-$V$28)^2/$V$29)</f>
        <v>6.3285816970865136</v>
      </c>
      <c r="R64" s="41">
        <f>O64-$V$30*$V$31*SQRT(1/$V$27+(Tabelle62[[#This Row],[Vents]]-$V$28)^2/$V$29)</f>
        <v>2.2466845525784782</v>
      </c>
      <c r="S64" s="41">
        <f>O64+$V$30*$V$31*SQRT(1/$V$27+(Tabelle62[[#This Row],[Vents]]-$V$28)^2/$V$29)</f>
        <v>3.105303910873535</v>
      </c>
    </row>
    <row r="65" spans="1:19" x14ac:dyDescent="0.3">
      <c r="A65" s="10" t="s">
        <v>90</v>
      </c>
      <c r="B65" s="10">
        <v>2</v>
      </c>
      <c r="C65" s="28">
        <f>(62.123*Tabelle62[[#This Row],[Vents]])-67.781</f>
        <v>56.464999999999989</v>
      </c>
      <c r="D65" s="7" t="s">
        <v>90</v>
      </c>
      <c r="E65" s="13">
        <v>1</v>
      </c>
      <c r="F65" s="12">
        <v>-1</v>
      </c>
      <c r="G65" s="11">
        <v>1</v>
      </c>
      <c r="H65" s="25">
        <v>0</v>
      </c>
      <c r="I65" s="44">
        <f t="shared" si="0"/>
        <v>3188.2962249999987</v>
      </c>
      <c r="J65" s="40">
        <v>87.522933185945604</v>
      </c>
      <c r="K65" s="41">
        <f>J65-$V$12*$V$13*SQRT(1+1/$V$9+(Tabelle62[[#This Row],[True Cooling Capacity '[kW']]]-$V$10)^2/$V$11)</f>
        <v>-130.20176597742778</v>
      </c>
      <c r="L65" s="41">
        <f>J65+$V$12*$V$13*SQRT(1+1/$V$9+(Tabelle62[[#This Row],[True Cooling Capacity '[kW']]]-$V$10)^2/$V$11)</f>
        <v>305.24763234931896</v>
      </c>
      <c r="M65" s="41">
        <f>J65-$V$12*$V$13*SQRT(1/$V$9+(Tabelle62[[#This Row],[True Cooling Capacity '[kW']]]-$V$10)^2/$V$11)</f>
        <v>64.004606463699091</v>
      </c>
      <c r="N65" s="42">
        <f>J65+$V$12*$V$13*SQRT(1/$V$9+(Tabelle62[[#This Row],[True Cooling Capacity '[kW']]]-$V$10)^2/$V$11)</f>
        <v>111.04125990819212</v>
      </c>
      <c r="O65" s="40">
        <v>2.6759942317260066</v>
      </c>
      <c r="P65" s="41">
        <f>O65-$V$30*$V$31*SQRT(1+1/$V$27+(Tabelle62[[#This Row],[Vents]]-$V$28)^2/$V$29)</f>
        <v>-0.97659323363450046</v>
      </c>
      <c r="Q65" s="41">
        <f>O65+$V$30*$V$31*SQRT(1+1/$V$27+(Tabelle62[[#This Row],[Vents]]-$V$28)^2/$V$29)</f>
        <v>6.3285816970865136</v>
      </c>
      <c r="R65" s="41">
        <f>O65-$V$30*$V$31*SQRT(1/$V$27+(Tabelle62[[#This Row],[Vents]]-$V$28)^2/$V$29)</f>
        <v>2.2466845525784782</v>
      </c>
      <c r="S65" s="41">
        <f>O65+$V$30*$V$31*SQRT(1/$V$27+(Tabelle62[[#This Row],[Vents]]-$V$28)^2/$V$29)</f>
        <v>3.105303910873535</v>
      </c>
    </row>
    <row r="66" spans="1:19" x14ac:dyDescent="0.3">
      <c r="A66" s="10" t="s">
        <v>87</v>
      </c>
      <c r="B66" s="10">
        <v>8</v>
      </c>
      <c r="C66" s="28">
        <f>(62.123*Tabelle62[[#This Row],[Vents]])-67.781</f>
        <v>429.20299999999997</v>
      </c>
      <c r="D66" s="7" t="s">
        <v>87</v>
      </c>
      <c r="E66" s="13">
        <v>8</v>
      </c>
      <c r="F66" s="12">
        <v>0</v>
      </c>
      <c r="G66" s="11">
        <v>0</v>
      </c>
      <c r="H66" s="25">
        <f>(62.123*Tabelle93[[#This Row],[Vents]])-67.781</f>
        <v>429.20299999999997</v>
      </c>
      <c r="I66" s="44">
        <f t="shared" si="0"/>
        <v>0</v>
      </c>
      <c r="J66" s="40">
        <v>441.22707490095252</v>
      </c>
      <c r="K66" s="41">
        <f>J66-$V$12*$V$13*SQRT(1+1/$V$9+(Tabelle62[[#This Row],[True Cooling Capacity '[kW']]]-$V$10)^2/$V$11)</f>
        <v>224.27992992972105</v>
      </c>
      <c r="L66" s="41">
        <f>J66+$V$12*$V$13*SQRT(1+1/$V$9+(Tabelle62[[#This Row],[True Cooling Capacity '[kW']]]-$V$10)^2/$V$11)</f>
        <v>658.17421987218404</v>
      </c>
      <c r="M66" s="41">
        <f>J66-$V$12*$V$13*SQRT(1/$V$9+(Tabelle62[[#This Row],[True Cooling Capacity '[kW']]]-$V$10)^2/$V$11)</f>
        <v>426.55973781471158</v>
      </c>
      <c r="N66" s="42">
        <f>J66+$V$12*$V$13*SQRT(1/$V$9+(Tabelle62[[#This Row],[True Cooling Capacity '[kW']]]-$V$10)^2/$V$11)</f>
        <v>455.89441198719345</v>
      </c>
      <c r="O66" s="40">
        <v>8.245444604113052</v>
      </c>
      <c r="P66" s="41">
        <f>O66-$V$30*$V$31*SQRT(1+1/$V$27+(Tabelle62[[#This Row],[Vents]]-$V$28)^2/$V$29)</f>
        <v>4.5933199919181114</v>
      </c>
      <c r="Q66" s="41">
        <f>O66+$V$30*$V$31*SQRT(1+1/$V$27+(Tabelle62[[#This Row],[Vents]]-$V$28)^2/$V$29)</f>
        <v>11.897569216307993</v>
      </c>
      <c r="R66" s="41">
        <f>O66-$V$30*$V$31*SQRT(1/$V$27+(Tabelle62[[#This Row],[Vents]]-$V$28)^2/$V$29)</f>
        <v>7.8200908789605537</v>
      </c>
      <c r="S66" s="41">
        <f>O66+$V$30*$V$31*SQRT(1/$V$27+(Tabelle62[[#This Row],[Vents]]-$V$28)^2/$V$29)</f>
        <v>8.6707983292655495</v>
      </c>
    </row>
    <row r="67" spans="1:19" x14ac:dyDescent="0.3">
      <c r="A67" s="10" t="s">
        <v>99</v>
      </c>
      <c r="B67" s="10">
        <v>18</v>
      </c>
      <c r="C67" s="28">
        <f>(62.123*Tabelle62[[#This Row],[Vents]])-67.781</f>
        <v>1050.433</v>
      </c>
      <c r="D67" s="7" t="s">
        <v>99</v>
      </c>
      <c r="E67" s="13">
        <v>18</v>
      </c>
      <c r="F67" s="12">
        <v>0</v>
      </c>
      <c r="G67" s="11">
        <v>0</v>
      </c>
      <c r="H67" s="25">
        <f>(62.123*Tabelle93[[#This Row],[Vents]])-67.781</f>
        <v>1050.433</v>
      </c>
      <c r="I67" s="44">
        <f t="shared" si="0"/>
        <v>0</v>
      </c>
      <c r="J67" s="40">
        <v>1030.7339777592974</v>
      </c>
      <c r="K67" s="41">
        <f>J67-$V$12*$V$13*SQRT(1+1/$V$9+(Tabelle62[[#This Row],[True Cooling Capacity '[kW']]]-$V$10)^2/$V$11)</f>
        <v>811.80368472256555</v>
      </c>
      <c r="L67" s="41">
        <f>J67+$V$12*$V$13*SQRT(1+1/$V$9+(Tabelle62[[#This Row],[True Cooling Capacity '[kW']]]-$V$10)^2/$V$11)</f>
        <v>1249.6642707960293</v>
      </c>
      <c r="M67" s="41">
        <f>J67-$V$12*$V$13*SQRT(1/$V$9+(Tabelle62[[#This Row],[True Cooling Capacity '[kW']]]-$V$10)^2/$V$11)</f>
        <v>997.87761954384405</v>
      </c>
      <c r="N67" s="42">
        <f>J67+$V$12*$V$13*SQRT(1/$V$9+(Tabelle62[[#This Row],[True Cooling Capacity '[kW']]]-$V$10)^2/$V$11)</f>
        <v>1063.5903359747508</v>
      </c>
      <c r="O67" s="40">
        <v>17.527861891424795</v>
      </c>
      <c r="P67" s="41">
        <f>O67-$V$30*$V$31*SQRT(1+1/$V$27+(Tabelle62[[#This Row],[Vents]]-$V$28)^2/$V$29)</f>
        <v>13.876494605242488</v>
      </c>
      <c r="Q67" s="41">
        <f>O67+$V$30*$V$31*SQRT(1+1/$V$27+(Tabelle62[[#This Row],[Vents]]-$V$28)^2/$V$29)</f>
        <v>21.179229177607102</v>
      </c>
      <c r="R67" s="41">
        <f>O67-$V$30*$V$31*SQRT(1/$V$27+(Tabelle62[[#This Row],[Vents]]-$V$28)^2/$V$29)</f>
        <v>17.109060426404191</v>
      </c>
      <c r="S67" s="41">
        <f>O67+$V$30*$V$31*SQRT(1/$V$27+(Tabelle62[[#This Row],[Vents]]-$V$28)^2/$V$29)</f>
        <v>17.946663356445399</v>
      </c>
    </row>
    <row r="68" spans="1:19" x14ac:dyDescent="0.3">
      <c r="A68" s="10" t="s">
        <v>100</v>
      </c>
      <c r="B68" s="10">
        <v>18</v>
      </c>
      <c r="C68" s="28">
        <f>(62.123*Tabelle62[[#This Row],[Vents]])-67.781</f>
        <v>1050.433</v>
      </c>
      <c r="D68" s="7" t="s">
        <v>100</v>
      </c>
      <c r="E68" s="13">
        <v>18</v>
      </c>
      <c r="F68" s="12">
        <v>0</v>
      </c>
      <c r="G68" s="11">
        <v>0</v>
      </c>
      <c r="H68" s="25">
        <f>(62.123*Tabelle93[[#This Row],[Vents]])-67.781</f>
        <v>1050.433</v>
      </c>
      <c r="I68" s="44">
        <f t="shared" ref="I68:I131" si="1">(H68-C68)^2</f>
        <v>0</v>
      </c>
      <c r="J68" s="40">
        <v>1030.7339777592974</v>
      </c>
      <c r="K68" s="41">
        <f>J68-$V$12*$V$13*SQRT(1+1/$V$9+(Tabelle62[[#This Row],[True Cooling Capacity '[kW']]]-$V$10)^2/$V$11)</f>
        <v>811.80368472256555</v>
      </c>
      <c r="L68" s="41">
        <f>J68+$V$12*$V$13*SQRT(1+1/$V$9+(Tabelle62[[#This Row],[True Cooling Capacity '[kW']]]-$V$10)^2/$V$11)</f>
        <v>1249.6642707960293</v>
      </c>
      <c r="M68" s="41">
        <f>J68-$V$12*$V$13*SQRT(1/$V$9+(Tabelle62[[#This Row],[True Cooling Capacity '[kW']]]-$V$10)^2/$V$11)</f>
        <v>997.87761954384405</v>
      </c>
      <c r="N68" s="42">
        <f>J68+$V$12*$V$13*SQRT(1/$V$9+(Tabelle62[[#This Row],[True Cooling Capacity '[kW']]]-$V$10)^2/$V$11)</f>
        <v>1063.5903359747508</v>
      </c>
      <c r="O68" s="40">
        <v>17.527861891424795</v>
      </c>
      <c r="P68" s="41">
        <f>O68-$V$30*$V$31*SQRT(1+1/$V$27+(Tabelle62[[#This Row],[Vents]]-$V$28)^2/$V$29)</f>
        <v>13.876494605242488</v>
      </c>
      <c r="Q68" s="41">
        <f>O68+$V$30*$V$31*SQRT(1+1/$V$27+(Tabelle62[[#This Row],[Vents]]-$V$28)^2/$V$29)</f>
        <v>21.179229177607102</v>
      </c>
      <c r="R68" s="41">
        <f>O68-$V$30*$V$31*SQRT(1/$V$27+(Tabelle62[[#This Row],[Vents]]-$V$28)^2/$V$29)</f>
        <v>17.109060426404191</v>
      </c>
      <c r="S68" s="41">
        <f>O68+$V$30*$V$31*SQRT(1/$V$27+(Tabelle62[[#This Row],[Vents]]-$V$28)^2/$V$29)</f>
        <v>17.946663356445399</v>
      </c>
    </row>
    <row r="69" spans="1:19" x14ac:dyDescent="0.3">
      <c r="A69" s="10" t="s">
        <v>108</v>
      </c>
      <c r="B69" s="10">
        <v>6</v>
      </c>
      <c r="C69" s="28">
        <f>(62.123*Tabelle62[[#This Row],[Vents]])-67.781</f>
        <v>304.95699999999999</v>
      </c>
      <c r="D69" s="7" t="s">
        <v>108</v>
      </c>
      <c r="E69" s="13">
        <v>6</v>
      </c>
      <c r="F69" s="12">
        <v>0</v>
      </c>
      <c r="G69" s="11">
        <v>0</v>
      </c>
      <c r="H69" s="25">
        <f>(62.123*Tabelle93[[#This Row],[Vents]])-67.781</f>
        <v>304.95699999999999</v>
      </c>
      <c r="I69" s="44">
        <f t="shared" si="1"/>
        <v>0</v>
      </c>
      <c r="J69" s="40">
        <v>323.32569432928352</v>
      </c>
      <c r="K69" s="41">
        <f>J69-$V$12*$V$13*SQRT(1+1/$V$9+(Tabelle62[[#This Row],[True Cooling Capacity '[kW']]]-$V$10)^2/$V$11)</f>
        <v>106.28344391493971</v>
      </c>
      <c r="L69" s="41">
        <f>J69+$V$12*$V$13*SQRT(1+1/$V$9+(Tabelle62[[#This Row],[True Cooling Capacity '[kW']]]-$V$10)^2/$V$11)</f>
        <v>540.36794474362728</v>
      </c>
      <c r="M69" s="41">
        <f>J69-$V$12*$V$13*SQRT(1/$V$9+(Tabelle62[[#This Row],[True Cooling Capacity '[kW']]]-$V$10)^2/$V$11)</f>
        <v>307.3130265017287</v>
      </c>
      <c r="N69" s="42">
        <f>J69+$V$12*$V$13*SQRT(1/$V$9+(Tabelle62[[#This Row],[True Cooling Capacity '[kW']]]-$V$10)^2/$V$11)</f>
        <v>339.33836215683834</v>
      </c>
      <c r="O69" s="40">
        <v>6.3889611466507032</v>
      </c>
      <c r="P69" s="41">
        <f>O69-$V$30*$V$31*SQRT(1+1/$V$27+(Tabelle62[[#This Row],[Vents]]-$V$28)^2/$V$29)</f>
        <v>2.736682954686529</v>
      </c>
      <c r="Q69" s="41">
        <f>O69+$V$30*$V$31*SQRT(1+1/$V$27+(Tabelle62[[#This Row],[Vents]]-$V$28)^2/$V$29)</f>
        <v>10.041239338614877</v>
      </c>
      <c r="R69" s="41">
        <f>O69-$V$30*$V$31*SQRT(1/$V$27+(Tabelle62[[#This Row],[Vents]]-$V$28)^2/$V$29)</f>
        <v>5.9622907820855584</v>
      </c>
      <c r="S69" s="41">
        <f>O69+$V$30*$V$31*SQRT(1/$V$27+(Tabelle62[[#This Row],[Vents]]-$V$28)^2/$V$29)</f>
        <v>6.8156315112158481</v>
      </c>
    </row>
    <row r="70" spans="1:19" x14ac:dyDescent="0.3">
      <c r="A70" s="10" t="s">
        <v>109</v>
      </c>
      <c r="B70" s="10">
        <v>8</v>
      </c>
      <c r="C70" s="28">
        <f>(62.123*Tabelle62[[#This Row],[Vents]])-67.781</f>
        <v>429.20299999999997</v>
      </c>
      <c r="D70" s="7" t="s">
        <v>109</v>
      </c>
      <c r="E70" s="13">
        <v>8</v>
      </c>
      <c r="F70" s="12">
        <v>0</v>
      </c>
      <c r="G70" s="11">
        <v>0</v>
      </c>
      <c r="H70" s="25">
        <f>(62.123*Tabelle93[[#This Row],[Vents]])-67.781</f>
        <v>429.20299999999997</v>
      </c>
      <c r="I70" s="44">
        <f t="shared" si="1"/>
        <v>0</v>
      </c>
      <c r="J70" s="40">
        <v>441.22707490095252</v>
      </c>
      <c r="K70" s="41">
        <f>J70-$V$12*$V$13*SQRT(1+1/$V$9+(Tabelle62[[#This Row],[True Cooling Capacity '[kW']]]-$V$10)^2/$V$11)</f>
        <v>224.27992992972105</v>
      </c>
      <c r="L70" s="41">
        <f>J70+$V$12*$V$13*SQRT(1+1/$V$9+(Tabelle62[[#This Row],[True Cooling Capacity '[kW']]]-$V$10)^2/$V$11)</f>
        <v>658.17421987218404</v>
      </c>
      <c r="M70" s="41">
        <f>J70-$V$12*$V$13*SQRT(1/$V$9+(Tabelle62[[#This Row],[True Cooling Capacity '[kW']]]-$V$10)^2/$V$11)</f>
        <v>426.55973781471158</v>
      </c>
      <c r="N70" s="42">
        <f>J70+$V$12*$V$13*SQRT(1/$V$9+(Tabelle62[[#This Row],[True Cooling Capacity '[kW']]]-$V$10)^2/$V$11)</f>
        <v>455.89441198719345</v>
      </c>
      <c r="O70" s="40">
        <v>8.245444604113052</v>
      </c>
      <c r="P70" s="41">
        <f>O70-$V$30*$V$31*SQRT(1+1/$V$27+(Tabelle62[[#This Row],[Vents]]-$V$28)^2/$V$29)</f>
        <v>4.5933199919181114</v>
      </c>
      <c r="Q70" s="41">
        <f>O70+$V$30*$V$31*SQRT(1+1/$V$27+(Tabelle62[[#This Row],[Vents]]-$V$28)^2/$V$29)</f>
        <v>11.897569216307993</v>
      </c>
      <c r="R70" s="41">
        <f>O70-$V$30*$V$31*SQRT(1/$V$27+(Tabelle62[[#This Row],[Vents]]-$V$28)^2/$V$29)</f>
        <v>7.8200908789605537</v>
      </c>
      <c r="S70" s="41">
        <f>O70+$V$30*$V$31*SQRT(1/$V$27+(Tabelle62[[#This Row],[Vents]]-$V$28)^2/$V$29)</f>
        <v>8.6707983292655495</v>
      </c>
    </row>
    <row r="71" spans="1:19" x14ac:dyDescent="0.3">
      <c r="A71" s="10" t="s">
        <v>107</v>
      </c>
      <c r="B71" s="10">
        <v>10</v>
      </c>
      <c r="C71" s="28">
        <f>(62.123*Tabelle62[[#This Row],[Vents]])-67.781</f>
        <v>553.44900000000007</v>
      </c>
      <c r="D71" s="7" t="s">
        <v>107</v>
      </c>
      <c r="E71" s="13">
        <v>4</v>
      </c>
      <c r="F71" s="12">
        <v>-6</v>
      </c>
      <c r="G71" s="11">
        <v>36</v>
      </c>
      <c r="H71" s="25">
        <f>(62.123*Tabelle93[[#This Row],[Vents]])-67.781</f>
        <v>180.71099999999998</v>
      </c>
      <c r="I71" s="44">
        <f t="shared" si="1"/>
        <v>138933.61664400005</v>
      </c>
      <c r="J71" s="40">
        <v>559.12845547262157</v>
      </c>
      <c r="K71" s="41">
        <f>J71-$V$12*$V$13*SQRT(1+1/$V$9+(Tabelle62[[#This Row],[True Cooling Capacity '[kW']]]-$V$10)^2/$V$11)</f>
        <v>342.11192497659897</v>
      </c>
      <c r="L71" s="41">
        <f>J71+$V$12*$V$13*SQRT(1+1/$V$9+(Tabelle62[[#This Row],[True Cooling Capacity '[kW']]]-$V$10)^2/$V$11)</f>
        <v>776.14498596864416</v>
      </c>
      <c r="M71" s="41">
        <f>J71-$V$12*$V$13*SQRT(1/$V$9+(Tabelle62[[#This Row],[True Cooling Capacity '[kW']]]-$V$10)^2/$V$11)</f>
        <v>543.46826471503471</v>
      </c>
      <c r="N71" s="42">
        <f>J71+$V$12*$V$13*SQRT(1/$V$9+(Tabelle62[[#This Row],[True Cooling Capacity '[kW']]]-$V$10)^2/$V$11)</f>
        <v>574.78864623020843</v>
      </c>
      <c r="O71" s="40">
        <v>10.1019280615754</v>
      </c>
      <c r="P71" s="41">
        <f>O71-$V$30*$V$31*SQRT(1+1/$V$27+(Tabelle62[[#This Row],[Vents]]-$V$28)^2/$V$29)</f>
        <v>6.4499563244117386</v>
      </c>
      <c r="Q71" s="41">
        <f>O71+$V$30*$V$31*SQRT(1+1/$V$27+(Tabelle62[[#This Row],[Vents]]-$V$28)^2/$V$29)</f>
        <v>13.753899798739061</v>
      </c>
      <c r="R71" s="41">
        <f>O71-$V$30*$V$31*SQRT(1/$V$27+(Tabelle62[[#This Row],[Vents]]-$V$28)^2/$V$29)</f>
        <v>9.6778889389189775</v>
      </c>
      <c r="S71" s="41">
        <f>O71+$V$30*$V$31*SQRT(1/$V$27+(Tabelle62[[#This Row],[Vents]]-$V$28)^2/$V$29)</f>
        <v>10.525967184231822</v>
      </c>
    </row>
    <row r="72" spans="1:19" x14ac:dyDescent="0.3">
      <c r="A72" s="10" t="s">
        <v>105</v>
      </c>
      <c r="B72" s="10">
        <v>4</v>
      </c>
      <c r="C72" s="28">
        <f>(62.123*Tabelle62[[#This Row],[Vents]])-67.781</f>
        <v>180.71099999999998</v>
      </c>
      <c r="D72" s="7" t="s">
        <v>105</v>
      </c>
      <c r="E72" s="13">
        <v>4</v>
      </c>
      <c r="F72" s="12">
        <v>0</v>
      </c>
      <c r="G72" s="11">
        <v>0</v>
      </c>
      <c r="H72" s="25">
        <f>(62.123*Tabelle93[[#This Row],[Vents]])-67.781</f>
        <v>180.71099999999998</v>
      </c>
      <c r="I72" s="44">
        <f t="shared" si="1"/>
        <v>0</v>
      </c>
      <c r="J72" s="40">
        <v>205.42431375761456</v>
      </c>
      <c r="K72" s="41">
        <f>J72-$V$12*$V$13*SQRT(1+1/$V$9+(Tabelle62[[#This Row],[True Cooling Capacity '[kW']]]-$V$10)^2/$V$11)</f>
        <v>-11.877317091750399</v>
      </c>
      <c r="L72" s="41">
        <f>J72+$V$12*$V$13*SQRT(1+1/$V$9+(Tabelle62[[#This Row],[True Cooling Capacity '[kW']]]-$V$10)^2/$V$11)</f>
        <v>422.72594460697951</v>
      </c>
      <c r="M72" s="41">
        <f>J72-$V$12*$V$13*SQRT(1/$V$9+(Tabelle62[[#This Row],[True Cooling Capacity '[kW']]]-$V$10)^2/$V$11)</f>
        <v>186.21322748362732</v>
      </c>
      <c r="N72" s="42">
        <f>J72+$V$12*$V$13*SQRT(1/$V$9+(Tabelle62[[#This Row],[True Cooling Capacity '[kW']]]-$V$10)^2/$V$11)</f>
        <v>224.63540003160179</v>
      </c>
      <c r="O72" s="40">
        <v>4.5324776891883545</v>
      </c>
      <c r="P72" s="41">
        <f>O72-$V$30*$V$31*SQRT(1+1/$V$27+(Tabelle62[[#This Row],[Vents]]-$V$28)^2/$V$29)</f>
        <v>0.88004521280589465</v>
      </c>
      <c r="Q72" s="41">
        <f>O72+$V$30*$V$31*SQRT(1+1/$V$27+(Tabelle62[[#This Row],[Vents]]-$V$28)^2/$V$29)</f>
        <v>8.1849101655708143</v>
      </c>
      <c r="R72" s="41">
        <f>O72-$V$30*$V$31*SQRT(1/$V$27+(Tabelle62[[#This Row],[Vents]]-$V$28)^2/$V$29)</f>
        <v>4.1044886670927294</v>
      </c>
      <c r="S72" s="41">
        <f>O72+$V$30*$V$31*SQRT(1/$V$27+(Tabelle62[[#This Row],[Vents]]-$V$28)^2/$V$29)</f>
        <v>4.9604667112839795</v>
      </c>
    </row>
    <row r="73" spans="1:19" x14ac:dyDescent="0.3">
      <c r="A73" s="10" t="s">
        <v>104</v>
      </c>
      <c r="B73" s="10">
        <v>2</v>
      </c>
      <c r="C73" s="28">
        <f>(62.123*Tabelle62[[#This Row],[Vents]])-67.781</f>
        <v>56.464999999999989</v>
      </c>
      <c r="D73" s="7" t="s">
        <v>104</v>
      </c>
      <c r="E73" s="13">
        <v>3</v>
      </c>
      <c r="F73" s="12">
        <v>1</v>
      </c>
      <c r="G73" s="11">
        <v>1</v>
      </c>
      <c r="H73" s="25">
        <f>(62.123*Tabelle93[[#This Row],[Vents]])-67.781</f>
        <v>118.58799999999999</v>
      </c>
      <c r="I73" s="44">
        <f t="shared" si="1"/>
        <v>3859.2671290000008</v>
      </c>
      <c r="J73" s="40">
        <v>87.522933185945604</v>
      </c>
      <c r="K73" s="41">
        <f>J73-$V$12*$V$13*SQRT(1+1/$V$9+(Tabelle62[[#This Row],[True Cooling Capacity '[kW']]]-$V$10)^2/$V$11)</f>
        <v>-130.20176597742778</v>
      </c>
      <c r="L73" s="41">
        <f>J73+$V$12*$V$13*SQRT(1+1/$V$9+(Tabelle62[[#This Row],[True Cooling Capacity '[kW']]]-$V$10)^2/$V$11)</f>
        <v>305.24763234931896</v>
      </c>
      <c r="M73" s="41">
        <f>J73-$V$12*$V$13*SQRT(1/$V$9+(Tabelle62[[#This Row],[True Cooling Capacity '[kW']]]-$V$10)^2/$V$11)</f>
        <v>64.004606463699091</v>
      </c>
      <c r="N73" s="42">
        <f>J73+$V$12*$V$13*SQRT(1/$V$9+(Tabelle62[[#This Row],[True Cooling Capacity '[kW']]]-$V$10)^2/$V$11)</f>
        <v>111.04125990819212</v>
      </c>
      <c r="O73" s="40">
        <v>2.6759942317260066</v>
      </c>
      <c r="P73" s="41">
        <f>O73-$V$30*$V$31*SQRT(1+1/$V$27+(Tabelle62[[#This Row],[Vents]]-$V$28)^2/$V$29)</f>
        <v>-0.97659323363450046</v>
      </c>
      <c r="Q73" s="41">
        <f>O73+$V$30*$V$31*SQRT(1+1/$V$27+(Tabelle62[[#This Row],[Vents]]-$V$28)^2/$V$29)</f>
        <v>6.3285816970865136</v>
      </c>
      <c r="R73" s="41">
        <f>O73-$V$30*$V$31*SQRT(1/$V$27+(Tabelle62[[#This Row],[Vents]]-$V$28)^2/$V$29)</f>
        <v>2.2466845525784782</v>
      </c>
      <c r="S73" s="41">
        <f>O73+$V$30*$V$31*SQRT(1/$V$27+(Tabelle62[[#This Row],[Vents]]-$V$28)^2/$V$29)</f>
        <v>3.105303910873535</v>
      </c>
    </row>
    <row r="74" spans="1:19" x14ac:dyDescent="0.3">
      <c r="A74" s="10" t="s">
        <v>106</v>
      </c>
      <c r="B74" s="10">
        <v>10</v>
      </c>
      <c r="C74" s="28">
        <f>(62.123*Tabelle62[[#This Row],[Vents]])-67.781</f>
        <v>553.44900000000007</v>
      </c>
      <c r="D74" s="7" t="s">
        <v>106</v>
      </c>
      <c r="E74" s="13">
        <v>1</v>
      </c>
      <c r="F74" s="12">
        <v>-9</v>
      </c>
      <c r="G74" s="11">
        <v>81</v>
      </c>
      <c r="H74" s="25">
        <v>0</v>
      </c>
      <c r="I74" s="44">
        <f t="shared" si="1"/>
        <v>306305.79560100008</v>
      </c>
      <c r="J74" s="40">
        <v>559.12845547262157</v>
      </c>
      <c r="K74" s="41">
        <f>J74-$V$12*$V$13*SQRT(1+1/$V$9+(Tabelle62[[#This Row],[True Cooling Capacity '[kW']]]-$V$10)^2/$V$11)</f>
        <v>342.11192497659897</v>
      </c>
      <c r="L74" s="41">
        <f>J74+$V$12*$V$13*SQRT(1+1/$V$9+(Tabelle62[[#This Row],[True Cooling Capacity '[kW']]]-$V$10)^2/$V$11)</f>
        <v>776.14498596864416</v>
      </c>
      <c r="M74" s="41">
        <f>J74-$V$12*$V$13*SQRT(1/$V$9+(Tabelle62[[#This Row],[True Cooling Capacity '[kW']]]-$V$10)^2/$V$11)</f>
        <v>543.46826471503471</v>
      </c>
      <c r="N74" s="42">
        <f>J74+$V$12*$V$13*SQRT(1/$V$9+(Tabelle62[[#This Row],[True Cooling Capacity '[kW']]]-$V$10)^2/$V$11)</f>
        <v>574.78864623020843</v>
      </c>
      <c r="O74" s="40">
        <v>10.1019280615754</v>
      </c>
      <c r="P74" s="41">
        <f>O74-$V$30*$V$31*SQRT(1+1/$V$27+(Tabelle62[[#This Row],[Vents]]-$V$28)^2/$V$29)</f>
        <v>6.4499563244117386</v>
      </c>
      <c r="Q74" s="41">
        <f>O74+$V$30*$V$31*SQRT(1+1/$V$27+(Tabelle62[[#This Row],[Vents]]-$V$28)^2/$V$29)</f>
        <v>13.753899798739061</v>
      </c>
      <c r="R74" s="41">
        <f>O74-$V$30*$V$31*SQRT(1/$V$27+(Tabelle62[[#This Row],[Vents]]-$V$28)^2/$V$29)</f>
        <v>9.6778889389189775</v>
      </c>
      <c r="S74" s="41">
        <f>O74+$V$30*$V$31*SQRT(1/$V$27+(Tabelle62[[#This Row],[Vents]]-$V$28)^2/$V$29)</f>
        <v>10.525967184231822</v>
      </c>
    </row>
    <row r="75" spans="1:19" x14ac:dyDescent="0.3">
      <c r="A75" s="10" t="s">
        <v>101</v>
      </c>
      <c r="B75" s="10">
        <v>10</v>
      </c>
      <c r="C75" s="28">
        <f>(62.123*Tabelle62[[#This Row],[Vents]])-67.781</f>
        <v>553.44900000000007</v>
      </c>
      <c r="D75" s="7" t="s">
        <v>101</v>
      </c>
      <c r="E75" s="13">
        <v>10</v>
      </c>
      <c r="F75" s="12">
        <v>0</v>
      </c>
      <c r="G75" s="11">
        <v>0</v>
      </c>
      <c r="H75" s="25">
        <f>(62.123*Tabelle93[[#This Row],[Vents]])-67.781</f>
        <v>553.44900000000007</v>
      </c>
      <c r="I75" s="44">
        <f t="shared" si="1"/>
        <v>0</v>
      </c>
      <c r="J75" s="40">
        <v>559.12845547262157</v>
      </c>
      <c r="K75" s="41">
        <f>J75-$V$12*$V$13*SQRT(1+1/$V$9+(Tabelle62[[#This Row],[True Cooling Capacity '[kW']]]-$V$10)^2/$V$11)</f>
        <v>342.11192497659897</v>
      </c>
      <c r="L75" s="41">
        <f>J75+$V$12*$V$13*SQRT(1+1/$V$9+(Tabelle62[[#This Row],[True Cooling Capacity '[kW']]]-$V$10)^2/$V$11)</f>
        <v>776.14498596864416</v>
      </c>
      <c r="M75" s="41">
        <f>J75-$V$12*$V$13*SQRT(1/$V$9+(Tabelle62[[#This Row],[True Cooling Capacity '[kW']]]-$V$10)^2/$V$11)</f>
        <v>543.46826471503471</v>
      </c>
      <c r="N75" s="42">
        <f>J75+$V$12*$V$13*SQRT(1/$V$9+(Tabelle62[[#This Row],[True Cooling Capacity '[kW']]]-$V$10)^2/$V$11)</f>
        <v>574.78864623020843</v>
      </c>
      <c r="O75" s="40">
        <v>10.1019280615754</v>
      </c>
      <c r="P75" s="41">
        <f>O75-$V$30*$V$31*SQRT(1+1/$V$27+(Tabelle62[[#This Row],[Vents]]-$V$28)^2/$V$29)</f>
        <v>6.4499563244117386</v>
      </c>
      <c r="Q75" s="41">
        <f>O75+$V$30*$V$31*SQRT(1+1/$V$27+(Tabelle62[[#This Row],[Vents]]-$V$28)^2/$V$29)</f>
        <v>13.753899798739061</v>
      </c>
      <c r="R75" s="41">
        <f>O75-$V$30*$V$31*SQRT(1/$V$27+(Tabelle62[[#This Row],[Vents]]-$V$28)^2/$V$29)</f>
        <v>9.6778889389189775</v>
      </c>
      <c r="S75" s="41">
        <f>O75+$V$30*$V$31*SQRT(1/$V$27+(Tabelle62[[#This Row],[Vents]]-$V$28)^2/$V$29)</f>
        <v>10.525967184231822</v>
      </c>
    </row>
    <row r="76" spans="1:19" x14ac:dyDescent="0.3">
      <c r="A76" s="10" t="s">
        <v>102</v>
      </c>
      <c r="B76" s="10">
        <v>10</v>
      </c>
      <c r="C76" s="28">
        <f>(62.123*Tabelle62[[#This Row],[Vents]])-67.781</f>
        <v>553.44900000000007</v>
      </c>
      <c r="D76" s="7" t="s">
        <v>102</v>
      </c>
      <c r="E76" s="13">
        <v>10</v>
      </c>
      <c r="F76" s="12">
        <v>0</v>
      </c>
      <c r="G76" s="11">
        <v>0</v>
      </c>
      <c r="H76" s="25">
        <f>(62.123*Tabelle93[[#This Row],[Vents]])-67.781</f>
        <v>553.44900000000007</v>
      </c>
      <c r="I76" s="44">
        <f t="shared" si="1"/>
        <v>0</v>
      </c>
      <c r="J76" s="40">
        <v>559.12845547262157</v>
      </c>
      <c r="K76" s="41">
        <f>J76-$V$12*$V$13*SQRT(1+1/$V$9+(Tabelle62[[#This Row],[True Cooling Capacity '[kW']]]-$V$10)^2/$V$11)</f>
        <v>342.11192497659897</v>
      </c>
      <c r="L76" s="41">
        <f>J76+$V$12*$V$13*SQRT(1+1/$V$9+(Tabelle62[[#This Row],[True Cooling Capacity '[kW']]]-$V$10)^2/$V$11)</f>
        <v>776.14498596864416</v>
      </c>
      <c r="M76" s="41">
        <f>J76-$V$12*$V$13*SQRT(1/$V$9+(Tabelle62[[#This Row],[True Cooling Capacity '[kW']]]-$V$10)^2/$V$11)</f>
        <v>543.46826471503471</v>
      </c>
      <c r="N76" s="42">
        <f>J76+$V$12*$V$13*SQRT(1/$V$9+(Tabelle62[[#This Row],[True Cooling Capacity '[kW']]]-$V$10)^2/$V$11)</f>
        <v>574.78864623020843</v>
      </c>
      <c r="O76" s="40">
        <v>10.1019280615754</v>
      </c>
      <c r="P76" s="41">
        <f>O76-$V$30*$V$31*SQRT(1+1/$V$27+(Tabelle62[[#This Row],[Vents]]-$V$28)^2/$V$29)</f>
        <v>6.4499563244117386</v>
      </c>
      <c r="Q76" s="41">
        <f>O76+$V$30*$V$31*SQRT(1+1/$V$27+(Tabelle62[[#This Row],[Vents]]-$V$28)^2/$V$29)</f>
        <v>13.753899798739061</v>
      </c>
      <c r="R76" s="41">
        <f>O76-$V$30*$V$31*SQRT(1/$V$27+(Tabelle62[[#This Row],[Vents]]-$V$28)^2/$V$29)</f>
        <v>9.6778889389189775</v>
      </c>
      <c r="S76" s="41">
        <f>O76+$V$30*$V$31*SQRT(1/$V$27+(Tabelle62[[#This Row],[Vents]]-$V$28)^2/$V$29)</f>
        <v>10.525967184231822</v>
      </c>
    </row>
    <row r="77" spans="1:19" x14ac:dyDescent="0.3">
      <c r="A77" s="10" t="s">
        <v>103</v>
      </c>
      <c r="B77" s="10">
        <v>10</v>
      </c>
      <c r="C77" s="28">
        <f>(62.123*Tabelle62[[#This Row],[Vents]])-67.781</f>
        <v>553.44900000000007</v>
      </c>
      <c r="D77" s="7" t="s">
        <v>103</v>
      </c>
      <c r="E77" s="13">
        <v>10</v>
      </c>
      <c r="F77" s="12">
        <v>0</v>
      </c>
      <c r="G77" s="11">
        <v>0</v>
      </c>
      <c r="H77" s="25">
        <f>(62.123*Tabelle93[[#This Row],[Vents]])-67.781</f>
        <v>553.44900000000007</v>
      </c>
      <c r="I77" s="44">
        <f t="shared" si="1"/>
        <v>0</v>
      </c>
      <c r="J77" s="40">
        <v>559.12845547262157</v>
      </c>
      <c r="K77" s="41">
        <f>J77-$V$12*$V$13*SQRT(1+1/$V$9+(Tabelle62[[#This Row],[True Cooling Capacity '[kW']]]-$V$10)^2/$V$11)</f>
        <v>342.11192497659897</v>
      </c>
      <c r="L77" s="41">
        <f>J77+$V$12*$V$13*SQRT(1+1/$V$9+(Tabelle62[[#This Row],[True Cooling Capacity '[kW']]]-$V$10)^2/$V$11)</f>
        <v>776.14498596864416</v>
      </c>
      <c r="M77" s="41">
        <f>J77-$V$12*$V$13*SQRT(1/$V$9+(Tabelle62[[#This Row],[True Cooling Capacity '[kW']]]-$V$10)^2/$V$11)</f>
        <v>543.46826471503471</v>
      </c>
      <c r="N77" s="42">
        <f>J77+$V$12*$V$13*SQRT(1/$V$9+(Tabelle62[[#This Row],[True Cooling Capacity '[kW']]]-$V$10)^2/$V$11)</f>
        <v>574.78864623020843</v>
      </c>
      <c r="O77" s="40">
        <v>10.1019280615754</v>
      </c>
      <c r="P77" s="41">
        <f>O77-$V$30*$V$31*SQRT(1+1/$V$27+(Tabelle62[[#This Row],[Vents]]-$V$28)^2/$V$29)</f>
        <v>6.4499563244117386</v>
      </c>
      <c r="Q77" s="41">
        <f>O77+$V$30*$V$31*SQRT(1+1/$V$27+(Tabelle62[[#This Row],[Vents]]-$V$28)^2/$V$29)</f>
        <v>13.753899798739061</v>
      </c>
      <c r="R77" s="41">
        <f>O77-$V$30*$V$31*SQRT(1/$V$27+(Tabelle62[[#This Row],[Vents]]-$V$28)^2/$V$29)</f>
        <v>9.6778889389189775</v>
      </c>
      <c r="S77" s="41">
        <f>O77+$V$30*$V$31*SQRT(1/$V$27+(Tabelle62[[#This Row],[Vents]]-$V$28)^2/$V$29)</f>
        <v>10.525967184231822</v>
      </c>
    </row>
    <row r="78" spans="1:19" x14ac:dyDescent="0.3">
      <c r="A78" s="10" t="s">
        <v>111</v>
      </c>
      <c r="B78" s="10">
        <v>12</v>
      </c>
      <c r="C78" s="28">
        <f>(62.123*Tabelle62[[#This Row],[Vents]])-67.781</f>
        <v>677.69499999999994</v>
      </c>
      <c r="D78" s="7" t="s">
        <v>111</v>
      </c>
      <c r="E78" s="13">
        <v>12</v>
      </c>
      <c r="F78" s="12">
        <v>0</v>
      </c>
      <c r="G78" s="11">
        <v>0</v>
      </c>
      <c r="H78" s="25">
        <f>(62.123*Tabelle93[[#This Row],[Vents]])-67.781</f>
        <v>677.69499999999994</v>
      </c>
      <c r="I78" s="44">
        <f t="shared" si="1"/>
        <v>0</v>
      </c>
      <c r="J78" s="40">
        <v>677.02983604429039</v>
      </c>
      <c r="K78" s="41">
        <f>J78-$V$12*$V$13*SQRT(1+1/$V$9+(Tabelle62[[#This Row],[True Cooling Capacity '[kW']]]-$V$10)^2/$V$11)</f>
        <v>459.77958666121026</v>
      </c>
      <c r="L78" s="41">
        <f>J78+$V$12*$V$13*SQRT(1+1/$V$9+(Tabelle62[[#This Row],[True Cooling Capacity '[kW']]]-$V$10)^2/$V$11)</f>
        <v>894.28008542737052</v>
      </c>
      <c r="M78" s="41">
        <f>J78-$V$12*$V$13*SQRT(1/$V$9+(Tabelle62[[#This Row],[True Cooling Capacity '[kW']]]-$V$10)^2/$V$11)</f>
        <v>658.40893587691437</v>
      </c>
      <c r="N78" s="42">
        <f>J78+$V$12*$V$13*SQRT(1/$V$9+(Tabelle62[[#This Row],[True Cooling Capacity '[kW']]]-$V$10)^2/$V$11)</f>
        <v>695.65073621166641</v>
      </c>
      <c r="O78" s="40">
        <v>11.95841151903775</v>
      </c>
      <c r="P78" s="41">
        <f>O78-$V$30*$V$31*SQRT(1+1/$V$27+(Tabelle62[[#This Row],[Vents]]-$V$28)^2/$V$29)</f>
        <v>8.3065919520789073</v>
      </c>
      <c r="Q78" s="41">
        <f>O78+$V$30*$V$31*SQRT(1+1/$V$27+(Tabelle62[[#This Row],[Vents]]-$V$28)^2/$V$29)</f>
        <v>15.610231085996592</v>
      </c>
      <c r="R78" s="41">
        <f>O78-$V$30*$V$31*SQRT(1/$V$27+(Tabelle62[[#This Row],[Vents]]-$V$28)^2/$V$29)</f>
        <v>11.535684942957513</v>
      </c>
      <c r="S78" s="41">
        <f>O78+$V$30*$V$31*SQRT(1/$V$27+(Tabelle62[[#This Row],[Vents]]-$V$28)^2/$V$29)</f>
        <v>12.381138095117986</v>
      </c>
    </row>
    <row r="79" spans="1:19" x14ac:dyDescent="0.3">
      <c r="A79" s="10" t="s">
        <v>110</v>
      </c>
      <c r="B79" s="10">
        <v>12</v>
      </c>
      <c r="C79" s="28">
        <f>(62.123*Tabelle62[[#This Row],[Vents]])-67.781</f>
        <v>677.69499999999994</v>
      </c>
      <c r="D79" s="7" t="s">
        <v>110</v>
      </c>
      <c r="E79" s="13">
        <v>12</v>
      </c>
      <c r="F79" s="12">
        <v>0</v>
      </c>
      <c r="G79" s="11">
        <v>0</v>
      </c>
      <c r="H79" s="25">
        <f>(62.123*Tabelle93[[#This Row],[Vents]])-67.781</f>
        <v>677.69499999999994</v>
      </c>
      <c r="I79" s="44">
        <f t="shared" si="1"/>
        <v>0</v>
      </c>
      <c r="J79" s="40">
        <v>677.02983604429039</v>
      </c>
      <c r="K79" s="41">
        <f>J79-$V$12*$V$13*SQRT(1+1/$V$9+(Tabelle62[[#This Row],[True Cooling Capacity '[kW']]]-$V$10)^2/$V$11)</f>
        <v>459.77958666121026</v>
      </c>
      <c r="L79" s="41">
        <f>J79+$V$12*$V$13*SQRT(1+1/$V$9+(Tabelle62[[#This Row],[True Cooling Capacity '[kW']]]-$V$10)^2/$V$11)</f>
        <v>894.28008542737052</v>
      </c>
      <c r="M79" s="41">
        <f>J79-$V$12*$V$13*SQRT(1/$V$9+(Tabelle62[[#This Row],[True Cooling Capacity '[kW']]]-$V$10)^2/$V$11)</f>
        <v>658.40893587691437</v>
      </c>
      <c r="N79" s="42">
        <f>J79+$V$12*$V$13*SQRT(1/$V$9+(Tabelle62[[#This Row],[True Cooling Capacity '[kW']]]-$V$10)^2/$V$11)</f>
        <v>695.65073621166641</v>
      </c>
      <c r="O79" s="40">
        <v>11.95841151903775</v>
      </c>
      <c r="P79" s="41">
        <f>O79-$V$30*$V$31*SQRT(1+1/$V$27+(Tabelle62[[#This Row],[Vents]]-$V$28)^2/$V$29)</f>
        <v>8.3065919520789073</v>
      </c>
      <c r="Q79" s="41">
        <f>O79+$V$30*$V$31*SQRT(1+1/$V$27+(Tabelle62[[#This Row],[Vents]]-$V$28)^2/$V$29)</f>
        <v>15.610231085996592</v>
      </c>
      <c r="R79" s="41">
        <f>O79-$V$30*$V$31*SQRT(1/$V$27+(Tabelle62[[#This Row],[Vents]]-$V$28)^2/$V$29)</f>
        <v>11.535684942957513</v>
      </c>
      <c r="S79" s="41">
        <f>O79+$V$30*$V$31*SQRT(1/$V$27+(Tabelle62[[#This Row],[Vents]]-$V$28)^2/$V$29)</f>
        <v>12.381138095117986</v>
      </c>
    </row>
    <row r="80" spans="1:19" x14ac:dyDescent="0.3">
      <c r="A80" s="10" t="s">
        <v>112</v>
      </c>
      <c r="B80" s="10">
        <v>4</v>
      </c>
      <c r="C80" s="28">
        <f>(62.123*Tabelle62[[#This Row],[Vents]])-67.781</f>
        <v>180.71099999999998</v>
      </c>
      <c r="D80" s="7" t="s">
        <v>112</v>
      </c>
      <c r="E80" s="13">
        <v>4</v>
      </c>
      <c r="F80" s="12">
        <v>0</v>
      </c>
      <c r="G80" s="11">
        <v>0</v>
      </c>
      <c r="H80" s="25">
        <f>(62.123*Tabelle93[[#This Row],[Vents]])-67.781</f>
        <v>180.71099999999998</v>
      </c>
      <c r="I80" s="44">
        <f t="shared" si="1"/>
        <v>0</v>
      </c>
      <c r="J80" s="40">
        <v>205.42431375761456</v>
      </c>
      <c r="K80" s="41">
        <f>J80-$V$12*$V$13*SQRT(1+1/$V$9+(Tabelle62[[#This Row],[True Cooling Capacity '[kW']]]-$V$10)^2/$V$11)</f>
        <v>-11.877317091750399</v>
      </c>
      <c r="L80" s="41">
        <f>J80+$V$12*$V$13*SQRT(1+1/$V$9+(Tabelle62[[#This Row],[True Cooling Capacity '[kW']]]-$V$10)^2/$V$11)</f>
        <v>422.72594460697951</v>
      </c>
      <c r="M80" s="41">
        <f>J80-$V$12*$V$13*SQRT(1/$V$9+(Tabelle62[[#This Row],[True Cooling Capacity '[kW']]]-$V$10)^2/$V$11)</f>
        <v>186.21322748362732</v>
      </c>
      <c r="N80" s="42">
        <f>J80+$V$12*$V$13*SQRT(1/$V$9+(Tabelle62[[#This Row],[True Cooling Capacity '[kW']]]-$V$10)^2/$V$11)</f>
        <v>224.63540003160179</v>
      </c>
      <c r="O80" s="40">
        <v>4.5324776891883545</v>
      </c>
      <c r="P80" s="41">
        <f>O80-$V$30*$V$31*SQRT(1+1/$V$27+(Tabelle62[[#This Row],[Vents]]-$V$28)^2/$V$29)</f>
        <v>0.88004521280589465</v>
      </c>
      <c r="Q80" s="41">
        <f>O80+$V$30*$V$31*SQRT(1+1/$V$27+(Tabelle62[[#This Row],[Vents]]-$V$28)^2/$V$29)</f>
        <v>8.1849101655708143</v>
      </c>
      <c r="R80" s="41">
        <f>O80-$V$30*$V$31*SQRT(1/$V$27+(Tabelle62[[#This Row],[Vents]]-$V$28)^2/$V$29)</f>
        <v>4.1044886670927294</v>
      </c>
      <c r="S80" s="41">
        <f>O80+$V$30*$V$31*SQRT(1/$V$27+(Tabelle62[[#This Row],[Vents]]-$V$28)^2/$V$29)</f>
        <v>4.9604667112839795</v>
      </c>
    </row>
    <row r="81" spans="1:19" x14ac:dyDescent="0.3">
      <c r="A81" s="10" t="s">
        <v>128</v>
      </c>
      <c r="B81" s="10">
        <v>4</v>
      </c>
      <c r="C81" s="28">
        <f>(62.123*Tabelle62[[#This Row],[Vents]])-67.781</f>
        <v>180.71099999999998</v>
      </c>
      <c r="D81" s="7" t="s">
        <v>128</v>
      </c>
      <c r="E81" s="13">
        <v>4</v>
      </c>
      <c r="F81" s="12">
        <v>0</v>
      </c>
      <c r="G81" s="11">
        <v>0</v>
      </c>
      <c r="H81" s="25">
        <f>(62.123*Tabelle93[[#This Row],[Vents]])-67.781</f>
        <v>180.71099999999998</v>
      </c>
      <c r="I81" s="44">
        <f t="shared" si="1"/>
        <v>0</v>
      </c>
      <c r="J81" s="40">
        <v>205.42431375761456</v>
      </c>
      <c r="K81" s="41">
        <f>J81-$V$12*$V$13*SQRT(1+1/$V$9+(Tabelle62[[#This Row],[True Cooling Capacity '[kW']]]-$V$10)^2/$V$11)</f>
        <v>-11.877317091750399</v>
      </c>
      <c r="L81" s="41">
        <f>J81+$V$12*$V$13*SQRT(1+1/$V$9+(Tabelle62[[#This Row],[True Cooling Capacity '[kW']]]-$V$10)^2/$V$11)</f>
        <v>422.72594460697951</v>
      </c>
      <c r="M81" s="41">
        <f>J81-$V$12*$V$13*SQRT(1/$V$9+(Tabelle62[[#This Row],[True Cooling Capacity '[kW']]]-$V$10)^2/$V$11)</f>
        <v>186.21322748362732</v>
      </c>
      <c r="N81" s="42">
        <f>J81+$V$12*$V$13*SQRT(1/$V$9+(Tabelle62[[#This Row],[True Cooling Capacity '[kW']]]-$V$10)^2/$V$11)</f>
        <v>224.63540003160179</v>
      </c>
      <c r="O81" s="40">
        <v>4.5324776891883545</v>
      </c>
      <c r="P81" s="41">
        <f>O81-$V$30*$V$31*SQRT(1+1/$V$27+(Tabelle62[[#This Row],[Vents]]-$V$28)^2/$V$29)</f>
        <v>0.88004521280589465</v>
      </c>
      <c r="Q81" s="41">
        <f>O81+$V$30*$V$31*SQRT(1+1/$V$27+(Tabelle62[[#This Row],[Vents]]-$V$28)^2/$V$29)</f>
        <v>8.1849101655708143</v>
      </c>
      <c r="R81" s="41">
        <f>O81-$V$30*$V$31*SQRT(1/$V$27+(Tabelle62[[#This Row],[Vents]]-$V$28)^2/$V$29)</f>
        <v>4.1044886670927294</v>
      </c>
      <c r="S81" s="41">
        <f>O81+$V$30*$V$31*SQRT(1/$V$27+(Tabelle62[[#This Row],[Vents]]-$V$28)^2/$V$29)</f>
        <v>4.9604667112839795</v>
      </c>
    </row>
    <row r="82" spans="1:19" x14ac:dyDescent="0.3">
      <c r="A82" s="10" t="s">
        <v>132</v>
      </c>
      <c r="B82" s="10">
        <v>5</v>
      </c>
      <c r="C82" s="28">
        <f>(62.123*Tabelle62[[#This Row],[Vents]])-67.781</f>
        <v>242.834</v>
      </c>
      <c r="D82" s="7" t="s">
        <v>132</v>
      </c>
      <c r="E82" s="13">
        <v>5</v>
      </c>
      <c r="F82" s="12">
        <v>0</v>
      </c>
      <c r="G82" s="11">
        <v>0</v>
      </c>
      <c r="H82" s="25">
        <f>(62.123*Tabelle93[[#This Row],[Vents]])-67.781</f>
        <v>242.834</v>
      </c>
      <c r="I82" s="44">
        <f t="shared" si="1"/>
        <v>0</v>
      </c>
      <c r="J82" s="40">
        <v>264.37500404344905</v>
      </c>
      <c r="K82" s="41">
        <f>J82-$V$12*$V$13*SQRT(1+1/$V$9+(Tabelle62[[#This Row],[True Cooling Capacity '[kW']]]-$V$10)^2/$V$11)</f>
        <v>47.223569732117369</v>
      </c>
      <c r="L82" s="41">
        <f>J82+$V$12*$V$13*SQRT(1+1/$V$9+(Tabelle62[[#This Row],[True Cooling Capacity '[kW']]]-$V$10)^2/$V$11)</f>
        <v>481.52643835478074</v>
      </c>
      <c r="M82" s="41">
        <f>J82-$V$12*$V$13*SQRT(1/$V$9+(Tabelle62[[#This Row],[True Cooling Capacity '[kW']]]-$V$10)^2/$V$11)</f>
        <v>246.94478633105379</v>
      </c>
      <c r="N82" s="42">
        <f>J82+$V$12*$V$13*SQRT(1/$V$9+(Tabelle62[[#This Row],[True Cooling Capacity '[kW']]]-$V$10)^2/$V$11)</f>
        <v>281.80522175584429</v>
      </c>
      <c r="O82" s="40">
        <v>5.4607194179195293</v>
      </c>
      <c r="P82" s="41">
        <f>O82-$V$30*$V$31*SQRT(1+1/$V$27+(Tabelle62[[#This Row],[Vents]]-$V$28)^2/$V$29)</f>
        <v>1.8083641718217724</v>
      </c>
      <c r="Q82" s="41">
        <f>O82+$V$30*$V$31*SQRT(1+1/$V$27+(Tabelle62[[#This Row],[Vents]]-$V$28)^2/$V$29)</f>
        <v>9.1130746640172866</v>
      </c>
      <c r="R82" s="41">
        <f>O82-$V$30*$V$31*SQRT(1/$V$27+(Tabelle62[[#This Row],[Vents]]-$V$28)^2/$V$29)</f>
        <v>5.0333899756868821</v>
      </c>
      <c r="S82" s="41">
        <f>O82+$V$30*$V$31*SQRT(1/$V$27+(Tabelle62[[#This Row],[Vents]]-$V$28)^2/$V$29)</f>
        <v>5.8880488601521765</v>
      </c>
    </row>
    <row r="83" spans="1:19" x14ac:dyDescent="0.3">
      <c r="A83" s="10" t="s">
        <v>130</v>
      </c>
      <c r="B83" s="10">
        <v>4</v>
      </c>
      <c r="C83" s="28">
        <f>(62.123*Tabelle62[[#This Row],[Vents]])-67.781</f>
        <v>180.71099999999998</v>
      </c>
      <c r="D83" s="7" t="s">
        <v>130</v>
      </c>
      <c r="E83" s="13">
        <v>4</v>
      </c>
      <c r="F83" s="12">
        <v>0</v>
      </c>
      <c r="G83" s="11">
        <v>0</v>
      </c>
      <c r="H83" s="25">
        <f>(62.123*Tabelle93[[#This Row],[Vents]])-67.781</f>
        <v>180.71099999999998</v>
      </c>
      <c r="I83" s="44">
        <f t="shared" si="1"/>
        <v>0</v>
      </c>
      <c r="J83" s="40">
        <v>205.42431375761456</v>
      </c>
      <c r="K83" s="41">
        <f>J83-$V$12*$V$13*SQRT(1+1/$V$9+(Tabelle62[[#This Row],[True Cooling Capacity '[kW']]]-$V$10)^2/$V$11)</f>
        <v>-11.877317091750399</v>
      </c>
      <c r="L83" s="41">
        <f>J83+$V$12*$V$13*SQRT(1+1/$V$9+(Tabelle62[[#This Row],[True Cooling Capacity '[kW']]]-$V$10)^2/$V$11)</f>
        <v>422.72594460697951</v>
      </c>
      <c r="M83" s="41">
        <f>J83-$V$12*$V$13*SQRT(1/$V$9+(Tabelle62[[#This Row],[True Cooling Capacity '[kW']]]-$V$10)^2/$V$11)</f>
        <v>186.21322748362732</v>
      </c>
      <c r="N83" s="42">
        <f>J83+$V$12*$V$13*SQRT(1/$V$9+(Tabelle62[[#This Row],[True Cooling Capacity '[kW']]]-$V$10)^2/$V$11)</f>
        <v>224.63540003160179</v>
      </c>
      <c r="O83" s="40">
        <v>4.5324776891883545</v>
      </c>
      <c r="P83" s="41">
        <f>O83-$V$30*$V$31*SQRT(1+1/$V$27+(Tabelle62[[#This Row],[Vents]]-$V$28)^2/$V$29)</f>
        <v>0.88004521280589465</v>
      </c>
      <c r="Q83" s="41">
        <f>O83+$V$30*$V$31*SQRT(1+1/$V$27+(Tabelle62[[#This Row],[Vents]]-$V$28)^2/$V$29)</f>
        <v>8.1849101655708143</v>
      </c>
      <c r="R83" s="41">
        <f>O83-$V$30*$V$31*SQRT(1/$V$27+(Tabelle62[[#This Row],[Vents]]-$V$28)^2/$V$29)</f>
        <v>4.1044886670927294</v>
      </c>
      <c r="S83" s="41">
        <f>O83+$V$30*$V$31*SQRT(1/$V$27+(Tabelle62[[#This Row],[Vents]]-$V$28)^2/$V$29)</f>
        <v>4.9604667112839795</v>
      </c>
    </row>
    <row r="84" spans="1:19" x14ac:dyDescent="0.3">
      <c r="A84" s="10" t="s">
        <v>127</v>
      </c>
      <c r="B84" s="10">
        <v>4</v>
      </c>
      <c r="C84" s="28">
        <f>(62.123*Tabelle62[[#This Row],[Vents]])-67.781</f>
        <v>180.71099999999998</v>
      </c>
      <c r="D84" s="7" t="s">
        <v>127</v>
      </c>
      <c r="E84" s="13">
        <v>6</v>
      </c>
      <c r="F84" s="12">
        <v>2</v>
      </c>
      <c r="G84" s="11">
        <v>4</v>
      </c>
      <c r="H84" s="25">
        <f>(62.123*Tabelle93[[#This Row],[Vents]])-67.781</f>
        <v>304.95699999999999</v>
      </c>
      <c r="I84" s="44">
        <f t="shared" si="1"/>
        <v>15437.068516000003</v>
      </c>
      <c r="J84" s="40">
        <v>205.42431375761456</v>
      </c>
      <c r="K84" s="41">
        <f>J84-$V$12*$V$13*SQRT(1+1/$V$9+(Tabelle62[[#This Row],[True Cooling Capacity '[kW']]]-$V$10)^2/$V$11)</f>
        <v>-11.877317091750399</v>
      </c>
      <c r="L84" s="41">
        <f>J84+$V$12*$V$13*SQRT(1+1/$V$9+(Tabelle62[[#This Row],[True Cooling Capacity '[kW']]]-$V$10)^2/$V$11)</f>
        <v>422.72594460697951</v>
      </c>
      <c r="M84" s="41">
        <f>J84-$V$12*$V$13*SQRT(1/$V$9+(Tabelle62[[#This Row],[True Cooling Capacity '[kW']]]-$V$10)^2/$V$11)</f>
        <v>186.21322748362732</v>
      </c>
      <c r="N84" s="42">
        <f>J84+$V$12*$V$13*SQRT(1/$V$9+(Tabelle62[[#This Row],[True Cooling Capacity '[kW']]]-$V$10)^2/$V$11)</f>
        <v>224.63540003160179</v>
      </c>
      <c r="O84" s="40">
        <v>4.5324776891883545</v>
      </c>
      <c r="P84" s="41">
        <f>O84-$V$30*$V$31*SQRT(1+1/$V$27+(Tabelle62[[#This Row],[Vents]]-$V$28)^2/$V$29)</f>
        <v>0.88004521280589465</v>
      </c>
      <c r="Q84" s="41">
        <f>O84+$V$30*$V$31*SQRT(1+1/$V$27+(Tabelle62[[#This Row],[Vents]]-$V$28)^2/$V$29)</f>
        <v>8.1849101655708143</v>
      </c>
      <c r="R84" s="41">
        <f>O84-$V$30*$V$31*SQRT(1/$V$27+(Tabelle62[[#This Row],[Vents]]-$V$28)^2/$V$29)</f>
        <v>4.1044886670927294</v>
      </c>
      <c r="S84" s="41">
        <f>O84+$V$30*$V$31*SQRT(1/$V$27+(Tabelle62[[#This Row],[Vents]]-$V$28)^2/$V$29)</f>
        <v>4.9604667112839795</v>
      </c>
    </row>
    <row r="85" spans="1:19" x14ac:dyDescent="0.3">
      <c r="A85" s="10" t="s">
        <v>131</v>
      </c>
      <c r="B85" s="10">
        <v>4</v>
      </c>
      <c r="C85" s="28">
        <f>(62.123*Tabelle62[[#This Row],[Vents]])-67.781</f>
        <v>180.71099999999998</v>
      </c>
      <c r="D85" s="7" t="s">
        <v>131</v>
      </c>
      <c r="E85" s="13">
        <v>4</v>
      </c>
      <c r="F85" s="12">
        <v>0</v>
      </c>
      <c r="G85" s="11">
        <v>0</v>
      </c>
      <c r="H85" s="25">
        <f>(62.123*Tabelle93[[#This Row],[Vents]])-67.781</f>
        <v>180.71099999999998</v>
      </c>
      <c r="I85" s="44">
        <f t="shared" si="1"/>
        <v>0</v>
      </c>
      <c r="J85" s="40">
        <v>205.42431375761456</v>
      </c>
      <c r="K85" s="41">
        <f>J85-$V$12*$V$13*SQRT(1+1/$V$9+(Tabelle62[[#This Row],[True Cooling Capacity '[kW']]]-$V$10)^2/$V$11)</f>
        <v>-11.877317091750399</v>
      </c>
      <c r="L85" s="41">
        <f>J85+$V$12*$V$13*SQRT(1+1/$V$9+(Tabelle62[[#This Row],[True Cooling Capacity '[kW']]]-$V$10)^2/$V$11)</f>
        <v>422.72594460697951</v>
      </c>
      <c r="M85" s="41">
        <f>J85-$V$12*$V$13*SQRT(1/$V$9+(Tabelle62[[#This Row],[True Cooling Capacity '[kW']]]-$V$10)^2/$V$11)</f>
        <v>186.21322748362732</v>
      </c>
      <c r="N85" s="42">
        <f>J85+$V$12*$V$13*SQRT(1/$V$9+(Tabelle62[[#This Row],[True Cooling Capacity '[kW']]]-$V$10)^2/$V$11)</f>
        <v>224.63540003160179</v>
      </c>
      <c r="O85" s="40">
        <v>4.5324776891883545</v>
      </c>
      <c r="P85" s="41">
        <f>O85-$V$30*$V$31*SQRT(1+1/$V$27+(Tabelle62[[#This Row],[Vents]]-$V$28)^2/$V$29)</f>
        <v>0.88004521280589465</v>
      </c>
      <c r="Q85" s="41">
        <f>O85+$V$30*$V$31*SQRT(1+1/$V$27+(Tabelle62[[#This Row],[Vents]]-$V$28)^2/$V$29)</f>
        <v>8.1849101655708143</v>
      </c>
      <c r="R85" s="41">
        <f>O85-$V$30*$V$31*SQRT(1/$V$27+(Tabelle62[[#This Row],[Vents]]-$V$28)^2/$V$29)</f>
        <v>4.1044886670927294</v>
      </c>
      <c r="S85" s="41">
        <f>O85+$V$30*$V$31*SQRT(1/$V$27+(Tabelle62[[#This Row],[Vents]]-$V$28)^2/$V$29)</f>
        <v>4.9604667112839795</v>
      </c>
    </row>
    <row r="86" spans="1:19" x14ac:dyDescent="0.3">
      <c r="A86" s="10" t="s">
        <v>126</v>
      </c>
      <c r="B86" s="10">
        <v>4</v>
      </c>
      <c r="C86" s="28">
        <f>(62.123*Tabelle62[[#This Row],[Vents]])-67.781</f>
        <v>180.71099999999998</v>
      </c>
      <c r="D86" s="7" t="s">
        <v>126</v>
      </c>
      <c r="E86" s="13">
        <v>3</v>
      </c>
      <c r="F86" s="12">
        <v>-1</v>
      </c>
      <c r="G86" s="11">
        <v>1</v>
      </c>
      <c r="H86" s="25">
        <f>(62.123*Tabelle93[[#This Row],[Vents]])-67.781</f>
        <v>118.58799999999999</v>
      </c>
      <c r="I86" s="44">
        <f t="shared" si="1"/>
        <v>3859.2671289999989</v>
      </c>
      <c r="J86" s="40">
        <v>205.42431375761456</v>
      </c>
      <c r="K86" s="41">
        <f>J86-$V$12*$V$13*SQRT(1+1/$V$9+(Tabelle62[[#This Row],[True Cooling Capacity '[kW']]]-$V$10)^2/$V$11)</f>
        <v>-11.877317091750399</v>
      </c>
      <c r="L86" s="41">
        <f>J86+$V$12*$V$13*SQRT(1+1/$V$9+(Tabelle62[[#This Row],[True Cooling Capacity '[kW']]]-$V$10)^2/$V$11)</f>
        <v>422.72594460697951</v>
      </c>
      <c r="M86" s="41">
        <f>J86-$V$12*$V$13*SQRT(1/$V$9+(Tabelle62[[#This Row],[True Cooling Capacity '[kW']]]-$V$10)^2/$V$11)</f>
        <v>186.21322748362732</v>
      </c>
      <c r="N86" s="42">
        <f>J86+$V$12*$V$13*SQRT(1/$V$9+(Tabelle62[[#This Row],[True Cooling Capacity '[kW']]]-$V$10)^2/$V$11)</f>
        <v>224.63540003160179</v>
      </c>
      <c r="O86" s="40">
        <v>4.5324776891883545</v>
      </c>
      <c r="P86" s="41">
        <f>O86-$V$30*$V$31*SQRT(1+1/$V$27+(Tabelle62[[#This Row],[Vents]]-$V$28)^2/$V$29)</f>
        <v>0.88004521280589465</v>
      </c>
      <c r="Q86" s="41">
        <f>O86+$V$30*$V$31*SQRT(1+1/$V$27+(Tabelle62[[#This Row],[Vents]]-$V$28)^2/$V$29)</f>
        <v>8.1849101655708143</v>
      </c>
      <c r="R86" s="41">
        <f>O86-$V$30*$V$31*SQRT(1/$V$27+(Tabelle62[[#This Row],[Vents]]-$V$28)^2/$V$29)</f>
        <v>4.1044886670927294</v>
      </c>
      <c r="S86" s="41">
        <f>O86+$V$30*$V$31*SQRT(1/$V$27+(Tabelle62[[#This Row],[Vents]]-$V$28)^2/$V$29)</f>
        <v>4.9604667112839795</v>
      </c>
    </row>
    <row r="87" spans="1:19" x14ac:dyDescent="0.3">
      <c r="A87" s="10" t="s">
        <v>129</v>
      </c>
      <c r="B87" s="10">
        <v>7</v>
      </c>
      <c r="C87" s="28">
        <f>(62.123*Tabelle62[[#This Row],[Vents]])-67.781</f>
        <v>367.08</v>
      </c>
      <c r="D87" s="7" t="s">
        <v>129</v>
      </c>
      <c r="E87" s="13">
        <v>6</v>
      </c>
      <c r="F87" s="12">
        <v>-1</v>
      </c>
      <c r="G87" s="11">
        <v>1</v>
      </c>
      <c r="H87" s="25">
        <f>(62.123*Tabelle93[[#This Row],[Vents]])-67.781</f>
        <v>304.95699999999999</v>
      </c>
      <c r="I87" s="44">
        <f t="shared" si="1"/>
        <v>3859.2671289999989</v>
      </c>
      <c r="J87" s="40">
        <v>382.27638461511805</v>
      </c>
      <c r="K87" s="41">
        <f>J87-$V$12*$V$13*SQRT(1+1/$V$9+(Tabelle62[[#This Row],[True Cooling Capacity '[kW']]]-$V$10)^2/$V$11)</f>
        <v>165.30224354260216</v>
      </c>
      <c r="L87" s="41">
        <f>J87+$V$12*$V$13*SQRT(1+1/$V$9+(Tabelle62[[#This Row],[True Cooling Capacity '[kW']]]-$V$10)^2/$V$11)</f>
        <v>599.25052568763397</v>
      </c>
      <c r="M87" s="41">
        <f>J87-$V$12*$V$13*SQRT(1/$V$9+(Tabelle62[[#This Row],[True Cooling Capacity '[kW']]]-$V$10)^2/$V$11)</f>
        <v>367.21501149747314</v>
      </c>
      <c r="N87" s="42">
        <f>J87+$V$12*$V$13*SQRT(1/$V$9+(Tabelle62[[#This Row],[True Cooling Capacity '[kW']]]-$V$10)^2/$V$11)</f>
        <v>397.33775773276295</v>
      </c>
      <c r="O87" s="40">
        <v>7.3172028753818781</v>
      </c>
      <c r="P87" s="41">
        <f>O87-$V$30*$V$31*SQRT(1+1/$V$27+(Tabelle62[[#This Row],[Vents]]-$V$28)^2/$V$29)</f>
        <v>3.6650015613890177</v>
      </c>
      <c r="Q87" s="41">
        <f>O87+$V$30*$V$31*SQRT(1+1/$V$27+(Tabelle62[[#This Row],[Vents]]-$V$28)^2/$V$29)</f>
        <v>10.969404189374739</v>
      </c>
      <c r="R87" s="41">
        <f>O87-$V$30*$V$31*SQRT(1/$V$27+(Tabelle62[[#This Row],[Vents]]-$V$28)^2/$V$29)</f>
        <v>6.8911910839579384</v>
      </c>
      <c r="S87" s="41">
        <f>O87+$V$30*$V$31*SQRT(1/$V$27+(Tabelle62[[#This Row],[Vents]]-$V$28)^2/$V$29)</f>
        <v>7.7432146668058177</v>
      </c>
    </row>
    <row r="88" spans="1:19" x14ac:dyDescent="0.3">
      <c r="A88" s="10" t="s">
        <v>123</v>
      </c>
      <c r="B88" s="10">
        <v>8</v>
      </c>
      <c r="C88" s="28">
        <f>(62.123*Tabelle62[[#This Row],[Vents]])-67.781</f>
        <v>429.20299999999997</v>
      </c>
      <c r="D88" s="7" t="s">
        <v>123</v>
      </c>
      <c r="E88" s="13">
        <v>9</v>
      </c>
      <c r="F88" s="12">
        <v>1</v>
      </c>
      <c r="G88" s="11">
        <v>1</v>
      </c>
      <c r="H88" s="25">
        <f>(62.123*Tabelle93[[#This Row],[Vents]])-67.781</f>
        <v>491.32599999999996</v>
      </c>
      <c r="I88" s="44">
        <f t="shared" si="1"/>
        <v>3859.2671289999989</v>
      </c>
      <c r="J88" s="40">
        <v>441.22707490095252</v>
      </c>
      <c r="K88" s="41">
        <f>J88-$V$12*$V$13*SQRT(1+1/$V$9+(Tabelle62[[#This Row],[True Cooling Capacity '[kW']]]-$V$10)^2/$V$11)</f>
        <v>224.27992992972105</v>
      </c>
      <c r="L88" s="41">
        <f>J88+$V$12*$V$13*SQRT(1+1/$V$9+(Tabelle62[[#This Row],[True Cooling Capacity '[kW']]]-$V$10)^2/$V$11)</f>
        <v>658.17421987218404</v>
      </c>
      <c r="M88" s="41">
        <f>J88-$V$12*$V$13*SQRT(1/$V$9+(Tabelle62[[#This Row],[True Cooling Capacity '[kW']]]-$V$10)^2/$V$11)</f>
        <v>426.55973781471158</v>
      </c>
      <c r="N88" s="42">
        <f>J88+$V$12*$V$13*SQRT(1/$V$9+(Tabelle62[[#This Row],[True Cooling Capacity '[kW']]]-$V$10)^2/$V$11)</f>
        <v>455.89441198719345</v>
      </c>
      <c r="O88" s="40">
        <v>8.245444604113052</v>
      </c>
      <c r="P88" s="41">
        <f>O88-$V$30*$V$31*SQRT(1+1/$V$27+(Tabelle62[[#This Row],[Vents]]-$V$28)^2/$V$29)</f>
        <v>4.5933199919181114</v>
      </c>
      <c r="Q88" s="41">
        <f>O88+$V$30*$V$31*SQRT(1+1/$V$27+(Tabelle62[[#This Row],[Vents]]-$V$28)^2/$V$29)</f>
        <v>11.897569216307993</v>
      </c>
      <c r="R88" s="41">
        <f>O88-$V$30*$V$31*SQRT(1/$V$27+(Tabelle62[[#This Row],[Vents]]-$V$28)^2/$V$29)</f>
        <v>7.8200908789605537</v>
      </c>
      <c r="S88" s="41">
        <f>O88+$V$30*$V$31*SQRT(1/$V$27+(Tabelle62[[#This Row],[Vents]]-$V$28)^2/$V$29)</f>
        <v>8.6707983292655495</v>
      </c>
    </row>
    <row r="89" spans="1:19" x14ac:dyDescent="0.3">
      <c r="A89" s="10" t="s">
        <v>122</v>
      </c>
      <c r="B89" s="10">
        <v>8</v>
      </c>
      <c r="C89" s="28">
        <f>(62.123*Tabelle62[[#This Row],[Vents]])-67.781</f>
        <v>429.20299999999997</v>
      </c>
      <c r="D89" s="7" t="s">
        <v>122</v>
      </c>
      <c r="E89" s="13">
        <v>8</v>
      </c>
      <c r="F89" s="12">
        <v>0</v>
      </c>
      <c r="G89" s="11">
        <v>0</v>
      </c>
      <c r="H89" s="25">
        <f>(62.123*Tabelle93[[#This Row],[Vents]])-67.781</f>
        <v>429.20299999999997</v>
      </c>
      <c r="I89" s="44">
        <f t="shared" si="1"/>
        <v>0</v>
      </c>
      <c r="J89" s="40">
        <v>441.22707490095252</v>
      </c>
      <c r="K89" s="41">
        <f>J89-$V$12*$V$13*SQRT(1+1/$V$9+(Tabelle62[[#This Row],[True Cooling Capacity '[kW']]]-$V$10)^2/$V$11)</f>
        <v>224.27992992972105</v>
      </c>
      <c r="L89" s="41">
        <f>J89+$V$12*$V$13*SQRT(1+1/$V$9+(Tabelle62[[#This Row],[True Cooling Capacity '[kW']]]-$V$10)^2/$V$11)</f>
        <v>658.17421987218404</v>
      </c>
      <c r="M89" s="41">
        <f>J89-$V$12*$V$13*SQRT(1/$V$9+(Tabelle62[[#This Row],[True Cooling Capacity '[kW']]]-$V$10)^2/$V$11)</f>
        <v>426.55973781471158</v>
      </c>
      <c r="N89" s="42">
        <f>J89+$V$12*$V$13*SQRT(1/$V$9+(Tabelle62[[#This Row],[True Cooling Capacity '[kW']]]-$V$10)^2/$V$11)</f>
        <v>455.89441198719345</v>
      </c>
      <c r="O89" s="40">
        <v>8.245444604113052</v>
      </c>
      <c r="P89" s="41">
        <f>O89-$V$30*$V$31*SQRT(1+1/$V$27+(Tabelle62[[#This Row],[Vents]]-$V$28)^2/$V$29)</f>
        <v>4.5933199919181114</v>
      </c>
      <c r="Q89" s="41">
        <f>O89+$V$30*$V$31*SQRT(1+1/$V$27+(Tabelle62[[#This Row],[Vents]]-$V$28)^2/$V$29)</f>
        <v>11.897569216307993</v>
      </c>
      <c r="R89" s="41">
        <f>O89-$V$30*$V$31*SQRT(1/$V$27+(Tabelle62[[#This Row],[Vents]]-$V$28)^2/$V$29)</f>
        <v>7.8200908789605537</v>
      </c>
      <c r="S89" s="41">
        <f>O89+$V$30*$V$31*SQRT(1/$V$27+(Tabelle62[[#This Row],[Vents]]-$V$28)^2/$V$29)</f>
        <v>8.6707983292655495</v>
      </c>
    </row>
    <row r="90" spans="1:19" x14ac:dyDescent="0.3">
      <c r="A90" s="10" t="s">
        <v>117</v>
      </c>
      <c r="B90" s="10">
        <v>2</v>
      </c>
      <c r="C90" s="28">
        <f>(62.123*Tabelle62[[#This Row],[Vents]])-67.781</f>
        <v>56.464999999999989</v>
      </c>
      <c r="D90" s="7" t="s">
        <v>117</v>
      </c>
      <c r="E90" s="13">
        <v>2</v>
      </c>
      <c r="F90" s="12">
        <v>0</v>
      </c>
      <c r="G90" s="11">
        <v>0</v>
      </c>
      <c r="H90" s="25">
        <f>(62.123*Tabelle93[[#This Row],[Vents]])-67.781</f>
        <v>56.464999999999989</v>
      </c>
      <c r="I90" s="44">
        <f t="shared" si="1"/>
        <v>0</v>
      </c>
      <c r="J90" s="40">
        <v>87.522933185945604</v>
      </c>
      <c r="K90" s="41">
        <f>J90-$V$12*$V$13*SQRT(1+1/$V$9+(Tabelle62[[#This Row],[True Cooling Capacity '[kW']]]-$V$10)^2/$V$11)</f>
        <v>-130.20176597742778</v>
      </c>
      <c r="L90" s="41">
        <f>J90+$V$12*$V$13*SQRT(1+1/$V$9+(Tabelle62[[#This Row],[True Cooling Capacity '[kW']]]-$V$10)^2/$V$11)</f>
        <v>305.24763234931896</v>
      </c>
      <c r="M90" s="41">
        <f>J90-$V$12*$V$13*SQRT(1/$V$9+(Tabelle62[[#This Row],[True Cooling Capacity '[kW']]]-$V$10)^2/$V$11)</f>
        <v>64.004606463699091</v>
      </c>
      <c r="N90" s="42">
        <f>J90+$V$12*$V$13*SQRT(1/$V$9+(Tabelle62[[#This Row],[True Cooling Capacity '[kW']]]-$V$10)^2/$V$11)</f>
        <v>111.04125990819212</v>
      </c>
      <c r="O90" s="40">
        <v>2.6759942317260066</v>
      </c>
      <c r="P90" s="41">
        <f>O90-$V$30*$V$31*SQRT(1+1/$V$27+(Tabelle62[[#This Row],[Vents]]-$V$28)^2/$V$29)</f>
        <v>-0.97659323363450046</v>
      </c>
      <c r="Q90" s="41">
        <f>O90+$V$30*$V$31*SQRT(1+1/$V$27+(Tabelle62[[#This Row],[Vents]]-$V$28)^2/$V$29)</f>
        <v>6.3285816970865136</v>
      </c>
      <c r="R90" s="41">
        <f>O90-$V$30*$V$31*SQRT(1/$V$27+(Tabelle62[[#This Row],[Vents]]-$V$28)^2/$V$29)</f>
        <v>2.2466845525784782</v>
      </c>
      <c r="S90" s="41">
        <f>O90+$V$30*$V$31*SQRT(1/$V$27+(Tabelle62[[#This Row],[Vents]]-$V$28)^2/$V$29)</f>
        <v>3.105303910873535</v>
      </c>
    </row>
    <row r="91" spans="1:19" x14ac:dyDescent="0.3">
      <c r="A91" s="10" t="s">
        <v>120</v>
      </c>
      <c r="B91" s="10">
        <v>0</v>
      </c>
      <c r="C91" s="28">
        <v>0</v>
      </c>
      <c r="D91" s="7" t="s">
        <v>120</v>
      </c>
      <c r="E91" s="13">
        <v>3</v>
      </c>
      <c r="F91" s="12">
        <v>3</v>
      </c>
      <c r="G91" s="11">
        <v>9</v>
      </c>
      <c r="H91" s="25">
        <f>(62.123*Tabelle93[[#This Row],[Vents]])-67.781</f>
        <v>118.58799999999999</v>
      </c>
      <c r="I91" s="44">
        <f t="shared" si="1"/>
        <v>14063.113743999998</v>
      </c>
      <c r="J91" s="40">
        <v>33.941317246766175</v>
      </c>
      <c r="K91" s="41">
        <f>J91-$V$12*$V$13*SQRT(1+1/$V$9+(Tabelle62[[#This Row],[True Cooling Capacity '[kW']]]-$V$10)^2/$V$11)</f>
        <v>-184.0295045221722</v>
      </c>
      <c r="L91" s="41">
        <f>J91+$V$12*$V$13*SQRT(1+1/$V$9+(Tabelle62[[#This Row],[True Cooling Capacity '[kW']]]-$V$10)^2/$V$11)</f>
        <v>251.91213901570455</v>
      </c>
      <c r="M91" s="41">
        <f>J91-$V$12*$V$13*SQRT(1/$V$9+(Tabelle62[[#This Row],[True Cooling Capacity '[kW']]]-$V$10)^2/$V$11)</f>
        <v>8.2441148959422534</v>
      </c>
      <c r="N91" s="42">
        <f>J91+$V$12*$V$13*SQRT(1/$V$9+(Tabelle62[[#This Row],[True Cooling Capacity '[kW']]]-$V$10)^2/$V$11)</f>
        <v>59.638519597590097</v>
      </c>
      <c r="O91" s="40">
        <v>0.81951077426365782</v>
      </c>
      <c r="P91" s="41">
        <f>O91-$V$30*$V$31*SQRT(1+1/$V$27+(Tabelle62[[#This Row],[Vents]]-$V$28)^2/$V$29)</f>
        <v>-2.8332323845449721</v>
      </c>
      <c r="Q91" s="41">
        <f>O91+$V$30*$V$31*SQRT(1+1/$V$27+(Tabelle62[[#This Row],[Vents]]-$V$28)^2/$V$29)</f>
        <v>4.4722539330722881</v>
      </c>
      <c r="R91" s="41">
        <f>O91-$V$30*$V$31*SQRT(1/$V$27+(Tabelle62[[#This Row],[Vents]]-$V$28)^2/$V$29)</f>
        <v>0.38887845693911371</v>
      </c>
      <c r="S91" s="41">
        <f>O91+$V$30*$V$31*SQRT(1/$V$27+(Tabelle62[[#This Row],[Vents]]-$V$28)^2/$V$29)</f>
        <v>1.2501430915882019</v>
      </c>
    </row>
    <row r="92" spans="1:19" x14ac:dyDescent="0.3">
      <c r="A92" s="10" t="s">
        <v>125</v>
      </c>
      <c r="B92" s="10">
        <v>0</v>
      </c>
      <c r="C92" s="28">
        <v>0</v>
      </c>
      <c r="D92" s="7" t="s">
        <v>125</v>
      </c>
      <c r="E92" s="13">
        <v>5</v>
      </c>
      <c r="F92" s="12">
        <v>5</v>
      </c>
      <c r="G92" s="11">
        <v>25</v>
      </c>
      <c r="H92" s="25">
        <f>(62.123*Tabelle93[[#This Row],[Vents]])-67.781</f>
        <v>242.834</v>
      </c>
      <c r="I92" s="44">
        <f t="shared" si="1"/>
        <v>58968.351556000001</v>
      </c>
      <c r="J92" s="40">
        <v>33.941317246766175</v>
      </c>
      <c r="K92" s="41">
        <f>J92-$V$12*$V$13*SQRT(1+1/$V$9+(Tabelle62[[#This Row],[True Cooling Capacity '[kW']]]-$V$10)^2/$V$11)</f>
        <v>-184.0295045221722</v>
      </c>
      <c r="L92" s="41">
        <f>J92+$V$12*$V$13*SQRT(1+1/$V$9+(Tabelle62[[#This Row],[True Cooling Capacity '[kW']]]-$V$10)^2/$V$11)</f>
        <v>251.91213901570455</v>
      </c>
      <c r="M92" s="41">
        <f>J92-$V$12*$V$13*SQRT(1/$V$9+(Tabelle62[[#This Row],[True Cooling Capacity '[kW']]]-$V$10)^2/$V$11)</f>
        <v>8.2441148959422534</v>
      </c>
      <c r="N92" s="42">
        <f>J92+$V$12*$V$13*SQRT(1/$V$9+(Tabelle62[[#This Row],[True Cooling Capacity '[kW']]]-$V$10)^2/$V$11)</f>
        <v>59.638519597590097</v>
      </c>
      <c r="O92" s="40">
        <v>0.81951077426365782</v>
      </c>
      <c r="P92" s="41">
        <f>O92-$V$30*$V$31*SQRT(1+1/$V$27+(Tabelle62[[#This Row],[Vents]]-$V$28)^2/$V$29)</f>
        <v>-2.8332323845449721</v>
      </c>
      <c r="Q92" s="41">
        <f>O92+$V$30*$V$31*SQRT(1+1/$V$27+(Tabelle62[[#This Row],[Vents]]-$V$28)^2/$V$29)</f>
        <v>4.4722539330722881</v>
      </c>
      <c r="R92" s="41">
        <f>O92-$V$30*$V$31*SQRT(1/$V$27+(Tabelle62[[#This Row],[Vents]]-$V$28)^2/$V$29)</f>
        <v>0.38887845693911371</v>
      </c>
      <c r="S92" s="41">
        <f>O92+$V$30*$V$31*SQRT(1/$V$27+(Tabelle62[[#This Row],[Vents]]-$V$28)^2/$V$29)</f>
        <v>1.2501430915882019</v>
      </c>
    </row>
    <row r="93" spans="1:19" x14ac:dyDescent="0.3">
      <c r="A93" s="10" t="s">
        <v>119</v>
      </c>
      <c r="B93" s="10">
        <v>0</v>
      </c>
      <c r="C93" s="28">
        <v>0</v>
      </c>
      <c r="D93" s="7" t="s">
        <v>119</v>
      </c>
      <c r="E93" s="13">
        <v>3</v>
      </c>
      <c r="F93" s="12">
        <v>3</v>
      </c>
      <c r="G93" s="11">
        <v>9</v>
      </c>
      <c r="H93" s="25">
        <f>(62.123*Tabelle93[[#This Row],[Vents]])-67.781</f>
        <v>118.58799999999999</v>
      </c>
      <c r="I93" s="44">
        <f t="shared" si="1"/>
        <v>14063.113743999998</v>
      </c>
      <c r="J93" s="40">
        <v>33.941317246766175</v>
      </c>
      <c r="K93" s="41">
        <f>J93-$V$12*$V$13*SQRT(1+1/$V$9+(Tabelle62[[#This Row],[True Cooling Capacity '[kW']]]-$V$10)^2/$V$11)</f>
        <v>-184.0295045221722</v>
      </c>
      <c r="L93" s="41">
        <f>J93+$V$12*$V$13*SQRT(1+1/$V$9+(Tabelle62[[#This Row],[True Cooling Capacity '[kW']]]-$V$10)^2/$V$11)</f>
        <v>251.91213901570455</v>
      </c>
      <c r="M93" s="41">
        <f>J93-$V$12*$V$13*SQRT(1/$V$9+(Tabelle62[[#This Row],[True Cooling Capacity '[kW']]]-$V$10)^2/$V$11)</f>
        <v>8.2441148959422534</v>
      </c>
      <c r="N93" s="42">
        <f>J93+$V$12*$V$13*SQRT(1/$V$9+(Tabelle62[[#This Row],[True Cooling Capacity '[kW']]]-$V$10)^2/$V$11)</f>
        <v>59.638519597590097</v>
      </c>
      <c r="O93" s="40">
        <v>0.81951077426365782</v>
      </c>
      <c r="P93" s="41">
        <f>O93-$V$30*$V$31*SQRT(1+1/$V$27+(Tabelle62[[#This Row],[Vents]]-$V$28)^2/$V$29)</f>
        <v>-2.8332323845449721</v>
      </c>
      <c r="Q93" s="41">
        <f>O93+$V$30*$V$31*SQRT(1+1/$V$27+(Tabelle62[[#This Row],[Vents]]-$V$28)^2/$V$29)</f>
        <v>4.4722539330722881</v>
      </c>
      <c r="R93" s="41">
        <f>O93-$V$30*$V$31*SQRT(1/$V$27+(Tabelle62[[#This Row],[Vents]]-$V$28)^2/$V$29)</f>
        <v>0.38887845693911371</v>
      </c>
      <c r="S93" s="41">
        <f>O93+$V$30*$V$31*SQRT(1/$V$27+(Tabelle62[[#This Row],[Vents]]-$V$28)^2/$V$29)</f>
        <v>1.2501430915882019</v>
      </c>
    </row>
    <row r="94" spans="1:19" x14ac:dyDescent="0.3">
      <c r="A94" s="10" t="s">
        <v>116</v>
      </c>
      <c r="B94" s="10">
        <v>6</v>
      </c>
      <c r="C94" s="28">
        <f>(62.123*Tabelle62[[#This Row],[Vents]])-67.781</f>
        <v>304.95699999999999</v>
      </c>
      <c r="D94" s="7" t="s">
        <v>116</v>
      </c>
      <c r="E94" s="13">
        <v>5</v>
      </c>
      <c r="F94" s="12">
        <v>-1</v>
      </c>
      <c r="G94" s="11">
        <v>1</v>
      </c>
      <c r="H94" s="25">
        <f>(62.123*Tabelle93[[#This Row],[Vents]])-67.781</f>
        <v>242.834</v>
      </c>
      <c r="I94" s="44">
        <f t="shared" si="1"/>
        <v>3859.2671289999989</v>
      </c>
      <c r="J94" s="40">
        <v>323.32569432928352</v>
      </c>
      <c r="K94" s="41">
        <f>J94-$V$12*$V$13*SQRT(1+1/$V$9+(Tabelle62[[#This Row],[True Cooling Capacity '[kW']]]-$V$10)^2/$V$11)</f>
        <v>106.28344391493971</v>
      </c>
      <c r="L94" s="41">
        <f>J94+$V$12*$V$13*SQRT(1+1/$V$9+(Tabelle62[[#This Row],[True Cooling Capacity '[kW']]]-$V$10)^2/$V$11)</f>
        <v>540.36794474362728</v>
      </c>
      <c r="M94" s="41">
        <f>J94-$V$12*$V$13*SQRT(1/$V$9+(Tabelle62[[#This Row],[True Cooling Capacity '[kW']]]-$V$10)^2/$V$11)</f>
        <v>307.3130265017287</v>
      </c>
      <c r="N94" s="42">
        <f>J94+$V$12*$V$13*SQRT(1/$V$9+(Tabelle62[[#This Row],[True Cooling Capacity '[kW']]]-$V$10)^2/$V$11)</f>
        <v>339.33836215683834</v>
      </c>
      <c r="O94" s="40">
        <v>6.3889611466507032</v>
      </c>
      <c r="P94" s="41">
        <f>O94-$V$30*$V$31*SQRT(1+1/$V$27+(Tabelle62[[#This Row],[Vents]]-$V$28)^2/$V$29)</f>
        <v>2.736682954686529</v>
      </c>
      <c r="Q94" s="41">
        <f>O94+$V$30*$V$31*SQRT(1+1/$V$27+(Tabelle62[[#This Row],[Vents]]-$V$28)^2/$V$29)</f>
        <v>10.041239338614877</v>
      </c>
      <c r="R94" s="41">
        <f>O94-$V$30*$V$31*SQRT(1/$V$27+(Tabelle62[[#This Row],[Vents]]-$V$28)^2/$V$29)</f>
        <v>5.9622907820855584</v>
      </c>
      <c r="S94" s="41">
        <f>O94+$V$30*$V$31*SQRT(1/$V$27+(Tabelle62[[#This Row],[Vents]]-$V$28)^2/$V$29)</f>
        <v>6.8156315112158481</v>
      </c>
    </row>
    <row r="95" spans="1:19" x14ac:dyDescent="0.3">
      <c r="A95" s="10" t="s">
        <v>115</v>
      </c>
      <c r="B95" s="10">
        <v>2</v>
      </c>
      <c r="C95" s="28">
        <f>(62.123*Tabelle62[[#This Row],[Vents]])-67.781</f>
        <v>56.464999999999989</v>
      </c>
      <c r="D95" s="7" t="s">
        <v>115</v>
      </c>
      <c r="E95" s="13">
        <v>2</v>
      </c>
      <c r="F95" s="12">
        <v>0</v>
      </c>
      <c r="G95" s="11">
        <v>0</v>
      </c>
      <c r="H95" s="25">
        <f>(62.123*Tabelle93[[#This Row],[Vents]])-67.781</f>
        <v>56.464999999999989</v>
      </c>
      <c r="I95" s="44">
        <f t="shared" si="1"/>
        <v>0</v>
      </c>
      <c r="J95" s="40">
        <v>87.522933185945604</v>
      </c>
      <c r="K95" s="41">
        <f>J95-$V$12*$V$13*SQRT(1+1/$V$9+(Tabelle62[[#This Row],[True Cooling Capacity '[kW']]]-$V$10)^2/$V$11)</f>
        <v>-130.20176597742778</v>
      </c>
      <c r="L95" s="41">
        <f>J95+$V$12*$V$13*SQRT(1+1/$V$9+(Tabelle62[[#This Row],[True Cooling Capacity '[kW']]]-$V$10)^2/$V$11)</f>
        <v>305.24763234931896</v>
      </c>
      <c r="M95" s="41">
        <f>J95-$V$12*$V$13*SQRT(1/$V$9+(Tabelle62[[#This Row],[True Cooling Capacity '[kW']]]-$V$10)^2/$V$11)</f>
        <v>64.004606463699091</v>
      </c>
      <c r="N95" s="42">
        <f>J95+$V$12*$V$13*SQRT(1/$V$9+(Tabelle62[[#This Row],[True Cooling Capacity '[kW']]]-$V$10)^2/$V$11)</f>
        <v>111.04125990819212</v>
      </c>
      <c r="O95" s="40">
        <v>2.6759942317260066</v>
      </c>
      <c r="P95" s="41">
        <f>O95-$V$30*$V$31*SQRT(1+1/$V$27+(Tabelle62[[#This Row],[Vents]]-$V$28)^2/$V$29)</f>
        <v>-0.97659323363450046</v>
      </c>
      <c r="Q95" s="41">
        <f>O95+$V$30*$V$31*SQRT(1+1/$V$27+(Tabelle62[[#This Row],[Vents]]-$V$28)^2/$V$29)</f>
        <v>6.3285816970865136</v>
      </c>
      <c r="R95" s="41">
        <f>O95-$V$30*$V$31*SQRT(1/$V$27+(Tabelle62[[#This Row],[Vents]]-$V$28)^2/$V$29)</f>
        <v>2.2466845525784782</v>
      </c>
      <c r="S95" s="41">
        <f>O95+$V$30*$V$31*SQRT(1/$V$27+(Tabelle62[[#This Row],[Vents]]-$V$28)^2/$V$29)</f>
        <v>3.105303910873535</v>
      </c>
    </row>
    <row r="96" spans="1:19" x14ac:dyDescent="0.3">
      <c r="A96" s="10" t="s">
        <v>118</v>
      </c>
      <c r="B96" s="10">
        <v>4</v>
      </c>
      <c r="C96" s="28">
        <f>(62.123*Tabelle62[[#This Row],[Vents]])-67.781</f>
        <v>180.71099999999998</v>
      </c>
      <c r="D96" s="7" t="s">
        <v>118</v>
      </c>
      <c r="E96" s="13">
        <v>5</v>
      </c>
      <c r="F96" s="12">
        <v>1</v>
      </c>
      <c r="G96" s="11">
        <v>1</v>
      </c>
      <c r="H96" s="25">
        <f>(62.123*Tabelle93[[#This Row],[Vents]])-67.781</f>
        <v>242.834</v>
      </c>
      <c r="I96" s="44">
        <f t="shared" si="1"/>
        <v>3859.2671290000026</v>
      </c>
      <c r="J96" s="40">
        <v>205.42431375761456</v>
      </c>
      <c r="K96" s="41">
        <f>J96-$V$12*$V$13*SQRT(1+1/$V$9+(Tabelle62[[#This Row],[True Cooling Capacity '[kW']]]-$V$10)^2/$V$11)</f>
        <v>-11.877317091750399</v>
      </c>
      <c r="L96" s="41">
        <f>J96+$V$12*$V$13*SQRT(1+1/$V$9+(Tabelle62[[#This Row],[True Cooling Capacity '[kW']]]-$V$10)^2/$V$11)</f>
        <v>422.72594460697951</v>
      </c>
      <c r="M96" s="41">
        <f>J96-$V$12*$V$13*SQRT(1/$V$9+(Tabelle62[[#This Row],[True Cooling Capacity '[kW']]]-$V$10)^2/$V$11)</f>
        <v>186.21322748362732</v>
      </c>
      <c r="N96" s="42">
        <f>J96+$V$12*$V$13*SQRT(1/$V$9+(Tabelle62[[#This Row],[True Cooling Capacity '[kW']]]-$V$10)^2/$V$11)</f>
        <v>224.63540003160179</v>
      </c>
      <c r="O96" s="40">
        <v>4.5324776891883545</v>
      </c>
      <c r="P96" s="41">
        <f>O96-$V$30*$V$31*SQRT(1+1/$V$27+(Tabelle62[[#This Row],[Vents]]-$V$28)^2/$V$29)</f>
        <v>0.88004521280589465</v>
      </c>
      <c r="Q96" s="41">
        <f>O96+$V$30*$V$31*SQRT(1+1/$V$27+(Tabelle62[[#This Row],[Vents]]-$V$28)^2/$V$29)</f>
        <v>8.1849101655708143</v>
      </c>
      <c r="R96" s="41">
        <f>O96-$V$30*$V$31*SQRT(1/$V$27+(Tabelle62[[#This Row],[Vents]]-$V$28)^2/$V$29)</f>
        <v>4.1044886670927294</v>
      </c>
      <c r="S96" s="41">
        <f>O96+$V$30*$V$31*SQRT(1/$V$27+(Tabelle62[[#This Row],[Vents]]-$V$28)^2/$V$29)</f>
        <v>4.9604667112839795</v>
      </c>
    </row>
    <row r="97" spans="1:19" x14ac:dyDescent="0.3">
      <c r="A97" s="10" t="s">
        <v>124</v>
      </c>
      <c r="B97" s="10">
        <v>4</v>
      </c>
      <c r="C97" s="28">
        <f>(62.123*Tabelle62[[#This Row],[Vents]])-67.781</f>
        <v>180.71099999999998</v>
      </c>
      <c r="D97" s="7" t="s">
        <v>124</v>
      </c>
      <c r="E97" s="13">
        <v>4</v>
      </c>
      <c r="F97" s="12">
        <v>0</v>
      </c>
      <c r="G97" s="11">
        <v>0</v>
      </c>
      <c r="H97" s="25">
        <f>(62.123*Tabelle93[[#This Row],[Vents]])-67.781</f>
        <v>180.71099999999998</v>
      </c>
      <c r="I97" s="44">
        <f t="shared" si="1"/>
        <v>0</v>
      </c>
      <c r="J97" s="40">
        <v>205.42431375761456</v>
      </c>
      <c r="K97" s="41">
        <f>J97-$V$12*$V$13*SQRT(1+1/$V$9+(Tabelle62[[#This Row],[True Cooling Capacity '[kW']]]-$V$10)^2/$V$11)</f>
        <v>-11.877317091750399</v>
      </c>
      <c r="L97" s="41">
        <f>J97+$V$12*$V$13*SQRT(1+1/$V$9+(Tabelle62[[#This Row],[True Cooling Capacity '[kW']]]-$V$10)^2/$V$11)</f>
        <v>422.72594460697951</v>
      </c>
      <c r="M97" s="41">
        <f>J97-$V$12*$V$13*SQRT(1/$V$9+(Tabelle62[[#This Row],[True Cooling Capacity '[kW']]]-$V$10)^2/$V$11)</f>
        <v>186.21322748362732</v>
      </c>
      <c r="N97" s="42">
        <f>J97+$V$12*$V$13*SQRT(1/$V$9+(Tabelle62[[#This Row],[True Cooling Capacity '[kW']]]-$V$10)^2/$V$11)</f>
        <v>224.63540003160179</v>
      </c>
      <c r="O97" s="40">
        <v>4.5324776891883545</v>
      </c>
      <c r="P97" s="41">
        <f>O97-$V$30*$V$31*SQRT(1+1/$V$27+(Tabelle62[[#This Row],[Vents]]-$V$28)^2/$V$29)</f>
        <v>0.88004521280589465</v>
      </c>
      <c r="Q97" s="41">
        <f>O97+$V$30*$V$31*SQRT(1+1/$V$27+(Tabelle62[[#This Row],[Vents]]-$V$28)^2/$V$29)</f>
        <v>8.1849101655708143</v>
      </c>
      <c r="R97" s="41">
        <f>O97-$V$30*$V$31*SQRT(1/$V$27+(Tabelle62[[#This Row],[Vents]]-$V$28)^2/$V$29)</f>
        <v>4.1044886670927294</v>
      </c>
      <c r="S97" s="41">
        <f>O97+$V$30*$V$31*SQRT(1/$V$27+(Tabelle62[[#This Row],[Vents]]-$V$28)^2/$V$29)</f>
        <v>4.9604667112839795</v>
      </c>
    </row>
    <row r="98" spans="1:19" x14ac:dyDescent="0.3">
      <c r="A98" s="10" t="s">
        <v>121</v>
      </c>
      <c r="B98" s="10">
        <v>2</v>
      </c>
      <c r="C98" s="28">
        <f>(62.123*Tabelle62[[#This Row],[Vents]])-67.781</f>
        <v>56.464999999999989</v>
      </c>
      <c r="D98" s="7" t="s">
        <v>121</v>
      </c>
      <c r="E98" s="13">
        <v>2</v>
      </c>
      <c r="F98" s="12">
        <v>0</v>
      </c>
      <c r="G98" s="11">
        <v>0</v>
      </c>
      <c r="H98" s="25">
        <f>(62.123*Tabelle93[[#This Row],[Vents]])-67.781</f>
        <v>56.464999999999989</v>
      </c>
      <c r="I98" s="44">
        <f t="shared" si="1"/>
        <v>0</v>
      </c>
      <c r="J98" s="40">
        <v>87.522933185945604</v>
      </c>
      <c r="K98" s="41">
        <f>J98-$V$12*$V$13*SQRT(1+1/$V$9+(Tabelle62[[#This Row],[True Cooling Capacity '[kW']]]-$V$10)^2/$V$11)</f>
        <v>-130.20176597742778</v>
      </c>
      <c r="L98" s="41">
        <f>J98+$V$12*$V$13*SQRT(1+1/$V$9+(Tabelle62[[#This Row],[True Cooling Capacity '[kW']]]-$V$10)^2/$V$11)</f>
        <v>305.24763234931896</v>
      </c>
      <c r="M98" s="41">
        <f>J98-$V$12*$V$13*SQRT(1/$V$9+(Tabelle62[[#This Row],[True Cooling Capacity '[kW']]]-$V$10)^2/$V$11)</f>
        <v>64.004606463699091</v>
      </c>
      <c r="N98" s="42">
        <f>J98+$V$12*$V$13*SQRT(1/$V$9+(Tabelle62[[#This Row],[True Cooling Capacity '[kW']]]-$V$10)^2/$V$11)</f>
        <v>111.04125990819212</v>
      </c>
      <c r="O98" s="40">
        <v>2.6759942317260066</v>
      </c>
      <c r="P98" s="41">
        <f>O98-$V$30*$V$31*SQRT(1+1/$V$27+(Tabelle62[[#This Row],[Vents]]-$V$28)^2/$V$29)</f>
        <v>-0.97659323363450046</v>
      </c>
      <c r="Q98" s="41">
        <f>O98+$V$30*$V$31*SQRT(1+1/$V$27+(Tabelle62[[#This Row],[Vents]]-$V$28)^2/$V$29)</f>
        <v>6.3285816970865136</v>
      </c>
      <c r="R98" s="41">
        <f>O98-$V$30*$V$31*SQRT(1/$V$27+(Tabelle62[[#This Row],[Vents]]-$V$28)^2/$V$29)</f>
        <v>2.2466845525784782</v>
      </c>
      <c r="S98" s="41">
        <f>O98+$V$30*$V$31*SQRT(1/$V$27+(Tabelle62[[#This Row],[Vents]]-$V$28)^2/$V$29)</f>
        <v>3.105303910873535</v>
      </c>
    </row>
    <row r="99" spans="1:19" x14ac:dyDescent="0.3">
      <c r="A99" s="10" t="s">
        <v>114</v>
      </c>
      <c r="B99" s="10">
        <v>10</v>
      </c>
      <c r="C99" s="28">
        <f>(62.123*Tabelle62[[#This Row],[Vents]])-67.781</f>
        <v>553.44900000000007</v>
      </c>
      <c r="D99" s="7" t="s">
        <v>114</v>
      </c>
      <c r="E99" s="13">
        <v>11</v>
      </c>
      <c r="F99" s="12">
        <v>1</v>
      </c>
      <c r="G99" s="11">
        <v>1</v>
      </c>
      <c r="H99" s="25">
        <f>(62.123*Tabelle93[[#This Row],[Vents]])-67.781</f>
        <v>615.57199999999989</v>
      </c>
      <c r="I99" s="44">
        <f t="shared" si="1"/>
        <v>3859.2671289999776</v>
      </c>
      <c r="J99" s="40">
        <v>559.12845547262157</v>
      </c>
      <c r="K99" s="41">
        <f>J99-$V$12*$V$13*SQRT(1+1/$V$9+(Tabelle62[[#This Row],[True Cooling Capacity '[kW']]]-$V$10)^2/$V$11)</f>
        <v>342.11192497659897</v>
      </c>
      <c r="L99" s="41">
        <f>J99+$V$12*$V$13*SQRT(1+1/$V$9+(Tabelle62[[#This Row],[True Cooling Capacity '[kW']]]-$V$10)^2/$V$11)</f>
        <v>776.14498596864416</v>
      </c>
      <c r="M99" s="41">
        <f>J99-$V$12*$V$13*SQRT(1/$V$9+(Tabelle62[[#This Row],[True Cooling Capacity '[kW']]]-$V$10)^2/$V$11)</f>
        <v>543.46826471503471</v>
      </c>
      <c r="N99" s="42">
        <f>J99+$V$12*$V$13*SQRT(1/$V$9+(Tabelle62[[#This Row],[True Cooling Capacity '[kW']]]-$V$10)^2/$V$11)</f>
        <v>574.78864623020843</v>
      </c>
      <c r="O99" s="40">
        <v>10.1019280615754</v>
      </c>
      <c r="P99" s="41">
        <f>O99-$V$30*$V$31*SQRT(1+1/$V$27+(Tabelle62[[#This Row],[Vents]]-$V$28)^2/$V$29)</f>
        <v>6.4499563244117386</v>
      </c>
      <c r="Q99" s="41">
        <f>O99+$V$30*$V$31*SQRT(1+1/$V$27+(Tabelle62[[#This Row],[Vents]]-$V$28)^2/$V$29)</f>
        <v>13.753899798739061</v>
      </c>
      <c r="R99" s="41">
        <f>O99-$V$30*$V$31*SQRT(1/$V$27+(Tabelle62[[#This Row],[Vents]]-$V$28)^2/$V$29)</f>
        <v>9.6778889389189775</v>
      </c>
      <c r="S99" s="41">
        <f>O99+$V$30*$V$31*SQRT(1/$V$27+(Tabelle62[[#This Row],[Vents]]-$V$28)^2/$V$29)</f>
        <v>10.525967184231822</v>
      </c>
    </row>
    <row r="100" spans="1:19" x14ac:dyDescent="0.3">
      <c r="A100" s="10" t="s">
        <v>113</v>
      </c>
      <c r="B100" s="10">
        <v>6</v>
      </c>
      <c r="C100" s="28">
        <f>(62.123*Tabelle62[[#This Row],[Vents]])-67.781</f>
        <v>304.95699999999999</v>
      </c>
      <c r="D100" s="7" t="s">
        <v>113</v>
      </c>
      <c r="E100" s="13">
        <v>9</v>
      </c>
      <c r="F100" s="12">
        <v>3</v>
      </c>
      <c r="G100" s="11">
        <v>9</v>
      </c>
      <c r="H100" s="25">
        <f>(62.123*Tabelle93[[#This Row],[Vents]])-67.781</f>
        <v>491.32599999999996</v>
      </c>
      <c r="I100" s="44">
        <f t="shared" si="1"/>
        <v>34733.404160999991</v>
      </c>
      <c r="J100" s="40">
        <v>323.32569432928352</v>
      </c>
      <c r="K100" s="41">
        <f>J100-$V$12*$V$13*SQRT(1+1/$V$9+(Tabelle62[[#This Row],[True Cooling Capacity '[kW']]]-$V$10)^2/$V$11)</f>
        <v>106.28344391493971</v>
      </c>
      <c r="L100" s="41">
        <f>J100+$V$12*$V$13*SQRT(1+1/$V$9+(Tabelle62[[#This Row],[True Cooling Capacity '[kW']]]-$V$10)^2/$V$11)</f>
        <v>540.36794474362728</v>
      </c>
      <c r="M100" s="41">
        <f>J100-$V$12*$V$13*SQRT(1/$V$9+(Tabelle62[[#This Row],[True Cooling Capacity '[kW']]]-$V$10)^2/$V$11)</f>
        <v>307.3130265017287</v>
      </c>
      <c r="N100" s="42">
        <f>J100+$V$12*$V$13*SQRT(1/$V$9+(Tabelle62[[#This Row],[True Cooling Capacity '[kW']]]-$V$10)^2/$V$11)</f>
        <v>339.33836215683834</v>
      </c>
      <c r="O100" s="40">
        <v>6.3889611466507032</v>
      </c>
      <c r="P100" s="41">
        <f>O100-$V$30*$V$31*SQRT(1+1/$V$27+(Tabelle62[[#This Row],[Vents]]-$V$28)^2/$V$29)</f>
        <v>2.736682954686529</v>
      </c>
      <c r="Q100" s="41">
        <f>O100+$V$30*$V$31*SQRT(1+1/$V$27+(Tabelle62[[#This Row],[Vents]]-$V$28)^2/$V$29)</f>
        <v>10.041239338614877</v>
      </c>
      <c r="R100" s="41">
        <f>O100-$V$30*$V$31*SQRT(1/$V$27+(Tabelle62[[#This Row],[Vents]]-$V$28)^2/$V$29)</f>
        <v>5.9622907820855584</v>
      </c>
      <c r="S100" s="41">
        <f>O100+$V$30*$V$31*SQRT(1/$V$27+(Tabelle62[[#This Row],[Vents]]-$V$28)^2/$V$29)</f>
        <v>6.8156315112158481</v>
      </c>
    </row>
    <row r="101" spans="1:19" x14ac:dyDescent="0.3">
      <c r="A101" s="10" t="s">
        <v>139</v>
      </c>
      <c r="B101" s="10">
        <v>12</v>
      </c>
      <c r="C101" s="28">
        <f>(62.123*Tabelle62[[#This Row],[Vents]])-67.781</f>
        <v>677.69499999999994</v>
      </c>
      <c r="D101" s="7" t="s">
        <v>139</v>
      </c>
      <c r="E101" s="13">
        <v>12</v>
      </c>
      <c r="F101" s="12">
        <v>0</v>
      </c>
      <c r="G101" s="11">
        <v>0</v>
      </c>
      <c r="H101" s="25">
        <f>(62.123*Tabelle93[[#This Row],[Vents]])-67.781</f>
        <v>677.69499999999994</v>
      </c>
      <c r="I101" s="44">
        <f t="shared" si="1"/>
        <v>0</v>
      </c>
      <c r="J101" s="40">
        <v>677.02983604429039</v>
      </c>
      <c r="K101" s="41">
        <f>J101-$V$12*$V$13*SQRT(1+1/$V$9+(Tabelle62[[#This Row],[True Cooling Capacity '[kW']]]-$V$10)^2/$V$11)</f>
        <v>459.77958666121026</v>
      </c>
      <c r="L101" s="41">
        <f>J101+$V$12*$V$13*SQRT(1+1/$V$9+(Tabelle62[[#This Row],[True Cooling Capacity '[kW']]]-$V$10)^2/$V$11)</f>
        <v>894.28008542737052</v>
      </c>
      <c r="M101" s="41">
        <f>J101-$V$12*$V$13*SQRT(1/$V$9+(Tabelle62[[#This Row],[True Cooling Capacity '[kW']]]-$V$10)^2/$V$11)</f>
        <v>658.40893587691437</v>
      </c>
      <c r="N101" s="42">
        <f>J101+$V$12*$V$13*SQRT(1/$V$9+(Tabelle62[[#This Row],[True Cooling Capacity '[kW']]]-$V$10)^2/$V$11)</f>
        <v>695.65073621166641</v>
      </c>
      <c r="O101" s="40">
        <v>11.95841151903775</v>
      </c>
      <c r="P101" s="41">
        <f>O101-$V$30*$V$31*SQRT(1+1/$V$27+(Tabelle62[[#This Row],[Vents]]-$V$28)^2/$V$29)</f>
        <v>8.3065919520789073</v>
      </c>
      <c r="Q101" s="41">
        <f>O101+$V$30*$V$31*SQRT(1+1/$V$27+(Tabelle62[[#This Row],[Vents]]-$V$28)^2/$V$29)</f>
        <v>15.610231085996592</v>
      </c>
      <c r="R101" s="41">
        <f>O101-$V$30*$V$31*SQRT(1/$V$27+(Tabelle62[[#This Row],[Vents]]-$V$28)^2/$V$29)</f>
        <v>11.535684942957513</v>
      </c>
      <c r="S101" s="41">
        <f>O101+$V$30*$V$31*SQRT(1/$V$27+(Tabelle62[[#This Row],[Vents]]-$V$28)^2/$V$29)</f>
        <v>12.381138095117986</v>
      </c>
    </row>
    <row r="102" spans="1:19" x14ac:dyDescent="0.3">
      <c r="A102" s="10" t="s">
        <v>140</v>
      </c>
      <c r="B102" s="10">
        <v>10</v>
      </c>
      <c r="C102" s="28">
        <f>(62.123*Tabelle62[[#This Row],[Vents]])-67.781</f>
        <v>553.44900000000007</v>
      </c>
      <c r="D102" s="7" t="s">
        <v>140</v>
      </c>
      <c r="E102" s="13">
        <v>10</v>
      </c>
      <c r="F102" s="12">
        <v>0</v>
      </c>
      <c r="G102" s="11">
        <v>0</v>
      </c>
      <c r="H102" s="25">
        <f>(62.123*Tabelle93[[#This Row],[Vents]])-67.781</f>
        <v>553.44900000000007</v>
      </c>
      <c r="I102" s="44">
        <f t="shared" si="1"/>
        <v>0</v>
      </c>
      <c r="J102" s="40">
        <v>559.12845547262157</v>
      </c>
      <c r="K102" s="41">
        <f>J102-$V$12*$V$13*SQRT(1+1/$V$9+(Tabelle62[[#This Row],[True Cooling Capacity '[kW']]]-$V$10)^2/$V$11)</f>
        <v>342.11192497659897</v>
      </c>
      <c r="L102" s="41">
        <f>J102+$V$12*$V$13*SQRT(1+1/$V$9+(Tabelle62[[#This Row],[True Cooling Capacity '[kW']]]-$V$10)^2/$V$11)</f>
        <v>776.14498596864416</v>
      </c>
      <c r="M102" s="41">
        <f>J102-$V$12*$V$13*SQRT(1/$V$9+(Tabelle62[[#This Row],[True Cooling Capacity '[kW']]]-$V$10)^2/$V$11)</f>
        <v>543.46826471503471</v>
      </c>
      <c r="N102" s="42">
        <f>J102+$V$12*$V$13*SQRT(1/$V$9+(Tabelle62[[#This Row],[True Cooling Capacity '[kW']]]-$V$10)^2/$V$11)</f>
        <v>574.78864623020843</v>
      </c>
      <c r="O102" s="40">
        <v>10.1019280615754</v>
      </c>
      <c r="P102" s="41">
        <f>O102-$V$30*$V$31*SQRT(1+1/$V$27+(Tabelle62[[#This Row],[Vents]]-$V$28)^2/$V$29)</f>
        <v>6.4499563244117386</v>
      </c>
      <c r="Q102" s="41">
        <f>O102+$V$30*$V$31*SQRT(1+1/$V$27+(Tabelle62[[#This Row],[Vents]]-$V$28)^2/$V$29)</f>
        <v>13.753899798739061</v>
      </c>
      <c r="R102" s="41">
        <f>O102-$V$30*$V$31*SQRT(1/$V$27+(Tabelle62[[#This Row],[Vents]]-$V$28)^2/$V$29)</f>
        <v>9.6778889389189775</v>
      </c>
      <c r="S102" s="41">
        <f>O102+$V$30*$V$31*SQRT(1/$V$27+(Tabelle62[[#This Row],[Vents]]-$V$28)^2/$V$29)</f>
        <v>10.525967184231822</v>
      </c>
    </row>
    <row r="103" spans="1:19" x14ac:dyDescent="0.3">
      <c r="A103" s="10" t="s">
        <v>134</v>
      </c>
      <c r="B103" s="10">
        <v>7</v>
      </c>
      <c r="C103" s="28">
        <f>(62.123*Tabelle62[[#This Row],[Vents]])-67.781</f>
        <v>367.08</v>
      </c>
      <c r="D103" s="7" t="s">
        <v>134</v>
      </c>
      <c r="E103" s="13">
        <v>6</v>
      </c>
      <c r="F103" s="12">
        <v>-1</v>
      </c>
      <c r="G103" s="11">
        <v>1</v>
      </c>
      <c r="H103" s="25">
        <f>(62.123*Tabelle93[[#This Row],[Vents]])-67.781</f>
        <v>304.95699999999999</v>
      </c>
      <c r="I103" s="44">
        <f t="shared" si="1"/>
        <v>3859.2671289999989</v>
      </c>
      <c r="J103" s="40">
        <v>382.27638461511805</v>
      </c>
      <c r="K103" s="41">
        <f>J103-$V$12*$V$13*SQRT(1+1/$V$9+(Tabelle62[[#This Row],[True Cooling Capacity '[kW']]]-$V$10)^2/$V$11)</f>
        <v>165.30224354260216</v>
      </c>
      <c r="L103" s="41">
        <f>J103+$V$12*$V$13*SQRT(1+1/$V$9+(Tabelle62[[#This Row],[True Cooling Capacity '[kW']]]-$V$10)^2/$V$11)</f>
        <v>599.25052568763397</v>
      </c>
      <c r="M103" s="41">
        <f>J103-$V$12*$V$13*SQRT(1/$V$9+(Tabelle62[[#This Row],[True Cooling Capacity '[kW']]]-$V$10)^2/$V$11)</f>
        <v>367.21501149747314</v>
      </c>
      <c r="N103" s="42">
        <f>J103+$V$12*$V$13*SQRT(1/$V$9+(Tabelle62[[#This Row],[True Cooling Capacity '[kW']]]-$V$10)^2/$V$11)</f>
        <v>397.33775773276295</v>
      </c>
      <c r="O103" s="40">
        <v>7.3172028753818781</v>
      </c>
      <c r="P103" s="41">
        <f>O103-$V$30*$V$31*SQRT(1+1/$V$27+(Tabelle62[[#This Row],[Vents]]-$V$28)^2/$V$29)</f>
        <v>3.6650015613890177</v>
      </c>
      <c r="Q103" s="41">
        <f>O103+$V$30*$V$31*SQRT(1+1/$V$27+(Tabelle62[[#This Row],[Vents]]-$V$28)^2/$V$29)</f>
        <v>10.969404189374739</v>
      </c>
      <c r="R103" s="41">
        <f>O103-$V$30*$V$31*SQRT(1/$V$27+(Tabelle62[[#This Row],[Vents]]-$V$28)^2/$V$29)</f>
        <v>6.8911910839579384</v>
      </c>
      <c r="S103" s="41">
        <f>O103+$V$30*$V$31*SQRT(1/$V$27+(Tabelle62[[#This Row],[Vents]]-$V$28)^2/$V$29)</f>
        <v>7.7432146668058177</v>
      </c>
    </row>
    <row r="104" spans="1:19" x14ac:dyDescent="0.3">
      <c r="A104" s="10" t="s">
        <v>145</v>
      </c>
      <c r="B104" s="10">
        <v>8</v>
      </c>
      <c r="C104" s="28">
        <f>(62.123*Tabelle62[[#This Row],[Vents]])-67.781</f>
        <v>429.20299999999997</v>
      </c>
      <c r="D104" s="7" t="s">
        <v>145</v>
      </c>
      <c r="E104" s="13">
        <v>6</v>
      </c>
      <c r="F104" s="12">
        <v>-2</v>
      </c>
      <c r="G104" s="11">
        <v>4</v>
      </c>
      <c r="H104" s="25">
        <f>(62.123*Tabelle93[[#This Row],[Vents]])-67.781</f>
        <v>304.95699999999999</v>
      </c>
      <c r="I104" s="44">
        <f t="shared" si="1"/>
        <v>15437.068515999996</v>
      </c>
      <c r="J104" s="40">
        <v>441.22707490095252</v>
      </c>
      <c r="K104" s="41">
        <f>J104-$V$12*$V$13*SQRT(1+1/$V$9+(Tabelle62[[#This Row],[True Cooling Capacity '[kW']]]-$V$10)^2/$V$11)</f>
        <v>224.27992992972105</v>
      </c>
      <c r="L104" s="41">
        <f>J104+$V$12*$V$13*SQRT(1+1/$V$9+(Tabelle62[[#This Row],[True Cooling Capacity '[kW']]]-$V$10)^2/$V$11)</f>
        <v>658.17421987218404</v>
      </c>
      <c r="M104" s="41">
        <f>J104-$V$12*$V$13*SQRT(1/$V$9+(Tabelle62[[#This Row],[True Cooling Capacity '[kW']]]-$V$10)^2/$V$11)</f>
        <v>426.55973781471158</v>
      </c>
      <c r="N104" s="42">
        <f>J104+$V$12*$V$13*SQRT(1/$V$9+(Tabelle62[[#This Row],[True Cooling Capacity '[kW']]]-$V$10)^2/$V$11)</f>
        <v>455.89441198719345</v>
      </c>
      <c r="O104" s="40">
        <v>8.245444604113052</v>
      </c>
      <c r="P104" s="41">
        <f>O104-$V$30*$V$31*SQRT(1+1/$V$27+(Tabelle62[[#This Row],[Vents]]-$V$28)^2/$V$29)</f>
        <v>4.5933199919181114</v>
      </c>
      <c r="Q104" s="41">
        <f>O104+$V$30*$V$31*SQRT(1+1/$V$27+(Tabelle62[[#This Row],[Vents]]-$V$28)^2/$V$29)</f>
        <v>11.897569216307993</v>
      </c>
      <c r="R104" s="41">
        <f>O104-$V$30*$V$31*SQRT(1/$V$27+(Tabelle62[[#This Row],[Vents]]-$V$28)^2/$V$29)</f>
        <v>7.8200908789605537</v>
      </c>
      <c r="S104" s="41">
        <f>O104+$V$30*$V$31*SQRT(1/$V$27+(Tabelle62[[#This Row],[Vents]]-$V$28)^2/$V$29)</f>
        <v>8.6707983292655495</v>
      </c>
    </row>
    <row r="105" spans="1:19" x14ac:dyDescent="0.3">
      <c r="A105" s="10" t="s">
        <v>137</v>
      </c>
      <c r="B105" s="10">
        <v>6</v>
      </c>
      <c r="C105" s="28">
        <f>(62.123*Tabelle62[[#This Row],[Vents]])-67.781</f>
        <v>304.95699999999999</v>
      </c>
      <c r="D105" s="7" t="s">
        <v>137</v>
      </c>
      <c r="E105" s="13">
        <v>6</v>
      </c>
      <c r="F105" s="12">
        <v>0</v>
      </c>
      <c r="G105" s="11">
        <v>0</v>
      </c>
      <c r="H105" s="25">
        <f>(62.123*Tabelle93[[#This Row],[Vents]])-67.781</f>
        <v>304.95699999999999</v>
      </c>
      <c r="I105" s="44">
        <f t="shared" si="1"/>
        <v>0</v>
      </c>
      <c r="J105" s="40">
        <v>323.32569432928352</v>
      </c>
      <c r="K105" s="41">
        <f>J105-$V$12*$V$13*SQRT(1+1/$V$9+(Tabelle62[[#This Row],[True Cooling Capacity '[kW']]]-$V$10)^2/$V$11)</f>
        <v>106.28344391493971</v>
      </c>
      <c r="L105" s="41">
        <f>J105+$V$12*$V$13*SQRT(1+1/$V$9+(Tabelle62[[#This Row],[True Cooling Capacity '[kW']]]-$V$10)^2/$V$11)</f>
        <v>540.36794474362728</v>
      </c>
      <c r="M105" s="41">
        <f>J105-$V$12*$V$13*SQRT(1/$V$9+(Tabelle62[[#This Row],[True Cooling Capacity '[kW']]]-$V$10)^2/$V$11)</f>
        <v>307.3130265017287</v>
      </c>
      <c r="N105" s="42">
        <f>J105+$V$12*$V$13*SQRT(1/$V$9+(Tabelle62[[#This Row],[True Cooling Capacity '[kW']]]-$V$10)^2/$V$11)</f>
        <v>339.33836215683834</v>
      </c>
      <c r="O105" s="40">
        <v>6.3889611466507032</v>
      </c>
      <c r="P105" s="41">
        <f>O105-$V$30*$V$31*SQRT(1+1/$V$27+(Tabelle62[[#This Row],[Vents]]-$V$28)^2/$V$29)</f>
        <v>2.736682954686529</v>
      </c>
      <c r="Q105" s="41">
        <f>O105+$V$30*$V$31*SQRT(1+1/$V$27+(Tabelle62[[#This Row],[Vents]]-$V$28)^2/$V$29)</f>
        <v>10.041239338614877</v>
      </c>
      <c r="R105" s="41">
        <f>O105-$V$30*$V$31*SQRT(1/$V$27+(Tabelle62[[#This Row],[Vents]]-$V$28)^2/$V$29)</f>
        <v>5.9622907820855584</v>
      </c>
      <c r="S105" s="41">
        <f>O105+$V$30*$V$31*SQRT(1/$V$27+(Tabelle62[[#This Row],[Vents]]-$V$28)^2/$V$29)</f>
        <v>6.8156315112158481</v>
      </c>
    </row>
    <row r="106" spans="1:19" x14ac:dyDescent="0.3">
      <c r="A106" s="10" t="s">
        <v>141</v>
      </c>
      <c r="B106" s="10">
        <v>12</v>
      </c>
      <c r="C106" s="28">
        <f>(62.123*Tabelle62[[#This Row],[Vents]])-67.781</f>
        <v>677.69499999999994</v>
      </c>
      <c r="D106" s="7" t="s">
        <v>141</v>
      </c>
      <c r="E106" s="13">
        <v>12</v>
      </c>
      <c r="F106" s="12">
        <v>0</v>
      </c>
      <c r="G106" s="11">
        <v>0</v>
      </c>
      <c r="H106" s="25">
        <f>(62.123*Tabelle93[[#This Row],[Vents]])-67.781</f>
        <v>677.69499999999994</v>
      </c>
      <c r="I106" s="44">
        <f t="shared" si="1"/>
        <v>0</v>
      </c>
      <c r="J106" s="40">
        <v>677.02983604429039</v>
      </c>
      <c r="K106" s="41">
        <f>J106-$V$12*$V$13*SQRT(1+1/$V$9+(Tabelle62[[#This Row],[True Cooling Capacity '[kW']]]-$V$10)^2/$V$11)</f>
        <v>459.77958666121026</v>
      </c>
      <c r="L106" s="41">
        <f>J106+$V$12*$V$13*SQRT(1+1/$V$9+(Tabelle62[[#This Row],[True Cooling Capacity '[kW']]]-$V$10)^2/$V$11)</f>
        <v>894.28008542737052</v>
      </c>
      <c r="M106" s="41">
        <f>J106-$V$12*$V$13*SQRT(1/$V$9+(Tabelle62[[#This Row],[True Cooling Capacity '[kW']]]-$V$10)^2/$V$11)</f>
        <v>658.40893587691437</v>
      </c>
      <c r="N106" s="42">
        <f>J106+$V$12*$V$13*SQRT(1/$V$9+(Tabelle62[[#This Row],[True Cooling Capacity '[kW']]]-$V$10)^2/$V$11)</f>
        <v>695.65073621166641</v>
      </c>
      <c r="O106" s="40">
        <v>11.95841151903775</v>
      </c>
      <c r="P106" s="41">
        <f>O106-$V$30*$V$31*SQRT(1+1/$V$27+(Tabelle62[[#This Row],[Vents]]-$V$28)^2/$V$29)</f>
        <v>8.3065919520789073</v>
      </c>
      <c r="Q106" s="41">
        <f>O106+$V$30*$V$31*SQRT(1+1/$V$27+(Tabelle62[[#This Row],[Vents]]-$V$28)^2/$V$29)</f>
        <v>15.610231085996592</v>
      </c>
      <c r="R106" s="41">
        <f>O106-$V$30*$V$31*SQRT(1/$V$27+(Tabelle62[[#This Row],[Vents]]-$V$28)^2/$V$29)</f>
        <v>11.535684942957513</v>
      </c>
      <c r="S106" s="41">
        <f>O106+$V$30*$V$31*SQRT(1/$V$27+(Tabelle62[[#This Row],[Vents]]-$V$28)^2/$V$29)</f>
        <v>12.381138095117986</v>
      </c>
    </row>
    <row r="107" spans="1:19" x14ac:dyDescent="0.3">
      <c r="A107" s="10" t="s">
        <v>143</v>
      </c>
      <c r="B107" s="10">
        <v>12</v>
      </c>
      <c r="C107" s="28">
        <f>(62.123*Tabelle62[[#This Row],[Vents]])-67.781</f>
        <v>677.69499999999994</v>
      </c>
      <c r="D107" s="7" t="s">
        <v>143</v>
      </c>
      <c r="E107" s="13">
        <v>12</v>
      </c>
      <c r="F107" s="12">
        <v>0</v>
      </c>
      <c r="G107" s="11">
        <v>0</v>
      </c>
      <c r="H107" s="25">
        <f>(62.123*Tabelle93[[#This Row],[Vents]])-67.781</f>
        <v>677.69499999999994</v>
      </c>
      <c r="I107" s="44">
        <f t="shared" si="1"/>
        <v>0</v>
      </c>
      <c r="J107" s="40">
        <v>677.02983604429039</v>
      </c>
      <c r="K107" s="41">
        <f>J107-$V$12*$V$13*SQRT(1+1/$V$9+(Tabelle62[[#This Row],[True Cooling Capacity '[kW']]]-$V$10)^2/$V$11)</f>
        <v>459.77958666121026</v>
      </c>
      <c r="L107" s="41">
        <f>J107+$V$12*$V$13*SQRT(1+1/$V$9+(Tabelle62[[#This Row],[True Cooling Capacity '[kW']]]-$V$10)^2/$V$11)</f>
        <v>894.28008542737052</v>
      </c>
      <c r="M107" s="41">
        <f>J107-$V$12*$V$13*SQRT(1/$V$9+(Tabelle62[[#This Row],[True Cooling Capacity '[kW']]]-$V$10)^2/$V$11)</f>
        <v>658.40893587691437</v>
      </c>
      <c r="N107" s="42">
        <f>J107+$V$12*$V$13*SQRT(1/$V$9+(Tabelle62[[#This Row],[True Cooling Capacity '[kW']]]-$V$10)^2/$V$11)</f>
        <v>695.65073621166641</v>
      </c>
      <c r="O107" s="40">
        <v>11.95841151903775</v>
      </c>
      <c r="P107" s="41">
        <f>O107-$V$30*$V$31*SQRT(1+1/$V$27+(Tabelle62[[#This Row],[Vents]]-$V$28)^2/$V$29)</f>
        <v>8.3065919520789073</v>
      </c>
      <c r="Q107" s="41">
        <f>O107+$V$30*$V$31*SQRT(1+1/$V$27+(Tabelle62[[#This Row],[Vents]]-$V$28)^2/$V$29)</f>
        <v>15.610231085996592</v>
      </c>
      <c r="R107" s="41">
        <f>O107-$V$30*$V$31*SQRT(1/$V$27+(Tabelle62[[#This Row],[Vents]]-$V$28)^2/$V$29)</f>
        <v>11.535684942957513</v>
      </c>
      <c r="S107" s="41">
        <f>O107+$V$30*$V$31*SQRT(1/$V$27+(Tabelle62[[#This Row],[Vents]]-$V$28)^2/$V$29)</f>
        <v>12.381138095117986</v>
      </c>
    </row>
    <row r="108" spans="1:19" x14ac:dyDescent="0.3">
      <c r="A108" s="10" t="s">
        <v>133</v>
      </c>
      <c r="B108" s="10">
        <v>12</v>
      </c>
      <c r="C108" s="28">
        <f>(62.123*Tabelle62[[#This Row],[Vents]])-67.781</f>
        <v>677.69499999999994</v>
      </c>
      <c r="D108" s="7" t="s">
        <v>133</v>
      </c>
      <c r="E108" s="13">
        <v>12</v>
      </c>
      <c r="F108" s="12">
        <v>0</v>
      </c>
      <c r="G108" s="11">
        <v>0</v>
      </c>
      <c r="H108" s="25">
        <f>(62.123*Tabelle93[[#This Row],[Vents]])-67.781</f>
        <v>677.69499999999994</v>
      </c>
      <c r="I108" s="44">
        <f t="shared" si="1"/>
        <v>0</v>
      </c>
      <c r="J108" s="40">
        <v>677.02983604429039</v>
      </c>
      <c r="K108" s="41">
        <f>J108-$V$12*$V$13*SQRT(1+1/$V$9+(Tabelle62[[#This Row],[True Cooling Capacity '[kW']]]-$V$10)^2/$V$11)</f>
        <v>459.77958666121026</v>
      </c>
      <c r="L108" s="41">
        <f>J108+$V$12*$V$13*SQRT(1+1/$V$9+(Tabelle62[[#This Row],[True Cooling Capacity '[kW']]]-$V$10)^2/$V$11)</f>
        <v>894.28008542737052</v>
      </c>
      <c r="M108" s="41">
        <f>J108-$V$12*$V$13*SQRT(1/$V$9+(Tabelle62[[#This Row],[True Cooling Capacity '[kW']]]-$V$10)^2/$V$11)</f>
        <v>658.40893587691437</v>
      </c>
      <c r="N108" s="42">
        <f>J108+$V$12*$V$13*SQRT(1/$V$9+(Tabelle62[[#This Row],[True Cooling Capacity '[kW']]]-$V$10)^2/$V$11)</f>
        <v>695.65073621166641</v>
      </c>
      <c r="O108" s="40">
        <v>11.95841151903775</v>
      </c>
      <c r="P108" s="41">
        <f>O108-$V$30*$V$31*SQRT(1+1/$V$27+(Tabelle62[[#This Row],[Vents]]-$V$28)^2/$V$29)</f>
        <v>8.3065919520789073</v>
      </c>
      <c r="Q108" s="41">
        <f>O108+$V$30*$V$31*SQRT(1+1/$V$27+(Tabelle62[[#This Row],[Vents]]-$V$28)^2/$V$29)</f>
        <v>15.610231085996592</v>
      </c>
      <c r="R108" s="41">
        <f>O108-$V$30*$V$31*SQRT(1/$V$27+(Tabelle62[[#This Row],[Vents]]-$V$28)^2/$V$29)</f>
        <v>11.535684942957513</v>
      </c>
      <c r="S108" s="41">
        <f>O108+$V$30*$V$31*SQRT(1/$V$27+(Tabelle62[[#This Row],[Vents]]-$V$28)^2/$V$29)</f>
        <v>12.381138095117986</v>
      </c>
    </row>
    <row r="109" spans="1:19" x14ac:dyDescent="0.3">
      <c r="A109" s="10" t="s">
        <v>142</v>
      </c>
      <c r="B109" s="10">
        <v>12</v>
      </c>
      <c r="C109" s="28">
        <f>(62.123*Tabelle62[[#This Row],[Vents]])-67.781</f>
        <v>677.69499999999994</v>
      </c>
      <c r="D109" s="7" t="s">
        <v>142</v>
      </c>
      <c r="E109" s="13">
        <v>11</v>
      </c>
      <c r="F109" s="12">
        <v>-1</v>
      </c>
      <c r="G109" s="11">
        <v>1</v>
      </c>
      <c r="H109" s="25">
        <f>(62.123*Tabelle93[[#This Row],[Vents]])-67.781</f>
        <v>615.57199999999989</v>
      </c>
      <c r="I109" s="44">
        <f t="shared" si="1"/>
        <v>3859.2671290000058</v>
      </c>
      <c r="J109" s="40">
        <v>677.02983604429039</v>
      </c>
      <c r="K109" s="41">
        <f>J109-$V$12*$V$13*SQRT(1+1/$V$9+(Tabelle62[[#This Row],[True Cooling Capacity '[kW']]]-$V$10)^2/$V$11)</f>
        <v>459.77958666121026</v>
      </c>
      <c r="L109" s="41">
        <f>J109+$V$12*$V$13*SQRT(1+1/$V$9+(Tabelle62[[#This Row],[True Cooling Capacity '[kW']]]-$V$10)^2/$V$11)</f>
        <v>894.28008542737052</v>
      </c>
      <c r="M109" s="41">
        <f>J109-$V$12*$V$13*SQRT(1/$V$9+(Tabelle62[[#This Row],[True Cooling Capacity '[kW']]]-$V$10)^2/$V$11)</f>
        <v>658.40893587691437</v>
      </c>
      <c r="N109" s="42">
        <f>J109+$V$12*$V$13*SQRT(1/$V$9+(Tabelle62[[#This Row],[True Cooling Capacity '[kW']]]-$V$10)^2/$V$11)</f>
        <v>695.65073621166641</v>
      </c>
      <c r="O109" s="40">
        <v>11.95841151903775</v>
      </c>
      <c r="P109" s="41">
        <f>O109-$V$30*$V$31*SQRT(1+1/$V$27+(Tabelle62[[#This Row],[Vents]]-$V$28)^2/$V$29)</f>
        <v>8.3065919520789073</v>
      </c>
      <c r="Q109" s="41">
        <f>O109+$V$30*$V$31*SQRT(1+1/$V$27+(Tabelle62[[#This Row],[Vents]]-$V$28)^2/$V$29)</f>
        <v>15.610231085996592</v>
      </c>
      <c r="R109" s="41">
        <f>O109-$V$30*$V$31*SQRT(1/$V$27+(Tabelle62[[#This Row],[Vents]]-$V$28)^2/$V$29)</f>
        <v>11.535684942957513</v>
      </c>
      <c r="S109" s="41">
        <f>O109+$V$30*$V$31*SQRT(1/$V$27+(Tabelle62[[#This Row],[Vents]]-$V$28)^2/$V$29)</f>
        <v>12.381138095117986</v>
      </c>
    </row>
    <row r="110" spans="1:19" x14ac:dyDescent="0.3">
      <c r="A110" s="10" t="s">
        <v>144</v>
      </c>
      <c r="B110" s="10">
        <v>6</v>
      </c>
      <c r="C110" s="28">
        <f>(62.123*Tabelle62[[#This Row],[Vents]])-67.781</f>
        <v>304.95699999999999</v>
      </c>
      <c r="D110" s="7" t="s">
        <v>144</v>
      </c>
      <c r="E110" s="13">
        <v>6</v>
      </c>
      <c r="F110" s="12">
        <v>0</v>
      </c>
      <c r="G110" s="11">
        <v>0</v>
      </c>
      <c r="H110" s="25">
        <f>(62.123*Tabelle93[[#This Row],[Vents]])-67.781</f>
        <v>304.95699999999999</v>
      </c>
      <c r="I110" s="44">
        <f t="shared" si="1"/>
        <v>0</v>
      </c>
      <c r="J110" s="40">
        <v>323.32569432928352</v>
      </c>
      <c r="K110" s="41">
        <f>J110-$V$12*$V$13*SQRT(1+1/$V$9+(Tabelle62[[#This Row],[True Cooling Capacity '[kW']]]-$V$10)^2/$V$11)</f>
        <v>106.28344391493971</v>
      </c>
      <c r="L110" s="41">
        <f>J110+$V$12*$V$13*SQRT(1+1/$V$9+(Tabelle62[[#This Row],[True Cooling Capacity '[kW']]]-$V$10)^2/$V$11)</f>
        <v>540.36794474362728</v>
      </c>
      <c r="M110" s="41">
        <f>J110-$V$12*$V$13*SQRT(1/$V$9+(Tabelle62[[#This Row],[True Cooling Capacity '[kW']]]-$V$10)^2/$V$11)</f>
        <v>307.3130265017287</v>
      </c>
      <c r="N110" s="42">
        <f>J110+$V$12*$V$13*SQRT(1/$V$9+(Tabelle62[[#This Row],[True Cooling Capacity '[kW']]]-$V$10)^2/$V$11)</f>
        <v>339.33836215683834</v>
      </c>
      <c r="O110" s="40">
        <v>6.3889611466507032</v>
      </c>
      <c r="P110" s="41">
        <f>O110-$V$30*$V$31*SQRT(1+1/$V$27+(Tabelle62[[#This Row],[Vents]]-$V$28)^2/$V$29)</f>
        <v>2.736682954686529</v>
      </c>
      <c r="Q110" s="41">
        <f>O110+$V$30*$V$31*SQRT(1+1/$V$27+(Tabelle62[[#This Row],[Vents]]-$V$28)^2/$V$29)</f>
        <v>10.041239338614877</v>
      </c>
      <c r="R110" s="41">
        <f>O110-$V$30*$V$31*SQRT(1/$V$27+(Tabelle62[[#This Row],[Vents]]-$V$28)^2/$V$29)</f>
        <v>5.9622907820855584</v>
      </c>
      <c r="S110" s="41">
        <f>O110+$V$30*$V$31*SQRT(1/$V$27+(Tabelle62[[#This Row],[Vents]]-$V$28)^2/$V$29)</f>
        <v>6.8156315112158481</v>
      </c>
    </row>
    <row r="111" spans="1:19" x14ac:dyDescent="0.3">
      <c r="A111" s="10" t="s">
        <v>135</v>
      </c>
      <c r="B111" s="10">
        <v>2</v>
      </c>
      <c r="C111" s="28">
        <f>(62.123*Tabelle62[[#This Row],[Vents]])-67.781</f>
        <v>56.464999999999989</v>
      </c>
      <c r="D111" s="7" t="s">
        <v>135</v>
      </c>
      <c r="E111" s="13">
        <v>2</v>
      </c>
      <c r="F111" s="12">
        <v>0</v>
      </c>
      <c r="G111" s="11">
        <v>0</v>
      </c>
      <c r="H111" s="25">
        <f>(62.123*Tabelle93[[#This Row],[Vents]])-67.781</f>
        <v>56.464999999999989</v>
      </c>
      <c r="I111" s="44">
        <f t="shared" si="1"/>
        <v>0</v>
      </c>
      <c r="J111" s="40">
        <v>87.522933185945604</v>
      </c>
      <c r="K111" s="41">
        <f>J111-$V$12*$V$13*SQRT(1+1/$V$9+(Tabelle62[[#This Row],[True Cooling Capacity '[kW']]]-$V$10)^2/$V$11)</f>
        <v>-130.20176597742778</v>
      </c>
      <c r="L111" s="41">
        <f>J111+$V$12*$V$13*SQRT(1+1/$V$9+(Tabelle62[[#This Row],[True Cooling Capacity '[kW']]]-$V$10)^2/$V$11)</f>
        <v>305.24763234931896</v>
      </c>
      <c r="M111" s="41">
        <f>J111-$V$12*$V$13*SQRT(1/$V$9+(Tabelle62[[#This Row],[True Cooling Capacity '[kW']]]-$V$10)^2/$V$11)</f>
        <v>64.004606463699091</v>
      </c>
      <c r="N111" s="42">
        <f>J111+$V$12*$V$13*SQRT(1/$V$9+(Tabelle62[[#This Row],[True Cooling Capacity '[kW']]]-$V$10)^2/$V$11)</f>
        <v>111.04125990819212</v>
      </c>
      <c r="O111" s="40">
        <v>2.6759942317260066</v>
      </c>
      <c r="P111" s="41">
        <f>O111-$V$30*$V$31*SQRT(1+1/$V$27+(Tabelle62[[#This Row],[Vents]]-$V$28)^2/$V$29)</f>
        <v>-0.97659323363450046</v>
      </c>
      <c r="Q111" s="41">
        <f>O111+$V$30*$V$31*SQRT(1+1/$V$27+(Tabelle62[[#This Row],[Vents]]-$V$28)^2/$V$29)</f>
        <v>6.3285816970865136</v>
      </c>
      <c r="R111" s="41">
        <f>O111-$V$30*$V$31*SQRT(1/$V$27+(Tabelle62[[#This Row],[Vents]]-$V$28)^2/$V$29)</f>
        <v>2.2466845525784782</v>
      </c>
      <c r="S111" s="41">
        <f>O111+$V$30*$V$31*SQRT(1/$V$27+(Tabelle62[[#This Row],[Vents]]-$V$28)^2/$V$29)</f>
        <v>3.105303910873535</v>
      </c>
    </row>
    <row r="112" spans="1:19" x14ac:dyDescent="0.3">
      <c r="A112" s="10" t="s">
        <v>136</v>
      </c>
      <c r="B112" s="10">
        <v>8</v>
      </c>
      <c r="C112" s="28">
        <f>(62.123*Tabelle62[[#This Row],[Vents]])-67.781</f>
        <v>429.20299999999997</v>
      </c>
      <c r="D112" s="7" t="s">
        <v>136</v>
      </c>
      <c r="E112" s="13">
        <v>8</v>
      </c>
      <c r="F112" s="12">
        <v>0</v>
      </c>
      <c r="G112" s="11">
        <v>0</v>
      </c>
      <c r="H112" s="25">
        <f>(62.123*Tabelle93[[#This Row],[Vents]])-67.781</f>
        <v>429.20299999999997</v>
      </c>
      <c r="I112" s="44">
        <f t="shared" si="1"/>
        <v>0</v>
      </c>
      <c r="J112" s="40">
        <v>441.22707490095252</v>
      </c>
      <c r="K112" s="41">
        <f>J112-$V$12*$V$13*SQRT(1+1/$V$9+(Tabelle62[[#This Row],[True Cooling Capacity '[kW']]]-$V$10)^2/$V$11)</f>
        <v>224.27992992972105</v>
      </c>
      <c r="L112" s="41">
        <f>J112+$V$12*$V$13*SQRT(1+1/$V$9+(Tabelle62[[#This Row],[True Cooling Capacity '[kW']]]-$V$10)^2/$V$11)</f>
        <v>658.17421987218404</v>
      </c>
      <c r="M112" s="41">
        <f>J112-$V$12*$V$13*SQRT(1/$V$9+(Tabelle62[[#This Row],[True Cooling Capacity '[kW']]]-$V$10)^2/$V$11)</f>
        <v>426.55973781471158</v>
      </c>
      <c r="N112" s="42">
        <f>J112+$V$12*$V$13*SQRT(1/$V$9+(Tabelle62[[#This Row],[True Cooling Capacity '[kW']]]-$V$10)^2/$V$11)</f>
        <v>455.89441198719345</v>
      </c>
      <c r="O112" s="40">
        <v>8.245444604113052</v>
      </c>
      <c r="P112" s="41">
        <f>O112-$V$30*$V$31*SQRT(1+1/$V$27+(Tabelle62[[#This Row],[Vents]]-$V$28)^2/$V$29)</f>
        <v>4.5933199919181114</v>
      </c>
      <c r="Q112" s="41">
        <f>O112+$V$30*$V$31*SQRT(1+1/$V$27+(Tabelle62[[#This Row],[Vents]]-$V$28)^2/$V$29)</f>
        <v>11.897569216307993</v>
      </c>
      <c r="R112" s="41">
        <f>O112-$V$30*$V$31*SQRT(1/$V$27+(Tabelle62[[#This Row],[Vents]]-$V$28)^2/$V$29)</f>
        <v>7.8200908789605537</v>
      </c>
      <c r="S112" s="41">
        <f>O112+$V$30*$V$31*SQRT(1/$V$27+(Tabelle62[[#This Row],[Vents]]-$V$28)^2/$V$29)</f>
        <v>8.6707983292655495</v>
      </c>
    </row>
    <row r="113" spans="1:19" x14ac:dyDescent="0.3">
      <c r="A113" s="10" t="s">
        <v>138</v>
      </c>
      <c r="B113" s="10">
        <v>8</v>
      </c>
      <c r="C113" s="28">
        <f>(62.123*Tabelle62[[#This Row],[Vents]])-67.781</f>
        <v>429.20299999999997</v>
      </c>
      <c r="D113" s="7" t="s">
        <v>138</v>
      </c>
      <c r="E113" s="13">
        <v>7</v>
      </c>
      <c r="F113" s="12">
        <v>-1</v>
      </c>
      <c r="G113" s="11">
        <v>1</v>
      </c>
      <c r="H113" s="25">
        <f>(62.123*Tabelle93[[#This Row],[Vents]])-67.781</f>
        <v>367.08</v>
      </c>
      <c r="I113" s="44">
        <f t="shared" si="1"/>
        <v>3859.2671289999989</v>
      </c>
      <c r="J113" s="40">
        <v>441.22707490095252</v>
      </c>
      <c r="K113" s="41">
        <f>J113-$V$12*$V$13*SQRT(1+1/$V$9+(Tabelle62[[#This Row],[True Cooling Capacity '[kW']]]-$V$10)^2/$V$11)</f>
        <v>224.27992992972105</v>
      </c>
      <c r="L113" s="41">
        <f>J113+$V$12*$V$13*SQRT(1+1/$V$9+(Tabelle62[[#This Row],[True Cooling Capacity '[kW']]]-$V$10)^2/$V$11)</f>
        <v>658.17421987218404</v>
      </c>
      <c r="M113" s="41">
        <f>J113-$V$12*$V$13*SQRT(1/$V$9+(Tabelle62[[#This Row],[True Cooling Capacity '[kW']]]-$V$10)^2/$V$11)</f>
        <v>426.55973781471158</v>
      </c>
      <c r="N113" s="42">
        <f>J113+$V$12*$V$13*SQRT(1/$V$9+(Tabelle62[[#This Row],[True Cooling Capacity '[kW']]]-$V$10)^2/$V$11)</f>
        <v>455.89441198719345</v>
      </c>
      <c r="O113" s="40">
        <v>8.245444604113052</v>
      </c>
      <c r="P113" s="41">
        <f>O113-$V$30*$V$31*SQRT(1+1/$V$27+(Tabelle62[[#This Row],[Vents]]-$V$28)^2/$V$29)</f>
        <v>4.5933199919181114</v>
      </c>
      <c r="Q113" s="41">
        <f>O113+$V$30*$V$31*SQRT(1+1/$V$27+(Tabelle62[[#This Row],[Vents]]-$V$28)^2/$V$29)</f>
        <v>11.897569216307993</v>
      </c>
      <c r="R113" s="41">
        <f>O113-$V$30*$V$31*SQRT(1/$V$27+(Tabelle62[[#This Row],[Vents]]-$V$28)^2/$V$29)</f>
        <v>7.8200908789605537</v>
      </c>
      <c r="S113" s="41">
        <f>O113+$V$30*$V$31*SQRT(1/$V$27+(Tabelle62[[#This Row],[Vents]]-$V$28)^2/$V$29)</f>
        <v>8.6707983292655495</v>
      </c>
    </row>
    <row r="114" spans="1:19" x14ac:dyDescent="0.3">
      <c r="A114" s="10" t="s">
        <v>146</v>
      </c>
      <c r="B114" s="10">
        <v>12</v>
      </c>
      <c r="C114" s="28">
        <f>(62.123*Tabelle62[[#This Row],[Vents]])-67.781</f>
        <v>677.69499999999994</v>
      </c>
      <c r="D114" s="7" t="s">
        <v>146</v>
      </c>
      <c r="E114" s="13">
        <v>12</v>
      </c>
      <c r="F114" s="12">
        <v>0</v>
      </c>
      <c r="G114" s="11">
        <v>0</v>
      </c>
      <c r="H114" s="25">
        <f>(62.123*Tabelle93[[#This Row],[Vents]])-67.781</f>
        <v>677.69499999999994</v>
      </c>
      <c r="I114" s="44">
        <f t="shared" si="1"/>
        <v>0</v>
      </c>
      <c r="J114" s="40">
        <v>677.02983604429039</v>
      </c>
      <c r="K114" s="41">
        <f>J114-$V$12*$V$13*SQRT(1+1/$V$9+(Tabelle62[[#This Row],[True Cooling Capacity '[kW']]]-$V$10)^2/$V$11)</f>
        <v>459.77958666121026</v>
      </c>
      <c r="L114" s="41">
        <f>J114+$V$12*$V$13*SQRT(1+1/$V$9+(Tabelle62[[#This Row],[True Cooling Capacity '[kW']]]-$V$10)^2/$V$11)</f>
        <v>894.28008542737052</v>
      </c>
      <c r="M114" s="41">
        <f>J114-$V$12*$V$13*SQRT(1/$V$9+(Tabelle62[[#This Row],[True Cooling Capacity '[kW']]]-$V$10)^2/$V$11)</f>
        <v>658.40893587691437</v>
      </c>
      <c r="N114" s="42">
        <f>J114+$V$12*$V$13*SQRT(1/$V$9+(Tabelle62[[#This Row],[True Cooling Capacity '[kW']]]-$V$10)^2/$V$11)</f>
        <v>695.65073621166641</v>
      </c>
      <c r="O114" s="40">
        <v>11.95841151903775</v>
      </c>
      <c r="P114" s="41">
        <f>O114-$V$30*$V$31*SQRT(1+1/$V$27+(Tabelle62[[#This Row],[Vents]]-$V$28)^2/$V$29)</f>
        <v>8.3065919520789073</v>
      </c>
      <c r="Q114" s="41">
        <f>O114+$V$30*$V$31*SQRT(1+1/$V$27+(Tabelle62[[#This Row],[Vents]]-$V$28)^2/$V$29)</f>
        <v>15.610231085996592</v>
      </c>
      <c r="R114" s="41">
        <f>O114-$V$30*$V$31*SQRT(1/$V$27+(Tabelle62[[#This Row],[Vents]]-$V$28)^2/$V$29)</f>
        <v>11.535684942957513</v>
      </c>
      <c r="S114" s="41">
        <f>O114+$V$30*$V$31*SQRT(1/$V$27+(Tabelle62[[#This Row],[Vents]]-$V$28)^2/$V$29)</f>
        <v>12.381138095117986</v>
      </c>
    </row>
    <row r="115" spans="1:19" x14ac:dyDescent="0.3">
      <c r="A115" s="10" t="s">
        <v>147</v>
      </c>
      <c r="B115" s="10">
        <v>12</v>
      </c>
      <c r="C115" s="28">
        <f>(62.123*Tabelle62[[#This Row],[Vents]])-67.781</f>
        <v>677.69499999999994</v>
      </c>
      <c r="D115" s="7" t="s">
        <v>147</v>
      </c>
      <c r="E115" s="13">
        <v>12</v>
      </c>
      <c r="F115" s="12">
        <v>0</v>
      </c>
      <c r="G115" s="11">
        <v>0</v>
      </c>
      <c r="H115" s="25">
        <f>(62.123*Tabelle93[[#This Row],[Vents]])-67.781</f>
        <v>677.69499999999994</v>
      </c>
      <c r="I115" s="44">
        <f t="shared" si="1"/>
        <v>0</v>
      </c>
      <c r="J115" s="40">
        <v>677.02983604429039</v>
      </c>
      <c r="K115" s="41">
        <f>J115-$V$12*$V$13*SQRT(1+1/$V$9+(Tabelle62[[#This Row],[True Cooling Capacity '[kW']]]-$V$10)^2/$V$11)</f>
        <v>459.77958666121026</v>
      </c>
      <c r="L115" s="41">
        <f>J115+$V$12*$V$13*SQRT(1+1/$V$9+(Tabelle62[[#This Row],[True Cooling Capacity '[kW']]]-$V$10)^2/$V$11)</f>
        <v>894.28008542737052</v>
      </c>
      <c r="M115" s="41">
        <f>J115-$V$12*$V$13*SQRT(1/$V$9+(Tabelle62[[#This Row],[True Cooling Capacity '[kW']]]-$V$10)^2/$V$11)</f>
        <v>658.40893587691437</v>
      </c>
      <c r="N115" s="42">
        <f>J115+$V$12*$V$13*SQRT(1/$V$9+(Tabelle62[[#This Row],[True Cooling Capacity '[kW']]]-$V$10)^2/$V$11)</f>
        <v>695.65073621166641</v>
      </c>
      <c r="O115" s="40">
        <v>11.95841151903775</v>
      </c>
      <c r="P115" s="41">
        <f>O115-$V$30*$V$31*SQRT(1+1/$V$27+(Tabelle62[[#This Row],[Vents]]-$V$28)^2/$V$29)</f>
        <v>8.3065919520789073</v>
      </c>
      <c r="Q115" s="41">
        <f>O115+$V$30*$V$31*SQRT(1+1/$V$27+(Tabelle62[[#This Row],[Vents]]-$V$28)^2/$V$29)</f>
        <v>15.610231085996592</v>
      </c>
      <c r="R115" s="41">
        <f>O115-$V$30*$V$31*SQRT(1/$V$27+(Tabelle62[[#This Row],[Vents]]-$V$28)^2/$V$29)</f>
        <v>11.535684942957513</v>
      </c>
      <c r="S115" s="41">
        <f>O115+$V$30*$V$31*SQRT(1/$V$27+(Tabelle62[[#This Row],[Vents]]-$V$28)^2/$V$29)</f>
        <v>12.381138095117986</v>
      </c>
    </row>
    <row r="116" spans="1:19" x14ac:dyDescent="0.3">
      <c r="A116" s="10" t="s">
        <v>148</v>
      </c>
      <c r="B116" s="10">
        <v>10</v>
      </c>
      <c r="C116" s="28">
        <f>(62.123*Tabelle62[[#This Row],[Vents]])-67.781</f>
        <v>553.44900000000007</v>
      </c>
      <c r="D116" s="7" t="s">
        <v>148</v>
      </c>
      <c r="E116" s="13">
        <v>11</v>
      </c>
      <c r="F116" s="12">
        <v>1</v>
      </c>
      <c r="G116" s="11">
        <v>1</v>
      </c>
      <c r="H116" s="25">
        <f>(62.123*Tabelle93[[#This Row],[Vents]])-67.781</f>
        <v>615.57199999999989</v>
      </c>
      <c r="I116" s="44">
        <f t="shared" si="1"/>
        <v>3859.2671289999776</v>
      </c>
      <c r="J116" s="40">
        <v>559.12845547262157</v>
      </c>
      <c r="K116" s="41">
        <f>J116-$V$12*$V$13*SQRT(1+1/$V$9+(Tabelle62[[#This Row],[True Cooling Capacity '[kW']]]-$V$10)^2/$V$11)</f>
        <v>342.11192497659897</v>
      </c>
      <c r="L116" s="41">
        <f>J116+$V$12*$V$13*SQRT(1+1/$V$9+(Tabelle62[[#This Row],[True Cooling Capacity '[kW']]]-$V$10)^2/$V$11)</f>
        <v>776.14498596864416</v>
      </c>
      <c r="M116" s="41">
        <f>J116-$V$12*$V$13*SQRT(1/$V$9+(Tabelle62[[#This Row],[True Cooling Capacity '[kW']]]-$V$10)^2/$V$11)</f>
        <v>543.46826471503471</v>
      </c>
      <c r="N116" s="42">
        <f>J116+$V$12*$V$13*SQRT(1/$V$9+(Tabelle62[[#This Row],[True Cooling Capacity '[kW']]]-$V$10)^2/$V$11)</f>
        <v>574.78864623020843</v>
      </c>
      <c r="O116" s="40">
        <v>10.1019280615754</v>
      </c>
      <c r="P116" s="41">
        <f>O116-$V$30*$V$31*SQRT(1+1/$V$27+(Tabelle62[[#This Row],[Vents]]-$V$28)^2/$V$29)</f>
        <v>6.4499563244117386</v>
      </c>
      <c r="Q116" s="41">
        <f>O116+$V$30*$V$31*SQRT(1+1/$V$27+(Tabelle62[[#This Row],[Vents]]-$V$28)^2/$V$29)</f>
        <v>13.753899798739061</v>
      </c>
      <c r="R116" s="41">
        <f>O116-$V$30*$V$31*SQRT(1/$V$27+(Tabelle62[[#This Row],[Vents]]-$V$28)^2/$V$29)</f>
        <v>9.6778889389189775</v>
      </c>
      <c r="S116" s="41">
        <f>O116+$V$30*$V$31*SQRT(1/$V$27+(Tabelle62[[#This Row],[Vents]]-$V$28)^2/$V$29)</f>
        <v>10.525967184231822</v>
      </c>
    </row>
    <row r="117" spans="1:19" x14ac:dyDescent="0.3">
      <c r="A117" s="10" t="s">
        <v>149</v>
      </c>
      <c r="B117" s="10">
        <v>10</v>
      </c>
      <c r="C117" s="28">
        <f>(62.123*Tabelle62[[#This Row],[Vents]])-67.781</f>
        <v>553.44900000000007</v>
      </c>
      <c r="D117" s="7" t="s">
        <v>149</v>
      </c>
      <c r="E117" s="13">
        <v>10</v>
      </c>
      <c r="F117" s="12">
        <v>0</v>
      </c>
      <c r="G117" s="11">
        <v>0</v>
      </c>
      <c r="H117" s="25">
        <f>(62.123*Tabelle93[[#This Row],[Vents]])-67.781</f>
        <v>553.44900000000007</v>
      </c>
      <c r="I117" s="44">
        <f t="shared" si="1"/>
        <v>0</v>
      </c>
      <c r="J117" s="40">
        <v>559.12845547262157</v>
      </c>
      <c r="K117" s="41">
        <f>J117-$V$12*$V$13*SQRT(1+1/$V$9+(Tabelle62[[#This Row],[True Cooling Capacity '[kW']]]-$V$10)^2/$V$11)</f>
        <v>342.11192497659897</v>
      </c>
      <c r="L117" s="41">
        <f>J117+$V$12*$V$13*SQRT(1+1/$V$9+(Tabelle62[[#This Row],[True Cooling Capacity '[kW']]]-$V$10)^2/$V$11)</f>
        <v>776.14498596864416</v>
      </c>
      <c r="M117" s="41">
        <f>J117-$V$12*$V$13*SQRT(1/$V$9+(Tabelle62[[#This Row],[True Cooling Capacity '[kW']]]-$V$10)^2/$V$11)</f>
        <v>543.46826471503471</v>
      </c>
      <c r="N117" s="42">
        <f>J117+$V$12*$V$13*SQRT(1/$V$9+(Tabelle62[[#This Row],[True Cooling Capacity '[kW']]]-$V$10)^2/$V$11)</f>
        <v>574.78864623020843</v>
      </c>
      <c r="O117" s="40">
        <v>10.1019280615754</v>
      </c>
      <c r="P117" s="41">
        <f>O117-$V$30*$V$31*SQRT(1+1/$V$27+(Tabelle62[[#This Row],[Vents]]-$V$28)^2/$V$29)</f>
        <v>6.4499563244117386</v>
      </c>
      <c r="Q117" s="41">
        <f>O117+$V$30*$V$31*SQRT(1+1/$V$27+(Tabelle62[[#This Row],[Vents]]-$V$28)^2/$V$29)</f>
        <v>13.753899798739061</v>
      </c>
      <c r="R117" s="41">
        <f>O117-$V$30*$V$31*SQRT(1/$V$27+(Tabelle62[[#This Row],[Vents]]-$V$28)^2/$V$29)</f>
        <v>9.6778889389189775</v>
      </c>
      <c r="S117" s="41">
        <f>O117+$V$30*$V$31*SQRT(1/$V$27+(Tabelle62[[#This Row],[Vents]]-$V$28)^2/$V$29)</f>
        <v>10.525967184231822</v>
      </c>
    </row>
    <row r="118" spans="1:19" x14ac:dyDescent="0.3">
      <c r="A118" s="10" t="s">
        <v>151</v>
      </c>
      <c r="B118" s="10">
        <v>10</v>
      </c>
      <c r="C118" s="28">
        <f>(62.123*Tabelle62[[#This Row],[Vents]])-67.781</f>
        <v>553.44900000000007</v>
      </c>
      <c r="D118" s="7" t="s">
        <v>151</v>
      </c>
      <c r="E118" s="13">
        <v>11</v>
      </c>
      <c r="F118" s="12">
        <v>1</v>
      </c>
      <c r="G118" s="11">
        <v>1</v>
      </c>
      <c r="H118" s="25">
        <f>(62.123*Tabelle93[[#This Row],[Vents]])-67.781</f>
        <v>615.57199999999989</v>
      </c>
      <c r="I118" s="44">
        <f t="shared" si="1"/>
        <v>3859.2671289999776</v>
      </c>
      <c r="J118" s="40">
        <v>559.12845547262157</v>
      </c>
      <c r="K118" s="41">
        <f>J118-$V$12*$V$13*SQRT(1+1/$V$9+(Tabelle62[[#This Row],[True Cooling Capacity '[kW']]]-$V$10)^2/$V$11)</f>
        <v>342.11192497659897</v>
      </c>
      <c r="L118" s="41">
        <f>J118+$V$12*$V$13*SQRT(1+1/$V$9+(Tabelle62[[#This Row],[True Cooling Capacity '[kW']]]-$V$10)^2/$V$11)</f>
        <v>776.14498596864416</v>
      </c>
      <c r="M118" s="41">
        <f>J118-$V$12*$V$13*SQRT(1/$V$9+(Tabelle62[[#This Row],[True Cooling Capacity '[kW']]]-$V$10)^2/$V$11)</f>
        <v>543.46826471503471</v>
      </c>
      <c r="N118" s="42">
        <f>J118+$V$12*$V$13*SQRT(1/$V$9+(Tabelle62[[#This Row],[True Cooling Capacity '[kW']]]-$V$10)^2/$V$11)</f>
        <v>574.78864623020843</v>
      </c>
      <c r="O118" s="40">
        <v>10.1019280615754</v>
      </c>
      <c r="P118" s="41">
        <f>O118-$V$30*$V$31*SQRT(1+1/$V$27+(Tabelle62[[#This Row],[Vents]]-$V$28)^2/$V$29)</f>
        <v>6.4499563244117386</v>
      </c>
      <c r="Q118" s="41">
        <f>O118+$V$30*$V$31*SQRT(1+1/$V$27+(Tabelle62[[#This Row],[Vents]]-$V$28)^2/$V$29)</f>
        <v>13.753899798739061</v>
      </c>
      <c r="R118" s="41">
        <f>O118-$V$30*$V$31*SQRT(1/$V$27+(Tabelle62[[#This Row],[Vents]]-$V$28)^2/$V$29)</f>
        <v>9.6778889389189775</v>
      </c>
      <c r="S118" s="41">
        <f>O118+$V$30*$V$31*SQRT(1/$V$27+(Tabelle62[[#This Row],[Vents]]-$V$28)^2/$V$29)</f>
        <v>10.525967184231822</v>
      </c>
    </row>
    <row r="119" spans="1:19" x14ac:dyDescent="0.3">
      <c r="A119" s="10" t="s">
        <v>150</v>
      </c>
      <c r="B119" s="10">
        <v>10</v>
      </c>
      <c r="C119" s="28">
        <f>(62.123*Tabelle62[[#This Row],[Vents]])-67.781</f>
        <v>553.44900000000007</v>
      </c>
      <c r="D119" s="7" t="s">
        <v>150</v>
      </c>
      <c r="E119" s="13">
        <v>11</v>
      </c>
      <c r="F119" s="12">
        <v>1</v>
      </c>
      <c r="G119" s="11">
        <v>1</v>
      </c>
      <c r="H119" s="25">
        <f>(62.123*Tabelle93[[#This Row],[Vents]])-67.781</f>
        <v>615.57199999999989</v>
      </c>
      <c r="I119" s="44">
        <f t="shared" si="1"/>
        <v>3859.2671289999776</v>
      </c>
      <c r="J119" s="40">
        <v>559.12845547262157</v>
      </c>
      <c r="K119" s="41">
        <f>J119-$V$12*$V$13*SQRT(1+1/$V$9+(Tabelle62[[#This Row],[True Cooling Capacity '[kW']]]-$V$10)^2/$V$11)</f>
        <v>342.11192497659897</v>
      </c>
      <c r="L119" s="41">
        <f>J119+$V$12*$V$13*SQRT(1+1/$V$9+(Tabelle62[[#This Row],[True Cooling Capacity '[kW']]]-$V$10)^2/$V$11)</f>
        <v>776.14498596864416</v>
      </c>
      <c r="M119" s="41">
        <f>J119-$V$12*$V$13*SQRT(1/$V$9+(Tabelle62[[#This Row],[True Cooling Capacity '[kW']]]-$V$10)^2/$V$11)</f>
        <v>543.46826471503471</v>
      </c>
      <c r="N119" s="42">
        <f>J119+$V$12*$V$13*SQRT(1/$V$9+(Tabelle62[[#This Row],[True Cooling Capacity '[kW']]]-$V$10)^2/$V$11)</f>
        <v>574.78864623020843</v>
      </c>
      <c r="O119" s="40">
        <v>10.1019280615754</v>
      </c>
      <c r="P119" s="41">
        <f>O119-$V$30*$V$31*SQRT(1+1/$V$27+(Tabelle62[[#This Row],[Vents]]-$V$28)^2/$V$29)</f>
        <v>6.4499563244117386</v>
      </c>
      <c r="Q119" s="41">
        <f>O119+$V$30*$V$31*SQRT(1+1/$V$27+(Tabelle62[[#This Row],[Vents]]-$V$28)^2/$V$29)</f>
        <v>13.753899798739061</v>
      </c>
      <c r="R119" s="41">
        <f>O119-$V$30*$V$31*SQRT(1/$V$27+(Tabelle62[[#This Row],[Vents]]-$V$28)^2/$V$29)</f>
        <v>9.6778889389189775</v>
      </c>
      <c r="S119" s="41">
        <f>O119+$V$30*$V$31*SQRT(1/$V$27+(Tabelle62[[#This Row],[Vents]]-$V$28)^2/$V$29)</f>
        <v>10.525967184231822</v>
      </c>
    </row>
    <row r="120" spans="1:19" x14ac:dyDescent="0.3">
      <c r="A120" s="10" t="s">
        <v>152</v>
      </c>
      <c r="B120" s="10">
        <v>12</v>
      </c>
      <c r="C120" s="28">
        <f>(62.123*Tabelle62[[#This Row],[Vents]])-67.781</f>
        <v>677.69499999999994</v>
      </c>
      <c r="D120" s="7" t="s">
        <v>152</v>
      </c>
      <c r="E120" s="13">
        <v>15</v>
      </c>
      <c r="F120" s="12">
        <v>3</v>
      </c>
      <c r="G120" s="11">
        <v>9</v>
      </c>
      <c r="H120" s="25">
        <f>(62.123*Tabelle93[[#This Row],[Vents]])-67.781</f>
        <v>864.06399999999985</v>
      </c>
      <c r="I120" s="44">
        <f t="shared" si="1"/>
        <v>34733.404160999969</v>
      </c>
      <c r="J120" s="40">
        <v>677.02983604429039</v>
      </c>
      <c r="K120" s="41">
        <f>J120-$V$12*$V$13*SQRT(1+1/$V$9+(Tabelle62[[#This Row],[True Cooling Capacity '[kW']]]-$V$10)^2/$V$11)</f>
        <v>459.77958666121026</v>
      </c>
      <c r="L120" s="41">
        <f>J120+$V$12*$V$13*SQRT(1+1/$V$9+(Tabelle62[[#This Row],[True Cooling Capacity '[kW']]]-$V$10)^2/$V$11)</f>
        <v>894.28008542737052</v>
      </c>
      <c r="M120" s="41">
        <f>J120-$V$12*$V$13*SQRT(1/$V$9+(Tabelle62[[#This Row],[True Cooling Capacity '[kW']]]-$V$10)^2/$V$11)</f>
        <v>658.40893587691437</v>
      </c>
      <c r="N120" s="42">
        <f>J120+$V$12*$V$13*SQRT(1/$V$9+(Tabelle62[[#This Row],[True Cooling Capacity '[kW']]]-$V$10)^2/$V$11)</f>
        <v>695.65073621166641</v>
      </c>
      <c r="O120" s="40">
        <v>11.95841151903775</v>
      </c>
      <c r="P120" s="41">
        <f>O120-$V$30*$V$31*SQRT(1+1/$V$27+(Tabelle62[[#This Row],[Vents]]-$V$28)^2/$V$29)</f>
        <v>8.3065919520789073</v>
      </c>
      <c r="Q120" s="41">
        <f>O120+$V$30*$V$31*SQRT(1+1/$V$27+(Tabelle62[[#This Row],[Vents]]-$V$28)^2/$V$29)</f>
        <v>15.610231085996592</v>
      </c>
      <c r="R120" s="41">
        <f>O120-$V$30*$V$31*SQRT(1/$V$27+(Tabelle62[[#This Row],[Vents]]-$V$28)^2/$V$29)</f>
        <v>11.535684942957513</v>
      </c>
      <c r="S120" s="41">
        <f>O120+$V$30*$V$31*SQRT(1/$V$27+(Tabelle62[[#This Row],[Vents]]-$V$28)^2/$V$29)</f>
        <v>12.381138095117986</v>
      </c>
    </row>
    <row r="121" spans="1:19" x14ac:dyDescent="0.3">
      <c r="A121" s="10" t="s">
        <v>154</v>
      </c>
      <c r="B121" s="10">
        <v>13</v>
      </c>
      <c r="C121" s="28">
        <f>(62.123*Tabelle62[[#This Row],[Vents]])-67.781</f>
        <v>739.81799999999998</v>
      </c>
      <c r="D121" s="7" t="s">
        <v>154</v>
      </c>
      <c r="E121" s="13">
        <v>15</v>
      </c>
      <c r="F121" s="12">
        <v>2</v>
      </c>
      <c r="G121" s="11">
        <v>4</v>
      </c>
      <c r="H121" s="25">
        <f>(62.123*Tabelle93[[#This Row],[Vents]])-67.781</f>
        <v>864.06399999999985</v>
      </c>
      <c r="I121" s="44">
        <f t="shared" si="1"/>
        <v>15437.068515999967</v>
      </c>
      <c r="J121" s="40">
        <v>735.98052633012492</v>
      </c>
      <c r="K121" s="41">
        <f>J121-$V$12*$V$13*SQRT(1+1/$V$9+(Tabelle62[[#This Row],[True Cooling Capacity '[kW']]]-$V$10)^2/$V$11)</f>
        <v>518.55194354276694</v>
      </c>
      <c r="L121" s="41">
        <f>J121+$V$12*$V$13*SQRT(1+1/$V$9+(Tabelle62[[#This Row],[True Cooling Capacity '[kW']]]-$V$10)^2/$V$11)</f>
        <v>953.4091091174829</v>
      </c>
      <c r="M121" s="41">
        <f>J121-$V$12*$V$13*SQRT(1/$V$9+(Tabelle62[[#This Row],[True Cooling Capacity '[kW']]]-$V$10)^2/$V$11)</f>
        <v>715.38305855003455</v>
      </c>
      <c r="N121" s="42">
        <f>J121+$V$12*$V$13*SQRT(1/$V$9+(Tabelle62[[#This Row],[True Cooling Capacity '[kW']]]-$V$10)^2/$V$11)</f>
        <v>756.57799411021529</v>
      </c>
      <c r="O121" s="40">
        <v>12.886653247768923</v>
      </c>
      <c r="P121" s="41">
        <f>O121-$V$30*$V$31*SQRT(1+1/$V$27+(Tabelle62[[#This Row],[Vents]]-$V$28)^2/$V$29)</f>
        <v>9.234909501575018</v>
      </c>
      <c r="Q121" s="41">
        <f>O121+$V$30*$V$31*SQRT(1+1/$V$27+(Tabelle62[[#This Row],[Vents]]-$V$28)^2/$V$29)</f>
        <v>16.538396993962827</v>
      </c>
      <c r="R121" s="41">
        <f>O121-$V$30*$V$31*SQRT(1/$V$27+(Tabelle62[[#This Row],[Vents]]-$V$28)^2/$V$29)</f>
        <v>12.464582168011788</v>
      </c>
      <c r="S121" s="41">
        <f>O121+$V$30*$V$31*SQRT(1/$V$27+(Tabelle62[[#This Row],[Vents]]-$V$28)^2/$V$29)</f>
        <v>13.308724327526058</v>
      </c>
    </row>
    <row r="122" spans="1:19" x14ac:dyDescent="0.3">
      <c r="A122" s="10" t="s">
        <v>153</v>
      </c>
      <c r="B122" s="10">
        <v>12</v>
      </c>
      <c r="C122" s="28">
        <f>(62.123*Tabelle62[[#This Row],[Vents]])-67.781</f>
        <v>677.69499999999994</v>
      </c>
      <c r="D122" s="7" t="s">
        <v>153</v>
      </c>
      <c r="E122" s="13">
        <v>12</v>
      </c>
      <c r="F122" s="12">
        <v>0</v>
      </c>
      <c r="G122" s="11">
        <v>0</v>
      </c>
      <c r="H122" s="25">
        <f>(62.123*Tabelle93[[#This Row],[Vents]])-67.781</f>
        <v>677.69499999999994</v>
      </c>
      <c r="I122" s="44">
        <f t="shared" si="1"/>
        <v>0</v>
      </c>
      <c r="J122" s="40">
        <v>677.02983604429039</v>
      </c>
      <c r="K122" s="41">
        <f>J122-$V$12*$V$13*SQRT(1+1/$V$9+(Tabelle62[[#This Row],[True Cooling Capacity '[kW']]]-$V$10)^2/$V$11)</f>
        <v>459.77958666121026</v>
      </c>
      <c r="L122" s="41">
        <f>J122+$V$12*$V$13*SQRT(1+1/$V$9+(Tabelle62[[#This Row],[True Cooling Capacity '[kW']]]-$V$10)^2/$V$11)</f>
        <v>894.28008542737052</v>
      </c>
      <c r="M122" s="41">
        <f>J122-$V$12*$V$13*SQRT(1/$V$9+(Tabelle62[[#This Row],[True Cooling Capacity '[kW']]]-$V$10)^2/$V$11)</f>
        <v>658.40893587691437</v>
      </c>
      <c r="N122" s="42">
        <f>J122+$V$12*$V$13*SQRT(1/$V$9+(Tabelle62[[#This Row],[True Cooling Capacity '[kW']]]-$V$10)^2/$V$11)</f>
        <v>695.65073621166641</v>
      </c>
      <c r="O122" s="40">
        <v>11.95841151903775</v>
      </c>
      <c r="P122" s="41">
        <f>O122-$V$30*$V$31*SQRT(1+1/$V$27+(Tabelle62[[#This Row],[Vents]]-$V$28)^2/$V$29)</f>
        <v>8.3065919520789073</v>
      </c>
      <c r="Q122" s="41">
        <f>O122+$V$30*$V$31*SQRT(1+1/$V$27+(Tabelle62[[#This Row],[Vents]]-$V$28)^2/$V$29)</f>
        <v>15.610231085996592</v>
      </c>
      <c r="R122" s="41">
        <f>O122-$V$30*$V$31*SQRT(1/$V$27+(Tabelle62[[#This Row],[Vents]]-$V$28)^2/$V$29)</f>
        <v>11.535684942957513</v>
      </c>
      <c r="S122" s="41">
        <f>O122+$V$30*$V$31*SQRT(1/$V$27+(Tabelle62[[#This Row],[Vents]]-$V$28)^2/$V$29)</f>
        <v>12.381138095117986</v>
      </c>
    </row>
    <row r="123" spans="1:19" x14ac:dyDescent="0.3">
      <c r="A123" s="10" t="s">
        <v>155</v>
      </c>
      <c r="B123" s="10">
        <v>14</v>
      </c>
      <c r="C123" s="28">
        <f>(62.123*Tabelle62[[#This Row],[Vents]])-67.781</f>
        <v>801.94100000000003</v>
      </c>
      <c r="D123" s="7" t="s">
        <v>155</v>
      </c>
      <c r="E123" s="13">
        <v>14</v>
      </c>
      <c r="F123" s="12">
        <v>0</v>
      </c>
      <c r="G123" s="11">
        <v>0</v>
      </c>
      <c r="H123" s="25">
        <f>(62.123*Tabelle93[[#This Row],[Vents]])-67.781</f>
        <v>801.94100000000003</v>
      </c>
      <c r="I123" s="44">
        <f t="shared" si="1"/>
        <v>0</v>
      </c>
      <c r="J123" s="40">
        <v>794.93121661595944</v>
      </c>
      <c r="K123" s="41">
        <f>J123-$V$12*$V$13*SQRT(1+1/$V$9+(Tabelle62[[#This Row],[True Cooling Capacity '[kW']]]-$V$10)^2/$V$11)</f>
        <v>577.28344438613249</v>
      </c>
      <c r="L123" s="41">
        <f>J123+$V$12*$V$13*SQRT(1+1/$V$9+(Tabelle62[[#This Row],[True Cooling Capacity '[kW']]]-$V$10)^2/$V$11)</f>
        <v>1012.5789888457864</v>
      </c>
      <c r="M123" s="41">
        <f>J123-$V$12*$V$13*SQRT(1/$V$9+(Tabelle62[[#This Row],[True Cooling Capacity '[kW']]]-$V$10)^2/$V$11)</f>
        <v>772.13604557822566</v>
      </c>
      <c r="N123" s="42">
        <f>J123+$V$12*$V$13*SQRT(1/$V$9+(Tabelle62[[#This Row],[True Cooling Capacity '[kW']]]-$V$10)^2/$V$11)</f>
        <v>817.72638765369322</v>
      </c>
      <c r="O123" s="40">
        <v>13.814894976500099</v>
      </c>
      <c r="P123" s="41">
        <f>O123-$V$30*$V$31*SQRT(1+1/$V$27+(Tabelle62[[#This Row],[Vents]]-$V$28)^2/$V$29)</f>
        <v>10.163226874831505</v>
      </c>
      <c r="Q123" s="41">
        <f>O123+$V$30*$V$31*SQRT(1+1/$V$27+(Tabelle62[[#This Row],[Vents]]-$V$28)^2/$V$29)</f>
        <v>17.466563078168694</v>
      </c>
      <c r="R123" s="41">
        <f>O123-$V$30*$V$31*SQRT(1/$V$27+(Tabelle62[[#This Row],[Vents]]-$V$28)^2/$V$29)</f>
        <v>13.393478871865998</v>
      </c>
      <c r="S123" s="41">
        <f>O123+$V$30*$V$31*SQRT(1/$V$27+(Tabelle62[[#This Row],[Vents]]-$V$28)^2/$V$29)</f>
        <v>14.2363110811342</v>
      </c>
    </row>
    <row r="124" spans="1:19" x14ac:dyDescent="0.3">
      <c r="A124" s="10" t="s">
        <v>156</v>
      </c>
      <c r="B124" s="10">
        <v>12</v>
      </c>
      <c r="C124" s="28">
        <f>(62.123*Tabelle62[[#This Row],[Vents]])-67.781</f>
        <v>677.69499999999994</v>
      </c>
      <c r="D124" s="7" t="s">
        <v>156</v>
      </c>
      <c r="E124" s="13">
        <v>12</v>
      </c>
      <c r="F124" s="12">
        <v>0</v>
      </c>
      <c r="G124" s="11">
        <v>0</v>
      </c>
      <c r="H124" s="25">
        <f>(62.123*Tabelle93[[#This Row],[Vents]])-67.781</f>
        <v>677.69499999999994</v>
      </c>
      <c r="I124" s="44">
        <f t="shared" si="1"/>
        <v>0</v>
      </c>
      <c r="J124" s="40">
        <v>677.02983604429039</v>
      </c>
      <c r="K124" s="41">
        <f>J124-$V$12*$V$13*SQRT(1+1/$V$9+(Tabelle62[[#This Row],[True Cooling Capacity '[kW']]]-$V$10)^2/$V$11)</f>
        <v>459.77958666121026</v>
      </c>
      <c r="L124" s="41">
        <f>J124+$V$12*$V$13*SQRT(1+1/$V$9+(Tabelle62[[#This Row],[True Cooling Capacity '[kW']]]-$V$10)^2/$V$11)</f>
        <v>894.28008542737052</v>
      </c>
      <c r="M124" s="41">
        <f>J124-$V$12*$V$13*SQRT(1/$V$9+(Tabelle62[[#This Row],[True Cooling Capacity '[kW']]]-$V$10)^2/$V$11)</f>
        <v>658.40893587691437</v>
      </c>
      <c r="N124" s="42">
        <f>J124+$V$12*$V$13*SQRT(1/$V$9+(Tabelle62[[#This Row],[True Cooling Capacity '[kW']]]-$V$10)^2/$V$11)</f>
        <v>695.65073621166641</v>
      </c>
      <c r="O124" s="40">
        <v>11.95841151903775</v>
      </c>
      <c r="P124" s="41">
        <f>O124-$V$30*$V$31*SQRT(1+1/$V$27+(Tabelle62[[#This Row],[Vents]]-$V$28)^2/$V$29)</f>
        <v>8.3065919520789073</v>
      </c>
      <c r="Q124" s="41">
        <f>O124+$V$30*$V$31*SQRT(1+1/$V$27+(Tabelle62[[#This Row],[Vents]]-$V$28)^2/$V$29)</f>
        <v>15.610231085996592</v>
      </c>
      <c r="R124" s="41">
        <f>O124-$V$30*$V$31*SQRT(1/$V$27+(Tabelle62[[#This Row],[Vents]]-$V$28)^2/$V$29)</f>
        <v>11.535684942957513</v>
      </c>
      <c r="S124" s="41">
        <f>O124+$V$30*$V$31*SQRT(1/$V$27+(Tabelle62[[#This Row],[Vents]]-$V$28)^2/$V$29)</f>
        <v>12.381138095117986</v>
      </c>
    </row>
    <row r="125" spans="1:19" x14ac:dyDescent="0.3">
      <c r="A125" s="10" t="s">
        <v>157</v>
      </c>
      <c r="B125" s="10">
        <v>10</v>
      </c>
      <c r="C125" s="28">
        <f>(62.123*Tabelle62[[#This Row],[Vents]])-67.781</f>
        <v>553.44900000000007</v>
      </c>
      <c r="D125" s="7" t="s">
        <v>157</v>
      </c>
      <c r="E125" s="13">
        <v>10</v>
      </c>
      <c r="F125" s="12">
        <v>0</v>
      </c>
      <c r="G125" s="11">
        <v>0</v>
      </c>
      <c r="H125" s="25">
        <f>(62.123*Tabelle93[[#This Row],[Vents]])-67.781</f>
        <v>553.44900000000007</v>
      </c>
      <c r="I125" s="44">
        <f t="shared" si="1"/>
        <v>0</v>
      </c>
      <c r="J125" s="40">
        <v>559.12845547262157</v>
      </c>
      <c r="K125" s="41">
        <f>J125-$V$12*$V$13*SQRT(1+1/$V$9+(Tabelle62[[#This Row],[True Cooling Capacity '[kW']]]-$V$10)^2/$V$11)</f>
        <v>342.11192497659897</v>
      </c>
      <c r="L125" s="41">
        <f>J125+$V$12*$V$13*SQRT(1+1/$V$9+(Tabelle62[[#This Row],[True Cooling Capacity '[kW']]]-$V$10)^2/$V$11)</f>
        <v>776.14498596864416</v>
      </c>
      <c r="M125" s="41">
        <f>J125-$V$12*$V$13*SQRT(1/$V$9+(Tabelle62[[#This Row],[True Cooling Capacity '[kW']]]-$V$10)^2/$V$11)</f>
        <v>543.46826471503471</v>
      </c>
      <c r="N125" s="42">
        <f>J125+$V$12*$V$13*SQRT(1/$V$9+(Tabelle62[[#This Row],[True Cooling Capacity '[kW']]]-$V$10)^2/$V$11)</f>
        <v>574.78864623020843</v>
      </c>
      <c r="O125" s="40">
        <v>10.1019280615754</v>
      </c>
      <c r="P125" s="41">
        <f>O125-$V$30*$V$31*SQRT(1+1/$V$27+(Tabelle62[[#This Row],[Vents]]-$V$28)^2/$V$29)</f>
        <v>6.4499563244117386</v>
      </c>
      <c r="Q125" s="41">
        <f>O125+$V$30*$V$31*SQRT(1+1/$V$27+(Tabelle62[[#This Row],[Vents]]-$V$28)^2/$V$29)</f>
        <v>13.753899798739061</v>
      </c>
      <c r="R125" s="41">
        <f>O125-$V$30*$V$31*SQRT(1/$V$27+(Tabelle62[[#This Row],[Vents]]-$V$28)^2/$V$29)</f>
        <v>9.6778889389189775</v>
      </c>
      <c r="S125" s="41">
        <f>O125+$V$30*$V$31*SQRT(1/$V$27+(Tabelle62[[#This Row],[Vents]]-$V$28)^2/$V$29)</f>
        <v>10.525967184231822</v>
      </c>
    </row>
    <row r="126" spans="1:19" x14ac:dyDescent="0.3">
      <c r="A126" s="10" t="s">
        <v>158</v>
      </c>
      <c r="B126" s="10">
        <v>11</v>
      </c>
      <c r="C126" s="28">
        <f>(62.123*Tabelle62[[#This Row],[Vents]])-67.781</f>
        <v>615.57199999999989</v>
      </c>
      <c r="D126" s="7" t="s">
        <v>158</v>
      </c>
      <c r="E126" s="13">
        <v>12</v>
      </c>
      <c r="F126" s="12">
        <v>1</v>
      </c>
      <c r="G126" s="11">
        <v>1</v>
      </c>
      <c r="H126" s="25">
        <f>(62.123*Tabelle93[[#This Row],[Vents]])-67.781</f>
        <v>677.69499999999994</v>
      </c>
      <c r="I126" s="44">
        <f t="shared" si="1"/>
        <v>3859.2671290000058</v>
      </c>
      <c r="J126" s="40">
        <v>618.07914575845587</v>
      </c>
      <c r="K126" s="41">
        <f>J126-$V$12*$V$13*SQRT(1+1/$V$9+(Tabelle62[[#This Row],[True Cooling Capacity '[kW']]]-$V$10)^2/$V$11)</f>
        <v>400.96627306574521</v>
      </c>
      <c r="L126" s="41">
        <f>J126+$V$12*$V$13*SQRT(1+1/$V$9+(Tabelle62[[#This Row],[True Cooling Capacity '[kW']]]-$V$10)^2/$V$11)</f>
        <v>835.19201845116652</v>
      </c>
      <c r="M126" s="41">
        <f>J126-$V$12*$V$13*SQRT(1/$V$9+(Tabelle62[[#This Row],[True Cooling Capacity '[kW']]]-$V$10)^2/$V$11)</f>
        <v>601.13610722004432</v>
      </c>
      <c r="N126" s="42">
        <f>J126+$V$12*$V$13*SQRT(1/$V$9+(Tabelle62[[#This Row],[True Cooling Capacity '[kW']]]-$V$10)^2/$V$11)</f>
        <v>635.02218429686741</v>
      </c>
      <c r="O126" s="40">
        <v>11.030169790306577</v>
      </c>
      <c r="P126" s="41">
        <f>O126-$V$30*$V$31*SQRT(1+1/$V$27+(Tabelle62[[#This Row],[Vents]]-$V$28)^2/$V$29)</f>
        <v>7.378274226354149</v>
      </c>
      <c r="Q126" s="41">
        <f>O126+$V$30*$V$31*SQRT(1+1/$V$27+(Tabelle62[[#This Row],[Vents]]-$V$28)^2/$V$29)</f>
        <v>14.682065354259004</v>
      </c>
      <c r="R126" s="41">
        <f>O126-$V$30*$V$31*SQRT(1/$V$27+(Tabelle62[[#This Row],[Vents]]-$V$28)^2/$V$29)</f>
        <v>10.606787199123994</v>
      </c>
      <c r="S126" s="41">
        <f>O126+$V$30*$V$31*SQRT(1/$V$27+(Tabelle62[[#This Row],[Vents]]-$V$28)^2/$V$29)</f>
        <v>11.453552381489159</v>
      </c>
    </row>
    <row r="127" spans="1:19" x14ac:dyDescent="0.3">
      <c r="A127" s="10" t="s">
        <v>2</v>
      </c>
      <c r="B127" s="10">
        <v>12</v>
      </c>
      <c r="C127" s="28">
        <f>(62.123*Tabelle62[[#This Row],[Vents]])-67.781</f>
        <v>677.69499999999994</v>
      </c>
      <c r="D127" s="7" t="s">
        <v>2</v>
      </c>
      <c r="E127" s="13">
        <v>12</v>
      </c>
      <c r="F127" s="12">
        <v>0</v>
      </c>
      <c r="G127" s="11">
        <v>0</v>
      </c>
      <c r="H127" s="25">
        <f>(62.123*Tabelle93[[#This Row],[Vents]])-67.781</f>
        <v>677.69499999999994</v>
      </c>
      <c r="I127" s="44">
        <f t="shared" si="1"/>
        <v>0</v>
      </c>
      <c r="J127" s="40">
        <v>677.02983604429039</v>
      </c>
      <c r="K127" s="41">
        <f>J127-$V$12*$V$13*SQRT(1+1/$V$9+(Tabelle62[[#This Row],[True Cooling Capacity '[kW']]]-$V$10)^2/$V$11)</f>
        <v>459.77958666121026</v>
      </c>
      <c r="L127" s="41">
        <f>J127+$V$12*$V$13*SQRT(1+1/$V$9+(Tabelle62[[#This Row],[True Cooling Capacity '[kW']]]-$V$10)^2/$V$11)</f>
        <v>894.28008542737052</v>
      </c>
      <c r="M127" s="41">
        <f>J127-$V$12*$V$13*SQRT(1/$V$9+(Tabelle62[[#This Row],[True Cooling Capacity '[kW']]]-$V$10)^2/$V$11)</f>
        <v>658.40893587691437</v>
      </c>
      <c r="N127" s="42">
        <f>J127+$V$12*$V$13*SQRT(1/$V$9+(Tabelle62[[#This Row],[True Cooling Capacity '[kW']]]-$V$10)^2/$V$11)</f>
        <v>695.65073621166641</v>
      </c>
      <c r="O127" s="40">
        <v>11.95841151903775</v>
      </c>
      <c r="P127" s="41">
        <f>O127-$V$30*$V$31*SQRT(1+1/$V$27+(Tabelle62[[#This Row],[Vents]]-$V$28)^2/$V$29)</f>
        <v>8.3065919520789073</v>
      </c>
      <c r="Q127" s="41">
        <f>O127+$V$30*$V$31*SQRT(1+1/$V$27+(Tabelle62[[#This Row],[Vents]]-$V$28)^2/$V$29)</f>
        <v>15.610231085996592</v>
      </c>
      <c r="R127" s="41">
        <f>O127-$V$30*$V$31*SQRT(1/$V$27+(Tabelle62[[#This Row],[Vents]]-$V$28)^2/$V$29)</f>
        <v>11.535684942957513</v>
      </c>
      <c r="S127" s="41">
        <f>O127+$V$30*$V$31*SQRT(1/$V$27+(Tabelle62[[#This Row],[Vents]]-$V$28)^2/$V$29)</f>
        <v>12.381138095117986</v>
      </c>
    </row>
    <row r="128" spans="1:19" x14ac:dyDescent="0.3">
      <c r="A128" s="10" t="s">
        <v>4</v>
      </c>
      <c r="B128" s="10">
        <v>32</v>
      </c>
      <c r="C128" s="28">
        <f>(62.123*Tabelle62[[#This Row],[Vents]])-67.781</f>
        <v>1920.155</v>
      </c>
      <c r="D128" s="7" t="s">
        <v>4</v>
      </c>
      <c r="E128" s="13">
        <v>32</v>
      </c>
      <c r="F128" s="12">
        <v>0</v>
      </c>
      <c r="G128" s="11">
        <v>0</v>
      </c>
      <c r="H128" s="25">
        <f>(62.123*Tabelle93[[#This Row],[Vents]])-67.781</f>
        <v>1920.155</v>
      </c>
      <c r="I128" s="44">
        <f t="shared" si="1"/>
        <v>0</v>
      </c>
      <c r="J128" s="40">
        <v>1856.0436417609801</v>
      </c>
      <c r="K128" s="41">
        <f>J128-$V$12*$V$13*SQRT(1+1/$V$9+(Tabelle62[[#This Row],[True Cooling Capacity '[kW']]]-$V$10)^2/$V$11)</f>
        <v>1627.7043335960757</v>
      </c>
      <c r="L128" s="41">
        <f>J128+$V$12*$V$13*SQRT(1+1/$V$9+(Tabelle62[[#This Row],[True Cooling Capacity '[kW']]]-$V$10)^2/$V$11)</f>
        <v>2084.3829499258845</v>
      </c>
      <c r="M128" s="41">
        <f>J128-$V$12*$V$13*SQRT(1/$V$9+(Tabelle62[[#This Row],[True Cooling Capacity '[kW']]]-$V$10)^2/$V$11)</f>
        <v>1783.3256472942728</v>
      </c>
      <c r="N128" s="42">
        <f>J128+$V$12*$V$13*SQRT(1/$V$9+(Tabelle62[[#This Row],[True Cooling Capacity '[kW']]]-$V$10)^2/$V$11)</f>
        <v>1928.7616362276874</v>
      </c>
      <c r="O128" s="40">
        <v>30.523246093661236</v>
      </c>
      <c r="P128" s="41">
        <f>O128-$V$30*$V$31*SQRT(1+1/$V$27+(Tabelle62[[#This Row],[Vents]]-$V$28)^2/$V$29)</f>
        <v>26.872909444105382</v>
      </c>
      <c r="Q128" s="41">
        <f>O128+$V$30*$V$31*SQRT(1+1/$V$27+(Tabelle62[[#This Row],[Vents]]-$V$28)^2/$V$29)</f>
        <v>34.173582743217089</v>
      </c>
      <c r="R128" s="41">
        <f>O128-$V$30*$V$31*SQRT(1/$V$27+(Tabelle62[[#This Row],[Vents]]-$V$28)^2/$V$29)</f>
        <v>30.11352757614987</v>
      </c>
      <c r="S128" s="41">
        <f>O128+$V$30*$V$31*SQRT(1/$V$27+(Tabelle62[[#This Row],[Vents]]-$V$28)^2/$V$29)</f>
        <v>30.932964611172601</v>
      </c>
    </row>
    <row r="129" spans="1:19" x14ac:dyDescent="0.3">
      <c r="A129" s="10" t="s">
        <v>1</v>
      </c>
      <c r="B129" s="10">
        <v>6</v>
      </c>
      <c r="C129" s="28">
        <f>(62.123*Tabelle62[[#This Row],[Vents]])-67.781</f>
        <v>304.95699999999999</v>
      </c>
      <c r="D129" s="7" t="s">
        <v>1</v>
      </c>
      <c r="E129" s="13">
        <v>14</v>
      </c>
      <c r="F129" s="12">
        <v>8</v>
      </c>
      <c r="G129" s="11">
        <v>64</v>
      </c>
      <c r="H129" s="25">
        <f>(62.123*Tabelle93[[#This Row],[Vents]])-67.781</f>
        <v>801.94100000000003</v>
      </c>
      <c r="I129" s="44">
        <f t="shared" si="1"/>
        <v>246993.09625600005</v>
      </c>
      <c r="J129" s="40">
        <v>323.32569432928352</v>
      </c>
      <c r="K129" s="41">
        <f>J129-$V$12*$V$13*SQRT(1+1/$V$9+(Tabelle62[[#This Row],[True Cooling Capacity '[kW']]]-$V$10)^2/$V$11)</f>
        <v>106.28344391493971</v>
      </c>
      <c r="L129" s="41">
        <f>J129+$V$12*$V$13*SQRT(1+1/$V$9+(Tabelle62[[#This Row],[True Cooling Capacity '[kW']]]-$V$10)^2/$V$11)</f>
        <v>540.36794474362728</v>
      </c>
      <c r="M129" s="41">
        <f>J129-$V$12*$V$13*SQRT(1/$V$9+(Tabelle62[[#This Row],[True Cooling Capacity '[kW']]]-$V$10)^2/$V$11)</f>
        <v>307.3130265017287</v>
      </c>
      <c r="N129" s="42">
        <f>J129+$V$12*$V$13*SQRT(1/$V$9+(Tabelle62[[#This Row],[True Cooling Capacity '[kW']]]-$V$10)^2/$V$11)</f>
        <v>339.33836215683834</v>
      </c>
      <c r="O129" s="40">
        <v>6.3889611466507032</v>
      </c>
      <c r="P129" s="41">
        <f>O129-$V$30*$V$31*SQRT(1+1/$V$27+(Tabelle62[[#This Row],[Vents]]-$V$28)^2/$V$29)</f>
        <v>2.736682954686529</v>
      </c>
      <c r="Q129" s="41">
        <f>O129+$V$30*$V$31*SQRT(1+1/$V$27+(Tabelle62[[#This Row],[Vents]]-$V$28)^2/$V$29)</f>
        <v>10.041239338614877</v>
      </c>
      <c r="R129" s="41">
        <f>O129-$V$30*$V$31*SQRT(1/$V$27+(Tabelle62[[#This Row],[Vents]]-$V$28)^2/$V$29)</f>
        <v>5.9622907820855584</v>
      </c>
      <c r="S129" s="41">
        <f>O129+$V$30*$V$31*SQRT(1/$V$27+(Tabelle62[[#This Row],[Vents]]-$V$28)^2/$V$29)</f>
        <v>6.8156315112158481</v>
      </c>
    </row>
    <row r="130" spans="1:19" x14ac:dyDescent="0.3">
      <c r="A130" s="10" t="s">
        <v>3</v>
      </c>
      <c r="B130" s="10">
        <v>5</v>
      </c>
      <c r="C130" s="28">
        <f>(62.123*Tabelle62[[#This Row],[Vents]])-67.781</f>
        <v>242.834</v>
      </c>
      <c r="D130" s="7" t="s">
        <v>3</v>
      </c>
      <c r="E130" s="13">
        <v>5</v>
      </c>
      <c r="F130" s="12">
        <v>0</v>
      </c>
      <c r="G130" s="11">
        <v>0</v>
      </c>
      <c r="H130" s="25">
        <f>(62.123*Tabelle93[[#This Row],[Vents]])-67.781</f>
        <v>242.834</v>
      </c>
      <c r="I130" s="44">
        <f t="shared" si="1"/>
        <v>0</v>
      </c>
      <c r="J130" s="40">
        <v>264.37500404344905</v>
      </c>
      <c r="K130" s="41">
        <f>J130-$V$12*$V$13*SQRT(1+1/$V$9+(Tabelle62[[#This Row],[True Cooling Capacity '[kW']]]-$V$10)^2/$V$11)</f>
        <v>47.223569732117369</v>
      </c>
      <c r="L130" s="41">
        <f>J130+$V$12*$V$13*SQRT(1+1/$V$9+(Tabelle62[[#This Row],[True Cooling Capacity '[kW']]]-$V$10)^2/$V$11)</f>
        <v>481.52643835478074</v>
      </c>
      <c r="M130" s="41">
        <f>J130-$V$12*$V$13*SQRT(1/$V$9+(Tabelle62[[#This Row],[True Cooling Capacity '[kW']]]-$V$10)^2/$V$11)</f>
        <v>246.94478633105379</v>
      </c>
      <c r="N130" s="42">
        <f>J130+$V$12*$V$13*SQRT(1/$V$9+(Tabelle62[[#This Row],[True Cooling Capacity '[kW']]]-$V$10)^2/$V$11)</f>
        <v>281.80522175584429</v>
      </c>
      <c r="O130" s="40">
        <v>5.4607194179195293</v>
      </c>
      <c r="P130" s="41">
        <f>O130-$V$30*$V$31*SQRT(1+1/$V$27+(Tabelle62[[#This Row],[Vents]]-$V$28)^2/$V$29)</f>
        <v>1.8083641718217724</v>
      </c>
      <c r="Q130" s="41">
        <f>O130+$V$30*$V$31*SQRT(1+1/$V$27+(Tabelle62[[#This Row],[Vents]]-$V$28)^2/$V$29)</f>
        <v>9.1130746640172866</v>
      </c>
      <c r="R130" s="41">
        <f>O130-$V$30*$V$31*SQRT(1/$V$27+(Tabelle62[[#This Row],[Vents]]-$V$28)^2/$V$29)</f>
        <v>5.0333899756868821</v>
      </c>
      <c r="S130" s="41">
        <f>O130+$V$30*$V$31*SQRT(1/$V$27+(Tabelle62[[#This Row],[Vents]]-$V$28)^2/$V$29)</f>
        <v>5.8880488601521765</v>
      </c>
    </row>
    <row r="131" spans="1:19" x14ac:dyDescent="0.3">
      <c r="A131" s="10" t="s">
        <v>215</v>
      </c>
      <c r="B131" s="10">
        <v>0</v>
      </c>
      <c r="C131" s="28">
        <v>0</v>
      </c>
      <c r="D131" s="7" t="s">
        <v>215</v>
      </c>
      <c r="E131" s="13">
        <v>10</v>
      </c>
      <c r="F131" s="12">
        <v>10</v>
      </c>
      <c r="G131" s="11">
        <v>100</v>
      </c>
      <c r="H131" s="25">
        <f>(62.123*Tabelle93[[#This Row],[Vents]])-67.781</f>
        <v>553.44900000000007</v>
      </c>
      <c r="I131" s="44">
        <f t="shared" si="1"/>
        <v>306305.79560100008</v>
      </c>
      <c r="J131" s="40">
        <v>33.941317246766175</v>
      </c>
      <c r="K131" s="41">
        <f>J131-$V$12*$V$13*SQRT(1+1/$V$9+(Tabelle62[[#This Row],[True Cooling Capacity '[kW']]]-$V$10)^2/$V$11)</f>
        <v>-184.0295045221722</v>
      </c>
      <c r="L131" s="41">
        <f>J131+$V$12*$V$13*SQRT(1+1/$V$9+(Tabelle62[[#This Row],[True Cooling Capacity '[kW']]]-$V$10)^2/$V$11)</f>
        <v>251.91213901570455</v>
      </c>
      <c r="M131" s="41">
        <f>J131-$V$12*$V$13*SQRT(1/$V$9+(Tabelle62[[#This Row],[True Cooling Capacity '[kW']]]-$V$10)^2/$V$11)</f>
        <v>8.2441148959422534</v>
      </c>
      <c r="N131" s="42">
        <f>J131+$V$12*$V$13*SQRT(1/$V$9+(Tabelle62[[#This Row],[True Cooling Capacity '[kW']]]-$V$10)^2/$V$11)</f>
        <v>59.638519597590097</v>
      </c>
      <c r="O131" s="40">
        <v>0.81951077426365782</v>
      </c>
      <c r="P131" s="41">
        <f>O131-$V$30*$V$31*SQRT(1+1/$V$27+(Tabelle62[[#This Row],[Vents]]-$V$28)^2/$V$29)</f>
        <v>-2.8332323845449721</v>
      </c>
      <c r="Q131" s="41">
        <f>O131+$V$30*$V$31*SQRT(1+1/$V$27+(Tabelle62[[#This Row],[Vents]]-$V$28)^2/$V$29)</f>
        <v>4.4722539330722881</v>
      </c>
      <c r="R131" s="41">
        <f>O131-$V$30*$V$31*SQRT(1/$V$27+(Tabelle62[[#This Row],[Vents]]-$V$28)^2/$V$29)</f>
        <v>0.38887845693911371</v>
      </c>
      <c r="S131" s="41">
        <f>O131+$V$30*$V$31*SQRT(1/$V$27+(Tabelle62[[#This Row],[Vents]]-$V$28)^2/$V$29)</f>
        <v>1.2501430915882019</v>
      </c>
    </row>
    <row r="132" spans="1:19" x14ac:dyDescent="0.3">
      <c r="A132" s="10" t="s">
        <v>162</v>
      </c>
      <c r="B132" s="10">
        <v>10</v>
      </c>
      <c r="C132" s="28">
        <f>(62.123*Tabelle62[[#This Row],[Vents]])-67.781</f>
        <v>553.44900000000007</v>
      </c>
      <c r="D132" s="7" t="s">
        <v>162</v>
      </c>
      <c r="E132" s="13">
        <v>10</v>
      </c>
      <c r="F132" s="12">
        <v>0</v>
      </c>
      <c r="G132" s="11">
        <v>0</v>
      </c>
      <c r="H132" s="25">
        <f>(62.123*Tabelle93[[#This Row],[Vents]])-67.781</f>
        <v>553.44900000000007</v>
      </c>
      <c r="I132" s="44">
        <f t="shared" ref="I132:I195" si="2">(H132-C132)^2</f>
        <v>0</v>
      </c>
      <c r="J132" s="40">
        <v>559.12845547262157</v>
      </c>
      <c r="K132" s="41">
        <f>J132-$V$12*$V$13*SQRT(1+1/$V$9+(Tabelle62[[#This Row],[True Cooling Capacity '[kW']]]-$V$10)^2/$V$11)</f>
        <v>342.11192497659897</v>
      </c>
      <c r="L132" s="41">
        <f>J132+$V$12*$V$13*SQRT(1+1/$V$9+(Tabelle62[[#This Row],[True Cooling Capacity '[kW']]]-$V$10)^2/$V$11)</f>
        <v>776.14498596864416</v>
      </c>
      <c r="M132" s="41">
        <f>J132-$V$12*$V$13*SQRT(1/$V$9+(Tabelle62[[#This Row],[True Cooling Capacity '[kW']]]-$V$10)^2/$V$11)</f>
        <v>543.46826471503471</v>
      </c>
      <c r="N132" s="42">
        <f>J132+$V$12*$V$13*SQRT(1/$V$9+(Tabelle62[[#This Row],[True Cooling Capacity '[kW']]]-$V$10)^2/$V$11)</f>
        <v>574.78864623020843</v>
      </c>
      <c r="O132" s="40">
        <v>10.1019280615754</v>
      </c>
      <c r="P132" s="41">
        <f>O132-$V$30*$V$31*SQRT(1+1/$V$27+(Tabelle62[[#This Row],[Vents]]-$V$28)^2/$V$29)</f>
        <v>6.4499563244117386</v>
      </c>
      <c r="Q132" s="41">
        <f>O132+$V$30*$V$31*SQRT(1+1/$V$27+(Tabelle62[[#This Row],[Vents]]-$V$28)^2/$V$29)</f>
        <v>13.753899798739061</v>
      </c>
      <c r="R132" s="41">
        <f>O132-$V$30*$V$31*SQRT(1/$V$27+(Tabelle62[[#This Row],[Vents]]-$V$28)^2/$V$29)</f>
        <v>9.6778889389189775</v>
      </c>
      <c r="S132" s="41">
        <f>O132+$V$30*$V$31*SQRT(1/$V$27+(Tabelle62[[#This Row],[Vents]]-$V$28)^2/$V$29)</f>
        <v>10.525967184231822</v>
      </c>
    </row>
    <row r="133" spans="1:19" x14ac:dyDescent="0.3">
      <c r="A133" s="10" t="s">
        <v>161</v>
      </c>
      <c r="B133" s="10">
        <v>12</v>
      </c>
      <c r="C133" s="28">
        <f>(62.123*Tabelle62[[#This Row],[Vents]])-67.781</f>
        <v>677.69499999999994</v>
      </c>
      <c r="D133" s="7" t="s">
        <v>161</v>
      </c>
      <c r="E133" s="13">
        <v>12</v>
      </c>
      <c r="F133" s="12">
        <v>0</v>
      </c>
      <c r="G133" s="11">
        <v>0</v>
      </c>
      <c r="H133" s="25">
        <f>(62.123*Tabelle93[[#This Row],[Vents]])-67.781</f>
        <v>677.69499999999994</v>
      </c>
      <c r="I133" s="44">
        <f t="shared" si="2"/>
        <v>0</v>
      </c>
      <c r="J133" s="40">
        <v>677.02983604429039</v>
      </c>
      <c r="K133" s="41">
        <f>J133-$V$12*$V$13*SQRT(1+1/$V$9+(Tabelle62[[#This Row],[True Cooling Capacity '[kW']]]-$V$10)^2/$V$11)</f>
        <v>459.77958666121026</v>
      </c>
      <c r="L133" s="41">
        <f>J133+$V$12*$V$13*SQRT(1+1/$V$9+(Tabelle62[[#This Row],[True Cooling Capacity '[kW']]]-$V$10)^2/$V$11)</f>
        <v>894.28008542737052</v>
      </c>
      <c r="M133" s="41">
        <f>J133-$V$12*$V$13*SQRT(1/$V$9+(Tabelle62[[#This Row],[True Cooling Capacity '[kW']]]-$V$10)^2/$V$11)</f>
        <v>658.40893587691437</v>
      </c>
      <c r="N133" s="42">
        <f>J133+$V$12*$V$13*SQRT(1/$V$9+(Tabelle62[[#This Row],[True Cooling Capacity '[kW']]]-$V$10)^2/$V$11)</f>
        <v>695.65073621166641</v>
      </c>
      <c r="O133" s="40">
        <v>11.95841151903775</v>
      </c>
      <c r="P133" s="41">
        <f>O133-$V$30*$V$31*SQRT(1+1/$V$27+(Tabelle62[[#This Row],[Vents]]-$V$28)^2/$V$29)</f>
        <v>8.3065919520789073</v>
      </c>
      <c r="Q133" s="41">
        <f>O133+$V$30*$V$31*SQRT(1+1/$V$27+(Tabelle62[[#This Row],[Vents]]-$V$28)^2/$V$29)</f>
        <v>15.610231085996592</v>
      </c>
      <c r="R133" s="41">
        <f>O133-$V$30*$V$31*SQRT(1/$V$27+(Tabelle62[[#This Row],[Vents]]-$V$28)^2/$V$29)</f>
        <v>11.535684942957513</v>
      </c>
      <c r="S133" s="41">
        <f>O133+$V$30*$V$31*SQRT(1/$V$27+(Tabelle62[[#This Row],[Vents]]-$V$28)^2/$V$29)</f>
        <v>12.381138095117986</v>
      </c>
    </row>
    <row r="134" spans="1:19" x14ac:dyDescent="0.3">
      <c r="A134" s="10" t="s">
        <v>160</v>
      </c>
      <c r="B134" s="10">
        <v>10</v>
      </c>
      <c r="C134" s="28">
        <f>(62.123*Tabelle62[[#This Row],[Vents]])-67.781</f>
        <v>553.44900000000007</v>
      </c>
      <c r="D134" s="7" t="s">
        <v>160</v>
      </c>
      <c r="E134" s="13">
        <v>10</v>
      </c>
      <c r="F134" s="12">
        <v>0</v>
      </c>
      <c r="G134" s="11">
        <v>0</v>
      </c>
      <c r="H134" s="25">
        <f>(62.123*Tabelle93[[#This Row],[Vents]])-67.781</f>
        <v>553.44900000000007</v>
      </c>
      <c r="I134" s="44">
        <f t="shared" si="2"/>
        <v>0</v>
      </c>
      <c r="J134" s="40">
        <v>559.12845547262157</v>
      </c>
      <c r="K134" s="41">
        <f>J134-$V$12*$V$13*SQRT(1+1/$V$9+(Tabelle62[[#This Row],[True Cooling Capacity '[kW']]]-$V$10)^2/$V$11)</f>
        <v>342.11192497659897</v>
      </c>
      <c r="L134" s="41">
        <f>J134+$V$12*$V$13*SQRT(1+1/$V$9+(Tabelle62[[#This Row],[True Cooling Capacity '[kW']]]-$V$10)^2/$V$11)</f>
        <v>776.14498596864416</v>
      </c>
      <c r="M134" s="41">
        <f>J134-$V$12*$V$13*SQRT(1/$V$9+(Tabelle62[[#This Row],[True Cooling Capacity '[kW']]]-$V$10)^2/$V$11)</f>
        <v>543.46826471503471</v>
      </c>
      <c r="N134" s="42">
        <f>J134+$V$12*$V$13*SQRT(1/$V$9+(Tabelle62[[#This Row],[True Cooling Capacity '[kW']]]-$V$10)^2/$V$11)</f>
        <v>574.78864623020843</v>
      </c>
      <c r="O134" s="40">
        <v>10.1019280615754</v>
      </c>
      <c r="P134" s="41">
        <f>O134-$V$30*$V$31*SQRT(1+1/$V$27+(Tabelle62[[#This Row],[Vents]]-$V$28)^2/$V$29)</f>
        <v>6.4499563244117386</v>
      </c>
      <c r="Q134" s="41">
        <f>O134+$V$30*$V$31*SQRT(1+1/$V$27+(Tabelle62[[#This Row],[Vents]]-$V$28)^2/$V$29)</f>
        <v>13.753899798739061</v>
      </c>
      <c r="R134" s="41">
        <f>O134-$V$30*$V$31*SQRT(1/$V$27+(Tabelle62[[#This Row],[Vents]]-$V$28)^2/$V$29)</f>
        <v>9.6778889389189775</v>
      </c>
      <c r="S134" s="41">
        <f>O134+$V$30*$V$31*SQRT(1/$V$27+(Tabelle62[[#This Row],[Vents]]-$V$28)^2/$V$29)</f>
        <v>10.525967184231822</v>
      </c>
    </row>
    <row r="135" spans="1:19" x14ac:dyDescent="0.3">
      <c r="A135" s="10" t="s">
        <v>159</v>
      </c>
      <c r="B135" s="10">
        <v>10</v>
      </c>
      <c r="C135" s="28">
        <f>(62.123*Tabelle62[[#This Row],[Vents]])-67.781</f>
        <v>553.44900000000007</v>
      </c>
      <c r="D135" s="7" t="s">
        <v>159</v>
      </c>
      <c r="E135" s="13">
        <v>10</v>
      </c>
      <c r="F135" s="12">
        <v>0</v>
      </c>
      <c r="G135" s="11">
        <v>0</v>
      </c>
      <c r="H135" s="25">
        <f>(62.123*Tabelle93[[#This Row],[Vents]])-67.781</f>
        <v>553.44900000000007</v>
      </c>
      <c r="I135" s="44">
        <f t="shared" si="2"/>
        <v>0</v>
      </c>
      <c r="J135" s="40">
        <v>559.12845547262157</v>
      </c>
      <c r="K135" s="41">
        <f>J135-$V$12*$V$13*SQRT(1+1/$V$9+(Tabelle62[[#This Row],[True Cooling Capacity '[kW']]]-$V$10)^2/$V$11)</f>
        <v>342.11192497659897</v>
      </c>
      <c r="L135" s="41">
        <f>J135+$V$12*$V$13*SQRT(1+1/$V$9+(Tabelle62[[#This Row],[True Cooling Capacity '[kW']]]-$V$10)^2/$V$11)</f>
        <v>776.14498596864416</v>
      </c>
      <c r="M135" s="41">
        <f>J135-$V$12*$V$13*SQRT(1/$V$9+(Tabelle62[[#This Row],[True Cooling Capacity '[kW']]]-$V$10)^2/$V$11)</f>
        <v>543.46826471503471</v>
      </c>
      <c r="N135" s="42">
        <f>J135+$V$12*$V$13*SQRT(1/$V$9+(Tabelle62[[#This Row],[True Cooling Capacity '[kW']]]-$V$10)^2/$V$11)</f>
        <v>574.78864623020843</v>
      </c>
      <c r="O135" s="40">
        <v>10.1019280615754</v>
      </c>
      <c r="P135" s="41">
        <f>O135-$V$30*$V$31*SQRT(1+1/$V$27+(Tabelle62[[#This Row],[Vents]]-$V$28)^2/$V$29)</f>
        <v>6.4499563244117386</v>
      </c>
      <c r="Q135" s="41">
        <f>O135+$V$30*$V$31*SQRT(1+1/$V$27+(Tabelle62[[#This Row],[Vents]]-$V$28)^2/$V$29)</f>
        <v>13.753899798739061</v>
      </c>
      <c r="R135" s="41">
        <f>O135-$V$30*$V$31*SQRT(1/$V$27+(Tabelle62[[#This Row],[Vents]]-$V$28)^2/$V$29)</f>
        <v>9.6778889389189775</v>
      </c>
      <c r="S135" s="41">
        <f>O135+$V$30*$V$31*SQRT(1/$V$27+(Tabelle62[[#This Row],[Vents]]-$V$28)^2/$V$29)</f>
        <v>10.525967184231822</v>
      </c>
    </row>
    <row r="136" spans="1:19" x14ac:dyDescent="0.3">
      <c r="A136" s="10" t="s">
        <v>166</v>
      </c>
      <c r="B136" s="10">
        <v>10</v>
      </c>
      <c r="C136" s="28">
        <f>(62.123*Tabelle62[[#This Row],[Vents]])-67.781</f>
        <v>553.44900000000007</v>
      </c>
      <c r="D136" s="7" t="s">
        <v>166</v>
      </c>
      <c r="E136" s="13">
        <v>10</v>
      </c>
      <c r="F136" s="12">
        <v>0</v>
      </c>
      <c r="G136" s="11">
        <v>0</v>
      </c>
      <c r="H136" s="25">
        <f>(62.123*Tabelle93[[#This Row],[Vents]])-67.781</f>
        <v>553.44900000000007</v>
      </c>
      <c r="I136" s="44">
        <f t="shared" si="2"/>
        <v>0</v>
      </c>
      <c r="J136" s="40">
        <v>559.12845547262157</v>
      </c>
      <c r="K136" s="41">
        <f>J136-$V$12*$V$13*SQRT(1+1/$V$9+(Tabelle62[[#This Row],[True Cooling Capacity '[kW']]]-$V$10)^2/$V$11)</f>
        <v>342.11192497659897</v>
      </c>
      <c r="L136" s="41">
        <f>J136+$V$12*$V$13*SQRT(1+1/$V$9+(Tabelle62[[#This Row],[True Cooling Capacity '[kW']]]-$V$10)^2/$V$11)</f>
        <v>776.14498596864416</v>
      </c>
      <c r="M136" s="41">
        <f>J136-$V$12*$V$13*SQRT(1/$V$9+(Tabelle62[[#This Row],[True Cooling Capacity '[kW']]]-$V$10)^2/$V$11)</f>
        <v>543.46826471503471</v>
      </c>
      <c r="N136" s="42">
        <f>J136+$V$12*$V$13*SQRT(1/$V$9+(Tabelle62[[#This Row],[True Cooling Capacity '[kW']]]-$V$10)^2/$V$11)</f>
        <v>574.78864623020843</v>
      </c>
      <c r="O136" s="40">
        <v>10.1019280615754</v>
      </c>
      <c r="P136" s="41">
        <f>O136-$V$30*$V$31*SQRT(1+1/$V$27+(Tabelle62[[#This Row],[Vents]]-$V$28)^2/$V$29)</f>
        <v>6.4499563244117386</v>
      </c>
      <c r="Q136" s="41">
        <f>O136+$V$30*$V$31*SQRT(1+1/$V$27+(Tabelle62[[#This Row],[Vents]]-$V$28)^2/$V$29)</f>
        <v>13.753899798739061</v>
      </c>
      <c r="R136" s="41">
        <f>O136-$V$30*$V$31*SQRT(1/$V$27+(Tabelle62[[#This Row],[Vents]]-$V$28)^2/$V$29)</f>
        <v>9.6778889389189775</v>
      </c>
      <c r="S136" s="41">
        <f>O136+$V$30*$V$31*SQRT(1/$V$27+(Tabelle62[[#This Row],[Vents]]-$V$28)^2/$V$29)</f>
        <v>10.525967184231822</v>
      </c>
    </row>
    <row r="137" spans="1:19" x14ac:dyDescent="0.3">
      <c r="A137" s="10" t="s">
        <v>163</v>
      </c>
      <c r="B137" s="10">
        <v>10</v>
      </c>
      <c r="C137" s="28">
        <f>(62.123*Tabelle62[[#This Row],[Vents]])-67.781</f>
        <v>553.44900000000007</v>
      </c>
      <c r="D137" s="7" t="s">
        <v>163</v>
      </c>
      <c r="E137" s="13">
        <v>10</v>
      </c>
      <c r="F137" s="12">
        <v>0</v>
      </c>
      <c r="G137" s="11">
        <v>0</v>
      </c>
      <c r="H137" s="25">
        <f>(62.123*Tabelle93[[#This Row],[Vents]])-67.781</f>
        <v>553.44900000000007</v>
      </c>
      <c r="I137" s="44">
        <f t="shared" si="2"/>
        <v>0</v>
      </c>
      <c r="J137" s="40">
        <v>559.12845547262157</v>
      </c>
      <c r="K137" s="41">
        <f>J137-$V$12*$V$13*SQRT(1+1/$V$9+(Tabelle62[[#This Row],[True Cooling Capacity '[kW']]]-$V$10)^2/$V$11)</f>
        <v>342.11192497659897</v>
      </c>
      <c r="L137" s="41">
        <f>J137+$V$12*$V$13*SQRT(1+1/$V$9+(Tabelle62[[#This Row],[True Cooling Capacity '[kW']]]-$V$10)^2/$V$11)</f>
        <v>776.14498596864416</v>
      </c>
      <c r="M137" s="41">
        <f>J137-$V$12*$V$13*SQRT(1/$V$9+(Tabelle62[[#This Row],[True Cooling Capacity '[kW']]]-$V$10)^2/$V$11)</f>
        <v>543.46826471503471</v>
      </c>
      <c r="N137" s="42">
        <f>J137+$V$12*$V$13*SQRT(1/$V$9+(Tabelle62[[#This Row],[True Cooling Capacity '[kW']]]-$V$10)^2/$V$11)</f>
        <v>574.78864623020843</v>
      </c>
      <c r="O137" s="40">
        <v>10.1019280615754</v>
      </c>
      <c r="P137" s="41">
        <f>O137-$V$30*$V$31*SQRT(1+1/$V$27+(Tabelle62[[#This Row],[Vents]]-$V$28)^2/$V$29)</f>
        <v>6.4499563244117386</v>
      </c>
      <c r="Q137" s="41">
        <f>O137+$V$30*$V$31*SQRT(1+1/$V$27+(Tabelle62[[#This Row],[Vents]]-$V$28)^2/$V$29)</f>
        <v>13.753899798739061</v>
      </c>
      <c r="R137" s="41">
        <f>O137-$V$30*$V$31*SQRT(1/$V$27+(Tabelle62[[#This Row],[Vents]]-$V$28)^2/$V$29)</f>
        <v>9.6778889389189775</v>
      </c>
      <c r="S137" s="41">
        <f>O137+$V$30*$V$31*SQRT(1/$V$27+(Tabelle62[[#This Row],[Vents]]-$V$28)^2/$V$29)</f>
        <v>10.525967184231822</v>
      </c>
    </row>
    <row r="138" spans="1:19" x14ac:dyDescent="0.3">
      <c r="A138" s="10" t="s">
        <v>164</v>
      </c>
      <c r="B138" s="10">
        <v>10</v>
      </c>
      <c r="C138" s="28">
        <f>(62.123*Tabelle62[[#This Row],[Vents]])-67.781</f>
        <v>553.44900000000007</v>
      </c>
      <c r="D138" s="7" t="s">
        <v>164</v>
      </c>
      <c r="E138" s="13">
        <v>10</v>
      </c>
      <c r="F138" s="12">
        <v>0</v>
      </c>
      <c r="G138" s="11">
        <v>0</v>
      </c>
      <c r="H138" s="25">
        <f>(62.123*Tabelle93[[#This Row],[Vents]])-67.781</f>
        <v>553.44900000000007</v>
      </c>
      <c r="I138" s="44">
        <f t="shared" si="2"/>
        <v>0</v>
      </c>
      <c r="J138" s="40">
        <v>559.12845547262157</v>
      </c>
      <c r="K138" s="41">
        <f>J138-$V$12*$V$13*SQRT(1+1/$V$9+(Tabelle62[[#This Row],[True Cooling Capacity '[kW']]]-$V$10)^2/$V$11)</f>
        <v>342.11192497659897</v>
      </c>
      <c r="L138" s="41">
        <f>J138+$V$12*$V$13*SQRT(1+1/$V$9+(Tabelle62[[#This Row],[True Cooling Capacity '[kW']]]-$V$10)^2/$V$11)</f>
        <v>776.14498596864416</v>
      </c>
      <c r="M138" s="41">
        <f>J138-$V$12*$V$13*SQRT(1/$V$9+(Tabelle62[[#This Row],[True Cooling Capacity '[kW']]]-$V$10)^2/$V$11)</f>
        <v>543.46826471503471</v>
      </c>
      <c r="N138" s="42">
        <f>J138+$V$12*$V$13*SQRT(1/$V$9+(Tabelle62[[#This Row],[True Cooling Capacity '[kW']]]-$V$10)^2/$V$11)</f>
        <v>574.78864623020843</v>
      </c>
      <c r="O138" s="40">
        <v>10.1019280615754</v>
      </c>
      <c r="P138" s="41">
        <f>O138-$V$30*$V$31*SQRT(1+1/$V$27+(Tabelle62[[#This Row],[Vents]]-$V$28)^2/$V$29)</f>
        <v>6.4499563244117386</v>
      </c>
      <c r="Q138" s="41">
        <f>O138+$V$30*$V$31*SQRT(1+1/$V$27+(Tabelle62[[#This Row],[Vents]]-$V$28)^2/$V$29)</f>
        <v>13.753899798739061</v>
      </c>
      <c r="R138" s="41">
        <f>O138-$V$30*$V$31*SQRT(1/$V$27+(Tabelle62[[#This Row],[Vents]]-$V$28)^2/$V$29)</f>
        <v>9.6778889389189775</v>
      </c>
      <c r="S138" s="41">
        <f>O138+$V$30*$V$31*SQRT(1/$V$27+(Tabelle62[[#This Row],[Vents]]-$V$28)^2/$V$29)</f>
        <v>10.525967184231822</v>
      </c>
    </row>
    <row r="139" spans="1:19" x14ac:dyDescent="0.3">
      <c r="A139" s="10" t="s">
        <v>165</v>
      </c>
      <c r="B139" s="10">
        <v>10</v>
      </c>
      <c r="C139" s="28">
        <f>(62.123*Tabelle62[[#This Row],[Vents]])-67.781</f>
        <v>553.44900000000007</v>
      </c>
      <c r="D139" s="7" t="s">
        <v>165</v>
      </c>
      <c r="E139" s="13">
        <v>10</v>
      </c>
      <c r="F139" s="12">
        <v>0</v>
      </c>
      <c r="G139" s="11">
        <v>0</v>
      </c>
      <c r="H139" s="25">
        <f>(62.123*Tabelle93[[#This Row],[Vents]])-67.781</f>
        <v>553.44900000000007</v>
      </c>
      <c r="I139" s="44">
        <f t="shared" si="2"/>
        <v>0</v>
      </c>
      <c r="J139" s="40">
        <v>559.12845547262157</v>
      </c>
      <c r="K139" s="41">
        <f>J139-$V$12*$V$13*SQRT(1+1/$V$9+(Tabelle62[[#This Row],[True Cooling Capacity '[kW']]]-$V$10)^2/$V$11)</f>
        <v>342.11192497659897</v>
      </c>
      <c r="L139" s="41">
        <f>J139+$V$12*$V$13*SQRT(1+1/$V$9+(Tabelle62[[#This Row],[True Cooling Capacity '[kW']]]-$V$10)^2/$V$11)</f>
        <v>776.14498596864416</v>
      </c>
      <c r="M139" s="41">
        <f>J139-$V$12*$V$13*SQRT(1/$V$9+(Tabelle62[[#This Row],[True Cooling Capacity '[kW']]]-$V$10)^2/$V$11)</f>
        <v>543.46826471503471</v>
      </c>
      <c r="N139" s="42">
        <f>J139+$V$12*$V$13*SQRT(1/$V$9+(Tabelle62[[#This Row],[True Cooling Capacity '[kW']]]-$V$10)^2/$V$11)</f>
        <v>574.78864623020843</v>
      </c>
      <c r="O139" s="40">
        <v>10.1019280615754</v>
      </c>
      <c r="P139" s="41">
        <f>O139-$V$30*$V$31*SQRT(1+1/$V$27+(Tabelle62[[#This Row],[Vents]]-$V$28)^2/$V$29)</f>
        <v>6.4499563244117386</v>
      </c>
      <c r="Q139" s="41">
        <f>O139+$V$30*$V$31*SQRT(1+1/$V$27+(Tabelle62[[#This Row],[Vents]]-$V$28)^2/$V$29)</f>
        <v>13.753899798739061</v>
      </c>
      <c r="R139" s="41">
        <f>O139-$V$30*$V$31*SQRT(1/$V$27+(Tabelle62[[#This Row],[Vents]]-$V$28)^2/$V$29)</f>
        <v>9.6778889389189775</v>
      </c>
      <c r="S139" s="41">
        <f>O139+$V$30*$V$31*SQRT(1/$V$27+(Tabelle62[[#This Row],[Vents]]-$V$28)^2/$V$29)</f>
        <v>10.525967184231822</v>
      </c>
    </row>
    <row r="140" spans="1:19" x14ac:dyDescent="0.3">
      <c r="A140" s="10" t="s">
        <v>217</v>
      </c>
      <c r="B140" s="10">
        <v>0</v>
      </c>
      <c r="C140" s="28">
        <v>0</v>
      </c>
      <c r="D140" s="7" t="s">
        <v>217</v>
      </c>
      <c r="E140" s="13">
        <v>1</v>
      </c>
      <c r="F140" s="12">
        <v>1</v>
      </c>
      <c r="G140" s="11">
        <v>1</v>
      </c>
      <c r="H140" s="25">
        <v>0</v>
      </c>
      <c r="I140" s="44">
        <f t="shared" si="2"/>
        <v>0</v>
      </c>
      <c r="J140" s="40">
        <v>33.941317246766175</v>
      </c>
      <c r="K140" s="41">
        <f>J140-$V$12*$V$13*SQRT(1+1/$V$9+(Tabelle62[[#This Row],[True Cooling Capacity '[kW']]]-$V$10)^2/$V$11)</f>
        <v>-184.0295045221722</v>
      </c>
      <c r="L140" s="41">
        <f>J140+$V$12*$V$13*SQRT(1+1/$V$9+(Tabelle62[[#This Row],[True Cooling Capacity '[kW']]]-$V$10)^2/$V$11)</f>
        <v>251.91213901570455</v>
      </c>
      <c r="M140" s="41">
        <f>J140-$V$12*$V$13*SQRT(1/$V$9+(Tabelle62[[#This Row],[True Cooling Capacity '[kW']]]-$V$10)^2/$V$11)</f>
        <v>8.2441148959422534</v>
      </c>
      <c r="N140" s="42">
        <f>J140+$V$12*$V$13*SQRT(1/$V$9+(Tabelle62[[#This Row],[True Cooling Capacity '[kW']]]-$V$10)^2/$V$11)</f>
        <v>59.638519597590097</v>
      </c>
      <c r="O140" s="40">
        <v>0.81951077426365782</v>
      </c>
      <c r="P140" s="41">
        <f>O140-$V$30*$V$31*SQRT(1+1/$V$27+(Tabelle62[[#This Row],[Vents]]-$V$28)^2/$V$29)</f>
        <v>-2.8332323845449721</v>
      </c>
      <c r="Q140" s="41">
        <f>O140+$V$30*$V$31*SQRT(1+1/$V$27+(Tabelle62[[#This Row],[Vents]]-$V$28)^2/$V$29)</f>
        <v>4.4722539330722881</v>
      </c>
      <c r="R140" s="41">
        <f>O140-$V$30*$V$31*SQRT(1/$V$27+(Tabelle62[[#This Row],[Vents]]-$V$28)^2/$V$29)</f>
        <v>0.38887845693911371</v>
      </c>
      <c r="S140" s="41">
        <f>O140+$V$30*$V$31*SQRT(1/$V$27+(Tabelle62[[#This Row],[Vents]]-$V$28)^2/$V$29)</f>
        <v>1.2501430915882019</v>
      </c>
    </row>
    <row r="141" spans="1:19" x14ac:dyDescent="0.3">
      <c r="A141" s="10" t="s">
        <v>176</v>
      </c>
      <c r="B141" s="10">
        <v>8</v>
      </c>
      <c r="C141" s="28">
        <f>(62.123*Tabelle62[[#This Row],[Vents]])-67.781</f>
        <v>429.20299999999997</v>
      </c>
      <c r="D141" s="7" t="s">
        <v>176</v>
      </c>
      <c r="E141" s="13">
        <v>8</v>
      </c>
      <c r="F141" s="12">
        <v>0</v>
      </c>
      <c r="G141" s="11">
        <v>0</v>
      </c>
      <c r="H141" s="25">
        <f>(62.123*Tabelle93[[#This Row],[Vents]])-67.781</f>
        <v>429.20299999999997</v>
      </c>
      <c r="I141" s="44">
        <f t="shared" si="2"/>
        <v>0</v>
      </c>
      <c r="J141" s="40">
        <v>441.22707490095252</v>
      </c>
      <c r="K141" s="41">
        <f>J141-$V$12*$V$13*SQRT(1+1/$V$9+(Tabelle62[[#This Row],[True Cooling Capacity '[kW']]]-$V$10)^2/$V$11)</f>
        <v>224.27992992972105</v>
      </c>
      <c r="L141" s="41">
        <f>J141+$V$12*$V$13*SQRT(1+1/$V$9+(Tabelle62[[#This Row],[True Cooling Capacity '[kW']]]-$V$10)^2/$V$11)</f>
        <v>658.17421987218404</v>
      </c>
      <c r="M141" s="41">
        <f>J141-$V$12*$V$13*SQRT(1/$V$9+(Tabelle62[[#This Row],[True Cooling Capacity '[kW']]]-$V$10)^2/$V$11)</f>
        <v>426.55973781471158</v>
      </c>
      <c r="N141" s="42">
        <f>J141+$V$12*$V$13*SQRT(1/$V$9+(Tabelle62[[#This Row],[True Cooling Capacity '[kW']]]-$V$10)^2/$V$11)</f>
        <v>455.89441198719345</v>
      </c>
      <c r="O141" s="40">
        <v>8.245444604113052</v>
      </c>
      <c r="P141" s="41">
        <f>O141-$V$30*$V$31*SQRT(1+1/$V$27+(Tabelle62[[#This Row],[Vents]]-$V$28)^2/$V$29)</f>
        <v>4.5933199919181114</v>
      </c>
      <c r="Q141" s="41">
        <f>O141+$V$30*$V$31*SQRT(1+1/$V$27+(Tabelle62[[#This Row],[Vents]]-$V$28)^2/$V$29)</f>
        <v>11.897569216307993</v>
      </c>
      <c r="R141" s="41">
        <f>O141-$V$30*$V$31*SQRT(1/$V$27+(Tabelle62[[#This Row],[Vents]]-$V$28)^2/$V$29)</f>
        <v>7.8200908789605537</v>
      </c>
      <c r="S141" s="41">
        <f>O141+$V$30*$V$31*SQRT(1/$V$27+(Tabelle62[[#This Row],[Vents]]-$V$28)^2/$V$29)</f>
        <v>8.6707983292655495</v>
      </c>
    </row>
    <row r="142" spans="1:19" x14ac:dyDescent="0.3">
      <c r="A142" s="10" t="s">
        <v>172</v>
      </c>
      <c r="B142" s="10">
        <v>12</v>
      </c>
      <c r="C142" s="28">
        <f>(62.123*Tabelle62[[#This Row],[Vents]])-67.781</f>
        <v>677.69499999999994</v>
      </c>
      <c r="D142" s="7" t="s">
        <v>172</v>
      </c>
      <c r="E142" s="13">
        <v>12</v>
      </c>
      <c r="F142" s="12">
        <v>0</v>
      </c>
      <c r="G142" s="11">
        <v>0</v>
      </c>
      <c r="H142" s="25">
        <f>(62.123*Tabelle93[[#This Row],[Vents]])-67.781</f>
        <v>677.69499999999994</v>
      </c>
      <c r="I142" s="44">
        <f t="shared" si="2"/>
        <v>0</v>
      </c>
      <c r="J142" s="40">
        <v>677.02983604429039</v>
      </c>
      <c r="K142" s="41">
        <f>J142-$V$12*$V$13*SQRT(1+1/$V$9+(Tabelle62[[#This Row],[True Cooling Capacity '[kW']]]-$V$10)^2/$V$11)</f>
        <v>459.77958666121026</v>
      </c>
      <c r="L142" s="41">
        <f>J142+$V$12*$V$13*SQRT(1+1/$V$9+(Tabelle62[[#This Row],[True Cooling Capacity '[kW']]]-$V$10)^2/$V$11)</f>
        <v>894.28008542737052</v>
      </c>
      <c r="M142" s="41">
        <f>J142-$V$12*$V$13*SQRT(1/$V$9+(Tabelle62[[#This Row],[True Cooling Capacity '[kW']]]-$V$10)^2/$V$11)</f>
        <v>658.40893587691437</v>
      </c>
      <c r="N142" s="42">
        <f>J142+$V$12*$V$13*SQRT(1/$V$9+(Tabelle62[[#This Row],[True Cooling Capacity '[kW']]]-$V$10)^2/$V$11)</f>
        <v>695.65073621166641</v>
      </c>
      <c r="O142" s="40">
        <v>11.95841151903775</v>
      </c>
      <c r="P142" s="41">
        <f>O142-$V$30*$V$31*SQRT(1+1/$V$27+(Tabelle62[[#This Row],[Vents]]-$V$28)^2/$V$29)</f>
        <v>8.3065919520789073</v>
      </c>
      <c r="Q142" s="41">
        <f>O142+$V$30*$V$31*SQRT(1+1/$V$27+(Tabelle62[[#This Row],[Vents]]-$V$28)^2/$V$29)</f>
        <v>15.610231085996592</v>
      </c>
      <c r="R142" s="41">
        <f>O142-$V$30*$V$31*SQRT(1/$V$27+(Tabelle62[[#This Row],[Vents]]-$V$28)^2/$V$29)</f>
        <v>11.535684942957513</v>
      </c>
      <c r="S142" s="41">
        <f>O142+$V$30*$V$31*SQRT(1/$V$27+(Tabelle62[[#This Row],[Vents]]-$V$28)^2/$V$29)</f>
        <v>12.381138095117986</v>
      </c>
    </row>
    <row r="143" spans="1:19" x14ac:dyDescent="0.3">
      <c r="A143" s="10" t="s">
        <v>177</v>
      </c>
      <c r="B143" s="10">
        <v>3</v>
      </c>
      <c r="C143" s="28">
        <f>(62.123*Tabelle62[[#This Row],[Vents]])-67.781</f>
        <v>118.58799999999999</v>
      </c>
      <c r="D143" s="7" t="s">
        <v>177</v>
      </c>
      <c r="E143" s="13">
        <v>2</v>
      </c>
      <c r="F143" s="12">
        <v>-1</v>
      </c>
      <c r="G143" s="11">
        <v>1</v>
      </c>
      <c r="H143" s="25">
        <f>(62.123*Tabelle93[[#This Row],[Vents]])-67.781</f>
        <v>56.464999999999989</v>
      </c>
      <c r="I143" s="44">
        <f t="shared" si="2"/>
        <v>3859.2671290000008</v>
      </c>
      <c r="J143" s="40">
        <v>146.47362347178009</v>
      </c>
      <c r="K143" s="41">
        <f>J143-$V$12*$V$13*SQRT(1+1/$V$9+(Tabelle62[[#This Row],[True Cooling Capacity '[kW']]]-$V$10)^2/$V$11)</f>
        <v>-71.019131588929866</v>
      </c>
      <c r="L143" s="41">
        <f>J143+$V$12*$V$13*SQRT(1+1/$V$9+(Tabelle62[[#This Row],[True Cooling Capacity '[kW']]]-$V$10)^2/$V$11)</f>
        <v>363.96637853249001</v>
      </c>
      <c r="M143" s="41">
        <f>J143-$V$12*$V$13*SQRT(1/$V$9+(Tabelle62[[#This Row],[True Cooling Capacity '[kW']]]-$V$10)^2/$V$11)</f>
        <v>125.20943832560391</v>
      </c>
      <c r="N143" s="42">
        <f>J143+$V$12*$V$13*SQRT(1/$V$9+(Tabelle62[[#This Row],[True Cooling Capacity '[kW']]]-$V$10)^2/$V$11)</f>
        <v>167.73780861795626</v>
      </c>
      <c r="O143" s="40">
        <v>3.6042359604571805</v>
      </c>
      <c r="P143" s="41">
        <f>O143-$V$30*$V$31*SQRT(1+1/$V$27+(Tabelle62[[#This Row],[Vents]]-$V$28)^2/$V$29)</f>
        <v>-4.8273922349928888E-2</v>
      </c>
      <c r="Q143" s="41">
        <f>O143+$V$30*$V$31*SQRT(1+1/$V$27+(Tabelle62[[#This Row],[Vents]]-$V$28)^2/$V$29)</f>
        <v>7.25674584326429</v>
      </c>
      <c r="R143" s="41">
        <f>O143-$V$30*$V$31*SQRT(1/$V$27+(Tabelle62[[#This Row],[Vents]]-$V$28)^2/$V$29)</f>
        <v>3.1755868586213487</v>
      </c>
      <c r="S143" s="41">
        <f>O143+$V$30*$V$31*SQRT(1/$V$27+(Tabelle62[[#This Row],[Vents]]-$V$28)^2/$V$29)</f>
        <v>4.0328850622930128</v>
      </c>
    </row>
    <row r="144" spans="1:19" x14ac:dyDescent="0.3">
      <c r="A144" s="10" t="s">
        <v>173</v>
      </c>
      <c r="B144" s="10">
        <v>12</v>
      </c>
      <c r="C144" s="28">
        <f>(62.123*Tabelle62[[#This Row],[Vents]])-67.781</f>
        <v>677.69499999999994</v>
      </c>
      <c r="D144" s="7" t="s">
        <v>173</v>
      </c>
      <c r="E144" s="13">
        <v>12</v>
      </c>
      <c r="F144" s="12">
        <v>0</v>
      </c>
      <c r="G144" s="11">
        <v>0</v>
      </c>
      <c r="H144" s="25">
        <f>(62.123*Tabelle93[[#This Row],[Vents]])-67.781</f>
        <v>677.69499999999994</v>
      </c>
      <c r="I144" s="44">
        <f t="shared" si="2"/>
        <v>0</v>
      </c>
      <c r="J144" s="40">
        <v>677.02983604429039</v>
      </c>
      <c r="K144" s="41">
        <f>J144-$V$12*$V$13*SQRT(1+1/$V$9+(Tabelle62[[#This Row],[True Cooling Capacity '[kW']]]-$V$10)^2/$V$11)</f>
        <v>459.77958666121026</v>
      </c>
      <c r="L144" s="41">
        <f>J144+$V$12*$V$13*SQRT(1+1/$V$9+(Tabelle62[[#This Row],[True Cooling Capacity '[kW']]]-$V$10)^2/$V$11)</f>
        <v>894.28008542737052</v>
      </c>
      <c r="M144" s="41">
        <f>J144-$V$12*$V$13*SQRT(1/$V$9+(Tabelle62[[#This Row],[True Cooling Capacity '[kW']]]-$V$10)^2/$V$11)</f>
        <v>658.40893587691437</v>
      </c>
      <c r="N144" s="42">
        <f>J144+$V$12*$V$13*SQRT(1/$V$9+(Tabelle62[[#This Row],[True Cooling Capacity '[kW']]]-$V$10)^2/$V$11)</f>
        <v>695.65073621166641</v>
      </c>
      <c r="O144" s="40">
        <v>11.95841151903775</v>
      </c>
      <c r="P144" s="41">
        <f>O144-$V$30*$V$31*SQRT(1+1/$V$27+(Tabelle62[[#This Row],[Vents]]-$V$28)^2/$V$29)</f>
        <v>8.3065919520789073</v>
      </c>
      <c r="Q144" s="41">
        <f>O144+$V$30*$V$31*SQRT(1+1/$V$27+(Tabelle62[[#This Row],[Vents]]-$V$28)^2/$V$29)</f>
        <v>15.610231085996592</v>
      </c>
      <c r="R144" s="41">
        <f>O144-$V$30*$V$31*SQRT(1/$V$27+(Tabelle62[[#This Row],[Vents]]-$V$28)^2/$V$29)</f>
        <v>11.535684942957513</v>
      </c>
      <c r="S144" s="41">
        <f>O144+$V$30*$V$31*SQRT(1/$V$27+(Tabelle62[[#This Row],[Vents]]-$V$28)^2/$V$29)</f>
        <v>12.381138095117986</v>
      </c>
    </row>
    <row r="145" spans="1:19" x14ac:dyDescent="0.3">
      <c r="A145" s="10" t="s">
        <v>169</v>
      </c>
      <c r="B145" s="10">
        <v>10</v>
      </c>
      <c r="C145" s="28">
        <f>(62.123*Tabelle62[[#This Row],[Vents]])-67.781</f>
        <v>553.44900000000007</v>
      </c>
      <c r="D145" s="7" t="s">
        <v>169</v>
      </c>
      <c r="E145" s="13">
        <v>10</v>
      </c>
      <c r="F145" s="12">
        <v>0</v>
      </c>
      <c r="G145" s="11">
        <v>0</v>
      </c>
      <c r="H145" s="25">
        <f>(62.123*Tabelle93[[#This Row],[Vents]])-67.781</f>
        <v>553.44900000000007</v>
      </c>
      <c r="I145" s="44">
        <f t="shared" si="2"/>
        <v>0</v>
      </c>
      <c r="J145" s="40">
        <v>559.12845547262157</v>
      </c>
      <c r="K145" s="41">
        <f>J145-$V$12*$V$13*SQRT(1+1/$V$9+(Tabelle62[[#This Row],[True Cooling Capacity '[kW']]]-$V$10)^2/$V$11)</f>
        <v>342.11192497659897</v>
      </c>
      <c r="L145" s="41">
        <f>J145+$V$12*$V$13*SQRT(1+1/$V$9+(Tabelle62[[#This Row],[True Cooling Capacity '[kW']]]-$V$10)^2/$V$11)</f>
        <v>776.14498596864416</v>
      </c>
      <c r="M145" s="41">
        <f>J145-$V$12*$V$13*SQRT(1/$V$9+(Tabelle62[[#This Row],[True Cooling Capacity '[kW']]]-$V$10)^2/$V$11)</f>
        <v>543.46826471503471</v>
      </c>
      <c r="N145" s="42">
        <f>J145+$V$12*$V$13*SQRT(1/$V$9+(Tabelle62[[#This Row],[True Cooling Capacity '[kW']]]-$V$10)^2/$V$11)</f>
        <v>574.78864623020843</v>
      </c>
      <c r="O145" s="40">
        <v>10.1019280615754</v>
      </c>
      <c r="P145" s="41">
        <f>O145-$V$30*$V$31*SQRT(1+1/$V$27+(Tabelle62[[#This Row],[Vents]]-$V$28)^2/$V$29)</f>
        <v>6.4499563244117386</v>
      </c>
      <c r="Q145" s="41">
        <f>O145+$V$30*$V$31*SQRT(1+1/$V$27+(Tabelle62[[#This Row],[Vents]]-$V$28)^2/$V$29)</f>
        <v>13.753899798739061</v>
      </c>
      <c r="R145" s="41">
        <f>O145-$V$30*$V$31*SQRT(1/$V$27+(Tabelle62[[#This Row],[Vents]]-$V$28)^2/$V$29)</f>
        <v>9.6778889389189775</v>
      </c>
      <c r="S145" s="41">
        <f>O145+$V$30*$V$31*SQRT(1/$V$27+(Tabelle62[[#This Row],[Vents]]-$V$28)^2/$V$29)</f>
        <v>10.525967184231822</v>
      </c>
    </row>
    <row r="146" spans="1:19" x14ac:dyDescent="0.3">
      <c r="A146" s="10" t="s">
        <v>175</v>
      </c>
      <c r="B146" s="10">
        <v>8</v>
      </c>
      <c r="C146" s="28">
        <f>(62.123*Tabelle62[[#This Row],[Vents]])-67.781</f>
        <v>429.20299999999997</v>
      </c>
      <c r="D146" s="7" t="s">
        <v>175</v>
      </c>
      <c r="E146" s="13">
        <v>8</v>
      </c>
      <c r="F146" s="12">
        <v>0</v>
      </c>
      <c r="G146" s="11">
        <v>0</v>
      </c>
      <c r="H146" s="25">
        <f>(62.123*Tabelle93[[#This Row],[Vents]])-67.781</f>
        <v>429.20299999999997</v>
      </c>
      <c r="I146" s="44">
        <f t="shared" si="2"/>
        <v>0</v>
      </c>
      <c r="J146" s="40">
        <v>441.22707490095252</v>
      </c>
      <c r="K146" s="41">
        <f>J146-$V$12*$V$13*SQRT(1+1/$V$9+(Tabelle62[[#This Row],[True Cooling Capacity '[kW']]]-$V$10)^2/$V$11)</f>
        <v>224.27992992972105</v>
      </c>
      <c r="L146" s="41">
        <f>J146+$V$12*$V$13*SQRT(1+1/$V$9+(Tabelle62[[#This Row],[True Cooling Capacity '[kW']]]-$V$10)^2/$V$11)</f>
        <v>658.17421987218404</v>
      </c>
      <c r="M146" s="41">
        <f>J146-$V$12*$V$13*SQRT(1/$V$9+(Tabelle62[[#This Row],[True Cooling Capacity '[kW']]]-$V$10)^2/$V$11)</f>
        <v>426.55973781471158</v>
      </c>
      <c r="N146" s="42">
        <f>J146+$V$12*$V$13*SQRT(1/$V$9+(Tabelle62[[#This Row],[True Cooling Capacity '[kW']]]-$V$10)^2/$V$11)</f>
        <v>455.89441198719345</v>
      </c>
      <c r="O146" s="40">
        <v>8.245444604113052</v>
      </c>
      <c r="P146" s="41">
        <f>O146-$V$30*$V$31*SQRT(1+1/$V$27+(Tabelle62[[#This Row],[Vents]]-$V$28)^2/$V$29)</f>
        <v>4.5933199919181114</v>
      </c>
      <c r="Q146" s="41">
        <f>O146+$V$30*$V$31*SQRT(1+1/$V$27+(Tabelle62[[#This Row],[Vents]]-$V$28)^2/$V$29)</f>
        <v>11.897569216307993</v>
      </c>
      <c r="R146" s="41">
        <f>O146-$V$30*$V$31*SQRT(1/$V$27+(Tabelle62[[#This Row],[Vents]]-$V$28)^2/$V$29)</f>
        <v>7.8200908789605537</v>
      </c>
      <c r="S146" s="41">
        <f>O146+$V$30*$V$31*SQRT(1/$V$27+(Tabelle62[[#This Row],[Vents]]-$V$28)^2/$V$29)</f>
        <v>8.6707983292655495</v>
      </c>
    </row>
    <row r="147" spans="1:19" x14ac:dyDescent="0.3">
      <c r="A147" s="10" t="s">
        <v>170</v>
      </c>
      <c r="B147" s="10">
        <v>12</v>
      </c>
      <c r="C147" s="28">
        <f>(62.123*Tabelle62[[#This Row],[Vents]])-67.781</f>
        <v>677.69499999999994</v>
      </c>
      <c r="D147" s="7" t="s">
        <v>170</v>
      </c>
      <c r="E147" s="13">
        <v>12</v>
      </c>
      <c r="F147" s="12">
        <v>0</v>
      </c>
      <c r="G147" s="11">
        <v>0</v>
      </c>
      <c r="H147" s="25">
        <f>(62.123*Tabelle93[[#This Row],[Vents]])-67.781</f>
        <v>677.69499999999994</v>
      </c>
      <c r="I147" s="44">
        <f t="shared" si="2"/>
        <v>0</v>
      </c>
      <c r="J147" s="40">
        <v>677.02983604429039</v>
      </c>
      <c r="K147" s="41">
        <f>J147-$V$12*$V$13*SQRT(1+1/$V$9+(Tabelle62[[#This Row],[True Cooling Capacity '[kW']]]-$V$10)^2/$V$11)</f>
        <v>459.77958666121026</v>
      </c>
      <c r="L147" s="41">
        <f>J147+$V$12*$V$13*SQRT(1+1/$V$9+(Tabelle62[[#This Row],[True Cooling Capacity '[kW']]]-$V$10)^2/$V$11)</f>
        <v>894.28008542737052</v>
      </c>
      <c r="M147" s="41">
        <f>J147-$V$12*$V$13*SQRT(1/$V$9+(Tabelle62[[#This Row],[True Cooling Capacity '[kW']]]-$V$10)^2/$V$11)</f>
        <v>658.40893587691437</v>
      </c>
      <c r="N147" s="42">
        <f>J147+$V$12*$V$13*SQRT(1/$V$9+(Tabelle62[[#This Row],[True Cooling Capacity '[kW']]]-$V$10)^2/$V$11)</f>
        <v>695.65073621166641</v>
      </c>
      <c r="O147" s="40">
        <v>11.95841151903775</v>
      </c>
      <c r="P147" s="41">
        <f>O147-$V$30*$V$31*SQRT(1+1/$V$27+(Tabelle62[[#This Row],[Vents]]-$V$28)^2/$V$29)</f>
        <v>8.3065919520789073</v>
      </c>
      <c r="Q147" s="41">
        <f>O147+$V$30*$V$31*SQRT(1+1/$V$27+(Tabelle62[[#This Row],[Vents]]-$V$28)^2/$V$29)</f>
        <v>15.610231085996592</v>
      </c>
      <c r="R147" s="41">
        <f>O147-$V$30*$V$31*SQRT(1/$V$27+(Tabelle62[[#This Row],[Vents]]-$V$28)^2/$V$29)</f>
        <v>11.535684942957513</v>
      </c>
      <c r="S147" s="41">
        <f>O147+$V$30*$V$31*SQRT(1/$V$27+(Tabelle62[[#This Row],[Vents]]-$V$28)^2/$V$29)</f>
        <v>12.381138095117986</v>
      </c>
    </row>
    <row r="148" spans="1:19" x14ac:dyDescent="0.3">
      <c r="A148" s="10" t="s">
        <v>167</v>
      </c>
      <c r="B148" s="10">
        <v>12</v>
      </c>
      <c r="C148" s="28">
        <f>(62.123*Tabelle62[[#This Row],[Vents]])-67.781</f>
        <v>677.69499999999994</v>
      </c>
      <c r="D148" s="7" t="s">
        <v>167</v>
      </c>
      <c r="E148" s="13">
        <v>12</v>
      </c>
      <c r="F148" s="12">
        <v>0</v>
      </c>
      <c r="G148" s="11">
        <v>0</v>
      </c>
      <c r="H148" s="25">
        <f>(62.123*Tabelle93[[#This Row],[Vents]])-67.781</f>
        <v>677.69499999999994</v>
      </c>
      <c r="I148" s="44">
        <f t="shared" si="2"/>
        <v>0</v>
      </c>
      <c r="J148" s="40">
        <v>677.02983604429039</v>
      </c>
      <c r="K148" s="41">
        <f>J148-$V$12*$V$13*SQRT(1+1/$V$9+(Tabelle62[[#This Row],[True Cooling Capacity '[kW']]]-$V$10)^2/$V$11)</f>
        <v>459.77958666121026</v>
      </c>
      <c r="L148" s="41">
        <f>J148+$V$12*$V$13*SQRT(1+1/$V$9+(Tabelle62[[#This Row],[True Cooling Capacity '[kW']]]-$V$10)^2/$V$11)</f>
        <v>894.28008542737052</v>
      </c>
      <c r="M148" s="41">
        <f>J148-$V$12*$V$13*SQRT(1/$V$9+(Tabelle62[[#This Row],[True Cooling Capacity '[kW']]]-$V$10)^2/$V$11)</f>
        <v>658.40893587691437</v>
      </c>
      <c r="N148" s="42">
        <f>J148+$V$12*$V$13*SQRT(1/$V$9+(Tabelle62[[#This Row],[True Cooling Capacity '[kW']]]-$V$10)^2/$V$11)</f>
        <v>695.65073621166641</v>
      </c>
      <c r="O148" s="40">
        <v>11.95841151903775</v>
      </c>
      <c r="P148" s="41">
        <f>O148-$V$30*$V$31*SQRT(1+1/$V$27+(Tabelle62[[#This Row],[Vents]]-$V$28)^2/$V$29)</f>
        <v>8.3065919520789073</v>
      </c>
      <c r="Q148" s="41">
        <f>O148+$V$30*$V$31*SQRT(1+1/$V$27+(Tabelle62[[#This Row],[Vents]]-$V$28)^2/$V$29)</f>
        <v>15.610231085996592</v>
      </c>
      <c r="R148" s="41">
        <f>O148-$V$30*$V$31*SQRT(1/$V$27+(Tabelle62[[#This Row],[Vents]]-$V$28)^2/$V$29)</f>
        <v>11.535684942957513</v>
      </c>
      <c r="S148" s="41">
        <f>O148+$V$30*$V$31*SQRT(1/$V$27+(Tabelle62[[#This Row],[Vents]]-$V$28)^2/$V$29)</f>
        <v>12.381138095117986</v>
      </c>
    </row>
    <row r="149" spans="1:19" x14ac:dyDescent="0.3">
      <c r="A149" s="10" t="s">
        <v>174</v>
      </c>
      <c r="B149" s="10">
        <v>3</v>
      </c>
      <c r="C149" s="28">
        <f>(62.123*Tabelle62[[#This Row],[Vents]])-67.781</f>
        <v>118.58799999999999</v>
      </c>
      <c r="D149" s="7" t="s">
        <v>174</v>
      </c>
      <c r="E149" s="13">
        <v>3</v>
      </c>
      <c r="F149" s="12">
        <v>0</v>
      </c>
      <c r="G149" s="11">
        <v>0</v>
      </c>
      <c r="H149" s="25">
        <f>(62.123*Tabelle93[[#This Row],[Vents]])-67.781</f>
        <v>118.58799999999999</v>
      </c>
      <c r="I149" s="44">
        <f t="shared" si="2"/>
        <v>0</v>
      </c>
      <c r="J149" s="40">
        <v>146.47362347178009</v>
      </c>
      <c r="K149" s="41">
        <f>J149-$V$12*$V$13*SQRT(1+1/$V$9+(Tabelle62[[#This Row],[True Cooling Capacity '[kW']]]-$V$10)^2/$V$11)</f>
        <v>-71.019131588929866</v>
      </c>
      <c r="L149" s="41">
        <f>J149+$V$12*$V$13*SQRT(1+1/$V$9+(Tabelle62[[#This Row],[True Cooling Capacity '[kW']]]-$V$10)^2/$V$11)</f>
        <v>363.96637853249001</v>
      </c>
      <c r="M149" s="41">
        <f>J149-$V$12*$V$13*SQRT(1/$V$9+(Tabelle62[[#This Row],[True Cooling Capacity '[kW']]]-$V$10)^2/$V$11)</f>
        <v>125.20943832560391</v>
      </c>
      <c r="N149" s="42">
        <f>J149+$V$12*$V$13*SQRT(1/$V$9+(Tabelle62[[#This Row],[True Cooling Capacity '[kW']]]-$V$10)^2/$V$11)</f>
        <v>167.73780861795626</v>
      </c>
      <c r="O149" s="40">
        <v>3.6042359604571805</v>
      </c>
      <c r="P149" s="41">
        <f>O149-$V$30*$V$31*SQRT(1+1/$V$27+(Tabelle62[[#This Row],[Vents]]-$V$28)^2/$V$29)</f>
        <v>-4.8273922349928888E-2</v>
      </c>
      <c r="Q149" s="41">
        <f>O149+$V$30*$V$31*SQRT(1+1/$V$27+(Tabelle62[[#This Row],[Vents]]-$V$28)^2/$V$29)</f>
        <v>7.25674584326429</v>
      </c>
      <c r="R149" s="41">
        <f>O149-$V$30*$V$31*SQRT(1/$V$27+(Tabelle62[[#This Row],[Vents]]-$V$28)^2/$V$29)</f>
        <v>3.1755868586213487</v>
      </c>
      <c r="S149" s="41">
        <f>O149+$V$30*$V$31*SQRT(1/$V$27+(Tabelle62[[#This Row],[Vents]]-$V$28)^2/$V$29)</f>
        <v>4.0328850622930128</v>
      </c>
    </row>
    <row r="150" spans="1:19" x14ac:dyDescent="0.3">
      <c r="A150" s="10" t="s">
        <v>171</v>
      </c>
      <c r="B150" s="10">
        <v>2</v>
      </c>
      <c r="C150" s="28">
        <f>(62.123*Tabelle62[[#This Row],[Vents]])-67.781</f>
        <v>56.464999999999989</v>
      </c>
      <c r="D150" s="7" t="s">
        <v>171</v>
      </c>
      <c r="E150" s="13">
        <v>2</v>
      </c>
      <c r="F150" s="12">
        <v>0</v>
      </c>
      <c r="G150" s="11">
        <v>0</v>
      </c>
      <c r="H150" s="25">
        <f>(62.123*Tabelle93[[#This Row],[Vents]])-67.781</f>
        <v>56.464999999999989</v>
      </c>
      <c r="I150" s="44">
        <f t="shared" si="2"/>
        <v>0</v>
      </c>
      <c r="J150" s="40">
        <v>87.522933185945604</v>
      </c>
      <c r="K150" s="41">
        <f>J150-$V$12*$V$13*SQRT(1+1/$V$9+(Tabelle62[[#This Row],[True Cooling Capacity '[kW']]]-$V$10)^2/$V$11)</f>
        <v>-130.20176597742778</v>
      </c>
      <c r="L150" s="41">
        <f>J150+$V$12*$V$13*SQRT(1+1/$V$9+(Tabelle62[[#This Row],[True Cooling Capacity '[kW']]]-$V$10)^2/$V$11)</f>
        <v>305.24763234931896</v>
      </c>
      <c r="M150" s="41">
        <f>J150-$V$12*$V$13*SQRT(1/$V$9+(Tabelle62[[#This Row],[True Cooling Capacity '[kW']]]-$V$10)^2/$V$11)</f>
        <v>64.004606463699091</v>
      </c>
      <c r="N150" s="42">
        <f>J150+$V$12*$V$13*SQRT(1/$V$9+(Tabelle62[[#This Row],[True Cooling Capacity '[kW']]]-$V$10)^2/$V$11)</f>
        <v>111.04125990819212</v>
      </c>
      <c r="O150" s="40">
        <v>2.6759942317260066</v>
      </c>
      <c r="P150" s="41">
        <f>O150-$V$30*$V$31*SQRT(1+1/$V$27+(Tabelle62[[#This Row],[Vents]]-$V$28)^2/$V$29)</f>
        <v>-0.97659323363450046</v>
      </c>
      <c r="Q150" s="41">
        <f>O150+$V$30*$V$31*SQRT(1+1/$V$27+(Tabelle62[[#This Row],[Vents]]-$V$28)^2/$V$29)</f>
        <v>6.3285816970865136</v>
      </c>
      <c r="R150" s="41">
        <f>O150-$V$30*$V$31*SQRT(1/$V$27+(Tabelle62[[#This Row],[Vents]]-$V$28)^2/$V$29)</f>
        <v>2.2466845525784782</v>
      </c>
      <c r="S150" s="41">
        <f>O150+$V$30*$V$31*SQRT(1/$V$27+(Tabelle62[[#This Row],[Vents]]-$V$28)^2/$V$29)</f>
        <v>3.105303910873535</v>
      </c>
    </row>
    <row r="151" spans="1:19" x14ac:dyDescent="0.3">
      <c r="A151" s="10" t="s">
        <v>168</v>
      </c>
      <c r="B151" s="10">
        <v>4</v>
      </c>
      <c r="C151" s="28">
        <f>(62.123*Tabelle62[[#This Row],[Vents]])-67.781</f>
        <v>180.71099999999998</v>
      </c>
      <c r="D151" s="7" t="s">
        <v>168</v>
      </c>
      <c r="E151" s="13">
        <v>4</v>
      </c>
      <c r="F151" s="12">
        <v>0</v>
      </c>
      <c r="G151" s="11">
        <v>0</v>
      </c>
      <c r="H151" s="25">
        <f>(62.123*Tabelle93[[#This Row],[Vents]])-67.781</f>
        <v>180.71099999999998</v>
      </c>
      <c r="I151" s="44">
        <f t="shared" si="2"/>
        <v>0</v>
      </c>
      <c r="J151" s="40">
        <v>205.42431375761456</v>
      </c>
      <c r="K151" s="41">
        <f>J151-$V$12*$V$13*SQRT(1+1/$V$9+(Tabelle62[[#This Row],[True Cooling Capacity '[kW']]]-$V$10)^2/$V$11)</f>
        <v>-11.877317091750399</v>
      </c>
      <c r="L151" s="41">
        <f>J151+$V$12*$V$13*SQRT(1+1/$V$9+(Tabelle62[[#This Row],[True Cooling Capacity '[kW']]]-$V$10)^2/$V$11)</f>
        <v>422.72594460697951</v>
      </c>
      <c r="M151" s="41">
        <f>J151-$V$12*$V$13*SQRT(1/$V$9+(Tabelle62[[#This Row],[True Cooling Capacity '[kW']]]-$V$10)^2/$V$11)</f>
        <v>186.21322748362732</v>
      </c>
      <c r="N151" s="42">
        <f>J151+$V$12*$V$13*SQRT(1/$V$9+(Tabelle62[[#This Row],[True Cooling Capacity '[kW']]]-$V$10)^2/$V$11)</f>
        <v>224.63540003160179</v>
      </c>
      <c r="O151" s="40">
        <v>4.5324776891883545</v>
      </c>
      <c r="P151" s="41">
        <f>O151-$V$30*$V$31*SQRT(1+1/$V$27+(Tabelle62[[#This Row],[Vents]]-$V$28)^2/$V$29)</f>
        <v>0.88004521280589465</v>
      </c>
      <c r="Q151" s="41">
        <f>O151+$V$30*$V$31*SQRT(1+1/$V$27+(Tabelle62[[#This Row],[Vents]]-$V$28)^2/$V$29)</f>
        <v>8.1849101655708143</v>
      </c>
      <c r="R151" s="41">
        <f>O151-$V$30*$V$31*SQRT(1/$V$27+(Tabelle62[[#This Row],[Vents]]-$V$28)^2/$V$29)</f>
        <v>4.1044886670927294</v>
      </c>
      <c r="S151" s="41">
        <f>O151+$V$30*$V$31*SQRT(1/$V$27+(Tabelle62[[#This Row],[Vents]]-$V$28)^2/$V$29)</f>
        <v>4.9604667112839795</v>
      </c>
    </row>
    <row r="152" spans="1:19" x14ac:dyDescent="0.3">
      <c r="A152" s="10" t="s">
        <v>216</v>
      </c>
      <c r="B152" s="10">
        <v>0</v>
      </c>
      <c r="C152" s="28">
        <v>0</v>
      </c>
      <c r="D152" s="7" t="s">
        <v>216</v>
      </c>
      <c r="E152" s="13">
        <v>1</v>
      </c>
      <c r="F152" s="12">
        <v>1</v>
      </c>
      <c r="G152" s="11">
        <v>1</v>
      </c>
      <c r="H152" s="25">
        <v>0</v>
      </c>
      <c r="I152" s="44">
        <f t="shared" si="2"/>
        <v>0</v>
      </c>
      <c r="J152" s="40">
        <v>33.941317246766175</v>
      </c>
      <c r="K152" s="41">
        <f>J152-$V$12*$V$13*SQRT(1+1/$V$9+(Tabelle62[[#This Row],[True Cooling Capacity '[kW']]]-$V$10)^2/$V$11)</f>
        <v>-184.0295045221722</v>
      </c>
      <c r="L152" s="41">
        <f>J152+$V$12*$V$13*SQRT(1+1/$V$9+(Tabelle62[[#This Row],[True Cooling Capacity '[kW']]]-$V$10)^2/$V$11)</f>
        <v>251.91213901570455</v>
      </c>
      <c r="M152" s="41">
        <f>J152-$V$12*$V$13*SQRT(1/$V$9+(Tabelle62[[#This Row],[True Cooling Capacity '[kW']]]-$V$10)^2/$V$11)</f>
        <v>8.2441148959422534</v>
      </c>
      <c r="N152" s="42">
        <f>J152+$V$12*$V$13*SQRT(1/$V$9+(Tabelle62[[#This Row],[True Cooling Capacity '[kW']]]-$V$10)^2/$V$11)</f>
        <v>59.638519597590097</v>
      </c>
      <c r="O152" s="40">
        <v>0.81951077426365782</v>
      </c>
      <c r="P152" s="41">
        <f>O152-$V$30*$V$31*SQRT(1+1/$V$27+(Tabelle62[[#This Row],[Vents]]-$V$28)^2/$V$29)</f>
        <v>-2.8332323845449721</v>
      </c>
      <c r="Q152" s="41">
        <f>O152+$V$30*$V$31*SQRT(1+1/$V$27+(Tabelle62[[#This Row],[Vents]]-$V$28)^2/$V$29)</f>
        <v>4.4722539330722881</v>
      </c>
      <c r="R152" s="41">
        <f>O152-$V$30*$V$31*SQRT(1/$V$27+(Tabelle62[[#This Row],[Vents]]-$V$28)^2/$V$29)</f>
        <v>0.38887845693911371</v>
      </c>
      <c r="S152" s="41">
        <f>O152+$V$30*$V$31*SQRT(1/$V$27+(Tabelle62[[#This Row],[Vents]]-$V$28)^2/$V$29)</f>
        <v>1.2501430915882019</v>
      </c>
    </row>
    <row r="153" spans="1:19" x14ac:dyDescent="0.3">
      <c r="A153" s="10" t="s">
        <v>9</v>
      </c>
      <c r="B153" s="10">
        <v>6</v>
      </c>
      <c r="C153" s="28">
        <f>(62.123*Tabelle62[[#This Row],[Vents]])-67.781</f>
        <v>304.95699999999999</v>
      </c>
      <c r="D153" s="7" t="s">
        <v>9</v>
      </c>
      <c r="E153" s="13">
        <v>6</v>
      </c>
      <c r="F153" s="12">
        <v>0</v>
      </c>
      <c r="G153" s="11">
        <v>0</v>
      </c>
      <c r="H153" s="25">
        <f>(62.123*Tabelle93[[#This Row],[Vents]])-67.781</f>
        <v>304.95699999999999</v>
      </c>
      <c r="I153" s="44">
        <f t="shared" si="2"/>
        <v>0</v>
      </c>
      <c r="J153" s="40">
        <v>323.32569432928352</v>
      </c>
      <c r="K153" s="41">
        <f>J153-$V$12*$V$13*SQRT(1+1/$V$9+(Tabelle62[[#This Row],[True Cooling Capacity '[kW']]]-$V$10)^2/$V$11)</f>
        <v>106.28344391493971</v>
      </c>
      <c r="L153" s="41">
        <f>J153+$V$12*$V$13*SQRT(1+1/$V$9+(Tabelle62[[#This Row],[True Cooling Capacity '[kW']]]-$V$10)^2/$V$11)</f>
        <v>540.36794474362728</v>
      </c>
      <c r="M153" s="41">
        <f>J153-$V$12*$V$13*SQRT(1/$V$9+(Tabelle62[[#This Row],[True Cooling Capacity '[kW']]]-$V$10)^2/$V$11)</f>
        <v>307.3130265017287</v>
      </c>
      <c r="N153" s="42">
        <f>J153+$V$12*$V$13*SQRT(1/$V$9+(Tabelle62[[#This Row],[True Cooling Capacity '[kW']]]-$V$10)^2/$V$11)</f>
        <v>339.33836215683834</v>
      </c>
      <c r="O153" s="40">
        <v>6.3889611466507032</v>
      </c>
      <c r="P153" s="41">
        <f>O153-$V$30*$V$31*SQRT(1+1/$V$27+(Tabelle62[[#This Row],[Vents]]-$V$28)^2/$V$29)</f>
        <v>2.736682954686529</v>
      </c>
      <c r="Q153" s="41">
        <f>O153+$V$30*$V$31*SQRT(1+1/$V$27+(Tabelle62[[#This Row],[Vents]]-$V$28)^2/$V$29)</f>
        <v>10.041239338614877</v>
      </c>
      <c r="R153" s="41">
        <f>O153-$V$30*$V$31*SQRT(1/$V$27+(Tabelle62[[#This Row],[Vents]]-$V$28)^2/$V$29)</f>
        <v>5.9622907820855584</v>
      </c>
      <c r="S153" s="41">
        <f>O153+$V$30*$V$31*SQRT(1/$V$27+(Tabelle62[[#This Row],[Vents]]-$V$28)^2/$V$29)</f>
        <v>6.8156315112158481</v>
      </c>
    </row>
    <row r="154" spans="1:19" x14ac:dyDescent="0.3">
      <c r="A154" s="10" t="s">
        <v>8</v>
      </c>
      <c r="B154" s="10">
        <v>6</v>
      </c>
      <c r="C154" s="28">
        <f>(62.123*Tabelle62[[#This Row],[Vents]])-67.781</f>
        <v>304.95699999999999</v>
      </c>
      <c r="D154" s="7" t="s">
        <v>8</v>
      </c>
      <c r="E154" s="13">
        <v>6</v>
      </c>
      <c r="F154" s="12">
        <v>0</v>
      </c>
      <c r="G154" s="11">
        <v>0</v>
      </c>
      <c r="H154" s="25">
        <f>(62.123*Tabelle93[[#This Row],[Vents]])-67.781</f>
        <v>304.95699999999999</v>
      </c>
      <c r="I154" s="44">
        <f t="shared" si="2"/>
        <v>0</v>
      </c>
      <c r="J154" s="40">
        <v>323.32569432928352</v>
      </c>
      <c r="K154" s="41">
        <f>J154-$V$12*$V$13*SQRT(1+1/$V$9+(Tabelle62[[#This Row],[True Cooling Capacity '[kW']]]-$V$10)^2/$V$11)</f>
        <v>106.28344391493971</v>
      </c>
      <c r="L154" s="41">
        <f>J154+$V$12*$V$13*SQRT(1+1/$V$9+(Tabelle62[[#This Row],[True Cooling Capacity '[kW']]]-$V$10)^2/$V$11)</f>
        <v>540.36794474362728</v>
      </c>
      <c r="M154" s="41">
        <f>J154-$V$12*$V$13*SQRT(1/$V$9+(Tabelle62[[#This Row],[True Cooling Capacity '[kW']]]-$V$10)^2/$V$11)</f>
        <v>307.3130265017287</v>
      </c>
      <c r="N154" s="42">
        <f>J154+$V$12*$V$13*SQRT(1/$V$9+(Tabelle62[[#This Row],[True Cooling Capacity '[kW']]]-$V$10)^2/$V$11)</f>
        <v>339.33836215683834</v>
      </c>
      <c r="O154" s="40">
        <v>6.3889611466507032</v>
      </c>
      <c r="P154" s="41">
        <f>O154-$V$30*$V$31*SQRT(1+1/$V$27+(Tabelle62[[#This Row],[Vents]]-$V$28)^2/$V$29)</f>
        <v>2.736682954686529</v>
      </c>
      <c r="Q154" s="41">
        <f>O154+$V$30*$V$31*SQRT(1+1/$V$27+(Tabelle62[[#This Row],[Vents]]-$V$28)^2/$V$29)</f>
        <v>10.041239338614877</v>
      </c>
      <c r="R154" s="41">
        <f>O154-$V$30*$V$31*SQRT(1/$V$27+(Tabelle62[[#This Row],[Vents]]-$V$28)^2/$V$29)</f>
        <v>5.9622907820855584</v>
      </c>
      <c r="S154" s="41">
        <f>O154+$V$30*$V$31*SQRT(1/$V$27+(Tabelle62[[#This Row],[Vents]]-$V$28)^2/$V$29)</f>
        <v>6.8156315112158481</v>
      </c>
    </row>
    <row r="155" spans="1:19" x14ac:dyDescent="0.3">
      <c r="A155" s="10" t="s">
        <v>6</v>
      </c>
      <c r="B155" s="10">
        <v>6</v>
      </c>
      <c r="C155" s="28">
        <f>(62.123*Tabelle62[[#This Row],[Vents]])-67.781</f>
        <v>304.95699999999999</v>
      </c>
      <c r="D155" s="7" t="s">
        <v>6</v>
      </c>
      <c r="E155" s="13">
        <v>6</v>
      </c>
      <c r="F155" s="12">
        <v>0</v>
      </c>
      <c r="G155" s="11">
        <v>0</v>
      </c>
      <c r="H155" s="25">
        <f>(62.123*Tabelle93[[#This Row],[Vents]])-67.781</f>
        <v>304.95699999999999</v>
      </c>
      <c r="I155" s="44">
        <f t="shared" si="2"/>
        <v>0</v>
      </c>
      <c r="J155" s="40">
        <v>323.32569432928352</v>
      </c>
      <c r="K155" s="41">
        <f>J155-$V$12*$V$13*SQRT(1+1/$V$9+(Tabelle62[[#This Row],[True Cooling Capacity '[kW']]]-$V$10)^2/$V$11)</f>
        <v>106.28344391493971</v>
      </c>
      <c r="L155" s="41">
        <f>J155+$V$12*$V$13*SQRT(1+1/$V$9+(Tabelle62[[#This Row],[True Cooling Capacity '[kW']]]-$V$10)^2/$V$11)</f>
        <v>540.36794474362728</v>
      </c>
      <c r="M155" s="41">
        <f>J155-$V$12*$V$13*SQRT(1/$V$9+(Tabelle62[[#This Row],[True Cooling Capacity '[kW']]]-$V$10)^2/$V$11)</f>
        <v>307.3130265017287</v>
      </c>
      <c r="N155" s="42">
        <f>J155+$V$12*$V$13*SQRT(1/$V$9+(Tabelle62[[#This Row],[True Cooling Capacity '[kW']]]-$V$10)^2/$V$11)</f>
        <v>339.33836215683834</v>
      </c>
      <c r="O155" s="40">
        <v>6.3889611466507032</v>
      </c>
      <c r="P155" s="41">
        <f>O155-$V$30*$V$31*SQRT(1+1/$V$27+(Tabelle62[[#This Row],[Vents]]-$V$28)^2/$V$29)</f>
        <v>2.736682954686529</v>
      </c>
      <c r="Q155" s="41">
        <f>O155+$V$30*$V$31*SQRT(1+1/$V$27+(Tabelle62[[#This Row],[Vents]]-$V$28)^2/$V$29)</f>
        <v>10.041239338614877</v>
      </c>
      <c r="R155" s="41">
        <f>O155-$V$30*$V$31*SQRT(1/$V$27+(Tabelle62[[#This Row],[Vents]]-$V$28)^2/$V$29)</f>
        <v>5.9622907820855584</v>
      </c>
      <c r="S155" s="41">
        <f>O155+$V$30*$V$31*SQRT(1/$V$27+(Tabelle62[[#This Row],[Vents]]-$V$28)^2/$V$29)</f>
        <v>6.8156315112158481</v>
      </c>
    </row>
    <row r="156" spans="1:19" x14ac:dyDescent="0.3">
      <c r="A156" s="10" t="s">
        <v>7</v>
      </c>
      <c r="B156" s="10">
        <v>3</v>
      </c>
      <c r="C156" s="28">
        <f>(62.123*Tabelle62[[#This Row],[Vents]])-67.781</f>
        <v>118.58799999999999</v>
      </c>
      <c r="D156" s="7" t="s">
        <v>7</v>
      </c>
      <c r="E156" s="13">
        <v>3</v>
      </c>
      <c r="F156" s="12">
        <v>0</v>
      </c>
      <c r="G156" s="11">
        <v>0</v>
      </c>
      <c r="H156" s="25">
        <f>(62.123*Tabelle93[[#This Row],[Vents]])-67.781</f>
        <v>118.58799999999999</v>
      </c>
      <c r="I156" s="44">
        <f t="shared" si="2"/>
        <v>0</v>
      </c>
      <c r="J156" s="40">
        <v>146.47362347178009</v>
      </c>
      <c r="K156" s="41">
        <f>J156-$V$12*$V$13*SQRT(1+1/$V$9+(Tabelle62[[#This Row],[True Cooling Capacity '[kW']]]-$V$10)^2/$V$11)</f>
        <v>-71.019131588929866</v>
      </c>
      <c r="L156" s="41">
        <f>J156+$V$12*$V$13*SQRT(1+1/$V$9+(Tabelle62[[#This Row],[True Cooling Capacity '[kW']]]-$V$10)^2/$V$11)</f>
        <v>363.96637853249001</v>
      </c>
      <c r="M156" s="41">
        <f>J156-$V$12*$V$13*SQRT(1/$V$9+(Tabelle62[[#This Row],[True Cooling Capacity '[kW']]]-$V$10)^2/$V$11)</f>
        <v>125.20943832560391</v>
      </c>
      <c r="N156" s="42">
        <f>J156+$V$12*$V$13*SQRT(1/$V$9+(Tabelle62[[#This Row],[True Cooling Capacity '[kW']]]-$V$10)^2/$V$11)</f>
        <v>167.73780861795626</v>
      </c>
      <c r="O156" s="40">
        <v>3.6042359604571805</v>
      </c>
      <c r="P156" s="41">
        <f>O156-$V$30*$V$31*SQRT(1+1/$V$27+(Tabelle62[[#This Row],[Vents]]-$V$28)^2/$V$29)</f>
        <v>-4.8273922349928888E-2</v>
      </c>
      <c r="Q156" s="41">
        <f>O156+$V$30*$V$31*SQRT(1+1/$V$27+(Tabelle62[[#This Row],[Vents]]-$V$28)^2/$V$29)</f>
        <v>7.25674584326429</v>
      </c>
      <c r="R156" s="41">
        <f>O156-$V$30*$V$31*SQRT(1/$V$27+(Tabelle62[[#This Row],[Vents]]-$V$28)^2/$V$29)</f>
        <v>3.1755868586213487</v>
      </c>
      <c r="S156" s="41">
        <f>O156+$V$30*$V$31*SQRT(1/$V$27+(Tabelle62[[#This Row],[Vents]]-$V$28)^2/$V$29)</f>
        <v>4.0328850622930128</v>
      </c>
    </row>
    <row r="157" spans="1:19" x14ac:dyDescent="0.3">
      <c r="A157" s="10" t="s">
        <v>5</v>
      </c>
      <c r="B157" s="10">
        <v>2</v>
      </c>
      <c r="C157" s="28">
        <f>(62.123*Tabelle62[[#This Row],[Vents]])-67.781</f>
        <v>56.464999999999989</v>
      </c>
      <c r="D157" s="7" t="s">
        <v>5</v>
      </c>
      <c r="E157" s="13">
        <v>2</v>
      </c>
      <c r="F157" s="12">
        <v>0</v>
      </c>
      <c r="G157" s="11">
        <v>0</v>
      </c>
      <c r="H157" s="25">
        <f>(62.123*Tabelle93[[#This Row],[Vents]])-67.781</f>
        <v>56.464999999999989</v>
      </c>
      <c r="I157" s="44">
        <f t="shared" si="2"/>
        <v>0</v>
      </c>
      <c r="J157" s="40">
        <v>87.522933185945604</v>
      </c>
      <c r="K157" s="41">
        <f>J157-$V$12*$V$13*SQRT(1+1/$V$9+(Tabelle62[[#This Row],[True Cooling Capacity '[kW']]]-$V$10)^2/$V$11)</f>
        <v>-130.20176597742778</v>
      </c>
      <c r="L157" s="41">
        <f>J157+$V$12*$V$13*SQRT(1+1/$V$9+(Tabelle62[[#This Row],[True Cooling Capacity '[kW']]]-$V$10)^2/$V$11)</f>
        <v>305.24763234931896</v>
      </c>
      <c r="M157" s="41">
        <f>J157-$V$12*$V$13*SQRT(1/$V$9+(Tabelle62[[#This Row],[True Cooling Capacity '[kW']]]-$V$10)^2/$V$11)</f>
        <v>64.004606463699091</v>
      </c>
      <c r="N157" s="42">
        <f>J157+$V$12*$V$13*SQRT(1/$V$9+(Tabelle62[[#This Row],[True Cooling Capacity '[kW']]]-$V$10)^2/$V$11)</f>
        <v>111.04125990819212</v>
      </c>
      <c r="O157" s="40">
        <v>2.6759942317260066</v>
      </c>
      <c r="P157" s="41">
        <f>O157-$V$30*$V$31*SQRT(1+1/$V$27+(Tabelle62[[#This Row],[Vents]]-$V$28)^2/$V$29)</f>
        <v>-0.97659323363450046</v>
      </c>
      <c r="Q157" s="41">
        <f>O157+$V$30*$V$31*SQRT(1+1/$V$27+(Tabelle62[[#This Row],[Vents]]-$V$28)^2/$V$29)</f>
        <v>6.3285816970865136</v>
      </c>
      <c r="R157" s="41">
        <f>O157-$V$30*$V$31*SQRT(1/$V$27+(Tabelle62[[#This Row],[Vents]]-$V$28)^2/$V$29)</f>
        <v>2.2466845525784782</v>
      </c>
      <c r="S157" s="41">
        <f>O157+$V$30*$V$31*SQRT(1/$V$27+(Tabelle62[[#This Row],[Vents]]-$V$28)^2/$V$29)</f>
        <v>3.105303910873535</v>
      </c>
    </row>
    <row r="158" spans="1:19" x14ac:dyDescent="0.3">
      <c r="A158" s="10" t="s">
        <v>10</v>
      </c>
      <c r="B158" s="10">
        <v>11</v>
      </c>
      <c r="C158" s="28">
        <f>(62.123*Tabelle62[[#This Row],[Vents]])-67.781</f>
        <v>615.57199999999989</v>
      </c>
      <c r="D158" s="7" t="s">
        <v>10</v>
      </c>
      <c r="E158" s="13">
        <v>12</v>
      </c>
      <c r="F158" s="12">
        <v>1</v>
      </c>
      <c r="G158" s="11">
        <v>1</v>
      </c>
      <c r="H158" s="25">
        <f>(62.123*Tabelle93[[#This Row],[Vents]])-67.781</f>
        <v>677.69499999999994</v>
      </c>
      <c r="I158" s="44">
        <f t="shared" si="2"/>
        <v>3859.2671290000058</v>
      </c>
      <c r="J158" s="40">
        <v>618.07914575845587</v>
      </c>
      <c r="K158" s="41">
        <f>J158-$V$12*$V$13*SQRT(1+1/$V$9+(Tabelle62[[#This Row],[True Cooling Capacity '[kW']]]-$V$10)^2/$V$11)</f>
        <v>400.96627306574521</v>
      </c>
      <c r="L158" s="41">
        <f>J158+$V$12*$V$13*SQRT(1+1/$V$9+(Tabelle62[[#This Row],[True Cooling Capacity '[kW']]]-$V$10)^2/$V$11)</f>
        <v>835.19201845116652</v>
      </c>
      <c r="M158" s="41">
        <f>J158-$V$12*$V$13*SQRT(1/$V$9+(Tabelle62[[#This Row],[True Cooling Capacity '[kW']]]-$V$10)^2/$V$11)</f>
        <v>601.13610722004432</v>
      </c>
      <c r="N158" s="42">
        <f>J158+$V$12*$V$13*SQRT(1/$V$9+(Tabelle62[[#This Row],[True Cooling Capacity '[kW']]]-$V$10)^2/$V$11)</f>
        <v>635.02218429686741</v>
      </c>
      <c r="O158" s="40">
        <v>11.030169790306577</v>
      </c>
      <c r="P158" s="41">
        <f>O158-$V$30*$V$31*SQRT(1+1/$V$27+(Tabelle62[[#This Row],[Vents]]-$V$28)^2/$V$29)</f>
        <v>7.378274226354149</v>
      </c>
      <c r="Q158" s="41">
        <f>O158+$V$30*$V$31*SQRT(1+1/$V$27+(Tabelle62[[#This Row],[Vents]]-$V$28)^2/$V$29)</f>
        <v>14.682065354259004</v>
      </c>
      <c r="R158" s="41">
        <f>O158-$V$30*$V$31*SQRT(1/$V$27+(Tabelle62[[#This Row],[Vents]]-$V$28)^2/$V$29)</f>
        <v>10.606787199123994</v>
      </c>
      <c r="S158" s="41">
        <f>O158+$V$30*$V$31*SQRT(1/$V$27+(Tabelle62[[#This Row],[Vents]]-$V$28)^2/$V$29)</f>
        <v>11.453552381489159</v>
      </c>
    </row>
    <row r="159" spans="1:19" x14ac:dyDescent="0.3">
      <c r="A159" s="10" t="s">
        <v>11</v>
      </c>
      <c r="B159" s="10">
        <v>11</v>
      </c>
      <c r="C159" s="28">
        <f>(62.123*Tabelle62[[#This Row],[Vents]])-67.781</f>
        <v>615.57199999999989</v>
      </c>
      <c r="D159" s="7" t="s">
        <v>11</v>
      </c>
      <c r="E159" s="13">
        <v>11</v>
      </c>
      <c r="F159" s="12">
        <v>0</v>
      </c>
      <c r="G159" s="11">
        <v>0</v>
      </c>
      <c r="H159" s="25">
        <f>(62.123*Tabelle93[[#This Row],[Vents]])-67.781</f>
        <v>615.57199999999989</v>
      </c>
      <c r="I159" s="44">
        <f t="shared" si="2"/>
        <v>0</v>
      </c>
      <c r="J159" s="40">
        <v>618.07914575845587</v>
      </c>
      <c r="K159" s="41">
        <f>J159-$V$12*$V$13*SQRT(1+1/$V$9+(Tabelle62[[#This Row],[True Cooling Capacity '[kW']]]-$V$10)^2/$V$11)</f>
        <v>400.96627306574521</v>
      </c>
      <c r="L159" s="41">
        <f>J159+$V$12*$V$13*SQRT(1+1/$V$9+(Tabelle62[[#This Row],[True Cooling Capacity '[kW']]]-$V$10)^2/$V$11)</f>
        <v>835.19201845116652</v>
      </c>
      <c r="M159" s="41">
        <f>J159-$V$12*$V$13*SQRT(1/$V$9+(Tabelle62[[#This Row],[True Cooling Capacity '[kW']]]-$V$10)^2/$V$11)</f>
        <v>601.13610722004432</v>
      </c>
      <c r="N159" s="42">
        <f>J159+$V$12*$V$13*SQRT(1/$V$9+(Tabelle62[[#This Row],[True Cooling Capacity '[kW']]]-$V$10)^2/$V$11)</f>
        <v>635.02218429686741</v>
      </c>
      <c r="O159" s="40">
        <v>11.030169790306577</v>
      </c>
      <c r="P159" s="41">
        <f>O159-$V$30*$V$31*SQRT(1+1/$V$27+(Tabelle62[[#This Row],[Vents]]-$V$28)^2/$V$29)</f>
        <v>7.378274226354149</v>
      </c>
      <c r="Q159" s="41">
        <f>O159+$V$30*$V$31*SQRT(1+1/$V$27+(Tabelle62[[#This Row],[Vents]]-$V$28)^2/$V$29)</f>
        <v>14.682065354259004</v>
      </c>
      <c r="R159" s="41">
        <f>O159-$V$30*$V$31*SQRT(1/$V$27+(Tabelle62[[#This Row],[Vents]]-$V$28)^2/$V$29)</f>
        <v>10.606787199123994</v>
      </c>
      <c r="S159" s="41">
        <f>O159+$V$30*$V$31*SQRT(1/$V$27+(Tabelle62[[#This Row],[Vents]]-$V$28)^2/$V$29)</f>
        <v>11.453552381489159</v>
      </c>
    </row>
    <row r="160" spans="1:19" x14ac:dyDescent="0.3">
      <c r="A160" s="10" t="s">
        <v>207</v>
      </c>
      <c r="B160" s="10">
        <v>0</v>
      </c>
      <c r="C160" s="28">
        <v>0</v>
      </c>
      <c r="D160" s="7" t="s">
        <v>207</v>
      </c>
      <c r="E160" s="13">
        <v>2</v>
      </c>
      <c r="F160" s="12">
        <v>2</v>
      </c>
      <c r="G160" s="11">
        <v>4</v>
      </c>
      <c r="H160" s="25">
        <f>(62.123*Tabelle93[[#This Row],[Vents]])-67.781</f>
        <v>56.464999999999989</v>
      </c>
      <c r="I160" s="44">
        <f t="shared" si="2"/>
        <v>3188.2962249999987</v>
      </c>
      <c r="J160" s="40">
        <v>33.941317246766175</v>
      </c>
      <c r="K160" s="41">
        <f>J160-$V$12*$V$13*SQRT(1+1/$V$9+(Tabelle62[[#This Row],[True Cooling Capacity '[kW']]]-$V$10)^2/$V$11)</f>
        <v>-184.0295045221722</v>
      </c>
      <c r="L160" s="41">
        <f>J160+$V$12*$V$13*SQRT(1+1/$V$9+(Tabelle62[[#This Row],[True Cooling Capacity '[kW']]]-$V$10)^2/$V$11)</f>
        <v>251.91213901570455</v>
      </c>
      <c r="M160" s="41">
        <f>J160-$V$12*$V$13*SQRT(1/$V$9+(Tabelle62[[#This Row],[True Cooling Capacity '[kW']]]-$V$10)^2/$V$11)</f>
        <v>8.2441148959422534</v>
      </c>
      <c r="N160" s="42">
        <f>J160+$V$12*$V$13*SQRT(1/$V$9+(Tabelle62[[#This Row],[True Cooling Capacity '[kW']]]-$V$10)^2/$V$11)</f>
        <v>59.638519597590097</v>
      </c>
      <c r="O160" s="40">
        <v>0.81951077426365782</v>
      </c>
      <c r="P160" s="41">
        <f>O160-$V$30*$V$31*SQRT(1+1/$V$27+(Tabelle62[[#This Row],[Vents]]-$V$28)^2/$V$29)</f>
        <v>-2.8332323845449721</v>
      </c>
      <c r="Q160" s="41">
        <f>O160+$V$30*$V$31*SQRT(1+1/$V$27+(Tabelle62[[#This Row],[Vents]]-$V$28)^2/$V$29)</f>
        <v>4.4722539330722881</v>
      </c>
      <c r="R160" s="41">
        <f>O160-$V$30*$V$31*SQRT(1/$V$27+(Tabelle62[[#This Row],[Vents]]-$V$28)^2/$V$29)</f>
        <v>0.38887845693911371</v>
      </c>
      <c r="S160" s="41">
        <f>O160+$V$30*$V$31*SQRT(1/$V$27+(Tabelle62[[#This Row],[Vents]]-$V$28)^2/$V$29)</f>
        <v>1.2501430915882019</v>
      </c>
    </row>
    <row r="161" spans="1:19" x14ac:dyDescent="0.3">
      <c r="A161" s="10" t="s">
        <v>18</v>
      </c>
      <c r="B161" s="10">
        <v>4</v>
      </c>
      <c r="C161" s="28">
        <f>(62.123*Tabelle62[[#This Row],[Vents]])-67.781</f>
        <v>180.71099999999998</v>
      </c>
      <c r="D161" s="7" t="s">
        <v>18</v>
      </c>
      <c r="E161" s="13">
        <v>4</v>
      </c>
      <c r="F161" s="12">
        <v>0</v>
      </c>
      <c r="G161" s="11">
        <v>0</v>
      </c>
      <c r="H161" s="25">
        <f>(62.123*Tabelle93[[#This Row],[Vents]])-67.781</f>
        <v>180.71099999999998</v>
      </c>
      <c r="I161" s="44">
        <f t="shared" si="2"/>
        <v>0</v>
      </c>
      <c r="J161" s="40">
        <v>205.42431375761456</v>
      </c>
      <c r="K161" s="41">
        <f>J161-$V$12*$V$13*SQRT(1+1/$V$9+(Tabelle62[[#This Row],[True Cooling Capacity '[kW']]]-$V$10)^2/$V$11)</f>
        <v>-11.877317091750399</v>
      </c>
      <c r="L161" s="41">
        <f>J161+$V$12*$V$13*SQRT(1+1/$V$9+(Tabelle62[[#This Row],[True Cooling Capacity '[kW']]]-$V$10)^2/$V$11)</f>
        <v>422.72594460697951</v>
      </c>
      <c r="M161" s="41">
        <f>J161-$V$12*$V$13*SQRT(1/$V$9+(Tabelle62[[#This Row],[True Cooling Capacity '[kW']]]-$V$10)^2/$V$11)</f>
        <v>186.21322748362732</v>
      </c>
      <c r="N161" s="42">
        <f>J161+$V$12*$V$13*SQRT(1/$V$9+(Tabelle62[[#This Row],[True Cooling Capacity '[kW']]]-$V$10)^2/$V$11)</f>
        <v>224.63540003160179</v>
      </c>
      <c r="O161" s="40">
        <v>4.5324776891883545</v>
      </c>
      <c r="P161" s="41">
        <f>O161-$V$30*$V$31*SQRT(1+1/$V$27+(Tabelle62[[#This Row],[Vents]]-$V$28)^2/$V$29)</f>
        <v>0.88004521280589465</v>
      </c>
      <c r="Q161" s="41">
        <f>O161+$V$30*$V$31*SQRT(1+1/$V$27+(Tabelle62[[#This Row],[Vents]]-$V$28)^2/$V$29)</f>
        <v>8.1849101655708143</v>
      </c>
      <c r="R161" s="41">
        <f>O161-$V$30*$V$31*SQRT(1/$V$27+(Tabelle62[[#This Row],[Vents]]-$V$28)^2/$V$29)</f>
        <v>4.1044886670927294</v>
      </c>
      <c r="S161" s="41">
        <f>O161+$V$30*$V$31*SQRT(1/$V$27+(Tabelle62[[#This Row],[Vents]]-$V$28)^2/$V$29)</f>
        <v>4.9604667112839795</v>
      </c>
    </row>
    <row r="162" spans="1:19" x14ac:dyDescent="0.3">
      <c r="A162" s="10" t="s">
        <v>19</v>
      </c>
      <c r="B162" s="10">
        <v>6</v>
      </c>
      <c r="C162" s="28">
        <f>(62.123*Tabelle62[[#This Row],[Vents]])-67.781</f>
        <v>304.95699999999999</v>
      </c>
      <c r="D162" s="7" t="s">
        <v>19</v>
      </c>
      <c r="E162" s="13">
        <v>6</v>
      </c>
      <c r="F162" s="12">
        <v>0</v>
      </c>
      <c r="G162" s="11">
        <v>0</v>
      </c>
      <c r="H162" s="25">
        <f>(62.123*Tabelle93[[#This Row],[Vents]])-67.781</f>
        <v>304.95699999999999</v>
      </c>
      <c r="I162" s="44">
        <f t="shared" si="2"/>
        <v>0</v>
      </c>
      <c r="J162" s="40">
        <v>323.32569432928352</v>
      </c>
      <c r="K162" s="41">
        <f>J162-$V$12*$V$13*SQRT(1+1/$V$9+(Tabelle62[[#This Row],[True Cooling Capacity '[kW']]]-$V$10)^2/$V$11)</f>
        <v>106.28344391493971</v>
      </c>
      <c r="L162" s="41">
        <f>J162+$V$12*$V$13*SQRT(1+1/$V$9+(Tabelle62[[#This Row],[True Cooling Capacity '[kW']]]-$V$10)^2/$V$11)</f>
        <v>540.36794474362728</v>
      </c>
      <c r="M162" s="41">
        <f>J162-$V$12*$V$13*SQRT(1/$V$9+(Tabelle62[[#This Row],[True Cooling Capacity '[kW']]]-$V$10)^2/$V$11)</f>
        <v>307.3130265017287</v>
      </c>
      <c r="N162" s="42">
        <f>J162+$V$12*$V$13*SQRT(1/$V$9+(Tabelle62[[#This Row],[True Cooling Capacity '[kW']]]-$V$10)^2/$V$11)</f>
        <v>339.33836215683834</v>
      </c>
      <c r="O162" s="40">
        <v>6.3889611466507032</v>
      </c>
      <c r="P162" s="41">
        <f>O162-$V$30*$V$31*SQRT(1+1/$V$27+(Tabelle62[[#This Row],[Vents]]-$V$28)^2/$V$29)</f>
        <v>2.736682954686529</v>
      </c>
      <c r="Q162" s="41">
        <f>O162+$V$30*$V$31*SQRT(1+1/$V$27+(Tabelle62[[#This Row],[Vents]]-$V$28)^2/$V$29)</f>
        <v>10.041239338614877</v>
      </c>
      <c r="R162" s="41">
        <f>O162-$V$30*$V$31*SQRT(1/$V$27+(Tabelle62[[#This Row],[Vents]]-$V$28)^2/$V$29)</f>
        <v>5.9622907820855584</v>
      </c>
      <c r="S162" s="41">
        <f>O162+$V$30*$V$31*SQRT(1/$V$27+(Tabelle62[[#This Row],[Vents]]-$V$28)^2/$V$29)</f>
        <v>6.8156315112158481</v>
      </c>
    </row>
    <row r="163" spans="1:19" x14ac:dyDescent="0.3">
      <c r="A163" s="10" t="s">
        <v>17</v>
      </c>
      <c r="B163" s="10">
        <v>2</v>
      </c>
      <c r="C163" s="28">
        <f>(62.123*Tabelle62[[#This Row],[Vents]])-67.781</f>
        <v>56.464999999999989</v>
      </c>
      <c r="D163" s="7" t="s">
        <v>17</v>
      </c>
      <c r="E163" s="13">
        <v>2</v>
      </c>
      <c r="F163" s="12">
        <v>0</v>
      </c>
      <c r="G163" s="11">
        <v>0</v>
      </c>
      <c r="H163" s="25">
        <f>(62.123*Tabelle93[[#This Row],[Vents]])-67.781</f>
        <v>56.464999999999989</v>
      </c>
      <c r="I163" s="44">
        <f t="shared" si="2"/>
        <v>0</v>
      </c>
      <c r="J163" s="40">
        <v>87.522933185945604</v>
      </c>
      <c r="K163" s="41">
        <f>J163-$V$12*$V$13*SQRT(1+1/$V$9+(Tabelle62[[#This Row],[True Cooling Capacity '[kW']]]-$V$10)^2/$V$11)</f>
        <v>-130.20176597742778</v>
      </c>
      <c r="L163" s="41">
        <f>J163+$V$12*$V$13*SQRT(1+1/$V$9+(Tabelle62[[#This Row],[True Cooling Capacity '[kW']]]-$V$10)^2/$V$11)</f>
        <v>305.24763234931896</v>
      </c>
      <c r="M163" s="41">
        <f>J163-$V$12*$V$13*SQRT(1/$V$9+(Tabelle62[[#This Row],[True Cooling Capacity '[kW']]]-$V$10)^2/$V$11)</f>
        <v>64.004606463699091</v>
      </c>
      <c r="N163" s="42">
        <f>J163+$V$12*$V$13*SQRT(1/$V$9+(Tabelle62[[#This Row],[True Cooling Capacity '[kW']]]-$V$10)^2/$V$11)</f>
        <v>111.04125990819212</v>
      </c>
      <c r="O163" s="40">
        <v>2.6759942317260066</v>
      </c>
      <c r="P163" s="41">
        <f>O163-$V$30*$V$31*SQRT(1+1/$V$27+(Tabelle62[[#This Row],[Vents]]-$V$28)^2/$V$29)</f>
        <v>-0.97659323363450046</v>
      </c>
      <c r="Q163" s="41">
        <f>O163+$V$30*$V$31*SQRT(1+1/$V$27+(Tabelle62[[#This Row],[Vents]]-$V$28)^2/$V$29)</f>
        <v>6.3285816970865136</v>
      </c>
      <c r="R163" s="41">
        <f>O163-$V$30*$V$31*SQRT(1/$V$27+(Tabelle62[[#This Row],[Vents]]-$V$28)^2/$V$29)</f>
        <v>2.2466845525784782</v>
      </c>
      <c r="S163" s="41">
        <f>O163+$V$30*$V$31*SQRT(1/$V$27+(Tabelle62[[#This Row],[Vents]]-$V$28)^2/$V$29)</f>
        <v>3.105303910873535</v>
      </c>
    </row>
    <row r="164" spans="1:19" x14ac:dyDescent="0.3">
      <c r="A164" s="10" t="s">
        <v>16</v>
      </c>
      <c r="B164" s="10">
        <v>6</v>
      </c>
      <c r="C164" s="28">
        <f>(62.123*Tabelle62[[#This Row],[Vents]])-67.781</f>
        <v>304.95699999999999</v>
      </c>
      <c r="D164" s="7" t="s">
        <v>16</v>
      </c>
      <c r="E164" s="13">
        <v>6</v>
      </c>
      <c r="F164" s="12">
        <v>0</v>
      </c>
      <c r="G164" s="11">
        <v>0</v>
      </c>
      <c r="H164" s="25">
        <f>(62.123*Tabelle93[[#This Row],[Vents]])-67.781</f>
        <v>304.95699999999999</v>
      </c>
      <c r="I164" s="44">
        <f t="shared" si="2"/>
        <v>0</v>
      </c>
      <c r="J164" s="40">
        <v>323.32569432928352</v>
      </c>
      <c r="K164" s="41">
        <f>J164-$V$12*$V$13*SQRT(1+1/$V$9+(Tabelle62[[#This Row],[True Cooling Capacity '[kW']]]-$V$10)^2/$V$11)</f>
        <v>106.28344391493971</v>
      </c>
      <c r="L164" s="41">
        <f>J164+$V$12*$V$13*SQRT(1+1/$V$9+(Tabelle62[[#This Row],[True Cooling Capacity '[kW']]]-$V$10)^2/$V$11)</f>
        <v>540.36794474362728</v>
      </c>
      <c r="M164" s="41">
        <f>J164-$V$12*$V$13*SQRT(1/$V$9+(Tabelle62[[#This Row],[True Cooling Capacity '[kW']]]-$V$10)^2/$V$11)</f>
        <v>307.3130265017287</v>
      </c>
      <c r="N164" s="42">
        <f>J164+$V$12*$V$13*SQRT(1/$V$9+(Tabelle62[[#This Row],[True Cooling Capacity '[kW']]]-$V$10)^2/$V$11)</f>
        <v>339.33836215683834</v>
      </c>
      <c r="O164" s="40">
        <v>6.3889611466507032</v>
      </c>
      <c r="P164" s="41">
        <f>O164-$V$30*$V$31*SQRT(1+1/$V$27+(Tabelle62[[#This Row],[Vents]]-$V$28)^2/$V$29)</f>
        <v>2.736682954686529</v>
      </c>
      <c r="Q164" s="41">
        <f>O164+$V$30*$V$31*SQRT(1+1/$V$27+(Tabelle62[[#This Row],[Vents]]-$V$28)^2/$V$29)</f>
        <v>10.041239338614877</v>
      </c>
      <c r="R164" s="41">
        <f>O164-$V$30*$V$31*SQRT(1/$V$27+(Tabelle62[[#This Row],[Vents]]-$V$28)^2/$V$29)</f>
        <v>5.9622907820855584</v>
      </c>
      <c r="S164" s="41">
        <f>O164+$V$30*$V$31*SQRT(1/$V$27+(Tabelle62[[#This Row],[Vents]]-$V$28)^2/$V$29)</f>
        <v>6.8156315112158481</v>
      </c>
    </row>
    <row r="165" spans="1:19" x14ac:dyDescent="0.3">
      <c r="A165" s="10" t="s">
        <v>15</v>
      </c>
      <c r="B165" s="10">
        <v>2</v>
      </c>
      <c r="C165" s="28">
        <f>(62.123*Tabelle62[[#This Row],[Vents]])-67.781</f>
        <v>56.464999999999989</v>
      </c>
      <c r="D165" s="7" t="s">
        <v>15</v>
      </c>
      <c r="E165" s="13">
        <v>4</v>
      </c>
      <c r="F165" s="12">
        <v>2</v>
      </c>
      <c r="G165" s="11">
        <v>4</v>
      </c>
      <c r="H165" s="25">
        <f>(62.123*Tabelle93[[#This Row],[Vents]])-67.781</f>
        <v>180.71099999999998</v>
      </c>
      <c r="I165" s="44">
        <f t="shared" si="2"/>
        <v>15437.068515999999</v>
      </c>
      <c r="J165" s="40">
        <v>87.522933185945604</v>
      </c>
      <c r="K165" s="41">
        <f>J165-$V$12*$V$13*SQRT(1+1/$V$9+(Tabelle62[[#This Row],[True Cooling Capacity '[kW']]]-$V$10)^2/$V$11)</f>
        <v>-130.20176597742778</v>
      </c>
      <c r="L165" s="41">
        <f>J165+$V$12*$V$13*SQRT(1+1/$V$9+(Tabelle62[[#This Row],[True Cooling Capacity '[kW']]]-$V$10)^2/$V$11)</f>
        <v>305.24763234931896</v>
      </c>
      <c r="M165" s="41">
        <f>J165-$V$12*$V$13*SQRT(1/$V$9+(Tabelle62[[#This Row],[True Cooling Capacity '[kW']]]-$V$10)^2/$V$11)</f>
        <v>64.004606463699091</v>
      </c>
      <c r="N165" s="42">
        <f>J165+$V$12*$V$13*SQRT(1/$V$9+(Tabelle62[[#This Row],[True Cooling Capacity '[kW']]]-$V$10)^2/$V$11)</f>
        <v>111.04125990819212</v>
      </c>
      <c r="O165" s="40">
        <v>2.6759942317260066</v>
      </c>
      <c r="P165" s="41">
        <f>O165-$V$30*$V$31*SQRT(1+1/$V$27+(Tabelle62[[#This Row],[Vents]]-$V$28)^2/$V$29)</f>
        <v>-0.97659323363450046</v>
      </c>
      <c r="Q165" s="41">
        <f>O165+$V$30*$V$31*SQRT(1+1/$V$27+(Tabelle62[[#This Row],[Vents]]-$V$28)^2/$V$29)</f>
        <v>6.3285816970865136</v>
      </c>
      <c r="R165" s="41">
        <f>O165-$V$30*$V$31*SQRT(1/$V$27+(Tabelle62[[#This Row],[Vents]]-$V$28)^2/$V$29)</f>
        <v>2.2466845525784782</v>
      </c>
      <c r="S165" s="41">
        <f>O165+$V$30*$V$31*SQRT(1/$V$27+(Tabelle62[[#This Row],[Vents]]-$V$28)^2/$V$29)</f>
        <v>3.105303910873535</v>
      </c>
    </row>
    <row r="166" spans="1:19" x14ac:dyDescent="0.3">
      <c r="A166" s="10" t="s">
        <v>14</v>
      </c>
      <c r="B166" s="10">
        <v>3</v>
      </c>
      <c r="C166" s="28">
        <f>(62.123*Tabelle62[[#This Row],[Vents]])-67.781</f>
        <v>118.58799999999999</v>
      </c>
      <c r="D166" s="7" t="s">
        <v>14</v>
      </c>
      <c r="E166" s="13">
        <v>3</v>
      </c>
      <c r="F166" s="12">
        <v>0</v>
      </c>
      <c r="G166" s="11">
        <v>0</v>
      </c>
      <c r="H166" s="25">
        <f>(62.123*Tabelle93[[#This Row],[Vents]])-67.781</f>
        <v>118.58799999999999</v>
      </c>
      <c r="I166" s="44">
        <f t="shared" si="2"/>
        <v>0</v>
      </c>
      <c r="J166" s="40">
        <v>146.47362347178009</v>
      </c>
      <c r="K166" s="41">
        <f>J166-$V$12*$V$13*SQRT(1+1/$V$9+(Tabelle62[[#This Row],[True Cooling Capacity '[kW']]]-$V$10)^2/$V$11)</f>
        <v>-71.019131588929866</v>
      </c>
      <c r="L166" s="41">
        <f>J166+$V$12*$V$13*SQRT(1+1/$V$9+(Tabelle62[[#This Row],[True Cooling Capacity '[kW']]]-$V$10)^2/$V$11)</f>
        <v>363.96637853249001</v>
      </c>
      <c r="M166" s="41">
        <f>J166-$V$12*$V$13*SQRT(1/$V$9+(Tabelle62[[#This Row],[True Cooling Capacity '[kW']]]-$V$10)^2/$V$11)</f>
        <v>125.20943832560391</v>
      </c>
      <c r="N166" s="42">
        <f>J166+$V$12*$V$13*SQRT(1/$V$9+(Tabelle62[[#This Row],[True Cooling Capacity '[kW']]]-$V$10)^2/$V$11)</f>
        <v>167.73780861795626</v>
      </c>
      <c r="O166" s="40">
        <v>3.6042359604571805</v>
      </c>
      <c r="P166" s="41">
        <f>O166-$V$30*$V$31*SQRT(1+1/$V$27+(Tabelle62[[#This Row],[Vents]]-$V$28)^2/$V$29)</f>
        <v>-4.8273922349928888E-2</v>
      </c>
      <c r="Q166" s="41">
        <f>O166+$V$30*$V$31*SQRT(1+1/$V$27+(Tabelle62[[#This Row],[Vents]]-$V$28)^2/$V$29)</f>
        <v>7.25674584326429</v>
      </c>
      <c r="R166" s="41">
        <f>O166-$V$30*$V$31*SQRT(1/$V$27+(Tabelle62[[#This Row],[Vents]]-$V$28)^2/$V$29)</f>
        <v>3.1755868586213487</v>
      </c>
      <c r="S166" s="41">
        <f>O166+$V$30*$V$31*SQRT(1/$V$27+(Tabelle62[[#This Row],[Vents]]-$V$28)^2/$V$29)</f>
        <v>4.0328850622930128</v>
      </c>
    </row>
    <row r="167" spans="1:19" x14ac:dyDescent="0.3">
      <c r="A167" s="10" t="s">
        <v>13</v>
      </c>
      <c r="B167" s="10">
        <v>6</v>
      </c>
      <c r="C167" s="28">
        <f>(62.123*Tabelle62[[#This Row],[Vents]])-67.781</f>
        <v>304.95699999999999</v>
      </c>
      <c r="D167" s="7" t="s">
        <v>13</v>
      </c>
      <c r="E167" s="13">
        <v>6</v>
      </c>
      <c r="F167" s="12">
        <v>0</v>
      </c>
      <c r="G167" s="11">
        <v>0</v>
      </c>
      <c r="H167" s="25">
        <f>(62.123*Tabelle93[[#This Row],[Vents]])-67.781</f>
        <v>304.95699999999999</v>
      </c>
      <c r="I167" s="44">
        <f t="shared" si="2"/>
        <v>0</v>
      </c>
      <c r="J167" s="40">
        <v>323.32569432928352</v>
      </c>
      <c r="K167" s="41">
        <f>J167-$V$12*$V$13*SQRT(1+1/$V$9+(Tabelle62[[#This Row],[True Cooling Capacity '[kW']]]-$V$10)^2/$V$11)</f>
        <v>106.28344391493971</v>
      </c>
      <c r="L167" s="41">
        <f>J167+$V$12*$V$13*SQRT(1+1/$V$9+(Tabelle62[[#This Row],[True Cooling Capacity '[kW']]]-$V$10)^2/$V$11)</f>
        <v>540.36794474362728</v>
      </c>
      <c r="M167" s="41">
        <f>J167-$V$12*$V$13*SQRT(1/$V$9+(Tabelle62[[#This Row],[True Cooling Capacity '[kW']]]-$V$10)^2/$V$11)</f>
        <v>307.3130265017287</v>
      </c>
      <c r="N167" s="42">
        <f>J167+$V$12*$V$13*SQRT(1/$V$9+(Tabelle62[[#This Row],[True Cooling Capacity '[kW']]]-$V$10)^2/$V$11)</f>
        <v>339.33836215683834</v>
      </c>
      <c r="O167" s="40">
        <v>6.3889611466507032</v>
      </c>
      <c r="P167" s="41">
        <f>O167-$V$30*$V$31*SQRT(1+1/$V$27+(Tabelle62[[#This Row],[Vents]]-$V$28)^2/$V$29)</f>
        <v>2.736682954686529</v>
      </c>
      <c r="Q167" s="41">
        <f>O167+$V$30*$V$31*SQRT(1+1/$V$27+(Tabelle62[[#This Row],[Vents]]-$V$28)^2/$V$29)</f>
        <v>10.041239338614877</v>
      </c>
      <c r="R167" s="41">
        <f>O167-$V$30*$V$31*SQRT(1/$V$27+(Tabelle62[[#This Row],[Vents]]-$V$28)^2/$V$29)</f>
        <v>5.9622907820855584</v>
      </c>
      <c r="S167" s="41">
        <f>O167+$V$30*$V$31*SQRT(1/$V$27+(Tabelle62[[#This Row],[Vents]]-$V$28)^2/$V$29)</f>
        <v>6.8156315112158481</v>
      </c>
    </row>
    <row r="168" spans="1:19" x14ac:dyDescent="0.3">
      <c r="A168" s="10" t="s">
        <v>12</v>
      </c>
      <c r="B168" s="10">
        <v>6</v>
      </c>
      <c r="C168" s="28">
        <f>(62.123*Tabelle62[[#This Row],[Vents]])-67.781</f>
        <v>304.95699999999999</v>
      </c>
      <c r="D168" s="7" t="s">
        <v>12</v>
      </c>
      <c r="E168" s="13">
        <v>6</v>
      </c>
      <c r="F168" s="12">
        <v>0</v>
      </c>
      <c r="G168" s="11">
        <v>0</v>
      </c>
      <c r="H168" s="25">
        <f>(62.123*Tabelle93[[#This Row],[Vents]])-67.781</f>
        <v>304.95699999999999</v>
      </c>
      <c r="I168" s="44">
        <f t="shared" si="2"/>
        <v>0</v>
      </c>
      <c r="J168" s="40">
        <v>323.32569432928352</v>
      </c>
      <c r="K168" s="41">
        <f>J168-$V$12*$V$13*SQRT(1+1/$V$9+(Tabelle62[[#This Row],[True Cooling Capacity '[kW']]]-$V$10)^2/$V$11)</f>
        <v>106.28344391493971</v>
      </c>
      <c r="L168" s="41">
        <f>J168+$V$12*$V$13*SQRT(1+1/$V$9+(Tabelle62[[#This Row],[True Cooling Capacity '[kW']]]-$V$10)^2/$V$11)</f>
        <v>540.36794474362728</v>
      </c>
      <c r="M168" s="41">
        <f>J168-$V$12*$V$13*SQRT(1/$V$9+(Tabelle62[[#This Row],[True Cooling Capacity '[kW']]]-$V$10)^2/$V$11)</f>
        <v>307.3130265017287</v>
      </c>
      <c r="N168" s="42">
        <f>J168+$V$12*$V$13*SQRT(1/$V$9+(Tabelle62[[#This Row],[True Cooling Capacity '[kW']]]-$V$10)^2/$V$11)</f>
        <v>339.33836215683834</v>
      </c>
      <c r="O168" s="40">
        <v>6.3889611466507032</v>
      </c>
      <c r="P168" s="41">
        <f>O168-$V$30*$V$31*SQRT(1+1/$V$27+(Tabelle62[[#This Row],[Vents]]-$V$28)^2/$V$29)</f>
        <v>2.736682954686529</v>
      </c>
      <c r="Q168" s="41">
        <f>O168+$V$30*$V$31*SQRT(1+1/$V$27+(Tabelle62[[#This Row],[Vents]]-$V$28)^2/$V$29)</f>
        <v>10.041239338614877</v>
      </c>
      <c r="R168" s="41">
        <f>O168-$V$30*$V$31*SQRT(1/$V$27+(Tabelle62[[#This Row],[Vents]]-$V$28)^2/$V$29)</f>
        <v>5.9622907820855584</v>
      </c>
      <c r="S168" s="41">
        <f>O168+$V$30*$V$31*SQRT(1/$V$27+(Tabelle62[[#This Row],[Vents]]-$V$28)^2/$V$29)</f>
        <v>6.8156315112158481</v>
      </c>
    </row>
    <row r="169" spans="1:19" x14ac:dyDescent="0.3">
      <c r="A169" s="10" t="s">
        <v>209</v>
      </c>
      <c r="B169" s="10">
        <v>0</v>
      </c>
      <c r="C169" s="28">
        <f>(62.123*Tabelle62[[#This Row],[Vents]])-67.781</f>
        <v>-67.781000000000006</v>
      </c>
      <c r="D169" s="7" t="s">
        <v>209</v>
      </c>
      <c r="E169" s="13">
        <v>0</v>
      </c>
      <c r="F169" s="12">
        <v>0</v>
      </c>
      <c r="G169" s="11">
        <v>0</v>
      </c>
      <c r="H169" s="25">
        <v>0</v>
      </c>
      <c r="I169" s="44">
        <f t="shared" si="2"/>
        <v>4594.2639610000006</v>
      </c>
      <c r="J169" s="40">
        <v>-30.378447385723362</v>
      </c>
      <c r="K169" s="41">
        <f>J169-$V$12*$V$13*SQRT(1+1/$V$9+(Tabelle62[[#This Row],[True Cooling Capacity '[kW']]]-$V$10)^2/$V$11)</f>
        <v>-248.68895110207222</v>
      </c>
      <c r="L169" s="41">
        <f>J169+$V$12*$V$13*SQRT(1+1/$V$9+(Tabelle62[[#This Row],[True Cooling Capacity '[kW']]]-$V$10)^2/$V$11)</f>
        <v>187.93205633062553</v>
      </c>
      <c r="M169" s="41">
        <f>J169-$V$12*$V$13*SQRT(1/$V$9+(Tabelle62[[#This Row],[True Cooling Capacity '[kW']]]-$V$10)^2/$V$11)</f>
        <v>-58.813339664732766</v>
      </c>
      <c r="N169" s="42">
        <f>J169+$V$12*$V$13*SQRT(1/$V$9+(Tabelle62[[#This Row],[True Cooling Capacity '[kW']]]-$V$10)^2/$V$11)</f>
        <v>-1.9435551067139549</v>
      </c>
      <c r="O169" s="40">
        <v>0.81951077426365782</v>
      </c>
      <c r="P169" s="41">
        <f>O169-$V$30*$V$31*SQRT(1+1/$V$27+(Tabelle62[[#This Row],[Vents]]-$V$28)^2/$V$29)</f>
        <v>-2.8332323845449721</v>
      </c>
      <c r="Q169" s="41">
        <f>O169+$V$30*$V$31*SQRT(1+1/$V$27+(Tabelle62[[#This Row],[Vents]]-$V$28)^2/$V$29)</f>
        <v>4.4722539330722881</v>
      </c>
      <c r="R169" s="41">
        <f>O169-$V$30*$V$31*SQRT(1/$V$27+(Tabelle62[[#This Row],[Vents]]-$V$28)^2/$V$29)</f>
        <v>0.38887845693911371</v>
      </c>
      <c r="S169" s="41">
        <f>O169+$V$30*$V$31*SQRT(1/$V$27+(Tabelle62[[#This Row],[Vents]]-$V$28)^2/$V$29)</f>
        <v>1.2501430915882019</v>
      </c>
    </row>
    <row r="170" spans="1:19" x14ac:dyDescent="0.3">
      <c r="A170" s="10" t="s">
        <v>208</v>
      </c>
      <c r="B170" s="10">
        <v>4</v>
      </c>
      <c r="C170" s="28">
        <f>(62.123*Tabelle62[[#This Row],[Vents]])-67.781</f>
        <v>180.71099999999998</v>
      </c>
      <c r="D170" s="7" t="s">
        <v>208</v>
      </c>
      <c r="E170" s="13">
        <v>4</v>
      </c>
      <c r="F170" s="12">
        <v>0</v>
      </c>
      <c r="G170" s="11">
        <v>0</v>
      </c>
      <c r="H170" s="25">
        <f>(62.123*Tabelle93[[#This Row],[Vents]])-67.781</f>
        <v>180.71099999999998</v>
      </c>
      <c r="I170" s="44">
        <f t="shared" si="2"/>
        <v>0</v>
      </c>
      <c r="J170" s="40">
        <v>205.42431375761456</v>
      </c>
      <c r="K170" s="41">
        <f>J170-$V$12*$V$13*SQRT(1+1/$V$9+(Tabelle62[[#This Row],[True Cooling Capacity '[kW']]]-$V$10)^2/$V$11)</f>
        <v>-11.877317091750399</v>
      </c>
      <c r="L170" s="41">
        <f>J170+$V$12*$V$13*SQRT(1+1/$V$9+(Tabelle62[[#This Row],[True Cooling Capacity '[kW']]]-$V$10)^2/$V$11)</f>
        <v>422.72594460697951</v>
      </c>
      <c r="M170" s="41">
        <f>J170-$V$12*$V$13*SQRT(1/$V$9+(Tabelle62[[#This Row],[True Cooling Capacity '[kW']]]-$V$10)^2/$V$11)</f>
        <v>186.21322748362732</v>
      </c>
      <c r="N170" s="42">
        <f>J170+$V$12*$V$13*SQRT(1/$V$9+(Tabelle62[[#This Row],[True Cooling Capacity '[kW']]]-$V$10)^2/$V$11)</f>
        <v>224.63540003160179</v>
      </c>
      <c r="O170" s="40">
        <v>4.5324776891883545</v>
      </c>
      <c r="P170" s="41">
        <f>O170-$V$30*$V$31*SQRT(1+1/$V$27+(Tabelle62[[#This Row],[Vents]]-$V$28)^2/$V$29)</f>
        <v>0.88004521280589465</v>
      </c>
      <c r="Q170" s="41">
        <f>O170+$V$30*$V$31*SQRT(1+1/$V$27+(Tabelle62[[#This Row],[Vents]]-$V$28)^2/$V$29)</f>
        <v>8.1849101655708143</v>
      </c>
      <c r="R170" s="41">
        <f>O170-$V$30*$V$31*SQRT(1/$V$27+(Tabelle62[[#This Row],[Vents]]-$V$28)^2/$V$29)</f>
        <v>4.1044886670927294</v>
      </c>
      <c r="S170" s="41">
        <f>O170+$V$30*$V$31*SQRT(1/$V$27+(Tabelle62[[#This Row],[Vents]]-$V$28)^2/$V$29)</f>
        <v>4.9604667112839795</v>
      </c>
    </row>
    <row r="171" spans="1:19" x14ac:dyDescent="0.3">
      <c r="A171" s="10" t="s">
        <v>22</v>
      </c>
      <c r="B171" s="10">
        <v>12</v>
      </c>
      <c r="C171" s="28">
        <f>(62.123*Tabelle62[[#This Row],[Vents]])-67.781</f>
        <v>677.69499999999994</v>
      </c>
      <c r="D171" s="7" t="s">
        <v>22</v>
      </c>
      <c r="E171" s="13">
        <v>12</v>
      </c>
      <c r="F171" s="12">
        <v>0</v>
      </c>
      <c r="G171" s="11">
        <v>0</v>
      </c>
      <c r="H171" s="25">
        <f>(62.123*Tabelle93[[#This Row],[Vents]])-67.781</f>
        <v>677.69499999999994</v>
      </c>
      <c r="I171" s="44">
        <f t="shared" si="2"/>
        <v>0</v>
      </c>
      <c r="J171" s="40">
        <v>677.02983604429039</v>
      </c>
      <c r="K171" s="41">
        <f>J171-$V$12*$V$13*SQRT(1+1/$V$9+(Tabelle62[[#This Row],[True Cooling Capacity '[kW']]]-$V$10)^2/$V$11)</f>
        <v>459.77958666121026</v>
      </c>
      <c r="L171" s="41">
        <f>J171+$V$12*$V$13*SQRT(1+1/$V$9+(Tabelle62[[#This Row],[True Cooling Capacity '[kW']]]-$V$10)^2/$V$11)</f>
        <v>894.28008542737052</v>
      </c>
      <c r="M171" s="41">
        <f>J171-$V$12*$V$13*SQRT(1/$V$9+(Tabelle62[[#This Row],[True Cooling Capacity '[kW']]]-$V$10)^2/$V$11)</f>
        <v>658.40893587691437</v>
      </c>
      <c r="N171" s="42">
        <f>J171+$V$12*$V$13*SQRT(1/$V$9+(Tabelle62[[#This Row],[True Cooling Capacity '[kW']]]-$V$10)^2/$V$11)</f>
        <v>695.65073621166641</v>
      </c>
      <c r="O171" s="40">
        <v>11.95841151903775</v>
      </c>
      <c r="P171" s="41">
        <f>O171-$V$30*$V$31*SQRT(1+1/$V$27+(Tabelle62[[#This Row],[Vents]]-$V$28)^2/$V$29)</f>
        <v>8.3065919520789073</v>
      </c>
      <c r="Q171" s="41">
        <f>O171+$V$30*$V$31*SQRT(1+1/$V$27+(Tabelle62[[#This Row],[Vents]]-$V$28)^2/$V$29)</f>
        <v>15.610231085996592</v>
      </c>
      <c r="R171" s="41">
        <f>O171-$V$30*$V$31*SQRT(1/$V$27+(Tabelle62[[#This Row],[Vents]]-$V$28)^2/$V$29)</f>
        <v>11.535684942957513</v>
      </c>
      <c r="S171" s="41">
        <f>O171+$V$30*$V$31*SQRT(1/$V$27+(Tabelle62[[#This Row],[Vents]]-$V$28)^2/$V$29)</f>
        <v>12.381138095117986</v>
      </c>
    </row>
    <row r="172" spans="1:19" x14ac:dyDescent="0.3">
      <c r="A172" s="10" t="s">
        <v>21</v>
      </c>
      <c r="B172" s="10">
        <v>12</v>
      </c>
      <c r="C172" s="28">
        <f>(62.123*Tabelle62[[#This Row],[Vents]])-67.781</f>
        <v>677.69499999999994</v>
      </c>
      <c r="D172" s="7" t="s">
        <v>21</v>
      </c>
      <c r="E172" s="13">
        <v>13</v>
      </c>
      <c r="F172" s="12">
        <v>1</v>
      </c>
      <c r="G172" s="11">
        <v>1</v>
      </c>
      <c r="H172" s="25">
        <f>(62.123*Tabelle93[[#This Row],[Vents]])-67.781</f>
        <v>739.81799999999998</v>
      </c>
      <c r="I172" s="44">
        <f t="shared" si="2"/>
        <v>3859.2671290000058</v>
      </c>
      <c r="J172" s="40">
        <v>677.02983604429039</v>
      </c>
      <c r="K172" s="41">
        <f>J172-$V$12*$V$13*SQRT(1+1/$V$9+(Tabelle62[[#This Row],[True Cooling Capacity '[kW']]]-$V$10)^2/$V$11)</f>
        <v>459.77958666121026</v>
      </c>
      <c r="L172" s="41">
        <f>J172+$V$12*$V$13*SQRT(1+1/$V$9+(Tabelle62[[#This Row],[True Cooling Capacity '[kW']]]-$V$10)^2/$V$11)</f>
        <v>894.28008542737052</v>
      </c>
      <c r="M172" s="41">
        <f>J172-$V$12*$V$13*SQRT(1/$V$9+(Tabelle62[[#This Row],[True Cooling Capacity '[kW']]]-$V$10)^2/$V$11)</f>
        <v>658.40893587691437</v>
      </c>
      <c r="N172" s="42">
        <f>J172+$V$12*$V$13*SQRT(1/$V$9+(Tabelle62[[#This Row],[True Cooling Capacity '[kW']]]-$V$10)^2/$V$11)</f>
        <v>695.65073621166641</v>
      </c>
      <c r="O172" s="40">
        <v>11.95841151903775</v>
      </c>
      <c r="P172" s="41">
        <f>O172-$V$30*$V$31*SQRT(1+1/$V$27+(Tabelle62[[#This Row],[Vents]]-$V$28)^2/$V$29)</f>
        <v>8.3065919520789073</v>
      </c>
      <c r="Q172" s="41">
        <f>O172+$V$30*$V$31*SQRT(1+1/$V$27+(Tabelle62[[#This Row],[Vents]]-$V$28)^2/$V$29)</f>
        <v>15.610231085996592</v>
      </c>
      <c r="R172" s="41">
        <f>O172-$V$30*$V$31*SQRT(1/$V$27+(Tabelle62[[#This Row],[Vents]]-$V$28)^2/$V$29)</f>
        <v>11.535684942957513</v>
      </c>
      <c r="S172" s="41">
        <f>O172+$V$30*$V$31*SQRT(1/$V$27+(Tabelle62[[#This Row],[Vents]]-$V$28)^2/$V$29)</f>
        <v>12.381138095117986</v>
      </c>
    </row>
    <row r="173" spans="1:19" x14ac:dyDescent="0.3">
      <c r="A173" s="10" t="s">
        <v>24</v>
      </c>
      <c r="B173" s="10">
        <v>4</v>
      </c>
      <c r="C173" s="28">
        <f>(62.123*Tabelle62[[#This Row],[Vents]])-67.781</f>
        <v>180.71099999999998</v>
      </c>
      <c r="D173" s="7" t="s">
        <v>24</v>
      </c>
      <c r="E173" s="13">
        <v>4</v>
      </c>
      <c r="F173" s="12">
        <v>0</v>
      </c>
      <c r="G173" s="11">
        <v>0</v>
      </c>
      <c r="H173" s="25">
        <f>(62.123*Tabelle93[[#This Row],[Vents]])-67.781</f>
        <v>180.71099999999998</v>
      </c>
      <c r="I173" s="44">
        <f t="shared" si="2"/>
        <v>0</v>
      </c>
      <c r="J173" s="40">
        <v>205.42431375761456</v>
      </c>
      <c r="K173" s="41">
        <f>J173-$V$12*$V$13*SQRT(1+1/$V$9+(Tabelle62[[#This Row],[True Cooling Capacity '[kW']]]-$V$10)^2/$V$11)</f>
        <v>-11.877317091750399</v>
      </c>
      <c r="L173" s="41">
        <f>J173+$V$12*$V$13*SQRT(1+1/$V$9+(Tabelle62[[#This Row],[True Cooling Capacity '[kW']]]-$V$10)^2/$V$11)</f>
        <v>422.72594460697951</v>
      </c>
      <c r="M173" s="41">
        <f>J173-$V$12*$V$13*SQRT(1/$V$9+(Tabelle62[[#This Row],[True Cooling Capacity '[kW']]]-$V$10)^2/$V$11)</f>
        <v>186.21322748362732</v>
      </c>
      <c r="N173" s="42">
        <f>J173+$V$12*$V$13*SQRT(1/$V$9+(Tabelle62[[#This Row],[True Cooling Capacity '[kW']]]-$V$10)^2/$V$11)</f>
        <v>224.63540003160179</v>
      </c>
      <c r="O173" s="40">
        <v>4.5324776891883545</v>
      </c>
      <c r="P173" s="41">
        <f>O173-$V$30*$V$31*SQRT(1+1/$V$27+(Tabelle62[[#This Row],[Vents]]-$V$28)^2/$V$29)</f>
        <v>0.88004521280589465</v>
      </c>
      <c r="Q173" s="41">
        <f>O173+$V$30*$V$31*SQRT(1+1/$V$27+(Tabelle62[[#This Row],[Vents]]-$V$28)^2/$V$29)</f>
        <v>8.1849101655708143</v>
      </c>
      <c r="R173" s="41">
        <f>O173-$V$30*$V$31*SQRT(1/$V$27+(Tabelle62[[#This Row],[Vents]]-$V$28)^2/$V$29)</f>
        <v>4.1044886670927294</v>
      </c>
      <c r="S173" s="41">
        <f>O173+$V$30*$V$31*SQRT(1/$V$27+(Tabelle62[[#This Row],[Vents]]-$V$28)^2/$V$29)</f>
        <v>4.9604667112839795</v>
      </c>
    </row>
    <row r="174" spans="1:19" x14ac:dyDescent="0.3">
      <c r="A174" s="10" t="s">
        <v>20</v>
      </c>
      <c r="B174" s="10">
        <v>10</v>
      </c>
      <c r="C174" s="28">
        <f>(62.123*Tabelle62[[#This Row],[Vents]])-67.781</f>
        <v>553.44900000000007</v>
      </c>
      <c r="D174" s="7" t="s">
        <v>20</v>
      </c>
      <c r="E174" s="13">
        <v>10</v>
      </c>
      <c r="F174" s="12">
        <v>0</v>
      </c>
      <c r="G174" s="11">
        <v>0</v>
      </c>
      <c r="H174" s="25">
        <f>(62.123*Tabelle93[[#This Row],[Vents]])-67.781</f>
        <v>553.44900000000007</v>
      </c>
      <c r="I174" s="44">
        <f t="shared" si="2"/>
        <v>0</v>
      </c>
      <c r="J174" s="40">
        <v>559.12845547262157</v>
      </c>
      <c r="K174" s="41">
        <f>J174-$V$12*$V$13*SQRT(1+1/$V$9+(Tabelle62[[#This Row],[True Cooling Capacity '[kW']]]-$V$10)^2/$V$11)</f>
        <v>342.11192497659897</v>
      </c>
      <c r="L174" s="41">
        <f>J174+$V$12*$V$13*SQRT(1+1/$V$9+(Tabelle62[[#This Row],[True Cooling Capacity '[kW']]]-$V$10)^2/$V$11)</f>
        <v>776.14498596864416</v>
      </c>
      <c r="M174" s="41">
        <f>J174-$V$12*$V$13*SQRT(1/$V$9+(Tabelle62[[#This Row],[True Cooling Capacity '[kW']]]-$V$10)^2/$V$11)</f>
        <v>543.46826471503471</v>
      </c>
      <c r="N174" s="42">
        <f>J174+$V$12*$V$13*SQRT(1/$V$9+(Tabelle62[[#This Row],[True Cooling Capacity '[kW']]]-$V$10)^2/$V$11)</f>
        <v>574.78864623020843</v>
      </c>
      <c r="O174" s="40">
        <v>10.1019280615754</v>
      </c>
      <c r="P174" s="41">
        <f>O174-$V$30*$V$31*SQRT(1+1/$V$27+(Tabelle62[[#This Row],[Vents]]-$V$28)^2/$V$29)</f>
        <v>6.4499563244117386</v>
      </c>
      <c r="Q174" s="41">
        <f>O174+$V$30*$V$31*SQRT(1+1/$V$27+(Tabelle62[[#This Row],[Vents]]-$V$28)^2/$V$29)</f>
        <v>13.753899798739061</v>
      </c>
      <c r="R174" s="41">
        <f>O174-$V$30*$V$31*SQRT(1/$V$27+(Tabelle62[[#This Row],[Vents]]-$V$28)^2/$V$29)</f>
        <v>9.6778889389189775</v>
      </c>
      <c r="S174" s="41">
        <f>O174+$V$30*$V$31*SQRT(1/$V$27+(Tabelle62[[#This Row],[Vents]]-$V$28)^2/$V$29)</f>
        <v>10.525967184231822</v>
      </c>
    </row>
    <row r="175" spans="1:19" x14ac:dyDescent="0.3">
      <c r="A175" s="10" t="s">
        <v>25</v>
      </c>
      <c r="B175" s="10">
        <v>2</v>
      </c>
      <c r="C175" s="28">
        <f>(62.123*Tabelle62[[#This Row],[Vents]])-67.781</f>
        <v>56.464999999999989</v>
      </c>
      <c r="D175" s="7" t="s">
        <v>25</v>
      </c>
      <c r="E175" s="13">
        <v>2</v>
      </c>
      <c r="F175" s="12">
        <v>0</v>
      </c>
      <c r="G175" s="11">
        <v>0</v>
      </c>
      <c r="H175" s="25">
        <f>(62.123*Tabelle93[[#This Row],[Vents]])-67.781</f>
        <v>56.464999999999989</v>
      </c>
      <c r="I175" s="44">
        <f t="shared" si="2"/>
        <v>0</v>
      </c>
      <c r="J175" s="40">
        <v>87.522933185945604</v>
      </c>
      <c r="K175" s="41">
        <f>J175-$V$12*$V$13*SQRT(1+1/$V$9+(Tabelle62[[#This Row],[True Cooling Capacity '[kW']]]-$V$10)^2/$V$11)</f>
        <v>-130.20176597742778</v>
      </c>
      <c r="L175" s="41">
        <f>J175+$V$12*$V$13*SQRT(1+1/$V$9+(Tabelle62[[#This Row],[True Cooling Capacity '[kW']]]-$V$10)^2/$V$11)</f>
        <v>305.24763234931896</v>
      </c>
      <c r="M175" s="41">
        <f>J175-$V$12*$V$13*SQRT(1/$V$9+(Tabelle62[[#This Row],[True Cooling Capacity '[kW']]]-$V$10)^2/$V$11)</f>
        <v>64.004606463699091</v>
      </c>
      <c r="N175" s="42">
        <f>J175+$V$12*$V$13*SQRT(1/$V$9+(Tabelle62[[#This Row],[True Cooling Capacity '[kW']]]-$V$10)^2/$V$11)</f>
        <v>111.04125990819212</v>
      </c>
      <c r="O175" s="40">
        <v>2.6759942317260066</v>
      </c>
      <c r="P175" s="41">
        <f>O175-$V$30*$V$31*SQRT(1+1/$V$27+(Tabelle62[[#This Row],[Vents]]-$V$28)^2/$V$29)</f>
        <v>-0.97659323363450046</v>
      </c>
      <c r="Q175" s="41">
        <f>O175+$V$30*$V$31*SQRT(1+1/$V$27+(Tabelle62[[#This Row],[Vents]]-$V$28)^2/$V$29)</f>
        <v>6.3285816970865136</v>
      </c>
      <c r="R175" s="41">
        <f>O175-$V$30*$V$31*SQRT(1/$V$27+(Tabelle62[[#This Row],[Vents]]-$V$28)^2/$V$29)</f>
        <v>2.2466845525784782</v>
      </c>
      <c r="S175" s="41">
        <f>O175+$V$30*$V$31*SQRT(1/$V$27+(Tabelle62[[#This Row],[Vents]]-$V$28)^2/$V$29)</f>
        <v>3.105303910873535</v>
      </c>
    </row>
    <row r="176" spans="1:19" x14ac:dyDescent="0.3">
      <c r="A176" s="10" t="s">
        <v>23</v>
      </c>
      <c r="B176" s="10">
        <v>0</v>
      </c>
      <c r="C176" s="28">
        <v>0</v>
      </c>
      <c r="D176" s="7" t="s">
        <v>23</v>
      </c>
      <c r="E176" s="13">
        <v>3</v>
      </c>
      <c r="F176" s="12">
        <v>3</v>
      </c>
      <c r="G176" s="11">
        <v>9</v>
      </c>
      <c r="H176" s="25">
        <f>(62.123*Tabelle93[[#This Row],[Vents]])-67.781</f>
        <v>118.58799999999999</v>
      </c>
      <c r="I176" s="44">
        <f t="shared" si="2"/>
        <v>14063.113743999998</v>
      </c>
      <c r="J176" s="40">
        <v>33.941317246766175</v>
      </c>
      <c r="K176" s="41">
        <f>J176-$V$12*$V$13*SQRT(1+1/$V$9+(Tabelle62[[#This Row],[True Cooling Capacity '[kW']]]-$V$10)^2/$V$11)</f>
        <v>-184.0295045221722</v>
      </c>
      <c r="L176" s="41">
        <f>J176+$V$12*$V$13*SQRT(1+1/$V$9+(Tabelle62[[#This Row],[True Cooling Capacity '[kW']]]-$V$10)^2/$V$11)</f>
        <v>251.91213901570455</v>
      </c>
      <c r="M176" s="41">
        <f>J176-$V$12*$V$13*SQRT(1/$V$9+(Tabelle62[[#This Row],[True Cooling Capacity '[kW']]]-$V$10)^2/$V$11)</f>
        <v>8.2441148959422534</v>
      </c>
      <c r="N176" s="42">
        <f>J176+$V$12*$V$13*SQRT(1/$V$9+(Tabelle62[[#This Row],[True Cooling Capacity '[kW']]]-$V$10)^2/$V$11)</f>
        <v>59.638519597590097</v>
      </c>
      <c r="O176" s="40">
        <v>0.81951077426365782</v>
      </c>
      <c r="P176" s="41">
        <f>O176-$V$30*$V$31*SQRT(1+1/$V$27+(Tabelle62[[#This Row],[Vents]]-$V$28)^2/$V$29)</f>
        <v>-2.8332323845449721</v>
      </c>
      <c r="Q176" s="41">
        <f>O176+$V$30*$V$31*SQRT(1+1/$V$27+(Tabelle62[[#This Row],[Vents]]-$V$28)^2/$V$29)</f>
        <v>4.4722539330722881</v>
      </c>
      <c r="R176" s="41">
        <f>O176-$V$30*$V$31*SQRT(1/$V$27+(Tabelle62[[#This Row],[Vents]]-$V$28)^2/$V$29)</f>
        <v>0.38887845693911371</v>
      </c>
      <c r="S176" s="41">
        <f>O176+$V$30*$V$31*SQRT(1/$V$27+(Tabelle62[[#This Row],[Vents]]-$V$28)^2/$V$29)</f>
        <v>1.2501430915882019</v>
      </c>
    </row>
    <row r="177" spans="1:19" x14ac:dyDescent="0.3">
      <c r="A177" s="10" t="s">
        <v>27</v>
      </c>
      <c r="B177" s="10">
        <v>12</v>
      </c>
      <c r="C177" s="28">
        <f>(62.123*Tabelle62[[#This Row],[Vents]])-67.781</f>
        <v>677.69499999999994</v>
      </c>
      <c r="D177" s="7" t="s">
        <v>27</v>
      </c>
      <c r="E177" s="13">
        <v>12</v>
      </c>
      <c r="F177" s="12">
        <v>0</v>
      </c>
      <c r="G177" s="11">
        <v>0</v>
      </c>
      <c r="H177" s="25">
        <f>(62.123*Tabelle93[[#This Row],[Vents]])-67.781</f>
        <v>677.69499999999994</v>
      </c>
      <c r="I177" s="44">
        <f t="shared" si="2"/>
        <v>0</v>
      </c>
      <c r="J177" s="40">
        <v>677.02983604429039</v>
      </c>
      <c r="K177" s="41">
        <f>J177-$V$12*$V$13*SQRT(1+1/$V$9+(Tabelle62[[#This Row],[True Cooling Capacity '[kW']]]-$V$10)^2/$V$11)</f>
        <v>459.77958666121026</v>
      </c>
      <c r="L177" s="41">
        <f>J177+$V$12*$V$13*SQRT(1+1/$V$9+(Tabelle62[[#This Row],[True Cooling Capacity '[kW']]]-$V$10)^2/$V$11)</f>
        <v>894.28008542737052</v>
      </c>
      <c r="M177" s="41">
        <f>J177-$V$12*$V$13*SQRT(1/$V$9+(Tabelle62[[#This Row],[True Cooling Capacity '[kW']]]-$V$10)^2/$V$11)</f>
        <v>658.40893587691437</v>
      </c>
      <c r="N177" s="42">
        <f>J177+$V$12*$V$13*SQRT(1/$V$9+(Tabelle62[[#This Row],[True Cooling Capacity '[kW']]]-$V$10)^2/$V$11)</f>
        <v>695.65073621166641</v>
      </c>
      <c r="O177" s="40">
        <v>11.95841151903775</v>
      </c>
      <c r="P177" s="41">
        <f>O177-$V$30*$V$31*SQRT(1+1/$V$27+(Tabelle62[[#This Row],[Vents]]-$V$28)^2/$V$29)</f>
        <v>8.3065919520789073</v>
      </c>
      <c r="Q177" s="41">
        <f>O177+$V$30*$V$31*SQRT(1+1/$V$27+(Tabelle62[[#This Row],[Vents]]-$V$28)^2/$V$29)</f>
        <v>15.610231085996592</v>
      </c>
      <c r="R177" s="41">
        <f>O177-$V$30*$V$31*SQRT(1/$V$27+(Tabelle62[[#This Row],[Vents]]-$V$28)^2/$V$29)</f>
        <v>11.535684942957513</v>
      </c>
      <c r="S177" s="41">
        <f>O177+$V$30*$V$31*SQRT(1/$V$27+(Tabelle62[[#This Row],[Vents]]-$V$28)^2/$V$29)</f>
        <v>12.381138095117986</v>
      </c>
    </row>
    <row r="178" spans="1:19" x14ac:dyDescent="0.3">
      <c r="A178" s="10" t="s">
        <v>28</v>
      </c>
      <c r="B178" s="10">
        <v>6</v>
      </c>
      <c r="C178" s="28">
        <f>(62.123*Tabelle62[[#This Row],[Vents]])-67.781</f>
        <v>304.95699999999999</v>
      </c>
      <c r="D178" s="7" t="s">
        <v>28</v>
      </c>
      <c r="E178" s="13">
        <v>6</v>
      </c>
      <c r="F178" s="12">
        <v>0</v>
      </c>
      <c r="G178" s="11">
        <v>0</v>
      </c>
      <c r="H178" s="25">
        <f>(62.123*Tabelle93[[#This Row],[Vents]])-67.781</f>
        <v>304.95699999999999</v>
      </c>
      <c r="I178" s="44">
        <f t="shared" si="2"/>
        <v>0</v>
      </c>
      <c r="J178" s="40">
        <v>323.32569432928352</v>
      </c>
      <c r="K178" s="41">
        <f>J178-$V$12*$V$13*SQRT(1+1/$V$9+(Tabelle62[[#This Row],[True Cooling Capacity '[kW']]]-$V$10)^2/$V$11)</f>
        <v>106.28344391493971</v>
      </c>
      <c r="L178" s="41">
        <f>J178+$V$12*$V$13*SQRT(1+1/$V$9+(Tabelle62[[#This Row],[True Cooling Capacity '[kW']]]-$V$10)^2/$V$11)</f>
        <v>540.36794474362728</v>
      </c>
      <c r="M178" s="41">
        <f>J178-$V$12*$V$13*SQRT(1/$V$9+(Tabelle62[[#This Row],[True Cooling Capacity '[kW']]]-$V$10)^2/$V$11)</f>
        <v>307.3130265017287</v>
      </c>
      <c r="N178" s="42">
        <f>J178+$V$12*$V$13*SQRT(1/$V$9+(Tabelle62[[#This Row],[True Cooling Capacity '[kW']]]-$V$10)^2/$V$11)</f>
        <v>339.33836215683834</v>
      </c>
      <c r="O178" s="40">
        <v>6.3889611466507032</v>
      </c>
      <c r="P178" s="41">
        <f>O178-$V$30*$V$31*SQRT(1+1/$V$27+(Tabelle62[[#This Row],[Vents]]-$V$28)^2/$V$29)</f>
        <v>2.736682954686529</v>
      </c>
      <c r="Q178" s="41">
        <f>O178+$V$30*$V$31*SQRT(1+1/$V$27+(Tabelle62[[#This Row],[Vents]]-$V$28)^2/$V$29)</f>
        <v>10.041239338614877</v>
      </c>
      <c r="R178" s="41">
        <f>O178-$V$30*$V$31*SQRT(1/$V$27+(Tabelle62[[#This Row],[Vents]]-$V$28)^2/$V$29)</f>
        <v>5.9622907820855584</v>
      </c>
      <c r="S178" s="41">
        <f>O178+$V$30*$V$31*SQRT(1/$V$27+(Tabelle62[[#This Row],[Vents]]-$V$28)^2/$V$29)</f>
        <v>6.8156315112158481</v>
      </c>
    </row>
    <row r="179" spans="1:19" x14ac:dyDescent="0.3">
      <c r="A179" s="10" t="s">
        <v>26</v>
      </c>
      <c r="B179" s="10">
        <v>2</v>
      </c>
      <c r="C179" s="28">
        <f>(62.123*Tabelle62[[#This Row],[Vents]])-67.781</f>
        <v>56.464999999999989</v>
      </c>
      <c r="D179" s="7" t="s">
        <v>26</v>
      </c>
      <c r="E179" s="13">
        <v>2</v>
      </c>
      <c r="F179" s="12">
        <v>0</v>
      </c>
      <c r="G179" s="11">
        <v>0</v>
      </c>
      <c r="H179" s="25">
        <f>(62.123*Tabelle93[[#This Row],[Vents]])-67.781</f>
        <v>56.464999999999989</v>
      </c>
      <c r="I179" s="44">
        <f t="shared" si="2"/>
        <v>0</v>
      </c>
      <c r="J179" s="40">
        <v>87.522933185945604</v>
      </c>
      <c r="K179" s="41">
        <f>J179-$V$12*$V$13*SQRT(1+1/$V$9+(Tabelle62[[#This Row],[True Cooling Capacity '[kW']]]-$V$10)^2/$V$11)</f>
        <v>-130.20176597742778</v>
      </c>
      <c r="L179" s="41">
        <f>J179+$V$12*$V$13*SQRT(1+1/$V$9+(Tabelle62[[#This Row],[True Cooling Capacity '[kW']]]-$V$10)^2/$V$11)</f>
        <v>305.24763234931896</v>
      </c>
      <c r="M179" s="41">
        <f>J179-$V$12*$V$13*SQRT(1/$V$9+(Tabelle62[[#This Row],[True Cooling Capacity '[kW']]]-$V$10)^2/$V$11)</f>
        <v>64.004606463699091</v>
      </c>
      <c r="N179" s="42">
        <f>J179+$V$12*$V$13*SQRT(1/$V$9+(Tabelle62[[#This Row],[True Cooling Capacity '[kW']]]-$V$10)^2/$V$11)</f>
        <v>111.04125990819212</v>
      </c>
      <c r="O179" s="40">
        <v>2.6759942317260066</v>
      </c>
      <c r="P179" s="41">
        <f>O179-$V$30*$V$31*SQRT(1+1/$V$27+(Tabelle62[[#This Row],[Vents]]-$V$28)^2/$V$29)</f>
        <v>-0.97659323363450046</v>
      </c>
      <c r="Q179" s="41">
        <f>O179+$V$30*$V$31*SQRT(1+1/$V$27+(Tabelle62[[#This Row],[Vents]]-$V$28)^2/$V$29)</f>
        <v>6.3285816970865136</v>
      </c>
      <c r="R179" s="41">
        <f>O179-$V$30*$V$31*SQRT(1/$V$27+(Tabelle62[[#This Row],[Vents]]-$V$28)^2/$V$29)</f>
        <v>2.2466845525784782</v>
      </c>
      <c r="S179" s="41">
        <f>O179+$V$30*$V$31*SQRT(1/$V$27+(Tabelle62[[#This Row],[Vents]]-$V$28)^2/$V$29)</f>
        <v>3.105303910873535</v>
      </c>
    </row>
    <row r="180" spans="1:19" x14ac:dyDescent="0.3">
      <c r="A180" s="10" t="s">
        <v>34</v>
      </c>
      <c r="B180" s="10">
        <v>10</v>
      </c>
      <c r="C180" s="28">
        <f>(62.123*Tabelle62[[#This Row],[Vents]])-67.781</f>
        <v>553.44900000000007</v>
      </c>
      <c r="D180" s="7" t="s">
        <v>34</v>
      </c>
      <c r="E180" s="13">
        <v>10</v>
      </c>
      <c r="F180" s="12">
        <v>0</v>
      </c>
      <c r="G180" s="11">
        <v>0</v>
      </c>
      <c r="H180" s="25">
        <f>(62.123*Tabelle93[[#This Row],[Vents]])-67.781</f>
        <v>553.44900000000007</v>
      </c>
      <c r="I180" s="44">
        <f t="shared" si="2"/>
        <v>0</v>
      </c>
      <c r="J180" s="40">
        <v>559.12845547262157</v>
      </c>
      <c r="K180" s="41">
        <f>J180-$V$12*$V$13*SQRT(1+1/$V$9+(Tabelle62[[#This Row],[True Cooling Capacity '[kW']]]-$V$10)^2/$V$11)</f>
        <v>342.11192497659897</v>
      </c>
      <c r="L180" s="41">
        <f>J180+$V$12*$V$13*SQRT(1+1/$V$9+(Tabelle62[[#This Row],[True Cooling Capacity '[kW']]]-$V$10)^2/$V$11)</f>
        <v>776.14498596864416</v>
      </c>
      <c r="M180" s="41">
        <f>J180-$V$12*$V$13*SQRT(1/$V$9+(Tabelle62[[#This Row],[True Cooling Capacity '[kW']]]-$V$10)^2/$V$11)</f>
        <v>543.46826471503471</v>
      </c>
      <c r="N180" s="42">
        <f>J180+$V$12*$V$13*SQRT(1/$V$9+(Tabelle62[[#This Row],[True Cooling Capacity '[kW']]]-$V$10)^2/$V$11)</f>
        <v>574.78864623020843</v>
      </c>
      <c r="O180" s="40">
        <v>10.1019280615754</v>
      </c>
      <c r="P180" s="41">
        <f>O180-$V$30*$V$31*SQRT(1+1/$V$27+(Tabelle62[[#This Row],[Vents]]-$V$28)^2/$V$29)</f>
        <v>6.4499563244117386</v>
      </c>
      <c r="Q180" s="41">
        <f>O180+$V$30*$V$31*SQRT(1+1/$V$27+(Tabelle62[[#This Row],[Vents]]-$V$28)^2/$V$29)</f>
        <v>13.753899798739061</v>
      </c>
      <c r="R180" s="41">
        <f>O180-$V$30*$V$31*SQRT(1/$V$27+(Tabelle62[[#This Row],[Vents]]-$V$28)^2/$V$29)</f>
        <v>9.6778889389189775</v>
      </c>
      <c r="S180" s="41">
        <f>O180+$V$30*$V$31*SQRT(1/$V$27+(Tabelle62[[#This Row],[Vents]]-$V$28)^2/$V$29)</f>
        <v>10.525967184231822</v>
      </c>
    </row>
    <row r="181" spans="1:19" x14ac:dyDescent="0.3">
      <c r="A181" s="10" t="s">
        <v>29</v>
      </c>
      <c r="B181" s="10">
        <v>6</v>
      </c>
      <c r="C181" s="28">
        <f>(62.123*Tabelle62[[#This Row],[Vents]])-67.781</f>
        <v>304.95699999999999</v>
      </c>
      <c r="D181" s="7" t="s">
        <v>29</v>
      </c>
      <c r="E181" s="13">
        <v>5</v>
      </c>
      <c r="F181" s="12">
        <v>-1</v>
      </c>
      <c r="G181" s="11">
        <v>1</v>
      </c>
      <c r="H181" s="25">
        <f>(62.123*Tabelle93[[#This Row],[Vents]])-67.781</f>
        <v>242.834</v>
      </c>
      <c r="I181" s="44">
        <f t="shared" si="2"/>
        <v>3859.2671289999989</v>
      </c>
      <c r="J181" s="40">
        <v>323.32569432928352</v>
      </c>
      <c r="K181" s="41">
        <f>J181-$V$12*$V$13*SQRT(1+1/$V$9+(Tabelle62[[#This Row],[True Cooling Capacity '[kW']]]-$V$10)^2/$V$11)</f>
        <v>106.28344391493971</v>
      </c>
      <c r="L181" s="41">
        <f>J181+$V$12*$V$13*SQRT(1+1/$V$9+(Tabelle62[[#This Row],[True Cooling Capacity '[kW']]]-$V$10)^2/$V$11)</f>
        <v>540.36794474362728</v>
      </c>
      <c r="M181" s="41">
        <f>J181-$V$12*$V$13*SQRT(1/$V$9+(Tabelle62[[#This Row],[True Cooling Capacity '[kW']]]-$V$10)^2/$V$11)</f>
        <v>307.3130265017287</v>
      </c>
      <c r="N181" s="42">
        <f>J181+$V$12*$V$13*SQRT(1/$V$9+(Tabelle62[[#This Row],[True Cooling Capacity '[kW']]]-$V$10)^2/$V$11)</f>
        <v>339.33836215683834</v>
      </c>
      <c r="O181" s="40">
        <v>6.3889611466507032</v>
      </c>
      <c r="P181" s="41">
        <f>O181-$V$30*$V$31*SQRT(1+1/$V$27+(Tabelle62[[#This Row],[Vents]]-$V$28)^2/$V$29)</f>
        <v>2.736682954686529</v>
      </c>
      <c r="Q181" s="41">
        <f>O181+$V$30*$V$31*SQRT(1+1/$V$27+(Tabelle62[[#This Row],[Vents]]-$V$28)^2/$V$29)</f>
        <v>10.041239338614877</v>
      </c>
      <c r="R181" s="41">
        <f>O181-$V$30*$V$31*SQRT(1/$V$27+(Tabelle62[[#This Row],[Vents]]-$V$28)^2/$V$29)</f>
        <v>5.9622907820855584</v>
      </c>
      <c r="S181" s="41">
        <f>O181+$V$30*$V$31*SQRT(1/$V$27+(Tabelle62[[#This Row],[Vents]]-$V$28)^2/$V$29)</f>
        <v>6.8156315112158481</v>
      </c>
    </row>
    <row r="182" spans="1:19" x14ac:dyDescent="0.3">
      <c r="A182" s="10" t="s">
        <v>30</v>
      </c>
      <c r="B182" s="10">
        <v>6</v>
      </c>
      <c r="C182" s="28">
        <f>(62.123*Tabelle62[[#This Row],[Vents]])-67.781</f>
        <v>304.95699999999999</v>
      </c>
      <c r="D182" s="7" t="s">
        <v>30</v>
      </c>
      <c r="E182" s="13">
        <v>5</v>
      </c>
      <c r="F182" s="12">
        <v>-1</v>
      </c>
      <c r="G182" s="11">
        <v>1</v>
      </c>
      <c r="H182" s="25">
        <f>(62.123*Tabelle93[[#This Row],[Vents]])-67.781</f>
        <v>242.834</v>
      </c>
      <c r="I182" s="44">
        <f t="shared" si="2"/>
        <v>3859.2671289999989</v>
      </c>
      <c r="J182" s="40">
        <v>323.32569432928352</v>
      </c>
      <c r="K182" s="41">
        <f>J182-$V$12*$V$13*SQRT(1+1/$V$9+(Tabelle62[[#This Row],[True Cooling Capacity '[kW']]]-$V$10)^2/$V$11)</f>
        <v>106.28344391493971</v>
      </c>
      <c r="L182" s="41">
        <f>J182+$V$12*$V$13*SQRT(1+1/$V$9+(Tabelle62[[#This Row],[True Cooling Capacity '[kW']]]-$V$10)^2/$V$11)</f>
        <v>540.36794474362728</v>
      </c>
      <c r="M182" s="41">
        <f>J182-$V$12*$V$13*SQRT(1/$V$9+(Tabelle62[[#This Row],[True Cooling Capacity '[kW']]]-$V$10)^2/$V$11)</f>
        <v>307.3130265017287</v>
      </c>
      <c r="N182" s="42">
        <f>J182+$V$12*$V$13*SQRT(1/$V$9+(Tabelle62[[#This Row],[True Cooling Capacity '[kW']]]-$V$10)^2/$V$11)</f>
        <v>339.33836215683834</v>
      </c>
      <c r="O182" s="40">
        <v>6.3889611466507032</v>
      </c>
      <c r="P182" s="41">
        <f>O182-$V$30*$V$31*SQRT(1+1/$V$27+(Tabelle62[[#This Row],[Vents]]-$V$28)^2/$V$29)</f>
        <v>2.736682954686529</v>
      </c>
      <c r="Q182" s="41">
        <f>O182+$V$30*$V$31*SQRT(1+1/$V$27+(Tabelle62[[#This Row],[Vents]]-$V$28)^2/$V$29)</f>
        <v>10.041239338614877</v>
      </c>
      <c r="R182" s="41">
        <f>O182-$V$30*$V$31*SQRT(1/$V$27+(Tabelle62[[#This Row],[Vents]]-$V$28)^2/$V$29)</f>
        <v>5.9622907820855584</v>
      </c>
      <c r="S182" s="41">
        <f>O182+$V$30*$V$31*SQRT(1/$V$27+(Tabelle62[[#This Row],[Vents]]-$V$28)^2/$V$29)</f>
        <v>6.8156315112158481</v>
      </c>
    </row>
    <row r="183" spans="1:19" x14ac:dyDescent="0.3">
      <c r="A183" s="10" t="s">
        <v>32</v>
      </c>
      <c r="B183" s="10">
        <v>6</v>
      </c>
      <c r="C183" s="28">
        <f>(62.123*Tabelle62[[#This Row],[Vents]])-67.781</f>
        <v>304.95699999999999</v>
      </c>
      <c r="D183" s="7" t="s">
        <v>32</v>
      </c>
      <c r="E183" s="13">
        <v>4</v>
      </c>
      <c r="F183" s="12">
        <v>-2</v>
      </c>
      <c r="G183" s="11">
        <v>4</v>
      </c>
      <c r="H183" s="25">
        <f>(62.123*Tabelle93[[#This Row],[Vents]])-67.781</f>
        <v>180.71099999999998</v>
      </c>
      <c r="I183" s="44">
        <f t="shared" si="2"/>
        <v>15437.068516000003</v>
      </c>
      <c r="J183" s="40">
        <v>323.32569432928352</v>
      </c>
      <c r="K183" s="41">
        <f>J183-$V$12*$V$13*SQRT(1+1/$V$9+(Tabelle62[[#This Row],[True Cooling Capacity '[kW']]]-$V$10)^2/$V$11)</f>
        <v>106.28344391493971</v>
      </c>
      <c r="L183" s="41">
        <f>J183+$V$12*$V$13*SQRT(1+1/$V$9+(Tabelle62[[#This Row],[True Cooling Capacity '[kW']]]-$V$10)^2/$V$11)</f>
        <v>540.36794474362728</v>
      </c>
      <c r="M183" s="41">
        <f>J183-$V$12*$V$13*SQRT(1/$V$9+(Tabelle62[[#This Row],[True Cooling Capacity '[kW']]]-$V$10)^2/$V$11)</f>
        <v>307.3130265017287</v>
      </c>
      <c r="N183" s="42">
        <f>J183+$V$12*$V$13*SQRT(1/$V$9+(Tabelle62[[#This Row],[True Cooling Capacity '[kW']]]-$V$10)^2/$V$11)</f>
        <v>339.33836215683834</v>
      </c>
      <c r="O183" s="40">
        <v>6.3889611466507032</v>
      </c>
      <c r="P183" s="41">
        <f>O183-$V$30*$V$31*SQRT(1+1/$V$27+(Tabelle62[[#This Row],[Vents]]-$V$28)^2/$V$29)</f>
        <v>2.736682954686529</v>
      </c>
      <c r="Q183" s="41">
        <f>O183+$V$30*$V$31*SQRT(1+1/$V$27+(Tabelle62[[#This Row],[Vents]]-$V$28)^2/$V$29)</f>
        <v>10.041239338614877</v>
      </c>
      <c r="R183" s="41">
        <f>O183-$V$30*$V$31*SQRT(1/$V$27+(Tabelle62[[#This Row],[Vents]]-$V$28)^2/$V$29)</f>
        <v>5.9622907820855584</v>
      </c>
      <c r="S183" s="41">
        <f>O183+$V$30*$V$31*SQRT(1/$V$27+(Tabelle62[[#This Row],[Vents]]-$V$28)^2/$V$29)</f>
        <v>6.8156315112158481</v>
      </c>
    </row>
    <row r="184" spans="1:19" x14ac:dyDescent="0.3">
      <c r="A184" s="10" t="s">
        <v>33</v>
      </c>
      <c r="B184" s="10">
        <v>6</v>
      </c>
      <c r="C184" s="28">
        <f>(62.123*Tabelle62[[#This Row],[Vents]])-67.781</f>
        <v>304.95699999999999</v>
      </c>
      <c r="D184" s="7" t="s">
        <v>33</v>
      </c>
      <c r="E184" s="13">
        <v>3</v>
      </c>
      <c r="F184" s="12">
        <v>-3</v>
      </c>
      <c r="G184" s="11">
        <v>9</v>
      </c>
      <c r="H184" s="25">
        <f>(62.123*Tabelle93[[#This Row],[Vents]])-67.781</f>
        <v>118.58799999999999</v>
      </c>
      <c r="I184" s="44">
        <f t="shared" si="2"/>
        <v>34733.404160999999</v>
      </c>
      <c r="J184" s="40">
        <v>323.32569432928352</v>
      </c>
      <c r="K184" s="41">
        <f>J184-$V$12*$V$13*SQRT(1+1/$V$9+(Tabelle62[[#This Row],[True Cooling Capacity '[kW']]]-$V$10)^2/$V$11)</f>
        <v>106.28344391493971</v>
      </c>
      <c r="L184" s="41">
        <f>J184+$V$12*$V$13*SQRT(1+1/$V$9+(Tabelle62[[#This Row],[True Cooling Capacity '[kW']]]-$V$10)^2/$V$11)</f>
        <v>540.36794474362728</v>
      </c>
      <c r="M184" s="41">
        <f>J184-$V$12*$V$13*SQRT(1/$V$9+(Tabelle62[[#This Row],[True Cooling Capacity '[kW']]]-$V$10)^2/$V$11)</f>
        <v>307.3130265017287</v>
      </c>
      <c r="N184" s="42">
        <f>J184+$V$12*$V$13*SQRT(1/$V$9+(Tabelle62[[#This Row],[True Cooling Capacity '[kW']]]-$V$10)^2/$V$11)</f>
        <v>339.33836215683834</v>
      </c>
      <c r="O184" s="40">
        <v>6.3889611466507032</v>
      </c>
      <c r="P184" s="41">
        <f>O184-$V$30*$V$31*SQRT(1+1/$V$27+(Tabelle62[[#This Row],[Vents]]-$V$28)^2/$V$29)</f>
        <v>2.736682954686529</v>
      </c>
      <c r="Q184" s="41">
        <f>O184+$V$30*$V$31*SQRT(1+1/$V$27+(Tabelle62[[#This Row],[Vents]]-$V$28)^2/$V$29)</f>
        <v>10.041239338614877</v>
      </c>
      <c r="R184" s="41">
        <f>O184-$V$30*$V$31*SQRT(1/$V$27+(Tabelle62[[#This Row],[Vents]]-$V$28)^2/$V$29)</f>
        <v>5.9622907820855584</v>
      </c>
      <c r="S184" s="41">
        <f>O184+$V$30*$V$31*SQRT(1/$V$27+(Tabelle62[[#This Row],[Vents]]-$V$28)^2/$V$29)</f>
        <v>6.8156315112158481</v>
      </c>
    </row>
    <row r="185" spans="1:19" x14ac:dyDescent="0.3">
      <c r="A185" s="10" t="s">
        <v>31</v>
      </c>
      <c r="B185" s="10">
        <v>6</v>
      </c>
      <c r="C185" s="28">
        <f>(62.123*Tabelle62[[#This Row],[Vents]])-67.781</f>
        <v>304.95699999999999</v>
      </c>
      <c r="D185" s="7" t="s">
        <v>31</v>
      </c>
      <c r="E185" s="13">
        <v>3</v>
      </c>
      <c r="F185" s="12">
        <v>-3</v>
      </c>
      <c r="G185" s="11">
        <v>9</v>
      </c>
      <c r="H185" s="25">
        <f>(62.123*Tabelle93[[#This Row],[Vents]])-67.781</f>
        <v>118.58799999999999</v>
      </c>
      <c r="I185" s="44">
        <f t="shared" si="2"/>
        <v>34733.404160999999</v>
      </c>
      <c r="J185" s="40">
        <v>323.32569432928352</v>
      </c>
      <c r="K185" s="41">
        <f>J185-$V$12*$V$13*SQRT(1+1/$V$9+(Tabelle62[[#This Row],[True Cooling Capacity '[kW']]]-$V$10)^2/$V$11)</f>
        <v>106.28344391493971</v>
      </c>
      <c r="L185" s="41">
        <f>J185+$V$12*$V$13*SQRT(1+1/$V$9+(Tabelle62[[#This Row],[True Cooling Capacity '[kW']]]-$V$10)^2/$V$11)</f>
        <v>540.36794474362728</v>
      </c>
      <c r="M185" s="41">
        <f>J185-$V$12*$V$13*SQRT(1/$V$9+(Tabelle62[[#This Row],[True Cooling Capacity '[kW']]]-$V$10)^2/$V$11)</f>
        <v>307.3130265017287</v>
      </c>
      <c r="N185" s="42">
        <f>J185+$V$12*$V$13*SQRT(1/$V$9+(Tabelle62[[#This Row],[True Cooling Capacity '[kW']]]-$V$10)^2/$V$11)</f>
        <v>339.33836215683834</v>
      </c>
      <c r="O185" s="40">
        <v>6.3889611466507032</v>
      </c>
      <c r="P185" s="41">
        <f>O185-$V$30*$V$31*SQRT(1+1/$V$27+(Tabelle62[[#This Row],[Vents]]-$V$28)^2/$V$29)</f>
        <v>2.736682954686529</v>
      </c>
      <c r="Q185" s="41">
        <f>O185+$V$30*$V$31*SQRT(1+1/$V$27+(Tabelle62[[#This Row],[Vents]]-$V$28)^2/$V$29)</f>
        <v>10.041239338614877</v>
      </c>
      <c r="R185" s="41">
        <f>O185-$V$30*$V$31*SQRT(1/$V$27+(Tabelle62[[#This Row],[Vents]]-$V$28)^2/$V$29)</f>
        <v>5.9622907820855584</v>
      </c>
      <c r="S185" s="41">
        <f>O185+$V$30*$V$31*SQRT(1/$V$27+(Tabelle62[[#This Row],[Vents]]-$V$28)^2/$V$29)</f>
        <v>6.8156315112158481</v>
      </c>
    </row>
    <row r="186" spans="1:19" x14ac:dyDescent="0.3">
      <c r="A186" s="10" t="s">
        <v>211</v>
      </c>
      <c r="B186" s="10">
        <v>10</v>
      </c>
      <c r="C186" s="28">
        <f>(62.123*Tabelle62[[#This Row],[Vents]])-67.781</f>
        <v>553.44900000000007</v>
      </c>
      <c r="D186" s="7" t="s">
        <v>211</v>
      </c>
      <c r="E186" s="13">
        <v>7</v>
      </c>
      <c r="F186" s="12">
        <v>-3</v>
      </c>
      <c r="G186" s="11">
        <v>9</v>
      </c>
      <c r="H186" s="25">
        <f>(62.123*Tabelle93[[#This Row],[Vents]])-67.781</f>
        <v>367.08</v>
      </c>
      <c r="I186" s="44">
        <f t="shared" si="2"/>
        <v>34733.404161000035</v>
      </c>
      <c r="J186" s="40">
        <v>559.12845547262157</v>
      </c>
      <c r="K186" s="41">
        <f>J186-$V$12*$V$13*SQRT(1+1/$V$9+(Tabelle62[[#This Row],[True Cooling Capacity '[kW']]]-$V$10)^2/$V$11)</f>
        <v>342.11192497659897</v>
      </c>
      <c r="L186" s="41">
        <f>J186+$V$12*$V$13*SQRT(1+1/$V$9+(Tabelle62[[#This Row],[True Cooling Capacity '[kW']]]-$V$10)^2/$V$11)</f>
        <v>776.14498596864416</v>
      </c>
      <c r="M186" s="41">
        <f>J186-$V$12*$V$13*SQRT(1/$V$9+(Tabelle62[[#This Row],[True Cooling Capacity '[kW']]]-$V$10)^2/$V$11)</f>
        <v>543.46826471503471</v>
      </c>
      <c r="N186" s="42">
        <f>J186+$V$12*$V$13*SQRT(1/$V$9+(Tabelle62[[#This Row],[True Cooling Capacity '[kW']]]-$V$10)^2/$V$11)</f>
        <v>574.78864623020843</v>
      </c>
      <c r="O186" s="40">
        <v>10.1019280615754</v>
      </c>
      <c r="P186" s="41">
        <f>O186-$V$30*$V$31*SQRT(1+1/$V$27+(Tabelle62[[#This Row],[Vents]]-$V$28)^2/$V$29)</f>
        <v>6.4499563244117386</v>
      </c>
      <c r="Q186" s="41">
        <f>O186+$V$30*$V$31*SQRT(1+1/$V$27+(Tabelle62[[#This Row],[Vents]]-$V$28)^2/$V$29)</f>
        <v>13.753899798739061</v>
      </c>
      <c r="R186" s="41">
        <f>O186-$V$30*$V$31*SQRT(1/$V$27+(Tabelle62[[#This Row],[Vents]]-$V$28)^2/$V$29)</f>
        <v>9.6778889389189775</v>
      </c>
      <c r="S186" s="41">
        <f>O186+$V$30*$V$31*SQRT(1/$V$27+(Tabelle62[[#This Row],[Vents]]-$V$28)^2/$V$29)</f>
        <v>10.525967184231822</v>
      </c>
    </row>
    <row r="187" spans="1:19" x14ac:dyDescent="0.3">
      <c r="A187" s="10" t="s">
        <v>210</v>
      </c>
      <c r="B187" s="10">
        <v>10</v>
      </c>
      <c r="C187" s="28">
        <f>(62.123*Tabelle62[[#This Row],[Vents]])-67.781</f>
        <v>553.44900000000007</v>
      </c>
      <c r="D187" s="7" t="s">
        <v>210</v>
      </c>
      <c r="E187" s="13">
        <v>5</v>
      </c>
      <c r="F187" s="12">
        <v>-5</v>
      </c>
      <c r="G187" s="11">
        <v>25</v>
      </c>
      <c r="H187" s="25">
        <f>(62.123*Tabelle93[[#This Row],[Vents]])-67.781</f>
        <v>242.834</v>
      </c>
      <c r="I187" s="44">
        <f t="shared" si="2"/>
        <v>96481.67822500004</v>
      </c>
      <c r="J187" s="40">
        <v>559.12845547262157</v>
      </c>
      <c r="K187" s="41">
        <f>J187-$V$12*$V$13*SQRT(1+1/$V$9+(Tabelle62[[#This Row],[True Cooling Capacity '[kW']]]-$V$10)^2/$V$11)</f>
        <v>342.11192497659897</v>
      </c>
      <c r="L187" s="41">
        <f>J187+$V$12*$V$13*SQRT(1+1/$V$9+(Tabelle62[[#This Row],[True Cooling Capacity '[kW']]]-$V$10)^2/$V$11)</f>
        <v>776.14498596864416</v>
      </c>
      <c r="M187" s="41">
        <f>J187-$V$12*$V$13*SQRT(1/$V$9+(Tabelle62[[#This Row],[True Cooling Capacity '[kW']]]-$V$10)^2/$V$11)</f>
        <v>543.46826471503471</v>
      </c>
      <c r="N187" s="42">
        <f>J187+$V$12*$V$13*SQRT(1/$V$9+(Tabelle62[[#This Row],[True Cooling Capacity '[kW']]]-$V$10)^2/$V$11)</f>
        <v>574.78864623020843</v>
      </c>
      <c r="O187" s="40">
        <v>10.1019280615754</v>
      </c>
      <c r="P187" s="41">
        <f>O187-$V$30*$V$31*SQRT(1+1/$V$27+(Tabelle62[[#This Row],[Vents]]-$V$28)^2/$V$29)</f>
        <v>6.4499563244117386</v>
      </c>
      <c r="Q187" s="41">
        <f>O187+$V$30*$V$31*SQRT(1+1/$V$27+(Tabelle62[[#This Row],[Vents]]-$V$28)^2/$V$29)</f>
        <v>13.753899798739061</v>
      </c>
      <c r="R187" s="41">
        <f>O187-$V$30*$V$31*SQRT(1/$V$27+(Tabelle62[[#This Row],[Vents]]-$V$28)^2/$V$29)</f>
        <v>9.6778889389189775</v>
      </c>
      <c r="S187" s="41">
        <f>O187+$V$30*$V$31*SQRT(1/$V$27+(Tabelle62[[#This Row],[Vents]]-$V$28)^2/$V$29)</f>
        <v>10.525967184231822</v>
      </c>
    </row>
    <row r="188" spans="1:19" x14ac:dyDescent="0.3">
      <c r="A188" s="10" t="s">
        <v>36</v>
      </c>
      <c r="B188" s="10">
        <v>8</v>
      </c>
      <c r="C188" s="28">
        <f>(62.123*Tabelle62[[#This Row],[Vents]])-67.781</f>
        <v>429.20299999999997</v>
      </c>
      <c r="D188" s="7" t="s">
        <v>36</v>
      </c>
      <c r="E188" s="13">
        <v>8</v>
      </c>
      <c r="F188" s="12">
        <v>0</v>
      </c>
      <c r="G188" s="11">
        <v>0</v>
      </c>
      <c r="H188" s="25">
        <f>(62.123*Tabelle93[[#This Row],[Vents]])-67.781</f>
        <v>429.20299999999997</v>
      </c>
      <c r="I188" s="44">
        <f t="shared" si="2"/>
        <v>0</v>
      </c>
      <c r="J188" s="40">
        <v>441.22707490095252</v>
      </c>
      <c r="K188" s="41">
        <f>J188-$V$12*$V$13*SQRT(1+1/$V$9+(Tabelle62[[#This Row],[True Cooling Capacity '[kW']]]-$V$10)^2/$V$11)</f>
        <v>224.27992992972105</v>
      </c>
      <c r="L188" s="41">
        <f>J188+$V$12*$V$13*SQRT(1+1/$V$9+(Tabelle62[[#This Row],[True Cooling Capacity '[kW']]]-$V$10)^2/$V$11)</f>
        <v>658.17421987218404</v>
      </c>
      <c r="M188" s="41">
        <f>J188-$V$12*$V$13*SQRT(1/$V$9+(Tabelle62[[#This Row],[True Cooling Capacity '[kW']]]-$V$10)^2/$V$11)</f>
        <v>426.55973781471158</v>
      </c>
      <c r="N188" s="42">
        <f>J188+$V$12*$V$13*SQRT(1/$V$9+(Tabelle62[[#This Row],[True Cooling Capacity '[kW']]]-$V$10)^2/$V$11)</f>
        <v>455.89441198719345</v>
      </c>
      <c r="O188" s="40">
        <v>8.245444604113052</v>
      </c>
      <c r="P188" s="41">
        <f>O188-$V$30*$V$31*SQRT(1+1/$V$27+(Tabelle62[[#This Row],[Vents]]-$V$28)^2/$V$29)</f>
        <v>4.5933199919181114</v>
      </c>
      <c r="Q188" s="41">
        <f>O188+$V$30*$V$31*SQRT(1+1/$V$27+(Tabelle62[[#This Row],[Vents]]-$V$28)^2/$V$29)</f>
        <v>11.897569216307993</v>
      </c>
      <c r="R188" s="41">
        <f>O188-$V$30*$V$31*SQRT(1/$V$27+(Tabelle62[[#This Row],[Vents]]-$V$28)^2/$V$29)</f>
        <v>7.8200908789605537</v>
      </c>
      <c r="S188" s="41">
        <f>O188+$V$30*$V$31*SQRT(1/$V$27+(Tabelle62[[#This Row],[Vents]]-$V$28)^2/$V$29)</f>
        <v>8.6707983292655495</v>
      </c>
    </row>
    <row r="189" spans="1:19" x14ac:dyDescent="0.3">
      <c r="A189" s="10" t="s">
        <v>35</v>
      </c>
      <c r="B189" s="10">
        <v>10</v>
      </c>
      <c r="C189" s="28">
        <f>(62.123*Tabelle62[[#This Row],[Vents]])-67.781</f>
        <v>553.44900000000007</v>
      </c>
      <c r="D189" s="7" t="s">
        <v>35</v>
      </c>
      <c r="E189" s="13">
        <v>10</v>
      </c>
      <c r="F189" s="12">
        <v>0</v>
      </c>
      <c r="G189" s="11">
        <v>0</v>
      </c>
      <c r="H189" s="25">
        <f>(62.123*Tabelle93[[#This Row],[Vents]])-67.781</f>
        <v>553.44900000000007</v>
      </c>
      <c r="I189" s="44">
        <f t="shared" si="2"/>
        <v>0</v>
      </c>
      <c r="J189" s="40">
        <v>559.12845547262157</v>
      </c>
      <c r="K189" s="41">
        <f>J189-$V$12*$V$13*SQRT(1+1/$V$9+(Tabelle62[[#This Row],[True Cooling Capacity '[kW']]]-$V$10)^2/$V$11)</f>
        <v>342.11192497659897</v>
      </c>
      <c r="L189" s="41">
        <f>J189+$V$12*$V$13*SQRT(1+1/$V$9+(Tabelle62[[#This Row],[True Cooling Capacity '[kW']]]-$V$10)^2/$V$11)</f>
        <v>776.14498596864416</v>
      </c>
      <c r="M189" s="41">
        <f>J189-$V$12*$V$13*SQRT(1/$V$9+(Tabelle62[[#This Row],[True Cooling Capacity '[kW']]]-$V$10)^2/$V$11)</f>
        <v>543.46826471503471</v>
      </c>
      <c r="N189" s="42">
        <f>J189+$V$12*$V$13*SQRT(1/$V$9+(Tabelle62[[#This Row],[True Cooling Capacity '[kW']]]-$V$10)^2/$V$11)</f>
        <v>574.78864623020843</v>
      </c>
      <c r="O189" s="40">
        <v>10.1019280615754</v>
      </c>
      <c r="P189" s="41">
        <f>O189-$V$30*$V$31*SQRT(1+1/$V$27+(Tabelle62[[#This Row],[Vents]]-$V$28)^2/$V$29)</f>
        <v>6.4499563244117386</v>
      </c>
      <c r="Q189" s="41">
        <f>O189+$V$30*$V$31*SQRT(1+1/$V$27+(Tabelle62[[#This Row],[Vents]]-$V$28)^2/$V$29)</f>
        <v>13.753899798739061</v>
      </c>
      <c r="R189" s="41">
        <f>O189-$V$30*$V$31*SQRT(1/$V$27+(Tabelle62[[#This Row],[Vents]]-$V$28)^2/$V$29)</f>
        <v>9.6778889389189775</v>
      </c>
      <c r="S189" s="41">
        <f>O189+$V$30*$V$31*SQRT(1/$V$27+(Tabelle62[[#This Row],[Vents]]-$V$28)^2/$V$29)</f>
        <v>10.525967184231822</v>
      </c>
    </row>
    <row r="190" spans="1:19" x14ac:dyDescent="0.3">
      <c r="A190" s="10" t="s">
        <v>213</v>
      </c>
      <c r="B190" s="10">
        <v>12</v>
      </c>
      <c r="C190" s="28">
        <f>(62.123*Tabelle62[[#This Row],[Vents]])-67.781</f>
        <v>677.69499999999994</v>
      </c>
      <c r="D190" s="7" t="s">
        <v>213</v>
      </c>
      <c r="E190" s="13">
        <v>10</v>
      </c>
      <c r="F190" s="12">
        <v>-2</v>
      </c>
      <c r="G190" s="11">
        <v>4</v>
      </c>
      <c r="H190" s="25">
        <f>(62.123*Tabelle93[[#This Row],[Vents]])-67.781</f>
        <v>553.44900000000007</v>
      </c>
      <c r="I190" s="44">
        <f t="shared" si="2"/>
        <v>15437.068515999967</v>
      </c>
      <c r="J190" s="40">
        <v>677.02983604429039</v>
      </c>
      <c r="K190" s="41">
        <f>J190-$V$12*$V$13*SQRT(1+1/$V$9+(Tabelle62[[#This Row],[True Cooling Capacity '[kW']]]-$V$10)^2/$V$11)</f>
        <v>459.77958666121026</v>
      </c>
      <c r="L190" s="41">
        <f>J190+$V$12*$V$13*SQRT(1+1/$V$9+(Tabelle62[[#This Row],[True Cooling Capacity '[kW']]]-$V$10)^2/$V$11)</f>
        <v>894.28008542737052</v>
      </c>
      <c r="M190" s="41">
        <f>J190-$V$12*$V$13*SQRT(1/$V$9+(Tabelle62[[#This Row],[True Cooling Capacity '[kW']]]-$V$10)^2/$V$11)</f>
        <v>658.40893587691437</v>
      </c>
      <c r="N190" s="42">
        <f>J190+$V$12*$V$13*SQRT(1/$V$9+(Tabelle62[[#This Row],[True Cooling Capacity '[kW']]]-$V$10)^2/$V$11)</f>
        <v>695.65073621166641</v>
      </c>
      <c r="O190" s="40">
        <v>11.95841151903775</v>
      </c>
      <c r="P190" s="41">
        <f>O190-$V$30*$V$31*SQRT(1+1/$V$27+(Tabelle62[[#This Row],[Vents]]-$V$28)^2/$V$29)</f>
        <v>8.3065919520789073</v>
      </c>
      <c r="Q190" s="41">
        <f>O190+$V$30*$V$31*SQRT(1+1/$V$27+(Tabelle62[[#This Row],[Vents]]-$V$28)^2/$V$29)</f>
        <v>15.610231085996592</v>
      </c>
      <c r="R190" s="41">
        <f>O190-$V$30*$V$31*SQRT(1/$V$27+(Tabelle62[[#This Row],[Vents]]-$V$28)^2/$V$29)</f>
        <v>11.535684942957513</v>
      </c>
      <c r="S190" s="41">
        <f>O190+$V$30*$V$31*SQRT(1/$V$27+(Tabelle62[[#This Row],[Vents]]-$V$28)^2/$V$29)</f>
        <v>12.381138095117986</v>
      </c>
    </row>
    <row r="191" spans="1:19" x14ac:dyDescent="0.3">
      <c r="A191" s="10" t="s">
        <v>212</v>
      </c>
      <c r="B191" s="10">
        <v>10</v>
      </c>
      <c r="C191" s="28">
        <f>(62.123*Tabelle62[[#This Row],[Vents]])-67.781</f>
        <v>553.44900000000007</v>
      </c>
      <c r="D191" s="7" t="s">
        <v>212</v>
      </c>
      <c r="E191" s="13">
        <v>12</v>
      </c>
      <c r="F191" s="12">
        <v>2</v>
      </c>
      <c r="G191" s="11">
        <v>4</v>
      </c>
      <c r="H191" s="25">
        <f>(62.123*Tabelle93[[#This Row],[Vents]])-67.781</f>
        <v>677.69499999999994</v>
      </c>
      <c r="I191" s="44">
        <f t="shared" si="2"/>
        <v>15437.068515999967</v>
      </c>
      <c r="J191" s="40">
        <v>559.12845547262157</v>
      </c>
      <c r="K191" s="41">
        <f>J191-$V$12*$V$13*SQRT(1+1/$V$9+(Tabelle62[[#This Row],[True Cooling Capacity '[kW']]]-$V$10)^2/$V$11)</f>
        <v>342.11192497659897</v>
      </c>
      <c r="L191" s="41">
        <f>J191+$V$12*$V$13*SQRT(1+1/$V$9+(Tabelle62[[#This Row],[True Cooling Capacity '[kW']]]-$V$10)^2/$V$11)</f>
        <v>776.14498596864416</v>
      </c>
      <c r="M191" s="41">
        <f>J191-$V$12*$V$13*SQRT(1/$V$9+(Tabelle62[[#This Row],[True Cooling Capacity '[kW']]]-$V$10)^2/$V$11)</f>
        <v>543.46826471503471</v>
      </c>
      <c r="N191" s="42">
        <f>J191+$V$12*$V$13*SQRT(1/$V$9+(Tabelle62[[#This Row],[True Cooling Capacity '[kW']]]-$V$10)^2/$V$11)</f>
        <v>574.78864623020843</v>
      </c>
      <c r="O191" s="40">
        <v>10.1019280615754</v>
      </c>
      <c r="P191" s="41">
        <f>O191-$V$30*$V$31*SQRT(1+1/$V$27+(Tabelle62[[#This Row],[Vents]]-$V$28)^2/$V$29)</f>
        <v>6.4499563244117386</v>
      </c>
      <c r="Q191" s="41">
        <f>O191+$V$30*$V$31*SQRT(1+1/$V$27+(Tabelle62[[#This Row],[Vents]]-$V$28)^2/$V$29)</f>
        <v>13.753899798739061</v>
      </c>
      <c r="R191" s="41">
        <f>O191-$V$30*$V$31*SQRT(1/$V$27+(Tabelle62[[#This Row],[Vents]]-$V$28)^2/$V$29)</f>
        <v>9.6778889389189775</v>
      </c>
      <c r="S191" s="41">
        <f>O191+$V$30*$V$31*SQRT(1/$V$27+(Tabelle62[[#This Row],[Vents]]-$V$28)^2/$V$29)</f>
        <v>10.525967184231822</v>
      </c>
    </row>
    <row r="192" spans="1:19" x14ac:dyDescent="0.3">
      <c r="A192" s="10" t="s">
        <v>183</v>
      </c>
      <c r="B192" s="10">
        <v>6</v>
      </c>
      <c r="C192" s="28">
        <f>(62.123*Tabelle62[[#This Row],[Vents]])-67.781</f>
        <v>304.95699999999999</v>
      </c>
      <c r="D192" s="7" t="s">
        <v>183</v>
      </c>
      <c r="E192" s="13">
        <v>6</v>
      </c>
      <c r="F192" s="12">
        <v>0</v>
      </c>
      <c r="G192" s="11">
        <v>0</v>
      </c>
      <c r="H192" s="25">
        <f>(62.123*Tabelle93[[#This Row],[Vents]])-67.781</f>
        <v>304.95699999999999</v>
      </c>
      <c r="I192" s="44">
        <f t="shared" si="2"/>
        <v>0</v>
      </c>
      <c r="J192" s="40">
        <v>323.32569432928352</v>
      </c>
      <c r="K192" s="41">
        <f>J192-$V$12*$V$13*SQRT(1+1/$V$9+(Tabelle62[[#This Row],[True Cooling Capacity '[kW']]]-$V$10)^2/$V$11)</f>
        <v>106.28344391493971</v>
      </c>
      <c r="L192" s="41">
        <f>J192+$V$12*$V$13*SQRT(1+1/$V$9+(Tabelle62[[#This Row],[True Cooling Capacity '[kW']]]-$V$10)^2/$V$11)</f>
        <v>540.36794474362728</v>
      </c>
      <c r="M192" s="41">
        <f>J192-$V$12*$V$13*SQRT(1/$V$9+(Tabelle62[[#This Row],[True Cooling Capacity '[kW']]]-$V$10)^2/$V$11)</f>
        <v>307.3130265017287</v>
      </c>
      <c r="N192" s="42">
        <f>J192+$V$12*$V$13*SQRT(1/$V$9+(Tabelle62[[#This Row],[True Cooling Capacity '[kW']]]-$V$10)^2/$V$11)</f>
        <v>339.33836215683834</v>
      </c>
      <c r="O192" s="40">
        <v>6.3889611466507032</v>
      </c>
      <c r="P192" s="41">
        <f>O192-$V$30*$V$31*SQRT(1+1/$V$27+(Tabelle62[[#This Row],[Vents]]-$V$28)^2/$V$29)</f>
        <v>2.736682954686529</v>
      </c>
      <c r="Q192" s="41">
        <f>O192+$V$30*$V$31*SQRT(1+1/$V$27+(Tabelle62[[#This Row],[Vents]]-$V$28)^2/$V$29)</f>
        <v>10.041239338614877</v>
      </c>
      <c r="R192" s="41">
        <f>O192-$V$30*$V$31*SQRT(1/$V$27+(Tabelle62[[#This Row],[Vents]]-$V$28)^2/$V$29)</f>
        <v>5.9622907820855584</v>
      </c>
      <c r="S192" s="41">
        <f>O192+$V$30*$V$31*SQRT(1/$V$27+(Tabelle62[[#This Row],[Vents]]-$V$28)^2/$V$29)</f>
        <v>6.8156315112158481</v>
      </c>
    </row>
    <row r="193" spans="1:19" x14ac:dyDescent="0.3">
      <c r="A193" s="10" t="s">
        <v>184</v>
      </c>
      <c r="B193" s="10">
        <v>4</v>
      </c>
      <c r="C193" s="28">
        <f>(62.123*Tabelle62[[#This Row],[Vents]])-67.781</f>
        <v>180.71099999999998</v>
      </c>
      <c r="D193" s="7" t="s">
        <v>184</v>
      </c>
      <c r="E193" s="13">
        <v>4</v>
      </c>
      <c r="F193" s="12">
        <v>0</v>
      </c>
      <c r="G193" s="11">
        <v>0</v>
      </c>
      <c r="H193" s="25">
        <f>(62.123*Tabelle93[[#This Row],[Vents]])-67.781</f>
        <v>180.71099999999998</v>
      </c>
      <c r="I193" s="44">
        <f t="shared" si="2"/>
        <v>0</v>
      </c>
      <c r="J193" s="40">
        <v>205.42431375761456</v>
      </c>
      <c r="K193" s="41">
        <f>J193-$V$12*$V$13*SQRT(1+1/$V$9+(Tabelle62[[#This Row],[True Cooling Capacity '[kW']]]-$V$10)^2/$V$11)</f>
        <v>-11.877317091750399</v>
      </c>
      <c r="L193" s="41">
        <f>J193+$V$12*$V$13*SQRT(1+1/$V$9+(Tabelle62[[#This Row],[True Cooling Capacity '[kW']]]-$V$10)^2/$V$11)</f>
        <v>422.72594460697951</v>
      </c>
      <c r="M193" s="41">
        <f>J193-$V$12*$V$13*SQRT(1/$V$9+(Tabelle62[[#This Row],[True Cooling Capacity '[kW']]]-$V$10)^2/$V$11)</f>
        <v>186.21322748362732</v>
      </c>
      <c r="N193" s="42">
        <f>J193+$V$12*$V$13*SQRT(1/$V$9+(Tabelle62[[#This Row],[True Cooling Capacity '[kW']]]-$V$10)^2/$V$11)</f>
        <v>224.63540003160179</v>
      </c>
      <c r="O193" s="40">
        <v>4.5324776891883545</v>
      </c>
      <c r="P193" s="41">
        <f>O193-$V$30*$V$31*SQRT(1+1/$V$27+(Tabelle62[[#This Row],[Vents]]-$V$28)^2/$V$29)</f>
        <v>0.88004521280589465</v>
      </c>
      <c r="Q193" s="41">
        <f>O193+$V$30*$V$31*SQRT(1+1/$V$27+(Tabelle62[[#This Row],[Vents]]-$V$28)^2/$V$29)</f>
        <v>8.1849101655708143</v>
      </c>
      <c r="R193" s="41">
        <f>O193-$V$30*$V$31*SQRT(1/$V$27+(Tabelle62[[#This Row],[Vents]]-$V$28)^2/$V$29)</f>
        <v>4.1044886670927294</v>
      </c>
      <c r="S193" s="41">
        <f>O193+$V$30*$V$31*SQRT(1/$V$27+(Tabelle62[[#This Row],[Vents]]-$V$28)^2/$V$29)</f>
        <v>4.9604667112839795</v>
      </c>
    </row>
    <row r="194" spans="1:19" x14ac:dyDescent="0.3">
      <c r="A194" s="10" t="s">
        <v>186</v>
      </c>
      <c r="B194" s="10">
        <v>16</v>
      </c>
      <c r="C194" s="28">
        <f>(62.123*Tabelle62[[#This Row],[Vents]])-67.781</f>
        <v>926.1869999999999</v>
      </c>
      <c r="D194" s="7" t="s">
        <v>186</v>
      </c>
      <c r="E194" s="13">
        <v>8</v>
      </c>
      <c r="F194" s="12">
        <v>-8</v>
      </c>
      <c r="G194" s="11">
        <v>64</v>
      </c>
      <c r="H194" s="25">
        <f>(62.123*Tabelle93[[#This Row],[Vents]])-67.781</f>
        <v>429.20299999999997</v>
      </c>
      <c r="I194" s="44">
        <f t="shared" si="2"/>
        <v>246993.09625599993</v>
      </c>
      <c r="J194" s="40">
        <v>912.83259718762827</v>
      </c>
      <c r="K194" s="41">
        <f>J194-$V$12*$V$13*SQRT(1+1/$V$9+(Tabelle62[[#This Row],[True Cooling Capacity '[kW']]]-$V$10)^2/$V$11)</f>
        <v>694.62439338373929</v>
      </c>
      <c r="L194" s="41">
        <f>J194+$V$12*$V$13*SQRT(1+1/$V$9+(Tabelle62[[#This Row],[True Cooling Capacity '[kW']]]-$V$10)^2/$V$11)</f>
        <v>1131.0408009915172</v>
      </c>
      <c r="M194" s="41">
        <f>J194-$V$12*$V$13*SQRT(1/$V$9+(Tabelle62[[#This Row],[True Cooling Capacity '[kW']]]-$V$10)^2/$V$11)</f>
        <v>885.1940864941688</v>
      </c>
      <c r="N194" s="42">
        <f>J194+$V$12*$V$13*SQRT(1/$V$9+(Tabelle62[[#This Row],[True Cooling Capacity '[kW']]]-$V$10)^2/$V$11)</f>
        <v>940.47110788108773</v>
      </c>
      <c r="O194" s="40">
        <v>15.671378433962445</v>
      </c>
      <c r="P194" s="41">
        <f>O194-$V$30*$V$31*SQRT(1+1/$V$27+(Tabelle62[[#This Row],[Vents]]-$V$28)^2/$V$29)</f>
        <v>12.019861092581804</v>
      </c>
      <c r="Q194" s="41">
        <f>O194+$V$30*$V$31*SQRT(1+1/$V$27+(Tabelle62[[#This Row],[Vents]]-$V$28)^2/$V$29)</f>
        <v>19.322895775343085</v>
      </c>
      <c r="R194" s="41">
        <f>O194-$V$30*$V$31*SQRT(1/$V$27+(Tabelle62[[#This Row],[Vents]]-$V$28)^2/$V$29)</f>
        <v>15.251270706225133</v>
      </c>
      <c r="S194" s="41">
        <f>O194+$V$30*$V$31*SQRT(1/$V$27+(Tabelle62[[#This Row],[Vents]]-$V$28)^2/$V$29)</f>
        <v>16.091486161699756</v>
      </c>
    </row>
    <row r="195" spans="1:19" x14ac:dyDescent="0.3">
      <c r="A195" s="10" t="s">
        <v>188</v>
      </c>
      <c r="B195" s="10">
        <v>22</v>
      </c>
      <c r="C195" s="28">
        <f>(62.123*Tabelle62[[#This Row],[Vents]])-67.781</f>
        <v>1298.925</v>
      </c>
      <c r="D195" s="7" t="s">
        <v>188</v>
      </c>
      <c r="E195" s="13">
        <v>22</v>
      </c>
      <c r="F195" s="12">
        <v>0</v>
      </c>
      <c r="G195" s="11">
        <v>0</v>
      </c>
      <c r="H195" s="25">
        <f>(62.123*Tabelle93[[#This Row],[Vents]])-67.781</f>
        <v>1298.925</v>
      </c>
      <c r="I195" s="44">
        <f t="shared" si="2"/>
        <v>0</v>
      </c>
      <c r="J195" s="40">
        <v>1266.5367389026353</v>
      </c>
      <c r="K195" s="41">
        <f>J195-$V$12*$V$13*SQRT(1+1/$V$9+(Tabelle62[[#This Row],[True Cooling Capacity '[kW']]]-$V$10)^2/$V$11)</f>
        <v>1045.6839918829094</v>
      </c>
      <c r="L195" s="41">
        <f>J195+$V$12*$V$13*SQRT(1+1/$V$9+(Tabelle62[[#This Row],[True Cooling Capacity '[kW']]]-$V$10)^2/$V$11)</f>
        <v>1487.3894859223612</v>
      </c>
      <c r="M195" s="41">
        <f>J195-$V$12*$V$13*SQRT(1/$V$9+(Tabelle62[[#This Row],[True Cooling Capacity '[kW']]]-$V$10)^2/$V$11)</f>
        <v>1222.6618835502588</v>
      </c>
      <c r="N195" s="42">
        <f>J195+$V$12*$V$13*SQRT(1/$V$9+(Tabelle62[[#This Row],[True Cooling Capacity '[kW']]]-$V$10)^2/$V$11)</f>
        <v>1310.4115942550118</v>
      </c>
      <c r="O195" s="40">
        <v>21.240828806349494</v>
      </c>
      <c r="P195" s="41">
        <f>O195-$V$30*$V$31*SQRT(1+1/$V$27+(Tabelle62[[#This Row],[Vents]]-$V$28)^2/$V$29)</f>
        <v>17.589759514947666</v>
      </c>
      <c r="Q195" s="41">
        <f>O195+$V$30*$V$31*SQRT(1+1/$V$27+(Tabelle62[[#This Row],[Vents]]-$V$28)^2/$V$29)</f>
        <v>24.891898097751323</v>
      </c>
      <c r="R195" s="41">
        <f>O195-$V$30*$V$31*SQRT(1/$V$27+(Tabelle62[[#This Row],[Vents]]-$V$28)^2/$V$29)</f>
        <v>20.824633444627977</v>
      </c>
      <c r="S195" s="41">
        <f>O195+$V$30*$V$31*SQRT(1/$V$27+(Tabelle62[[#This Row],[Vents]]-$V$28)^2/$V$29)</f>
        <v>21.657024168071011</v>
      </c>
    </row>
    <row r="196" spans="1:19" x14ac:dyDescent="0.3">
      <c r="A196" s="10" t="s">
        <v>189</v>
      </c>
      <c r="B196" s="10">
        <v>4</v>
      </c>
      <c r="C196" s="28">
        <f>(62.123*Tabelle62[[#This Row],[Vents]])-67.781</f>
        <v>180.71099999999998</v>
      </c>
      <c r="D196" s="7" t="s">
        <v>189</v>
      </c>
      <c r="E196" s="13">
        <v>4</v>
      </c>
      <c r="F196" s="12">
        <v>0</v>
      </c>
      <c r="G196" s="11">
        <v>0</v>
      </c>
      <c r="H196" s="25">
        <f>(62.123*Tabelle93[[#This Row],[Vents]])-67.781</f>
        <v>180.71099999999998</v>
      </c>
      <c r="I196" s="44">
        <f t="shared" ref="I196:I220" si="3">(H196-C196)^2</f>
        <v>0</v>
      </c>
      <c r="J196" s="40">
        <v>205.42431375761456</v>
      </c>
      <c r="K196" s="41">
        <f>J196-$V$12*$V$13*SQRT(1+1/$V$9+(Tabelle62[[#This Row],[True Cooling Capacity '[kW']]]-$V$10)^2/$V$11)</f>
        <v>-11.877317091750399</v>
      </c>
      <c r="L196" s="41">
        <f>J196+$V$12*$V$13*SQRT(1+1/$V$9+(Tabelle62[[#This Row],[True Cooling Capacity '[kW']]]-$V$10)^2/$V$11)</f>
        <v>422.72594460697951</v>
      </c>
      <c r="M196" s="41">
        <f>J196-$V$12*$V$13*SQRT(1/$V$9+(Tabelle62[[#This Row],[True Cooling Capacity '[kW']]]-$V$10)^2/$V$11)</f>
        <v>186.21322748362732</v>
      </c>
      <c r="N196" s="42">
        <f>J196+$V$12*$V$13*SQRT(1/$V$9+(Tabelle62[[#This Row],[True Cooling Capacity '[kW']]]-$V$10)^2/$V$11)</f>
        <v>224.63540003160179</v>
      </c>
      <c r="O196" s="40">
        <v>4.5324776891883545</v>
      </c>
      <c r="P196" s="41">
        <f>O196-$V$30*$V$31*SQRT(1+1/$V$27+(Tabelle62[[#This Row],[Vents]]-$V$28)^2/$V$29)</f>
        <v>0.88004521280589465</v>
      </c>
      <c r="Q196" s="41">
        <f>O196+$V$30*$V$31*SQRT(1+1/$V$27+(Tabelle62[[#This Row],[Vents]]-$V$28)^2/$V$29)</f>
        <v>8.1849101655708143</v>
      </c>
      <c r="R196" s="41">
        <f>O196-$V$30*$V$31*SQRT(1/$V$27+(Tabelle62[[#This Row],[Vents]]-$V$28)^2/$V$29)</f>
        <v>4.1044886670927294</v>
      </c>
      <c r="S196" s="41">
        <f>O196+$V$30*$V$31*SQRT(1/$V$27+(Tabelle62[[#This Row],[Vents]]-$V$28)^2/$V$29)</f>
        <v>4.9604667112839795</v>
      </c>
    </row>
    <row r="197" spans="1:19" x14ac:dyDescent="0.3">
      <c r="A197" s="10" t="s">
        <v>185</v>
      </c>
      <c r="B197" s="10">
        <v>19</v>
      </c>
      <c r="C197" s="28">
        <f>(62.123*Tabelle62[[#This Row],[Vents]])-67.781</f>
        <v>1112.556</v>
      </c>
      <c r="D197" s="7" t="s">
        <v>185</v>
      </c>
      <c r="E197" s="13">
        <v>21</v>
      </c>
      <c r="F197" s="12">
        <v>2</v>
      </c>
      <c r="G197" s="11">
        <v>4</v>
      </c>
      <c r="H197" s="25">
        <f>(62.123*Tabelle93[[#This Row],[Vents]])-67.781</f>
        <v>1236.8019999999999</v>
      </c>
      <c r="I197" s="44">
        <f t="shared" si="3"/>
        <v>15437.068515999967</v>
      </c>
      <c r="J197" s="40">
        <v>1089.684668045132</v>
      </c>
      <c r="K197" s="41">
        <f>J197-$V$12*$V$13*SQRT(1+1/$V$9+(Tabelle62[[#This Row],[True Cooling Capacity '[kW']]]-$V$10)^2/$V$11)</f>
        <v>870.33319371287917</v>
      </c>
      <c r="L197" s="41">
        <f>J197+$V$12*$V$13*SQRT(1+1/$V$9+(Tabelle62[[#This Row],[True Cooling Capacity '[kW']]]-$V$10)^2/$V$11)</f>
        <v>1309.0361423773847</v>
      </c>
      <c r="M197" s="41">
        <f>J197-$V$12*$V$13*SQRT(1/$V$9+(Tabelle62[[#This Row],[True Cooling Capacity '[kW']]]-$V$10)^2/$V$11)</f>
        <v>1054.129972746679</v>
      </c>
      <c r="N197" s="42">
        <f>J197+$V$12*$V$13*SQRT(1/$V$9+(Tabelle62[[#This Row],[True Cooling Capacity '[kW']]]-$V$10)^2/$V$11)</f>
        <v>1125.239363343585</v>
      </c>
      <c r="O197" s="40">
        <v>18.456103620155972</v>
      </c>
      <c r="P197" s="41">
        <f>O197-$V$30*$V$31*SQRT(1+1/$V$27+(Tabelle62[[#This Row],[Vents]]-$V$28)^2/$V$29)</f>
        <v>14.804811097137042</v>
      </c>
      <c r="Q197" s="41">
        <f>O197+$V$30*$V$31*SQRT(1+1/$V$27+(Tabelle62[[#This Row],[Vents]]-$V$28)^2/$V$29)</f>
        <v>22.107396143174899</v>
      </c>
      <c r="R197" s="41">
        <f>O197-$V$30*$V$31*SQRT(1/$V$27+(Tabelle62[[#This Row],[Vents]]-$V$28)^2/$V$29)</f>
        <v>18.037954487483201</v>
      </c>
      <c r="S197" s="41">
        <f>O197+$V$30*$V$31*SQRT(1/$V$27+(Tabelle62[[#This Row],[Vents]]-$V$28)^2/$V$29)</f>
        <v>18.874252752828742</v>
      </c>
    </row>
    <row r="198" spans="1:19" x14ac:dyDescent="0.3">
      <c r="A198" s="10" t="s">
        <v>187</v>
      </c>
      <c r="B198" s="10">
        <v>6</v>
      </c>
      <c r="C198" s="28">
        <f>(62.123*Tabelle62[[#This Row],[Vents]])-67.781</f>
        <v>304.95699999999999</v>
      </c>
      <c r="D198" s="7" t="s">
        <v>187</v>
      </c>
      <c r="E198" s="13">
        <v>6</v>
      </c>
      <c r="F198" s="12">
        <v>0</v>
      </c>
      <c r="G198" s="11">
        <v>0</v>
      </c>
      <c r="H198" s="25">
        <f>(62.123*Tabelle93[[#This Row],[Vents]])-67.781</f>
        <v>304.95699999999999</v>
      </c>
      <c r="I198" s="44">
        <f t="shared" si="3"/>
        <v>0</v>
      </c>
      <c r="J198" s="40">
        <v>323.32569432928352</v>
      </c>
      <c r="K198" s="41">
        <f>J198-$V$12*$V$13*SQRT(1+1/$V$9+(Tabelle62[[#This Row],[True Cooling Capacity '[kW']]]-$V$10)^2/$V$11)</f>
        <v>106.28344391493971</v>
      </c>
      <c r="L198" s="41">
        <f>J198+$V$12*$V$13*SQRT(1+1/$V$9+(Tabelle62[[#This Row],[True Cooling Capacity '[kW']]]-$V$10)^2/$V$11)</f>
        <v>540.36794474362728</v>
      </c>
      <c r="M198" s="41">
        <f>J198-$V$12*$V$13*SQRT(1/$V$9+(Tabelle62[[#This Row],[True Cooling Capacity '[kW']]]-$V$10)^2/$V$11)</f>
        <v>307.3130265017287</v>
      </c>
      <c r="N198" s="42">
        <f>J198+$V$12*$V$13*SQRT(1/$V$9+(Tabelle62[[#This Row],[True Cooling Capacity '[kW']]]-$V$10)^2/$V$11)</f>
        <v>339.33836215683834</v>
      </c>
      <c r="O198" s="40">
        <v>6.3889611466507032</v>
      </c>
      <c r="P198" s="41">
        <f>O198-$V$30*$V$31*SQRT(1+1/$V$27+(Tabelle62[[#This Row],[Vents]]-$V$28)^2/$V$29)</f>
        <v>2.736682954686529</v>
      </c>
      <c r="Q198" s="41">
        <f>O198+$V$30*$V$31*SQRT(1+1/$V$27+(Tabelle62[[#This Row],[Vents]]-$V$28)^2/$V$29)</f>
        <v>10.041239338614877</v>
      </c>
      <c r="R198" s="41">
        <f>O198-$V$30*$V$31*SQRT(1/$V$27+(Tabelle62[[#This Row],[Vents]]-$V$28)^2/$V$29)</f>
        <v>5.9622907820855584</v>
      </c>
      <c r="S198" s="41">
        <f>O198+$V$30*$V$31*SQRT(1/$V$27+(Tabelle62[[#This Row],[Vents]]-$V$28)^2/$V$29)</f>
        <v>6.8156315112158481</v>
      </c>
    </row>
    <row r="199" spans="1:19" x14ac:dyDescent="0.3">
      <c r="A199" s="10" t="s">
        <v>191</v>
      </c>
      <c r="B199" s="10">
        <v>3</v>
      </c>
      <c r="C199" s="28">
        <f>(62.123*Tabelle62[[#This Row],[Vents]])-67.781</f>
        <v>118.58799999999999</v>
      </c>
      <c r="D199" s="7" t="s">
        <v>191</v>
      </c>
      <c r="E199" s="13">
        <v>3</v>
      </c>
      <c r="F199" s="12">
        <v>0</v>
      </c>
      <c r="G199" s="11">
        <v>0</v>
      </c>
      <c r="H199" s="25">
        <f>(62.123*Tabelle93[[#This Row],[Vents]])-67.781</f>
        <v>118.58799999999999</v>
      </c>
      <c r="I199" s="44">
        <f t="shared" si="3"/>
        <v>0</v>
      </c>
      <c r="J199" s="40">
        <v>146.47362347178009</v>
      </c>
      <c r="K199" s="41">
        <f>J199-$V$12*$V$13*SQRT(1+1/$V$9+(Tabelle62[[#This Row],[True Cooling Capacity '[kW']]]-$V$10)^2/$V$11)</f>
        <v>-71.019131588929866</v>
      </c>
      <c r="L199" s="41">
        <f>J199+$V$12*$V$13*SQRT(1+1/$V$9+(Tabelle62[[#This Row],[True Cooling Capacity '[kW']]]-$V$10)^2/$V$11)</f>
        <v>363.96637853249001</v>
      </c>
      <c r="M199" s="41">
        <f>J199-$V$12*$V$13*SQRT(1/$V$9+(Tabelle62[[#This Row],[True Cooling Capacity '[kW']]]-$V$10)^2/$V$11)</f>
        <v>125.20943832560391</v>
      </c>
      <c r="N199" s="42">
        <f>J199+$V$12*$V$13*SQRT(1/$V$9+(Tabelle62[[#This Row],[True Cooling Capacity '[kW']]]-$V$10)^2/$V$11)</f>
        <v>167.73780861795626</v>
      </c>
      <c r="O199" s="40">
        <v>3.6042359604571805</v>
      </c>
      <c r="P199" s="41">
        <f>O199-$V$30*$V$31*SQRT(1+1/$V$27+(Tabelle62[[#This Row],[Vents]]-$V$28)^2/$V$29)</f>
        <v>-4.8273922349928888E-2</v>
      </c>
      <c r="Q199" s="41">
        <f>O199+$V$30*$V$31*SQRT(1+1/$V$27+(Tabelle62[[#This Row],[Vents]]-$V$28)^2/$V$29)</f>
        <v>7.25674584326429</v>
      </c>
      <c r="R199" s="41">
        <f>O199-$V$30*$V$31*SQRT(1/$V$27+(Tabelle62[[#This Row],[Vents]]-$V$28)^2/$V$29)</f>
        <v>3.1755868586213487</v>
      </c>
      <c r="S199" s="41">
        <f>O199+$V$30*$V$31*SQRT(1/$V$27+(Tabelle62[[#This Row],[Vents]]-$V$28)^2/$V$29)</f>
        <v>4.0328850622930128</v>
      </c>
    </row>
    <row r="200" spans="1:19" x14ac:dyDescent="0.3">
      <c r="A200" s="10" t="s">
        <v>190</v>
      </c>
      <c r="B200" s="10">
        <v>2</v>
      </c>
      <c r="C200" s="28">
        <f>(62.123*Tabelle62[[#This Row],[Vents]])-67.781</f>
        <v>56.464999999999989</v>
      </c>
      <c r="D200" s="7" t="s">
        <v>190</v>
      </c>
      <c r="E200" s="13">
        <v>2</v>
      </c>
      <c r="F200" s="12">
        <v>0</v>
      </c>
      <c r="G200" s="11">
        <v>0</v>
      </c>
      <c r="H200" s="25">
        <f>(62.123*Tabelle93[[#This Row],[Vents]])-67.781</f>
        <v>56.464999999999989</v>
      </c>
      <c r="I200" s="44">
        <f t="shared" si="3"/>
        <v>0</v>
      </c>
      <c r="J200" s="40">
        <v>87.522933185945604</v>
      </c>
      <c r="K200" s="41">
        <f>J200-$V$12*$V$13*SQRT(1+1/$V$9+(Tabelle62[[#This Row],[True Cooling Capacity '[kW']]]-$V$10)^2/$V$11)</f>
        <v>-130.20176597742778</v>
      </c>
      <c r="L200" s="41">
        <f>J200+$V$12*$V$13*SQRT(1+1/$V$9+(Tabelle62[[#This Row],[True Cooling Capacity '[kW']]]-$V$10)^2/$V$11)</f>
        <v>305.24763234931896</v>
      </c>
      <c r="M200" s="41">
        <f>J200-$V$12*$V$13*SQRT(1/$V$9+(Tabelle62[[#This Row],[True Cooling Capacity '[kW']]]-$V$10)^2/$V$11)</f>
        <v>64.004606463699091</v>
      </c>
      <c r="N200" s="42">
        <f>J200+$V$12*$V$13*SQRT(1/$V$9+(Tabelle62[[#This Row],[True Cooling Capacity '[kW']]]-$V$10)^2/$V$11)</f>
        <v>111.04125990819212</v>
      </c>
      <c r="O200" s="40">
        <v>2.6759942317260066</v>
      </c>
      <c r="P200" s="41">
        <f>O200-$V$30*$V$31*SQRT(1+1/$V$27+(Tabelle62[[#This Row],[Vents]]-$V$28)^2/$V$29)</f>
        <v>-0.97659323363450046</v>
      </c>
      <c r="Q200" s="41">
        <f>O200+$V$30*$V$31*SQRT(1+1/$V$27+(Tabelle62[[#This Row],[Vents]]-$V$28)^2/$V$29)</f>
        <v>6.3285816970865136</v>
      </c>
      <c r="R200" s="41">
        <f>O200-$V$30*$V$31*SQRT(1/$V$27+(Tabelle62[[#This Row],[Vents]]-$V$28)^2/$V$29)</f>
        <v>2.2466845525784782</v>
      </c>
      <c r="S200" s="41">
        <f>O200+$V$30*$V$31*SQRT(1/$V$27+(Tabelle62[[#This Row],[Vents]]-$V$28)^2/$V$29)</f>
        <v>3.105303910873535</v>
      </c>
    </row>
    <row r="201" spans="1:19" x14ac:dyDescent="0.3">
      <c r="A201" s="10" t="s">
        <v>192</v>
      </c>
      <c r="B201" s="10">
        <v>6</v>
      </c>
      <c r="C201" s="28">
        <f>(62.123*Tabelle62[[#This Row],[Vents]])-67.781</f>
        <v>304.95699999999999</v>
      </c>
      <c r="D201" s="7" t="s">
        <v>192</v>
      </c>
      <c r="E201" s="13">
        <v>7</v>
      </c>
      <c r="F201" s="12">
        <v>1</v>
      </c>
      <c r="G201" s="11">
        <v>1</v>
      </c>
      <c r="H201" s="25">
        <f>(62.123*Tabelle93[[#This Row],[Vents]])-67.781</f>
        <v>367.08</v>
      </c>
      <c r="I201" s="44">
        <f t="shared" si="3"/>
        <v>3859.2671289999989</v>
      </c>
      <c r="J201" s="40">
        <v>323.32569432928352</v>
      </c>
      <c r="K201" s="41">
        <f>J201-$V$12*$V$13*SQRT(1+1/$V$9+(Tabelle62[[#This Row],[True Cooling Capacity '[kW']]]-$V$10)^2/$V$11)</f>
        <v>106.28344391493971</v>
      </c>
      <c r="L201" s="41">
        <f>J201+$V$12*$V$13*SQRT(1+1/$V$9+(Tabelle62[[#This Row],[True Cooling Capacity '[kW']]]-$V$10)^2/$V$11)</f>
        <v>540.36794474362728</v>
      </c>
      <c r="M201" s="41">
        <f>J201-$V$12*$V$13*SQRT(1/$V$9+(Tabelle62[[#This Row],[True Cooling Capacity '[kW']]]-$V$10)^2/$V$11)</f>
        <v>307.3130265017287</v>
      </c>
      <c r="N201" s="42">
        <f>J201+$V$12*$V$13*SQRT(1/$V$9+(Tabelle62[[#This Row],[True Cooling Capacity '[kW']]]-$V$10)^2/$V$11)</f>
        <v>339.33836215683834</v>
      </c>
      <c r="O201" s="40">
        <v>6.3889611466507032</v>
      </c>
      <c r="P201" s="41">
        <f>O201-$V$30*$V$31*SQRT(1+1/$V$27+(Tabelle62[[#This Row],[Vents]]-$V$28)^2/$V$29)</f>
        <v>2.736682954686529</v>
      </c>
      <c r="Q201" s="41">
        <f>O201+$V$30*$V$31*SQRT(1+1/$V$27+(Tabelle62[[#This Row],[Vents]]-$V$28)^2/$V$29)</f>
        <v>10.041239338614877</v>
      </c>
      <c r="R201" s="41">
        <f>O201-$V$30*$V$31*SQRT(1/$V$27+(Tabelle62[[#This Row],[Vents]]-$V$28)^2/$V$29)</f>
        <v>5.9622907820855584</v>
      </c>
      <c r="S201" s="41">
        <f>O201+$V$30*$V$31*SQRT(1/$V$27+(Tabelle62[[#This Row],[Vents]]-$V$28)^2/$V$29)</f>
        <v>6.8156315112158481</v>
      </c>
    </row>
    <row r="202" spans="1:19" x14ac:dyDescent="0.3">
      <c r="A202" s="10" t="s">
        <v>194</v>
      </c>
      <c r="B202" s="10">
        <v>6</v>
      </c>
      <c r="C202" s="28">
        <f>(62.123*Tabelle62[[#This Row],[Vents]])-67.781</f>
        <v>304.95699999999999</v>
      </c>
      <c r="D202" s="7" t="s">
        <v>194</v>
      </c>
      <c r="E202" s="13">
        <v>6</v>
      </c>
      <c r="F202" s="12">
        <v>0</v>
      </c>
      <c r="G202" s="11">
        <v>0</v>
      </c>
      <c r="H202" s="25">
        <f>(62.123*Tabelle93[[#This Row],[Vents]])-67.781</f>
        <v>304.95699999999999</v>
      </c>
      <c r="I202" s="44">
        <f t="shared" si="3"/>
        <v>0</v>
      </c>
      <c r="J202" s="40">
        <v>323.32569432928352</v>
      </c>
      <c r="K202" s="41">
        <f>J202-$V$12*$V$13*SQRT(1+1/$V$9+(Tabelle62[[#This Row],[True Cooling Capacity '[kW']]]-$V$10)^2/$V$11)</f>
        <v>106.28344391493971</v>
      </c>
      <c r="L202" s="41">
        <f>J202+$V$12*$V$13*SQRT(1+1/$V$9+(Tabelle62[[#This Row],[True Cooling Capacity '[kW']]]-$V$10)^2/$V$11)</f>
        <v>540.36794474362728</v>
      </c>
      <c r="M202" s="41">
        <f>J202-$V$12*$V$13*SQRT(1/$V$9+(Tabelle62[[#This Row],[True Cooling Capacity '[kW']]]-$V$10)^2/$V$11)</f>
        <v>307.3130265017287</v>
      </c>
      <c r="N202" s="42">
        <f>J202+$V$12*$V$13*SQRT(1/$V$9+(Tabelle62[[#This Row],[True Cooling Capacity '[kW']]]-$V$10)^2/$V$11)</f>
        <v>339.33836215683834</v>
      </c>
      <c r="O202" s="40">
        <v>6.3889611466507032</v>
      </c>
      <c r="P202" s="41">
        <f>O202-$V$30*$V$31*SQRT(1+1/$V$27+(Tabelle62[[#This Row],[Vents]]-$V$28)^2/$V$29)</f>
        <v>2.736682954686529</v>
      </c>
      <c r="Q202" s="41">
        <f>O202+$V$30*$V$31*SQRT(1+1/$V$27+(Tabelle62[[#This Row],[Vents]]-$V$28)^2/$V$29)</f>
        <v>10.041239338614877</v>
      </c>
      <c r="R202" s="41">
        <f>O202-$V$30*$V$31*SQRT(1/$V$27+(Tabelle62[[#This Row],[Vents]]-$V$28)^2/$V$29)</f>
        <v>5.9622907820855584</v>
      </c>
      <c r="S202" s="41">
        <f>O202+$V$30*$V$31*SQRT(1/$V$27+(Tabelle62[[#This Row],[Vents]]-$V$28)^2/$V$29)</f>
        <v>6.8156315112158481</v>
      </c>
    </row>
    <row r="203" spans="1:19" x14ac:dyDescent="0.3">
      <c r="A203" s="10" t="s">
        <v>196</v>
      </c>
      <c r="B203" s="10">
        <v>6</v>
      </c>
      <c r="C203" s="28">
        <f>(62.123*Tabelle62[[#This Row],[Vents]])-67.781</f>
        <v>304.95699999999999</v>
      </c>
      <c r="D203" s="7" t="s">
        <v>196</v>
      </c>
      <c r="E203" s="13">
        <v>6</v>
      </c>
      <c r="F203" s="12">
        <v>0</v>
      </c>
      <c r="G203" s="11">
        <v>0</v>
      </c>
      <c r="H203" s="25">
        <f>(62.123*Tabelle93[[#This Row],[Vents]])-67.781</f>
        <v>304.95699999999999</v>
      </c>
      <c r="I203" s="44">
        <f t="shared" si="3"/>
        <v>0</v>
      </c>
      <c r="J203" s="40">
        <v>323.32569432928352</v>
      </c>
      <c r="K203" s="41">
        <f>J203-$V$12*$V$13*SQRT(1+1/$V$9+(Tabelle62[[#This Row],[True Cooling Capacity '[kW']]]-$V$10)^2/$V$11)</f>
        <v>106.28344391493971</v>
      </c>
      <c r="L203" s="41">
        <f>J203+$V$12*$V$13*SQRT(1+1/$V$9+(Tabelle62[[#This Row],[True Cooling Capacity '[kW']]]-$V$10)^2/$V$11)</f>
        <v>540.36794474362728</v>
      </c>
      <c r="M203" s="41">
        <f>J203-$V$12*$V$13*SQRT(1/$V$9+(Tabelle62[[#This Row],[True Cooling Capacity '[kW']]]-$V$10)^2/$V$11)</f>
        <v>307.3130265017287</v>
      </c>
      <c r="N203" s="42">
        <f>J203+$V$12*$V$13*SQRT(1/$V$9+(Tabelle62[[#This Row],[True Cooling Capacity '[kW']]]-$V$10)^2/$V$11)</f>
        <v>339.33836215683834</v>
      </c>
      <c r="O203" s="40">
        <v>6.3889611466507032</v>
      </c>
      <c r="P203" s="41">
        <f>O203-$V$30*$V$31*SQRT(1+1/$V$27+(Tabelle62[[#This Row],[Vents]]-$V$28)^2/$V$29)</f>
        <v>2.736682954686529</v>
      </c>
      <c r="Q203" s="41">
        <f>O203+$V$30*$V$31*SQRT(1+1/$V$27+(Tabelle62[[#This Row],[Vents]]-$V$28)^2/$V$29)</f>
        <v>10.041239338614877</v>
      </c>
      <c r="R203" s="41">
        <f>O203-$V$30*$V$31*SQRT(1/$V$27+(Tabelle62[[#This Row],[Vents]]-$V$28)^2/$V$29)</f>
        <v>5.9622907820855584</v>
      </c>
      <c r="S203" s="41">
        <f>O203+$V$30*$V$31*SQRT(1/$V$27+(Tabelle62[[#This Row],[Vents]]-$V$28)^2/$V$29)</f>
        <v>6.8156315112158481</v>
      </c>
    </row>
    <row r="204" spans="1:19" x14ac:dyDescent="0.3">
      <c r="A204" s="10" t="s">
        <v>197</v>
      </c>
      <c r="B204" s="10">
        <v>6</v>
      </c>
      <c r="C204" s="28">
        <f>(62.123*Tabelle62[[#This Row],[Vents]])-67.781</f>
        <v>304.95699999999999</v>
      </c>
      <c r="D204" s="7" t="s">
        <v>197</v>
      </c>
      <c r="E204" s="13">
        <v>7</v>
      </c>
      <c r="F204" s="12">
        <v>1</v>
      </c>
      <c r="G204" s="11">
        <v>1</v>
      </c>
      <c r="H204" s="25">
        <f>(62.123*Tabelle93[[#This Row],[Vents]])-67.781</f>
        <v>367.08</v>
      </c>
      <c r="I204" s="44">
        <f t="shared" si="3"/>
        <v>3859.2671289999989</v>
      </c>
      <c r="J204" s="40">
        <v>323.32569432928352</v>
      </c>
      <c r="K204" s="41">
        <f>J204-$V$12*$V$13*SQRT(1+1/$V$9+(Tabelle62[[#This Row],[True Cooling Capacity '[kW']]]-$V$10)^2/$V$11)</f>
        <v>106.28344391493971</v>
      </c>
      <c r="L204" s="41">
        <f>J204+$V$12*$V$13*SQRT(1+1/$V$9+(Tabelle62[[#This Row],[True Cooling Capacity '[kW']]]-$V$10)^2/$V$11)</f>
        <v>540.36794474362728</v>
      </c>
      <c r="M204" s="41">
        <f>J204-$V$12*$V$13*SQRT(1/$V$9+(Tabelle62[[#This Row],[True Cooling Capacity '[kW']]]-$V$10)^2/$V$11)</f>
        <v>307.3130265017287</v>
      </c>
      <c r="N204" s="42">
        <f>J204+$V$12*$V$13*SQRT(1/$V$9+(Tabelle62[[#This Row],[True Cooling Capacity '[kW']]]-$V$10)^2/$V$11)</f>
        <v>339.33836215683834</v>
      </c>
      <c r="O204" s="40">
        <v>6.3889611466507032</v>
      </c>
      <c r="P204" s="41">
        <f>O204-$V$30*$V$31*SQRT(1+1/$V$27+(Tabelle62[[#This Row],[Vents]]-$V$28)^2/$V$29)</f>
        <v>2.736682954686529</v>
      </c>
      <c r="Q204" s="41">
        <f>O204+$V$30*$V$31*SQRT(1+1/$V$27+(Tabelle62[[#This Row],[Vents]]-$V$28)^2/$V$29)</f>
        <v>10.041239338614877</v>
      </c>
      <c r="R204" s="41">
        <f>O204-$V$30*$V$31*SQRT(1/$V$27+(Tabelle62[[#This Row],[Vents]]-$V$28)^2/$V$29)</f>
        <v>5.9622907820855584</v>
      </c>
      <c r="S204" s="41">
        <f>O204+$V$30*$V$31*SQRT(1/$V$27+(Tabelle62[[#This Row],[Vents]]-$V$28)^2/$V$29)</f>
        <v>6.8156315112158481</v>
      </c>
    </row>
    <row r="205" spans="1:19" x14ac:dyDescent="0.3">
      <c r="A205" s="10" t="s">
        <v>198</v>
      </c>
      <c r="B205" s="10">
        <v>6</v>
      </c>
      <c r="C205" s="28">
        <f>(62.123*Tabelle62[[#This Row],[Vents]])-67.781</f>
        <v>304.95699999999999</v>
      </c>
      <c r="D205" s="7" t="s">
        <v>198</v>
      </c>
      <c r="E205" s="13">
        <v>7</v>
      </c>
      <c r="F205" s="12">
        <v>1</v>
      </c>
      <c r="G205" s="11">
        <v>1</v>
      </c>
      <c r="H205" s="25">
        <f>(62.123*Tabelle93[[#This Row],[Vents]])-67.781</f>
        <v>367.08</v>
      </c>
      <c r="I205" s="44">
        <f t="shared" si="3"/>
        <v>3859.2671289999989</v>
      </c>
      <c r="J205" s="40">
        <v>323.32569432928352</v>
      </c>
      <c r="K205" s="41">
        <f>J205-$V$12*$V$13*SQRT(1+1/$V$9+(Tabelle62[[#This Row],[True Cooling Capacity '[kW']]]-$V$10)^2/$V$11)</f>
        <v>106.28344391493971</v>
      </c>
      <c r="L205" s="41">
        <f>J205+$V$12*$V$13*SQRT(1+1/$V$9+(Tabelle62[[#This Row],[True Cooling Capacity '[kW']]]-$V$10)^2/$V$11)</f>
        <v>540.36794474362728</v>
      </c>
      <c r="M205" s="41">
        <f>J205-$V$12*$V$13*SQRT(1/$V$9+(Tabelle62[[#This Row],[True Cooling Capacity '[kW']]]-$V$10)^2/$V$11)</f>
        <v>307.3130265017287</v>
      </c>
      <c r="N205" s="42">
        <f>J205+$V$12*$V$13*SQRT(1/$V$9+(Tabelle62[[#This Row],[True Cooling Capacity '[kW']]]-$V$10)^2/$V$11)</f>
        <v>339.33836215683834</v>
      </c>
      <c r="O205" s="40">
        <v>6.3889611466507032</v>
      </c>
      <c r="P205" s="41">
        <f>O205-$V$30*$V$31*SQRT(1+1/$V$27+(Tabelle62[[#This Row],[Vents]]-$V$28)^2/$V$29)</f>
        <v>2.736682954686529</v>
      </c>
      <c r="Q205" s="41">
        <f>O205+$V$30*$V$31*SQRT(1+1/$V$27+(Tabelle62[[#This Row],[Vents]]-$V$28)^2/$V$29)</f>
        <v>10.041239338614877</v>
      </c>
      <c r="R205" s="41">
        <f>O205-$V$30*$V$31*SQRT(1/$V$27+(Tabelle62[[#This Row],[Vents]]-$V$28)^2/$V$29)</f>
        <v>5.9622907820855584</v>
      </c>
      <c r="S205" s="41">
        <f>O205+$V$30*$V$31*SQRT(1/$V$27+(Tabelle62[[#This Row],[Vents]]-$V$28)^2/$V$29)</f>
        <v>6.8156315112158481</v>
      </c>
    </row>
    <row r="206" spans="1:19" x14ac:dyDescent="0.3">
      <c r="A206" s="10" t="s">
        <v>193</v>
      </c>
      <c r="B206" s="10">
        <v>6</v>
      </c>
      <c r="C206" s="28">
        <f>(62.123*Tabelle62[[#This Row],[Vents]])-67.781</f>
        <v>304.95699999999999</v>
      </c>
      <c r="D206" s="7" t="s">
        <v>193</v>
      </c>
      <c r="E206" s="13">
        <v>6</v>
      </c>
      <c r="F206" s="12">
        <v>0</v>
      </c>
      <c r="G206" s="11">
        <v>0</v>
      </c>
      <c r="H206" s="25">
        <f>(62.123*Tabelle93[[#This Row],[Vents]])-67.781</f>
        <v>304.95699999999999</v>
      </c>
      <c r="I206" s="44">
        <f t="shared" si="3"/>
        <v>0</v>
      </c>
      <c r="J206" s="40">
        <v>323.32569432928352</v>
      </c>
      <c r="K206" s="41">
        <f>J206-$V$12*$V$13*SQRT(1+1/$V$9+(Tabelle62[[#This Row],[True Cooling Capacity '[kW']]]-$V$10)^2/$V$11)</f>
        <v>106.28344391493971</v>
      </c>
      <c r="L206" s="41">
        <f>J206+$V$12*$V$13*SQRT(1+1/$V$9+(Tabelle62[[#This Row],[True Cooling Capacity '[kW']]]-$V$10)^2/$V$11)</f>
        <v>540.36794474362728</v>
      </c>
      <c r="M206" s="41">
        <f>J206-$V$12*$V$13*SQRT(1/$V$9+(Tabelle62[[#This Row],[True Cooling Capacity '[kW']]]-$V$10)^2/$V$11)</f>
        <v>307.3130265017287</v>
      </c>
      <c r="N206" s="42">
        <f>J206+$V$12*$V$13*SQRT(1/$V$9+(Tabelle62[[#This Row],[True Cooling Capacity '[kW']]]-$V$10)^2/$V$11)</f>
        <v>339.33836215683834</v>
      </c>
      <c r="O206" s="40">
        <v>6.3889611466507032</v>
      </c>
      <c r="P206" s="41">
        <f>O206-$V$30*$V$31*SQRT(1+1/$V$27+(Tabelle62[[#This Row],[Vents]]-$V$28)^2/$V$29)</f>
        <v>2.736682954686529</v>
      </c>
      <c r="Q206" s="41">
        <f>O206+$V$30*$V$31*SQRT(1+1/$V$27+(Tabelle62[[#This Row],[Vents]]-$V$28)^2/$V$29)</f>
        <v>10.041239338614877</v>
      </c>
      <c r="R206" s="41">
        <f>O206-$V$30*$V$31*SQRT(1/$V$27+(Tabelle62[[#This Row],[Vents]]-$V$28)^2/$V$29)</f>
        <v>5.9622907820855584</v>
      </c>
      <c r="S206" s="41">
        <f>O206+$V$30*$V$31*SQRT(1/$V$27+(Tabelle62[[#This Row],[Vents]]-$V$28)^2/$V$29)</f>
        <v>6.8156315112158481</v>
      </c>
    </row>
    <row r="207" spans="1:19" x14ac:dyDescent="0.3">
      <c r="A207" s="10" t="s">
        <v>195</v>
      </c>
      <c r="B207" s="10">
        <v>6</v>
      </c>
      <c r="C207" s="28">
        <f>(62.123*Tabelle62[[#This Row],[Vents]])-67.781</f>
        <v>304.95699999999999</v>
      </c>
      <c r="D207" s="7" t="s">
        <v>195</v>
      </c>
      <c r="E207" s="13">
        <v>6</v>
      </c>
      <c r="F207" s="12">
        <v>0</v>
      </c>
      <c r="G207" s="11">
        <v>0</v>
      </c>
      <c r="H207" s="25">
        <f>(62.123*Tabelle93[[#This Row],[Vents]])-67.781</f>
        <v>304.95699999999999</v>
      </c>
      <c r="I207" s="44">
        <f t="shared" si="3"/>
        <v>0</v>
      </c>
      <c r="J207" s="40">
        <v>323.32569432928352</v>
      </c>
      <c r="K207" s="41">
        <f>J207-$V$12*$V$13*SQRT(1+1/$V$9+(Tabelle62[[#This Row],[True Cooling Capacity '[kW']]]-$V$10)^2/$V$11)</f>
        <v>106.28344391493971</v>
      </c>
      <c r="L207" s="41">
        <f>J207+$V$12*$V$13*SQRT(1+1/$V$9+(Tabelle62[[#This Row],[True Cooling Capacity '[kW']]]-$V$10)^2/$V$11)</f>
        <v>540.36794474362728</v>
      </c>
      <c r="M207" s="41">
        <f>J207-$V$12*$V$13*SQRT(1/$V$9+(Tabelle62[[#This Row],[True Cooling Capacity '[kW']]]-$V$10)^2/$V$11)</f>
        <v>307.3130265017287</v>
      </c>
      <c r="N207" s="42">
        <f>J207+$V$12*$V$13*SQRT(1/$V$9+(Tabelle62[[#This Row],[True Cooling Capacity '[kW']]]-$V$10)^2/$V$11)</f>
        <v>339.33836215683834</v>
      </c>
      <c r="O207" s="40">
        <v>6.3889611466507032</v>
      </c>
      <c r="P207" s="41">
        <f>O207-$V$30*$V$31*SQRT(1+1/$V$27+(Tabelle62[[#This Row],[Vents]]-$V$28)^2/$V$29)</f>
        <v>2.736682954686529</v>
      </c>
      <c r="Q207" s="41">
        <f>O207+$V$30*$V$31*SQRT(1+1/$V$27+(Tabelle62[[#This Row],[Vents]]-$V$28)^2/$V$29)</f>
        <v>10.041239338614877</v>
      </c>
      <c r="R207" s="41">
        <f>O207-$V$30*$V$31*SQRT(1/$V$27+(Tabelle62[[#This Row],[Vents]]-$V$28)^2/$V$29)</f>
        <v>5.9622907820855584</v>
      </c>
      <c r="S207" s="41">
        <f>O207+$V$30*$V$31*SQRT(1/$V$27+(Tabelle62[[#This Row],[Vents]]-$V$28)^2/$V$29)</f>
        <v>6.8156315112158481</v>
      </c>
    </row>
    <row r="208" spans="1:19" x14ac:dyDescent="0.3">
      <c r="A208" s="10" t="s">
        <v>204</v>
      </c>
      <c r="B208" s="10">
        <v>6</v>
      </c>
      <c r="C208" s="28">
        <f>(62.123*Tabelle62[[#This Row],[Vents]])-67.781</f>
        <v>304.95699999999999</v>
      </c>
      <c r="D208" s="7" t="s">
        <v>204</v>
      </c>
      <c r="E208" s="13">
        <v>9</v>
      </c>
      <c r="F208" s="12">
        <v>3</v>
      </c>
      <c r="G208" s="11">
        <v>9</v>
      </c>
      <c r="H208" s="25">
        <f>(62.123*Tabelle93[[#This Row],[Vents]])-67.781</f>
        <v>491.32599999999996</v>
      </c>
      <c r="I208" s="44">
        <f t="shared" si="3"/>
        <v>34733.404160999991</v>
      </c>
      <c r="J208" s="40">
        <v>323.32569432928352</v>
      </c>
      <c r="K208" s="41">
        <f>J208-$V$12*$V$13*SQRT(1+1/$V$9+(Tabelle62[[#This Row],[True Cooling Capacity '[kW']]]-$V$10)^2/$V$11)</f>
        <v>106.28344391493971</v>
      </c>
      <c r="L208" s="41">
        <f>J208+$V$12*$V$13*SQRT(1+1/$V$9+(Tabelle62[[#This Row],[True Cooling Capacity '[kW']]]-$V$10)^2/$V$11)</f>
        <v>540.36794474362728</v>
      </c>
      <c r="M208" s="41">
        <f>J208-$V$12*$V$13*SQRT(1/$V$9+(Tabelle62[[#This Row],[True Cooling Capacity '[kW']]]-$V$10)^2/$V$11)</f>
        <v>307.3130265017287</v>
      </c>
      <c r="N208" s="42">
        <f>J208+$V$12*$V$13*SQRT(1/$V$9+(Tabelle62[[#This Row],[True Cooling Capacity '[kW']]]-$V$10)^2/$V$11)</f>
        <v>339.33836215683834</v>
      </c>
      <c r="O208" s="40">
        <v>6.3889611466507032</v>
      </c>
      <c r="P208" s="41">
        <f>O208-$V$30*$V$31*SQRT(1+1/$V$27+(Tabelle62[[#This Row],[Vents]]-$V$28)^2/$V$29)</f>
        <v>2.736682954686529</v>
      </c>
      <c r="Q208" s="41">
        <f>O208+$V$30*$V$31*SQRT(1+1/$V$27+(Tabelle62[[#This Row],[Vents]]-$V$28)^2/$V$29)</f>
        <v>10.041239338614877</v>
      </c>
      <c r="R208" s="41">
        <f>O208-$V$30*$V$31*SQRT(1/$V$27+(Tabelle62[[#This Row],[Vents]]-$V$28)^2/$V$29)</f>
        <v>5.9622907820855584</v>
      </c>
      <c r="S208" s="41">
        <f>O208+$V$30*$V$31*SQRT(1/$V$27+(Tabelle62[[#This Row],[Vents]]-$V$28)^2/$V$29)</f>
        <v>6.8156315112158481</v>
      </c>
    </row>
    <row r="209" spans="1:19" x14ac:dyDescent="0.3">
      <c r="A209" s="10" t="s">
        <v>199</v>
      </c>
      <c r="B209" s="10">
        <v>14</v>
      </c>
      <c r="C209" s="28">
        <f>(62.123*Tabelle62[[#This Row],[Vents]])-67.781</f>
        <v>801.94100000000003</v>
      </c>
      <c r="D209" s="7" t="s">
        <v>199</v>
      </c>
      <c r="E209" s="13">
        <v>14</v>
      </c>
      <c r="F209" s="12">
        <v>0</v>
      </c>
      <c r="G209" s="11">
        <v>0</v>
      </c>
      <c r="H209" s="25">
        <f>(62.123*Tabelle93[[#This Row],[Vents]])-67.781</f>
        <v>801.94100000000003</v>
      </c>
      <c r="I209" s="44">
        <f t="shared" si="3"/>
        <v>0</v>
      </c>
      <c r="J209" s="40">
        <v>794.93121661595944</v>
      </c>
      <c r="K209" s="41">
        <f>J209-$V$12*$V$13*SQRT(1+1/$V$9+(Tabelle62[[#This Row],[True Cooling Capacity '[kW']]]-$V$10)^2/$V$11)</f>
        <v>577.28344438613249</v>
      </c>
      <c r="L209" s="41">
        <f>J209+$V$12*$V$13*SQRT(1+1/$V$9+(Tabelle62[[#This Row],[True Cooling Capacity '[kW']]]-$V$10)^2/$V$11)</f>
        <v>1012.5789888457864</v>
      </c>
      <c r="M209" s="41">
        <f>J209-$V$12*$V$13*SQRT(1/$V$9+(Tabelle62[[#This Row],[True Cooling Capacity '[kW']]]-$V$10)^2/$V$11)</f>
        <v>772.13604557822566</v>
      </c>
      <c r="N209" s="42">
        <f>J209+$V$12*$V$13*SQRT(1/$V$9+(Tabelle62[[#This Row],[True Cooling Capacity '[kW']]]-$V$10)^2/$V$11)</f>
        <v>817.72638765369322</v>
      </c>
      <c r="O209" s="40">
        <v>13.814894976500099</v>
      </c>
      <c r="P209" s="41">
        <f>O209-$V$30*$V$31*SQRT(1+1/$V$27+(Tabelle62[[#This Row],[Vents]]-$V$28)^2/$V$29)</f>
        <v>10.163226874831505</v>
      </c>
      <c r="Q209" s="41">
        <f>O209+$V$30*$V$31*SQRT(1+1/$V$27+(Tabelle62[[#This Row],[Vents]]-$V$28)^2/$V$29)</f>
        <v>17.466563078168694</v>
      </c>
      <c r="R209" s="41">
        <f>O209-$V$30*$V$31*SQRT(1/$V$27+(Tabelle62[[#This Row],[Vents]]-$V$28)^2/$V$29)</f>
        <v>13.393478871865998</v>
      </c>
      <c r="S209" s="41">
        <f>O209+$V$30*$V$31*SQRT(1/$V$27+(Tabelle62[[#This Row],[Vents]]-$V$28)^2/$V$29)</f>
        <v>14.2363110811342</v>
      </c>
    </row>
    <row r="210" spans="1:19" x14ac:dyDescent="0.3">
      <c r="A210" s="10" t="s">
        <v>200</v>
      </c>
      <c r="B210" s="10">
        <v>14</v>
      </c>
      <c r="C210" s="28">
        <f>(62.123*Tabelle62[[#This Row],[Vents]])-67.781</f>
        <v>801.94100000000003</v>
      </c>
      <c r="D210" s="7" t="s">
        <v>200</v>
      </c>
      <c r="E210" s="13">
        <v>14</v>
      </c>
      <c r="F210" s="12">
        <v>0</v>
      </c>
      <c r="G210" s="11">
        <v>0</v>
      </c>
      <c r="H210" s="25">
        <f>(62.123*Tabelle93[[#This Row],[Vents]])-67.781</f>
        <v>801.94100000000003</v>
      </c>
      <c r="I210" s="44">
        <f t="shared" si="3"/>
        <v>0</v>
      </c>
      <c r="J210" s="40">
        <v>794.93121661595944</v>
      </c>
      <c r="K210" s="41">
        <f>J210-$V$12*$V$13*SQRT(1+1/$V$9+(Tabelle62[[#This Row],[True Cooling Capacity '[kW']]]-$V$10)^2/$V$11)</f>
        <v>577.28344438613249</v>
      </c>
      <c r="L210" s="41">
        <f>J210+$V$12*$V$13*SQRT(1+1/$V$9+(Tabelle62[[#This Row],[True Cooling Capacity '[kW']]]-$V$10)^2/$V$11)</f>
        <v>1012.5789888457864</v>
      </c>
      <c r="M210" s="41">
        <f>J210-$V$12*$V$13*SQRT(1/$V$9+(Tabelle62[[#This Row],[True Cooling Capacity '[kW']]]-$V$10)^2/$V$11)</f>
        <v>772.13604557822566</v>
      </c>
      <c r="N210" s="42">
        <f>J210+$V$12*$V$13*SQRT(1/$V$9+(Tabelle62[[#This Row],[True Cooling Capacity '[kW']]]-$V$10)^2/$V$11)</f>
        <v>817.72638765369322</v>
      </c>
      <c r="O210" s="40">
        <v>13.814894976500099</v>
      </c>
      <c r="P210" s="41">
        <f>O210-$V$30*$V$31*SQRT(1+1/$V$27+(Tabelle62[[#This Row],[Vents]]-$V$28)^2/$V$29)</f>
        <v>10.163226874831505</v>
      </c>
      <c r="Q210" s="41">
        <f>O210+$V$30*$V$31*SQRT(1+1/$V$27+(Tabelle62[[#This Row],[Vents]]-$V$28)^2/$V$29)</f>
        <v>17.466563078168694</v>
      </c>
      <c r="R210" s="41">
        <f>O210-$V$30*$V$31*SQRT(1/$V$27+(Tabelle62[[#This Row],[Vents]]-$V$28)^2/$V$29)</f>
        <v>13.393478871865998</v>
      </c>
      <c r="S210" s="41">
        <f>O210+$V$30*$V$31*SQRT(1/$V$27+(Tabelle62[[#This Row],[Vents]]-$V$28)^2/$V$29)</f>
        <v>14.2363110811342</v>
      </c>
    </row>
    <row r="211" spans="1:19" x14ac:dyDescent="0.3">
      <c r="A211" s="10" t="s">
        <v>206</v>
      </c>
      <c r="B211" s="10">
        <v>4</v>
      </c>
      <c r="C211" s="28">
        <f>(62.123*Tabelle62[[#This Row],[Vents]])-67.781</f>
        <v>180.71099999999998</v>
      </c>
      <c r="D211" s="7" t="s">
        <v>206</v>
      </c>
      <c r="E211" s="13">
        <v>8</v>
      </c>
      <c r="F211" s="12">
        <v>4</v>
      </c>
      <c r="G211" s="11">
        <v>16</v>
      </c>
      <c r="H211" s="25">
        <f>(62.123*Tabelle93[[#This Row],[Vents]])-67.781</f>
        <v>429.20299999999997</v>
      </c>
      <c r="I211" s="44">
        <f t="shared" si="3"/>
        <v>61748.274063999997</v>
      </c>
      <c r="J211" s="40">
        <v>205.42431375761456</v>
      </c>
      <c r="K211" s="41">
        <f>J211-$V$12*$V$13*SQRT(1+1/$V$9+(Tabelle62[[#This Row],[True Cooling Capacity '[kW']]]-$V$10)^2/$V$11)</f>
        <v>-11.877317091750399</v>
      </c>
      <c r="L211" s="41">
        <f>J211+$V$12*$V$13*SQRT(1+1/$V$9+(Tabelle62[[#This Row],[True Cooling Capacity '[kW']]]-$V$10)^2/$V$11)</f>
        <v>422.72594460697951</v>
      </c>
      <c r="M211" s="41">
        <f>J211-$V$12*$V$13*SQRT(1/$V$9+(Tabelle62[[#This Row],[True Cooling Capacity '[kW']]]-$V$10)^2/$V$11)</f>
        <v>186.21322748362732</v>
      </c>
      <c r="N211" s="42">
        <f>J211+$V$12*$V$13*SQRT(1/$V$9+(Tabelle62[[#This Row],[True Cooling Capacity '[kW']]]-$V$10)^2/$V$11)</f>
        <v>224.63540003160179</v>
      </c>
      <c r="O211" s="40">
        <v>4.5324776891883545</v>
      </c>
      <c r="P211" s="41">
        <f>O211-$V$30*$V$31*SQRT(1+1/$V$27+(Tabelle62[[#This Row],[Vents]]-$V$28)^2/$V$29)</f>
        <v>0.88004521280589465</v>
      </c>
      <c r="Q211" s="41">
        <f>O211+$V$30*$V$31*SQRT(1+1/$V$27+(Tabelle62[[#This Row],[Vents]]-$V$28)^2/$V$29)</f>
        <v>8.1849101655708143</v>
      </c>
      <c r="R211" s="41">
        <f>O211-$V$30*$V$31*SQRT(1/$V$27+(Tabelle62[[#This Row],[Vents]]-$V$28)^2/$V$29)</f>
        <v>4.1044886670927294</v>
      </c>
      <c r="S211" s="41">
        <f>O211+$V$30*$V$31*SQRT(1/$V$27+(Tabelle62[[#This Row],[Vents]]-$V$28)^2/$V$29)</f>
        <v>4.9604667112839795</v>
      </c>
    </row>
    <row r="212" spans="1:19" x14ac:dyDescent="0.3">
      <c r="A212" s="10" t="s">
        <v>202</v>
      </c>
      <c r="B212" s="10">
        <v>14</v>
      </c>
      <c r="C212" s="28">
        <f>(62.123*Tabelle62[[#This Row],[Vents]])-67.781</f>
        <v>801.94100000000003</v>
      </c>
      <c r="D212" s="7" t="s">
        <v>202</v>
      </c>
      <c r="E212" s="13">
        <v>14</v>
      </c>
      <c r="F212" s="12">
        <v>0</v>
      </c>
      <c r="G212" s="11">
        <v>0</v>
      </c>
      <c r="H212" s="25">
        <f>(62.123*Tabelle93[[#This Row],[Vents]])-67.781</f>
        <v>801.94100000000003</v>
      </c>
      <c r="I212" s="44">
        <f t="shared" si="3"/>
        <v>0</v>
      </c>
      <c r="J212" s="40">
        <v>794.93121661595944</v>
      </c>
      <c r="K212" s="41">
        <f>J212-$V$12*$V$13*SQRT(1+1/$V$9+(Tabelle62[[#This Row],[True Cooling Capacity '[kW']]]-$V$10)^2/$V$11)</f>
        <v>577.28344438613249</v>
      </c>
      <c r="L212" s="41">
        <f>J212+$V$12*$V$13*SQRT(1+1/$V$9+(Tabelle62[[#This Row],[True Cooling Capacity '[kW']]]-$V$10)^2/$V$11)</f>
        <v>1012.5789888457864</v>
      </c>
      <c r="M212" s="41">
        <f>J212-$V$12*$V$13*SQRT(1/$V$9+(Tabelle62[[#This Row],[True Cooling Capacity '[kW']]]-$V$10)^2/$V$11)</f>
        <v>772.13604557822566</v>
      </c>
      <c r="N212" s="42">
        <f>J212+$V$12*$V$13*SQRT(1/$V$9+(Tabelle62[[#This Row],[True Cooling Capacity '[kW']]]-$V$10)^2/$V$11)</f>
        <v>817.72638765369322</v>
      </c>
      <c r="O212" s="40">
        <v>13.814894976500099</v>
      </c>
      <c r="P212" s="41">
        <f>O212-$V$30*$V$31*SQRT(1+1/$V$27+(Tabelle62[[#This Row],[Vents]]-$V$28)^2/$V$29)</f>
        <v>10.163226874831505</v>
      </c>
      <c r="Q212" s="41">
        <f>O212+$V$30*$V$31*SQRT(1+1/$V$27+(Tabelle62[[#This Row],[Vents]]-$V$28)^2/$V$29)</f>
        <v>17.466563078168694</v>
      </c>
      <c r="R212" s="41">
        <f>O212-$V$30*$V$31*SQRT(1/$V$27+(Tabelle62[[#This Row],[Vents]]-$V$28)^2/$V$29)</f>
        <v>13.393478871865998</v>
      </c>
      <c r="S212" s="41">
        <f>O212+$V$30*$V$31*SQRT(1/$V$27+(Tabelle62[[#This Row],[Vents]]-$V$28)^2/$V$29)</f>
        <v>14.2363110811342</v>
      </c>
    </row>
    <row r="213" spans="1:19" x14ac:dyDescent="0.3">
      <c r="A213" s="10" t="s">
        <v>203</v>
      </c>
      <c r="B213" s="10">
        <v>14</v>
      </c>
      <c r="C213" s="28">
        <f>(62.123*Tabelle62[[#This Row],[Vents]])-67.781</f>
        <v>801.94100000000003</v>
      </c>
      <c r="D213" s="7" t="s">
        <v>203</v>
      </c>
      <c r="E213" s="13">
        <v>14</v>
      </c>
      <c r="F213" s="12">
        <v>0</v>
      </c>
      <c r="G213" s="11">
        <v>0</v>
      </c>
      <c r="H213" s="25">
        <f>(62.123*Tabelle93[[#This Row],[Vents]])-67.781</f>
        <v>801.94100000000003</v>
      </c>
      <c r="I213" s="44">
        <f t="shared" si="3"/>
        <v>0</v>
      </c>
      <c r="J213" s="40">
        <v>794.93121661595944</v>
      </c>
      <c r="K213" s="41">
        <f>J213-$V$12*$V$13*SQRT(1+1/$V$9+(Tabelle62[[#This Row],[True Cooling Capacity '[kW']]]-$V$10)^2/$V$11)</f>
        <v>577.28344438613249</v>
      </c>
      <c r="L213" s="41">
        <f>J213+$V$12*$V$13*SQRT(1+1/$V$9+(Tabelle62[[#This Row],[True Cooling Capacity '[kW']]]-$V$10)^2/$V$11)</f>
        <v>1012.5789888457864</v>
      </c>
      <c r="M213" s="41">
        <f>J213-$V$12*$V$13*SQRT(1/$V$9+(Tabelle62[[#This Row],[True Cooling Capacity '[kW']]]-$V$10)^2/$V$11)</f>
        <v>772.13604557822566</v>
      </c>
      <c r="N213" s="42">
        <f>J213+$V$12*$V$13*SQRT(1/$V$9+(Tabelle62[[#This Row],[True Cooling Capacity '[kW']]]-$V$10)^2/$V$11)</f>
        <v>817.72638765369322</v>
      </c>
      <c r="O213" s="40">
        <v>13.814894976500099</v>
      </c>
      <c r="P213" s="41">
        <f>O213-$V$30*$V$31*SQRT(1+1/$V$27+(Tabelle62[[#This Row],[Vents]]-$V$28)^2/$V$29)</f>
        <v>10.163226874831505</v>
      </c>
      <c r="Q213" s="41">
        <f>O213+$V$30*$V$31*SQRT(1+1/$V$27+(Tabelle62[[#This Row],[Vents]]-$V$28)^2/$V$29)</f>
        <v>17.466563078168694</v>
      </c>
      <c r="R213" s="41">
        <f>O213-$V$30*$V$31*SQRT(1/$V$27+(Tabelle62[[#This Row],[Vents]]-$V$28)^2/$V$29)</f>
        <v>13.393478871865998</v>
      </c>
      <c r="S213" s="41">
        <f>O213+$V$30*$V$31*SQRT(1/$V$27+(Tabelle62[[#This Row],[Vents]]-$V$28)^2/$V$29)</f>
        <v>14.2363110811342</v>
      </c>
    </row>
    <row r="214" spans="1:19" x14ac:dyDescent="0.3">
      <c r="A214" s="10" t="s">
        <v>201</v>
      </c>
      <c r="B214" s="10">
        <v>14</v>
      </c>
      <c r="C214" s="28">
        <f>(62.123*Tabelle62[[#This Row],[Vents]])-67.781</f>
        <v>801.94100000000003</v>
      </c>
      <c r="D214" s="7" t="s">
        <v>201</v>
      </c>
      <c r="E214" s="13">
        <v>14</v>
      </c>
      <c r="F214" s="12">
        <v>0</v>
      </c>
      <c r="G214" s="11">
        <v>0</v>
      </c>
      <c r="H214" s="25">
        <f>(62.123*Tabelle93[[#This Row],[Vents]])-67.781</f>
        <v>801.94100000000003</v>
      </c>
      <c r="I214" s="44">
        <f t="shared" si="3"/>
        <v>0</v>
      </c>
      <c r="J214" s="40">
        <v>794.93121661595944</v>
      </c>
      <c r="K214" s="41">
        <f>J214-$V$12*$V$13*SQRT(1+1/$V$9+(Tabelle62[[#This Row],[True Cooling Capacity '[kW']]]-$V$10)^2/$V$11)</f>
        <v>577.28344438613249</v>
      </c>
      <c r="L214" s="41">
        <f>J214+$V$12*$V$13*SQRT(1+1/$V$9+(Tabelle62[[#This Row],[True Cooling Capacity '[kW']]]-$V$10)^2/$V$11)</f>
        <v>1012.5789888457864</v>
      </c>
      <c r="M214" s="41">
        <f>J214-$V$12*$V$13*SQRT(1/$V$9+(Tabelle62[[#This Row],[True Cooling Capacity '[kW']]]-$V$10)^2/$V$11)</f>
        <v>772.13604557822566</v>
      </c>
      <c r="N214" s="42">
        <f>J214+$V$12*$V$13*SQRT(1/$V$9+(Tabelle62[[#This Row],[True Cooling Capacity '[kW']]]-$V$10)^2/$V$11)</f>
        <v>817.72638765369322</v>
      </c>
      <c r="O214" s="40">
        <v>13.814894976500099</v>
      </c>
      <c r="P214" s="41">
        <f>O214-$V$30*$V$31*SQRT(1+1/$V$27+(Tabelle62[[#This Row],[Vents]]-$V$28)^2/$V$29)</f>
        <v>10.163226874831505</v>
      </c>
      <c r="Q214" s="41">
        <f>O214+$V$30*$V$31*SQRT(1+1/$V$27+(Tabelle62[[#This Row],[Vents]]-$V$28)^2/$V$29)</f>
        <v>17.466563078168694</v>
      </c>
      <c r="R214" s="41">
        <f>O214-$V$30*$V$31*SQRT(1/$V$27+(Tabelle62[[#This Row],[Vents]]-$V$28)^2/$V$29)</f>
        <v>13.393478871865998</v>
      </c>
      <c r="S214" s="41">
        <f>O214+$V$30*$V$31*SQRT(1/$V$27+(Tabelle62[[#This Row],[Vents]]-$V$28)^2/$V$29)</f>
        <v>14.2363110811342</v>
      </c>
    </row>
    <row r="215" spans="1:19" x14ac:dyDescent="0.3">
      <c r="A215" s="10" t="s">
        <v>205</v>
      </c>
      <c r="B215" s="10">
        <v>14</v>
      </c>
      <c r="C215" s="28">
        <f>(62.123*Tabelle62[[#This Row],[Vents]])-67.781</f>
        <v>801.94100000000003</v>
      </c>
      <c r="D215" s="7" t="s">
        <v>205</v>
      </c>
      <c r="E215" s="13">
        <v>14</v>
      </c>
      <c r="F215" s="12">
        <v>0</v>
      </c>
      <c r="G215" s="11">
        <v>0</v>
      </c>
      <c r="H215" s="25">
        <f>(62.123*Tabelle93[[#This Row],[Vents]])-67.781</f>
        <v>801.94100000000003</v>
      </c>
      <c r="I215" s="44">
        <f t="shared" si="3"/>
        <v>0</v>
      </c>
      <c r="J215" s="40">
        <v>794.93121661595944</v>
      </c>
      <c r="K215" s="41">
        <f>J215-$V$12*$V$13*SQRT(1+1/$V$9+(Tabelle62[[#This Row],[True Cooling Capacity '[kW']]]-$V$10)^2/$V$11)</f>
        <v>577.28344438613249</v>
      </c>
      <c r="L215" s="41">
        <f>J215+$V$12*$V$13*SQRT(1+1/$V$9+(Tabelle62[[#This Row],[True Cooling Capacity '[kW']]]-$V$10)^2/$V$11)</f>
        <v>1012.5789888457864</v>
      </c>
      <c r="M215" s="41">
        <f>J215-$V$12*$V$13*SQRT(1/$V$9+(Tabelle62[[#This Row],[True Cooling Capacity '[kW']]]-$V$10)^2/$V$11)</f>
        <v>772.13604557822566</v>
      </c>
      <c r="N215" s="42">
        <f>J215+$V$12*$V$13*SQRT(1/$V$9+(Tabelle62[[#This Row],[True Cooling Capacity '[kW']]]-$V$10)^2/$V$11)</f>
        <v>817.72638765369322</v>
      </c>
      <c r="O215" s="40">
        <v>13.814894976500099</v>
      </c>
      <c r="P215" s="41">
        <f>O215-$V$30*$V$31*SQRT(1+1/$V$27+(Tabelle62[[#This Row],[Vents]]-$V$28)^2/$V$29)</f>
        <v>10.163226874831505</v>
      </c>
      <c r="Q215" s="41">
        <f>O215+$V$30*$V$31*SQRT(1+1/$V$27+(Tabelle62[[#This Row],[Vents]]-$V$28)^2/$V$29)</f>
        <v>17.466563078168694</v>
      </c>
      <c r="R215" s="41">
        <f>O215-$V$30*$V$31*SQRT(1/$V$27+(Tabelle62[[#This Row],[Vents]]-$V$28)^2/$V$29)</f>
        <v>13.393478871865998</v>
      </c>
      <c r="S215" s="41">
        <f>O215+$V$30*$V$31*SQRT(1/$V$27+(Tabelle62[[#This Row],[Vents]]-$V$28)^2/$V$29)</f>
        <v>14.2363110811342</v>
      </c>
    </row>
    <row r="216" spans="1:19" x14ac:dyDescent="0.3">
      <c r="A216" s="10" t="s">
        <v>180</v>
      </c>
      <c r="B216" s="10">
        <v>20</v>
      </c>
      <c r="C216" s="28">
        <f>(62.123*Tabelle62[[#This Row],[Vents]])-67.781</f>
        <v>1174.6790000000001</v>
      </c>
      <c r="D216" s="7" t="s">
        <v>180</v>
      </c>
      <c r="E216" s="13">
        <v>20</v>
      </c>
      <c r="F216" s="12">
        <v>0</v>
      </c>
      <c r="G216" s="11">
        <v>0</v>
      </c>
      <c r="H216" s="25">
        <f>(62.123*Tabelle93[[#This Row],[Vents]])-67.781</f>
        <v>1174.6790000000001</v>
      </c>
      <c r="I216" s="44">
        <f t="shared" si="3"/>
        <v>0</v>
      </c>
      <c r="J216" s="40">
        <v>1148.6353583309665</v>
      </c>
      <c r="K216" s="41">
        <f>J216-$V$12*$V$13*SQRT(1+1/$V$9+(Tabelle62[[#This Row],[True Cooling Capacity '[kW']]]-$V$10)^2/$V$11)</f>
        <v>928.82291154485802</v>
      </c>
      <c r="L216" s="41">
        <f>J216+$V$12*$V$13*SQRT(1+1/$V$9+(Tabelle62[[#This Row],[True Cooling Capacity '[kW']]]-$V$10)^2/$V$11)</f>
        <v>1368.4478051170749</v>
      </c>
      <c r="M216" s="41">
        <f>J216-$V$12*$V$13*SQRT(1/$V$9+(Tabelle62[[#This Row],[True Cooling Capacity '[kW']]]-$V$10)^2/$V$11)</f>
        <v>1110.3394208423936</v>
      </c>
      <c r="N216" s="42">
        <f>J216+$V$12*$V$13*SQRT(1/$V$9+(Tabelle62[[#This Row],[True Cooling Capacity '[kW']]]-$V$10)^2/$V$11)</f>
        <v>1186.9312958195394</v>
      </c>
      <c r="O216" s="40">
        <v>19.384345348887145</v>
      </c>
      <c r="P216" s="41">
        <f>O216-$V$30*$V$31*SQRT(1+1/$V$27+(Tabelle62[[#This Row],[Vents]]-$V$28)^2/$V$29)</f>
        <v>15.733127412726621</v>
      </c>
      <c r="Q216" s="41">
        <f>O216+$V$30*$V$31*SQRT(1+1/$V$27+(Tabelle62[[#This Row],[Vents]]-$V$28)^2/$V$29)</f>
        <v>23.035563285047669</v>
      </c>
      <c r="R216" s="41">
        <f>O216-$V$30*$V$31*SQRT(1/$V$27+(Tabelle62[[#This Row],[Vents]]-$V$28)^2/$V$29)</f>
        <v>18.966848012558671</v>
      </c>
      <c r="S216" s="41">
        <f>O216+$V$30*$V$31*SQRT(1/$V$27+(Tabelle62[[#This Row],[Vents]]-$V$28)^2/$V$29)</f>
        <v>19.801842685215618</v>
      </c>
    </row>
    <row r="217" spans="1:19" x14ac:dyDescent="0.3">
      <c r="A217" s="10" t="s">
        <v>179</v>
      </c>
      <c r="B217" s="10">
        <v>20</v>
      </c>
      <c r="C217" s="28">
        <f>(62.123*Tabelle62[[#This Row],[Vents]])-67.781</f>
        <v>1174.6790000000001</v>
      </c>
      <c r="D217" s="7" t="s">
        <v>179</v>
      </c>
      <c r="E217" s="13">
        <v>21</v>
      </c>
      <c r="F217" s="12">
        <v>1</v>
      </c>
      <c r="G217" s="11">
        <v>1</v>
      </c>
      <c r="H217" s="25">
        <f>(62.123*Tabelle93[[#This Row],[Vents]])-67.781</f>
        <v>1236.8019999999999</v>
      </c>
      <c r="I217" s="44">
        <f t="shared" si="3"/>
        <v>3859.2671289999776</v>
      </c>
      <c r="J217" s="40">
        <v>1148.6353583309665</v>
      </c>
      <c r="K217" s="41">
        <f>J217-$V$12*$V$13*SQRT(1+1/$V$9+(Tabelle62[[#This Row],[True Cooling Capacity '[kW']]]-$V$10)^2/$V$11)</f>
        <v>928.82291154485802</v>
      </c>
      <c r="L217" s="41">
        <f>J217+$V$12*$V$13*SQRT(1+1/$V$9+(Tabelle62[[#This Row],[True Cooling Capacity '[kW']]]-$V$10)^2/$V$11)</f>
        <v>1368.4478051170749</v>
      </c>
      <c r="M217" s="41">
        <f>J217-$V$12*$V$13*SQRT(1/$V$9+(Tabelle62[[#This Row],[True Cooling Capacity '[kW']]]-$V$10)^2/$V$11)</f>
        <v>1110.3394208423936</v>
      </c>
      <c r="N217" s="42">
        <f>J217+$V$12*$V$13*SQRT(1/$V$9+(Tabelle62[[#This Row],[True Cooling Capacity '[kW']]]-$V$10)^2/$V$11)</f>
        <v>1186.9312958195394</v>
      </c>
      <c r="O217" s="40">
        <v>19.384345348887145</v>
      </c>
      <c r="P217" s="41">
        <f>O217-$V$30*$V$31*SQRT(1+1/$V$27+(Tabelle62[[#This Row],[Vents]]-$V$28)^2/$V$29)</f>
        <v>15.733127412726621</v>
      </c>
      <c r="Q217" s="41">
        <f>O217+$V$30*$V$31*SQRT(1+1/$V$27+(Tabelle62[[#This Row],[Vents]]-$V$28)^2/$V$29)</f>
        <v>23.035563285047669</v>
      </c>
      <c r="R217" s="41">
        <f>O217-$V$30*$V$31*SQRT(1/$V$27+(Tabelle62[[#This Row],[Vents]]-$V$28)^2/$V$29)</f>
        <v>18.966848012558671</v>
      </c>
      <c r="S217" s="41">
        <f>O217+$V$30*$V$31*SQRT(1/$V$27+(Tabelle62[[#This Row],[Vents]]-$V$28)^2/$V$29)</f>
        <v>19.801842685215618</v>
      </c>
    </row>
    <row r="218" spans="1:19" x14ac:dyDescent="0.3">
      <c r="A218" s="10" t="s">
        <v>181</v>
      </c>
      <c r="B218" s="10">
        <v>20</v>
      </c>
      <c r="C218" s="28">
        <f>(62.123*Tabelle62[[#This Row],[Vents]])-67.781</f>
        <v>1174.6790000000001</v>
      </c>
      <c r="D218" s="7" t="s">
        <v>181</v>
      </c>
      <c r="E218" s="13">
        <v>20</v>
      </c>
      <c r="F218" s="12">
        <v>0</v>
      </c>
      <c r="G218" s="11">
        <v>0</v>
      </c>
      <c r="H218" s="25">
        <f>(62.123*Tabelle93[[#This Row],[Vents]])-67.781</f>
        <v>1174.6790000000001</v>
      </c>
      <c r="I218" s="44">
        <f t="shared" si="3"/>
        <v>0</v>
      </c>
      <c r="J218" s="40">
        <v>1148.6353583309665</v>
      </c>
      <c r="K218" s="41">
        <f>J218-$V$12*$V$13*SQRT(1+1/$V$9+(Tabelle62[[#This Row],[True Cooling Capacity '[kW']]]-$V$10)^2/$V$11)</f>
        <v>928.82291154485802</v>
      </c>
      <c r="L218" s="41">
        <f>J218+$V$12*$V$13*SQRT(1+1/$V$9+(Tabelle62[[#This Row],[True Cooling Capacity '[kW']]]-$V$10)^2/$V$11)</f>
        <v>1368.4478051170749</v>
      </c>
      <c r="M218" s="41">
        <f>J218-$V$12*$V$13*SQRT(1/$V$9+(Tabelle62[[#This Row],[True Cooling Capacity '[kW']]]-$V$10)^2/$V$11)</f>
        <v>1110.3394208423936</v>
      </c>
      <c r="N218" s="42">
        <f>J218+$V$12*$V$13*SQRT(1/$V$9+(Tabelle62[[#This Row],[True Cooling Capacity '[kW']]]-$V$10)^2/$V$11)</f>
        <v>1186.9312958195394</v>
      </c>
      <c r="O218" s="40">
        <v>19.384345348887145</v>
      </c>
      <c r="P218" s="41">
        <f>O218-$V$30*$V$31*SQRT(1+1/$V$27+(Tabelle62[[#This Row],[Vents]]-$V$28)^2/$V$29)</f>
        <v>15.733127412726621</v>
      </c>
      <c r="Q218" s="41">
        <f>O218+$V$30*$V$31*SQRT(1+1/$V$27+(Tabelle62[[#This Row],[Vents]]-$V$28)^2/$V$29)</f>
        <v>23.035563285047669</v>
      </c>
      <c r="R218" s="41">
        <f>O218-$V$30*$V$31*SQRT(1/$V$27+(Tabelle62[[#This Row],[Vents]]-$V$28)^2/$V$29)</f>
        <v>18.966848012558671</v>
      </c>
      <c r="S218" s="41">
        <f>O218+$V$30*$V$31*SQRT(1/$V$27+(Tabelle62[[#This Row],[Vents]]-$V$28)^2/$V$29)</f>
        <v>19.801842685215618</v>
      </c>
    </row>
    <row r="219" spans="1:19" x14ac:dyDescent="0.3">
      <c r="A219" s="10" t="s">
        <v>178</v>
      </c>
      <c r="B219" s="10">
        <v>15</v>
      </c>
      <c r="C219" s="28">
        <f>(62.123*Tabelle62[[#This Row],[Vents]])-67.781</f>
        <v>864.06399999999985</v>
      </c>
      <c r="D219" s="7" t="s">
        <v>178</v>
      </c>
      <c r="E219" s="13">
        <v>16</v>
      </c>
      <c r="F219" s="12">
        <v>1</v>
      </c>
      <c r="G219" s="11">
        <v>1</v>
      </c>
      <c r="H219" s="25">
        <f>(62.123*Tabelle93[[#This Row],[Vents]])-67.781</f>
        <v>926.1869999999999</v>
      </c>
      <c r="I219" s="44">
        <f t="shared" si="3"/>
        <v>3859.2671290000058</v>
      </c>
      <c r="J219" s="40">
        <v>853.88190690179374</v>
      </c>
      <c r="K219" s="41">
        <f>J219-$V$12*$V$13*SQRT(1+1/$V$9+(Tabelle62[[#This Row],[True Cooling Capacity '[kW']]]-$V$10)^2/$V$11)</f>
        <v>635.97421248034038</v>
      </c>
      <c r="L219" s="41">
        <f>J219+$V$12*$V$13*SQRT(1+1/$V$9+(Tabelle62[[#This Row],[True Cooling Capacity '[kW']]]-$V$10)^2/$V$11)</f>
        <v>1071.7896013232471</v>
      </c>
      <c r="M219" s="41">
        <f>J219-$V$12*$V$13*SQRT(1/$V$9+(Tabelle62[[#This Row],[True Cooling Capacity '[kW']]]-$V$10)^2/$V$11)</f>
        <v>828.7257872863521</v>
      </c>
      <c r="N219" s="42">
        <f>J219+$V$12*$V$13*SQRT(1/$V$9+(Tabelle62[[#This Row],[True Cooling Capacity '[kW']]]-$V$10)^2/$V$11)</f>
        <v>879.03802651723538</v>
      </c>
      <c r="O219" s="40">
        <v>14.743136705231272</v>
      </c>
      <c r="P219" s="41">
        <f>O219-$V$30*$V$31*SQRT(1+1/$V$27+(Tabelle62[[#This Row],[Vents]]-$V$28)^2/$V$29)</f>
        <v>11.091544071837408</v>
      </c>
      <c r="Q219" s="41">
        <f>O219+$V$30*$V$31*SQRT(1+1/$V$27+(Tabelle62[[#This Row],[Vents]]-$V$28)^2/$V$29)</f>
        <v>18.394729338625137</v>
      </c>
      <c r="R219" s="41">
        <f>O219-$V$30*$V$31*SQRT(1/$V$27+(Tabelle62[[#This Row],[Vents]]-$V$28)^2/$V$29)</f>
        <v>14.322375052086173</v>
      </c>
      <c r="S219" s="41">
        <f>O219+$V$30*$V$31*SQRT(1/$V$27+(Tabelle62[[#This Row],[Vents]]-$V$28)^2/$V$29)</f>
        <v>15.163898358376372</v>
      </c>
    </row>
    <row r="220" spans="1:19" ht="15" thickBot="1" x14ac:dyDescent="0.35">
      <c r="A220" s="10" t="s">
        <v>182</v>
      </c>
      <c r="B220" s="10">
        <v>12</v>
      </c>
      <c r="C220" s="28">
        <f>(62.123*Tabelle62[[#This Row],[Vents]])-67.781</f>
        <v>677.69499999999994</v>
      </c>
      <c r="D220" s="7" t="s">
        <v>182</v>
      </c>
      <c r="E220" s="13">
        <v>12</v>
      </c>
      <c r="F220" s="12">
        <v>0</v>
      </c>
      <c r="G220" s="11">
        <v>0</v>
      </c>
      <c r="H220" s="25">
        <f>(62.123*Tabelle93[[#This Row],[Vents]])-67.781</f>
        <v>677.69499999999994</v>
      </c>
      <c r="I220" s="44">
        <f t="shared" si="3"/>
        <v>0</v>
      </c>
      <c r="J220" s="40">
        <v>677.02983604429039</v>
      </c>
      <c r="K220" s="41">
        <f>J220-$V$12*$V$13*SQRT(1+1/$V$9+(Tabelle62[[#This Row],[True Cooling Capacity '[kW']]]-$V$10)^2/$V$11)</f>
        <v>459.77958666121026</v>
      </c>
      <c r="L220" s="41">
        <f>J220+$V$12*$V$13*SQRT(1+1/$V$9+(Tabelle62[[#This Row],[True Cooling Capacity '[kW']]]-$V$10)^2/$V$11)</f>
        <v>894.28008542737052</v>
      </c>
      <c r="M220" s="41">
        <f>J220-$V$12*$V$13*SQRT(1/$V$9+(Tabelle62[[#This Row],[True Cooling Capacity '[kW']]]-$V$10)^2/$V$11)</f>
        <v>658.40893587691437</v>
      </c>
      <c r="N220" s="42">
        <f>J220+$V$12*$V$13*SQRT(1/$V$9+(Tabelle62[[#This Row],[True Cooling Capacity '[kW']]]-$V$10)^2/$V$11)</f>
        <v>695.65073621166641</v>
      </c>
      <c r="O220" s="40">
        <v>11.95841151903775</v>
      </c>
      <c r="P220" s="41">
        <f>O220-$V$30*$V$31*SQRT(1+1/$V$27+(Tabelle62[[#This Row],[Vents]]-$V$28)^2/$V$29)</f>
        <v>8.3065919520789073</v>
      </c>
      <c r="Q220" s="41">
        <f>O220+$V$30*$V$31*SQRT(1+1/$V$27+(Tabelle62[[#This Row],[Vents]]-$V$28)^2/$V$29)</f>
        <v>15.610231085996592</v>
      </c>
      <c r="R220" s="41">
        <f>O220-$V$30*$V$31*SQRT(1/$V$27+(Tabelle62[[#This Row],[Vents]]-$V$28)^2/$V$29)</f>
        <v>11.535684942957513</v>
      </c>
      <c r="S220" s="41">
        <f>O220+$V$30*$V$31*SQRT(1/$V$27+(Tabelle62[[#This Row],[Vents]]-$V$28)^2/$V$29)</f>
        <v>12.381138095117986</v>
      </c>
    </row>
    <row r="221" spans="1:19" ht="15" thickBot="1" x14ac:dyDescent="0.35">
      <c r="A221" s="19"/>
      <c r="B221" s="20">
        <f>SUM(Tabelle62[Vents])</f>
        <v>1765</v>
      </c>
      <c r="C221" s="29">
        <f>SUM(Tabelle62[True Cooling Capacity '[kW']])</f>
        <v>95684.20899999993</v>
      </c>
      <c r="D221" s="21"/>
      <c r="E221" s="22">
        <f>SUM(Tabelle93[Vents])</f>
        <v>1817</v>
      </c>
      <c r="F221" s="22"/>
      <c r="G221" s="23">
        <f>SQRT(SUM(G3:G220)/COUNTA(G3:G220))</f>
        <v>1.8818300676920126</v>
      </c>
      <c r="H221" s="26">
        <f>SUM(H3:H220)</f>
        <v>98197.303999999989</v>
      </c>
      <c r="I221" s="26">
        <f>SQRT(SUM(I3:I220)/COUNTA(I3:I220))</f>
        <v>111.01565226180803</v>
      </c>
      <c r="J221" s="46">
        <v>0</v>
      </c>
      <c r="K221" s="47">
        <f>J221-$V$12*$V$13*SQRT(1+1/$V$9+(J221-$V$10)^2/$V$11)</f>
        <v>-217.97082176893838</v>
      </c>
      <c r="L221" s="47">
        <f>J221+$V$12*$V$13*SQRT(1+1/$V$9+(J221-$V$10)^2/$V$11)</f>
        <v>217.97082176893838</v>
      </c>
      <c r="M221" s="47">
        <f>J221-$V$12*$V$13*SQRT(1/$V$9+(J221-$V$10)^2/$V$11)</f>
        <v>-25.697202350823922</v>
      </c>
      <c r="N221" s="47">
        <f>J221+$V$12*$V$13*SQRT(1/$V$9+(J221-$V$10)^2/$V$11)</f>
        <v>25.697202350823922</v>
      </c>
      <c r="O221" s="46">
        <v>0</v>
      </c>
      <c r="P221" s="47">
        <f>O221-$V$30*$V$31*SQRT(1+1/$V$27+(O221-$V$28)^2/$V$29)</f>
        <v>-3.6527431588086299</v>
      </c>
      <c r="Q221" s="47">
        <f>O221+$V$30*$V$31*SQRT(1+1/$V$27+(O221-$V$28)^2/$V$29)</f>
        <v>3.6527431588086299</v>
      </c>
      <c r="R221" s="47">
        <f>O221-$V$30*$V$31*SQRT(1/$V$27+(O221-$V$28)^2/$V$29)</f>
        <v>-0.4306323173245441</v>
      </c>
      <c r="S221" s="48">
        <f>O221+$V$30*$V$31*SQRT(1/$V$27+(O221-$V$28)^2/$V$29)</f>
        <v>0.4306323173245441</v>
      </c>
    </row>
    <row r="222" spans="1:19" x14ac:dyDescent="0.3">
      <c r="A222" s="45" t="s">
        <v>250</v>
      </c>
      <c r="B222" s="44">
        <f>AVERAGE(Tabelle62[Vents])</f>
        <v>8.0963302752293576</v>
      </c>
      <c r="C222" s="44">
        <f>AVERAGE(Tabelle62[True Cooling Capacity '[kW']])</f>
        <v>438.91838990825659</v>
      </c>
      <c r="E222" s="44">
        <f>AVERAGE(Tabelle93[Vents])</f>
        <v>8.3348623853211006</v>
      </c>
      <c r="H222" s="44">
        <f>AVERAGE(H3:H220)</f>
        <v>450.44634862385317</v>
      </c>
      <c r="J222" s="2">
        <v>2000</v>
      </c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Confidence_and_Prediction_Inte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Florian_Barth</cp:lastModifiedBy>
  <cp:lastPrinted>2021-06-24T08:30:20Z</cp:lastPrinted>
  <dcterms:created xsi:type="dcterms:W3CDTF">2021-02-08T12:00:42Z</dcterms:created>
  <dcterms:modified xsi:type="dcterms:W3CDTF">2023-07-19T14:40:20Z</dcterms:modified>
</cp:coreProperties>
</file>