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source\repos\GSSolution\Resources\Misc\"/>
    </mc:Choice>
  </mc:AlternateContent>
  <bookViews>
    <workbookView xWindow="0" yWindow="0" windowWidth="20085" windowHeight="10500" tabRatio="579" activeTab="4"/>
  </bookViews>
  <sheets>
    <sheet name="Sheet1" sheetId="1" r:id="rId1"/>
    <sheet name="Speeds" sheetId="2" r:id="rId2"/>
    <sheet name="Norm Tacking" sheetId="3" r:id="rId3"/>
    <sheet name="Sheet2" sheetId="4" r:id="rId4"/>
    <sheet name="Synta Data" sheetId="5" r:id="rId5"/>
    <sheet name="Sheet3" sheetId="6" r:id="rId6"/>
    <sheet name="Alignments" sheetId="7" r:id="rId7"/>
    <sheet name="Sheet4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L34" i="1"/>
  <c r="L30" i="1"/>
  <c r="L32" i="1" s="1"/>
  <c r="L28" i="1"/>
  <c r="L35" i="1" s="1"/>
  <c r="L36" i="1" s="1"/>
  <c r="J26" i="8" l="1"/>
  <c r="J27" i="8" s="1"/>
  <c r="J25" i="8"/>
  <c r="J17" i="8"/>
  <c r="J18" i="8" s="1"/>
  <c r="J16" i="8"/>
  <c r="J8" i="8"/>
  <c r="J9" i="8" s="1"/>
  <c r="J7" i="8"/>
  <c r="I26" i="8"/>
  <c r="H26" i="8"/>
  <c r="G26" i="8"/>
  <c r="F26" i="8"/>
  <c r="E26" i="8"/>
  <c r="D26" i="8"/>
  <c r="C26" i="8"/>
  <c r="B26" i="8"/>
  <c r="I25" i="8"/>
  <c r="H25" i="8"/>
  <c r="G25" i="8"/>
  <c r="F25" i="8"/>
  <c r="E25" i="8"/>
  <c r="D25" i="8"/>
  <c r="C25" i="8"/>
  <c r="B25" i="8"/>
  <c r="I17" i="8"/>
  <c r="I18" i="8" s="1"/>
  <c r="H17" i="8"/>
  <c r="G17" i="8"/>
  <c r="F17" i="8"/>
  <c r="F18" i="8" s="1"/>
  <c r="E17" i="8"/>
  <c r="D17" i="8"/>
  <c r="D18" i="8" s="1"/>
  <c r="C17" i="8"/>
  <c r="C18" i="8" s="1"/>
  <c r="B17" i="8"/>
  <c r="I16" i="8"/>
  <c r="H16" i="8"/>
  <c r="G16" i="8"/>
  <c r="F16" i="8"/>
  <c r="E16" i="8"/>
  <c r="D16" i="8"/>
  <c r="C16" i="8"/>
  <c r="B16" i="8"/>
  <c r="I8" i="8"/>
  <c r="I9" i="8" s="1"/>
  <c r="I7" i="8"/>
  <c r="H8" i="8"/>
  <c r="H7" i="8"/>
  <c r="G8" i="8"/>
  <c r="G7" i="8"/>
  <c r="F8" i="8"/>
  <c r="F7" i="8"/>
  <c r="F9" i="8" s="1"/>
  <c r="E8" i="8"/>
  <c r="E7" i="8"/>
  <c r="D8" i="8"/>
  <c r="D7" i="8"/>
  <c r="C8" i="8"/>
  <c r="C7" i="8"/>
  <c r="C9" i="8" s="1"/>
  <c r="B8" i="8"/>
  <c r="B7" i="8"/>
  <c r="D9" i="8" l="1"/>
  <c r="G9" i="8"/>
  <c r="E18" i="8"/>
  <c r="B9" i="8"/>
  <c r="E9" i="8"/>
  <c r="H9" i="8"/>
  <c r="G18" i="8"/>
  <c r="B18" i="8"/>
  <c r="H18" i="8"/>
  <c r="D27" i="8"/>
  <c r="E27" i="8"/>
  <c r="I27" i="8"/>
  <c r="H27" i="8"/>
  <c r="G27" i="8"/>
  <c r="F27" i="8"/>
  <c r="C27" i="8"/>
  <c r="B27" i="8"/>
  <c r="N47" i="1"/>
  <c r="N46" i="1"/>
  <c r="N49" i="1" s="1"/>
  <c r="N50" i="1" s="1"/>
  <c r="K31" i="2" l="1"/>
  <c r="I31" i="2"/>
  <c r="D30" i="2"/>
  <c r="I29" i="2"/>
  <c r="K29" i="2"/>
  <c r="K25" i="2"/>
  <c r="K26" i="2"/>
  <c r="K27" i="2"/>
  <c r="K28" i="2"/>
  <c r="K24" i="2"/>
  <c r="I25" i="2"/>
  <c r="I26" i="2"/>
  <c r="I27" i="2"/>
  <c r="I28" i="2"/>
  <c r="I24" i="2"/>
  <c r="D25" i="2"/>
  <c r="D26" i="2"/>
  <c r="D27" i="2"/>
  <c r="D28" i="2"/>
  <c r="D29" i="2"/>
  <c r="D24" i="2"/>
  <c r="E32" i="6" l="1"/>
  <c r="E33" i="6" s="1"/>
  <c r="E35" i="6" s="1"/>
  <c r="E29" i="6"/>
  <c r="O53" i="1" l="1"/>
  <c r="P63" i="1"/>
  <c r="P58" i="1"/>
  <c r="Q58" i="1"/>
  <c r="O62" i="1"/>
  <c r="O63" i="1"/>
  <c r="O60" i="1"/>
  <c r="O55" i="1"/>
  <c r="P53" i="1"/>
  <c r="O52" i="1"/>
  <c r="D54" i="1"/>
  <c r="D55" i="1" s="1"/>
  <c r="D56" i="1" s="1"/>
  <c r="O61" i="1" l="1"/>
  <c r="H11" i="7"/>
  <c r="J20" i="7" s="1"/>
  <c r="H10" i="7"/>
  <c r="H8" i="7"/>
  <c r="G14" i="7" s="1"/>
  <c r="H6" i="7"/>
  <c r="G15" i="7" l="1"/>
  <c r="H14" i="7"/>
  <c r="H15" i="7"/>
  <c r="J19" i="7"/>
  <c r="G17" i="7"/>
  <c r="G19" i="7" s="1"/>
  <c r="I23" i="6"/>
  <c r="I22" i="6"/>
  <c r="H20" i="7" l="1"/>
  <c r="H19" i="7"/>
  <c r="E19" i="7" s="1"/>
  <c r="J14" i="7" s="1"/>
  <c r="G20" i="7"/>
  <c r="I17" i="6"/>
  <c r="I16" i="6"/>
  <c r="I9" i="6"/>
  <c r="I10" i="6"/>
  <c r="I11" i="6" s="1"/>
  <c r="I12" i="6" s="1"/>
  <c r="I4" i="6"/>
  <c r="I3" i="6"/>
  <c r="E9" i="6" s="1"/>
  <c r="E8" i="6"/>
  <c r="E4" i="6"/>
  <c r="E21" i="6"/>
  <c r="E17" i="6"/>
  <c r="E20" i="7" l="1"/>
  <c r="J15" i="7" s="1"/>
  <c r="E15" i="7" s="1"/>
  <c r="E23" i="7" s="1"/>
  <c r="E14" i="7"/>
  <c r="E22" i="7" s="1"/>
  <c r="I5" i="6"/>
  <c r="E22" i="6"/>
  <c r="E24" i="6" s="1"/>
  <c r="H18" i="2"/>
  <c r="H17" i="2"/>
  <c r="J18" i="2"/>
  <c r="K18" i="2"/>
  <c r="L18" i="2" s="1"/>
  <c r="K17" i="2"/>
  <c r="L17" i="2" s="1"/>
  <c r="J17" i="2"/>
  <c r="D18" i="2"/>
  <c r="C18" i="2"/>
  <c r="D17" i="2"/>
  <c r="C17" i="2"/>
  <c r="J48" i="1"/>
  <c r="L48" i="1" s="1"/>
  <c r="J49" i="1"/>
  <c r="L49" i="1" s="1"/>
  <c r="J50" i="1"/>
  <c r="L50" i="1" s="1"/>
  <c r="J47" i="1"/>
  <c r="L47" i="1" s="1"/>
  <c r="I18" i="2" l="1"/>
  <c r="M18" i="2"/>
  <c r="I17" i="2"/>
  <c r="M17" i="2" s="1"/>
  <c r="F39" i="4"/>
  <c r="C35" i="4"/>
  <c r="E35" i="4" s="1"/>
  <c r="E37" i="4" s="1"/>
  <c r="E38" i="4" s="1"/>
  <c r="E39" i="4" s="1"/>
  <c r="C31" i="4"/>
  <c r="C32" i="4" s="1"/>
  <c r="C30" i="4"/>
  <c r="C24" i="4"/>
  <c r="C23" i="4"/>
  <c r="C25" i="4" s="1"/>
  <c r="E36" i="4" l="1"/>
  <c r="I11" i="4" l="1"/>
  <c r="K11" i="4" s="1"/>
  <c r="I7" i="4"/>
  <c r="K3" i="4"/>
  <c r="I3" i="4"/>
  <c r="M2" i="4"/>
  <c r="M11" i="4" s="1"/>
  <c r="K2" i="4"/>
  <c r="I2" i="4"/>
  <c r="L65" i="1" l="1"/>
  <c r="L66" i="1" s="1"/>
  <c r="L69" i="1" s="1"/>
  <c r="J65" i="1"/>
  <c r="J66" i="1" s="1"/>
  <c r="J64" i="1"/>
  <c r="L58" i="1"/>
  <c r="L59" i="1" s="1"/>
  <c r="L60" i="1" s="1"/>
  <c r="L61" i="1" s="1"/>
  <c r="J56" i="1"/>
  <c r="J58" i="1" s="1"/>
  <c r="J59" i="1" s="1"/>
  <c r="J60" i="1" s="1"/>
  <c r="J61" i="1" s="1"/>
  <c r="J67" i="1" l="1"/>
  <c r="J69" i="1" s="1"/>
  <c r="L41" i="1"/>
  <c r="L42" i="1"/>
  <c r="L43" i="1"/>
  <c r="L44" i="1"/>
  <c r="K41" i="1"/>
  <c r="K42" i="1"/>
  <c r="K43" i="1"/>
  <c r="K44" i="1"/>
  <c r="J41" i="1"/>
  <c r="J42" i="1"/>
  <c r="J43" i="1"/>
  <c r="J44" i="1"/>
  <c r="I41" i="1"/>
  <c r="I42" i="1"/>
  <c r="I43" i="1"/>
  <c r="I44" i="1"/>
  <c r="R40" i="1" l="1"/>
  <c r="P40" i="1"/>
  <c r="S40" i="1" l="1"/>
  <c r="Q8" i="3" l="1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7" i="3"/>
  <c r="E33" i="3"/>
  <c r="E36" i="3"/>
  <c r="E37" i="3"/>
  <c r="E38" i="3"/>
  <c r="E39" i="3"/>
  <c r="E32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6" i="3"/>
  <c r="D33" i="3"/>
  <c r="D34" i="3"/>
  <c r="E34" i="3" s="1"/>
  <c r="D35" i="3"/>
  <c r="E35" i="3" s="1"/>
  <c r="D36" i="3"/>
  <c r="D37" i="3"/>
  <c r="D38" i="3"/>
  <c r="D39" i="3"/>
  <c r="I30" i="3" s="1"/>
  <c r="D32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6" i="3"/>
  <c r="C14" i="2"/>
  <c r="E18" i="2" l="1"/>
  <c r="E17" i="2"/>
  <c r="R35" i="1"/>
  <c r="R29" i="1"/>
  <c r="R30" i="1"/>
  <c r="R33" i="1"/>
  <c r="R28" i="1"/>
  <c r="F60" i="1" l="1"/>
  <c r="F61" i="1"/>
  <c r="D62" i="1"/>
  <c r="F65" i="1"/>
  <c r="F64" i="1"/>
  <c r="D28" i="1" l="1"/>
  <c r="K40" i="1" l="1"/>
  <c r="J40" i="1"/>
  <c r="I40" i="1"/>
  <c r="L40" i="1" l="1"/>
  <c r="H34" i="1"/>
  <c r="H30" i="1"/>
  <c r="H32" i="1" s="1"/>
  <c r="H28" i="1"/>
  <c r="H35" i="1" s="1"/>
  <c r="H36" i="1" l="1"/>
  <c r="D48" i="1"/>
  <c r="C19" i="1" l="1"/>
  <c r="C20" i="1"/>
  <c r="C21" i="1"/>
  <c r="C16" i="1"/>
  <c r="C15" i="1"/>
  <c r="C14" i="1"/>
  <c r="P17" i="1"/>
  <c r="P18" i="1"/>
  <c r="P19" i="1"/>
  <c r="P20" i="1"/>
  <c r="P21" i="1"/>
  <c r="P22" i="1"/>
  <c r="P23" i="1"/>
  <c r="P16" i="1"/>
  <c r="L17" i="1"/>
  <c r="L18" i="1"/>
  <c r="L19" i="1"/>
  <c r="L20" i="1"/>
  <c r="L21" i="1"/>
  <c r="L22" i="1"/>
  <c r="L23" i="1"/>
  <c r="L16" i="1"/>
  <c r="H17" i="1"/>
  <c r="H18" i="1"/>
  <c r="H19" i="1"/>
  <c r="H20" i="1"/>
  <c r="H21" i="1"/>
  <c r="H22" i="1"/>
  <c r="H23" i="1"/>
  <c r="H16" i="1"/>
  <c r="D35" i="1" l="1"/>
  <c r="D36" i="1" s="1"/>
  <c r="D42" i="1"/>
  <c r="D32" i="1"/>
  <c r="D30" i="1"/>
  <c r="D41" i="1" l="1"/>
  <c r="D43" i="1" l="1"/>
  <c r="D44" i="1" s="1"/>
  <c r="D49" i="1"/>
  <c r="D50" i="1" s="1"/>
  <c r="D34" i="1"/>
  <c r="P10" i="1"/>
  <c r="P9" i="1"/>
  <c r="P8" i="1"/>
  <c r="P7" i="1"/>
  <c r="P6" i="1"/>
  <c r="P5" i="1"/>
  <c r="P4" i="1"/>
  <c r="P3" i="1"/>
  <c r="L3" i="1"/>
  <c r="L4" i="1"/>
  <c r="L5" i="1"/>
  <c r="L6" i="1"/>
  <c r="L7" i="1"/>
  <c r="L8" i="1"/>
  <c r="L9" i="1"/>
  <c r="L10" i="1"/>
  <c r="H4" i="1"/>
  <c r="H5" i="1"/>
  <c r="H6" i="1"/>
  <c r="H7" i="1"/>
  <c r="H8" i="1"/>
  <c r="H9" i="1"/>
  <c r="H10" i="1"/>
  <c r="H3" i="1"/>
  <c r="C4" i="1"/>
  <c r="C5" i="1"/>
  <c r="C6" i="1"/>
  <c r="C7" i="1"/>
  <c r="C8" i="1"/>
  <c r="C9" i="1"/>
  <c r="C10" i="1"/>
  <c r="C3" i="1"/>
  <c r="E23" i="3" l="1"/>
  <c r="E17" i="3"/>
  <c r="E22" i="3"/>
  <c r="E12" i="3"/>
  <c r="E15" i="3"/>
  <c r="E20" i="3"/>
  <c r="E25" i="3"/>
  <c r="E18" i="3"/>
  <c r="E24" i="3"/>
  <c r="E9" i="3"/>
  <c r="E10" i="3"/>
  <c r="E14" i="3"/>
  <c r="E6" i="3"/>
  <c r="E7" i="3"/>
  <c r="E13" i="3"/>
  <c r="E8" i="3"/>
  <c r="E19" i="3"/>
  <c r="E21" i="3"/>
  <c r="E16" i="3"/>
  <c r="E11" i="3"/>
  <c r="I4" i="3"/>
</calcChain>
</file>

<file path=xl/sharedStrings.xml><?xml version="1.0" encoding="utf-8"?>
<sst xmlns="http://schemas.openxmlformats.org/spreadsheetml/2006/main" count="532" uniqueCount="307">
  <si>
    <t>degrees</t>
  </si>
  <si>
    <t>Degree</t>
  </si>
  <si>
    <t>Value</t>
  </si>
  <si>
    <t>Arcsec</t>
  </si>
  <si>
    <t>Speed</t>
  </si>
  <si>
    <t>x Value</t>
  </si>
  <si>
    <t>Speed #</t>
  </si>
  <si>
    <t>Total Revolution Steps</t>
  </si>
  <si>
    <t>Pulse Duration Milliseconds</t>
  </si>
  <si>
    <t>Pulse Duration Seconds</t>
  </si>
  <si>
    <t>Sidereal Rate in Degrees</t>
  </si>
  <si>
    <t>Sidereal Rate in Arcseconds</t>
  </si>
  <si>
    <t>Guiderate Percentage</t>
  </si>
  <si>
    <t>Steps for Duration</t>
  </si>
  <si>
    <t>secs</t>
  </si>
  <si>
    <t>stepPerSec</t>
  </si>
  <si>
    <t>stepsNeeded</t>
  </si>
  <si>
    <t>line 1</t>
  </si>
  <si>
    <t>line 2</t>
  </si>
  <si>
    <t>line 3</t>
  </si>
  <si>
    <t>Arcseconds for Duration</t>
  </si>
  <si>
    <t>Guiderate in Degrees</t>
  </si>
  <si>
    <t>Steps Per Arcsecond</t>
  </si>
  <si>
    <t>Pulse Code</t>
  </si>
  <si>
    <t>Change only the green cells</t>
  </si>
  <si>
    <t>Rounded Steps for GoTo</t>
  </si>
  <si>
    <t>Simulator</t>
  </si>
  <si>
    <t>sim old</t>
  </si>
  <si>
    <t>Sky old</t>
  </si>
  <si>
    <t>Microsteps</t>
  </si>
  <si>
    <t>Milliseconds</t>
  </si>
  <si>
    <t>Archseconds</t>
  </si>
  <si>
    <t>Total MS for duration</t>
  </si>
  <si>
    <t>EQ8</t>
  </si>
  <si>
    <t>AZ-EQ5GT</t>
  </si>
  <si>
    <t>Position Converter</t>
  </si>
  <si>
    <t>EF3165</t>
  </si>
  <si>
    <t>Position</t>
  </si>
  <si>
    <t>X</t>
  </si>
  <si>
    <t>Y</t>
  </si>
  <si>
    <t>Mount</t>
  </si>
  <si>
    <t>GS Server</t>
  </si>
  <si>
    <t>GS Position</t>
  </si>
  <si>
    <t>Mount Position</t>
  </si>
  <si>
    <t>pix scale</t>
  </si>
  <si>
    <t>Declination</t>
  </si>
  <si>
    <t>raw pix</t>
  </si>
  <si>
    <t>scale</t>
  </si>
  <si>
    <t>steps moved</t>
  </si>
  <si>
    <t>Duration</t>
  </si>
  <si>
    <t>arcsecs</t>
  </si>
  <si>
    <t>steps/arcsec</t>
  </si>
  <si>
    <t>arcsecs per step</t>
  </si>
  <si>
    <t>4 steps is arcsec</t>
  </si>
  <si>
    <t>The std formula for calculating :I ie</t>
  </si>
  <si>
    <t>:I := ( :b * 1296000 / :a ) / Speed    ( where Speed is in arcsec/sec )</t>
  </si>
  <si>
    <t>:a and :b come from the mount</t>
  </si>
  <si>
    <t>Speed = 15.0410671787 arcsec/sec</t>
  </si>
  <si>
    <t>360 x 60 x 60 = 1,296,000 steps for 360 degrees </t>
  </si>
  <si>
    <t>:a is the reported microsteps per 360deg :b is a timer interrupt frequency in the motor card The motor speed control is based on how many interrupts happen per microstep.</t>
  </si>
  <si>
    <t>Standard steps per 360</t>
  </si>
  <si>
    <t>Standard Speed calculation for an axis</t>
  </si>
  <si>
    <t>{yyyy:dd:MM:HH:mm:ss.fff}</t>
  </si>
  <si>
    <t>2019:17:02:19:35:30.398</t>
  </si>
  <si>
    <t>2019:17:02:19:35:31.639</t>
  </si>
  <si>
    <t>2019:17:02:19:35:32.707</t>
  </si>
  <si>
    <t>2019:17:02:19:35:33.826</t>
  </si>
  <si>
    <t>2019:17:02:19:35:38.983</t>
  </si>
  <si>
    <t>2019:17:02:19:35:41.076</t>
  </si>
  <si>
    <t>2019:17:02:19:35:43.422</t>
  </si>
  <si>
    <t>2019:17:02:19:35:44.652</t>
  </si>
  <si>
    <t>2019:17:02:19:35:49.011</t>
  </si>
  <si>
    <t>2019:17:02:19:35:50.081</t>
  </si>
  <si>
    <t>2019:17:02:19:35:51.134</t>
  </si>
  <si>
    <t>2019:17:02:19:35:52.220</t>
  </si>
  <si>
    <t>2019:17:02:19:35:53.290</t>
  </si>
  <si>
    <t>2019:17:02:19:35:54.375</t>
  </si>
  <si>
    <t>2019:17:02:19:35:55.430</t>
  </si>
  <si>
    <t>2019:17:02:19:35:56.532</t>
  </si>
  <si>
    <t>2019:17:02:19:35:57.601</t>
  </si>
  <si>
    <t>2019:17:02:19:35:58.671</t>
  </si>
  <si>
    <t>2019:17:02:19:36:03.797</t>
  </si>
  <si>
    <t>2019:17:02:19:36:07.181</t>
  </si>
  <si>
    <t>{PositionStart}</t>
  </si>
  <si>
    <t>{StepsPerSecond}</t>
  </si>
  <si>
    <t>parse time</t>
  </si>
  <si>
    <t>Sidereal Test Rate</t>
  </si>
  <si>
    <t>Normalize tracking Rate based on pulse data</t>
  </si>
  <si>
    <t>Diff Time X</t>
  </si>
  <si>
    <t>Timestamp</t>
  </si>
  <si>
    <t>Reverse Rate:</t>
  </si>
  <si>
    <t>B70100</t>
  </si>
  <si>
    <t>9BE57F</t>
  </si>
  <si>
    <t>MountAxis to Mount convertor</t>
  </si>
  <si>
    <t>MountAxis X</t>
  </si>
  <si>
    <t>MountAxis Y</t>
  </si>
  <si>
    <t>Mount X</t>
  </si>
  <si>
    <t>Mount Y</t>
  </si>
  <si>
    <t>rangeX</t>
  </si>
  <si>
    <t>HEX Convertor</t>
  </si>
  <si>
    <t>EQ8 Pulse to steps</t>
  </si>
  <si>
    <t>Pixels to arcseconds</t>
  </si>
  <si>
    <t>Radians</t>
  </si>
  <si>
    <t>Low Speed Margin</t>
  </si>
  <si>
    <t>High Speed</t>
  </si>
  <si>
    <t>Low Speed</t>
  </si>
  <si>
    <t>High Speed Ratio</t>
  </si>
  <si>
    <t>Radian Speed</t>
  </si>
  <si>
    <t>Radian to Speed</t>
  </si>
  <si>
    <t>Radian To Speed</t>
  </si>
  <si>
    <t>Speed Calculations</t>
  </si>
  <si>
    <t>steps</t>
  </si>
  <si>
    <t>micro</t>
  </si>
  <si>
    <t>Gear1</t>
  </si>
  <si>
    <t>Wheel</t>
  </si>
  <si>
    <t>StepsPerDrgree</t>
  </si>
  <si>
    <t>Worm Steps in Rotation</t>
  </si>
  <si>
    <t>Steps Per Sec</t>
  </si>
  <si>
    <t>RA Axis</t>
  </si>
  <si>
    <t>Dec Axis</t>
  </si>
  <si>
    <t>H</t>
  </si>
  <si>
    <t>M</t>
  </si>
  <si>
    <t>S</t>
  </si>
  <si>
    <t>Decimal Time</t>
  </si>
  <si>
    <t>point A</t>
  </si>
  <si>
    <t>RA</t>
  </si>
  <si>
    <t>02h 31m 49.09s</t>
  </si>
  <si>
    <t>DEC</t>
  </si>
  <si>
    <t>+89° 15′ 50.8</t>
  </si>
  <si>
    <t>point B</t>
  </si>
  <si>
    <t>18h 36m 56.33635</t>
  </si>
  <si>
    <t>Dec</t>
  </si>
  <si>
    <t>38° 47′ 01.2802</t>
  </si>
  <si>
    <t>Pulse in milliseconds</t>
  </si>
  <si>
    <t>microsteps per 360</t>
  </si>
  <si>
    <t>arcseconds per 360</t>
  </si>
  <si>
    <t>Convert seconds to radians</t>
  </si>
  <si>
    <t>(B1 / 1000) *( PI() / (180 * 60 * 60))</t>
  </si>
  <si>
    <t>Steps Per radian</t>
  </si>
  <si>
    <t>C2 / (2 * PI())</t>
  </si>
  <si>
    <t>Steps needed for move</t>
  </si>
  <si>
    <t>C2*C3</t>
  </si>
  <si>
    <t>guiderate</t>
  </si>
  <si>
    <t>sidereal rate</t>
  </si>
  <si>
    <t>Steps per archsecond</t>
  </si>
  <si>
    <t>move in arch seconds</t>
  </si>
  <si>
    <t>move in steps</t>
  </si>
  <si>
    <t>tracking rate in archseconds</t>
  </si>
  <si>
    <t>Long to HexConverter</t>
  </si>
  <si>
    <t>radtoStep</t>
  </si>
  <si>
    <t>factorRadRatetoInt</t>
  </si>
  <si>
    <t>Enter Rate in rad</t>
  </si>
  <si>
    <t>Steps Per Revolution</t>
  </si>
  <si>
    <t xml:space="preserve"> interrupt frequency</t>
  </si>
  <si>
    <t>Tracking rate in degrees</t>
  </si>
  <si>
    <t>Model</t>
  </si>
  <si>
    <t>EQ6Pro</t>
  </si>
  <si>
    <t>HEQ5</t>
  </si>
  <si>
    <t>EQ5</t>
  </si>
  <si>
    <t>EQ3</t>
  </si>
  <si>
    <t>AzEQ6</t>
  </si>
  <si>
    <t>AzEQ5</t>
  </si>
  <si>
    <t>EQ6-R</t>
  </si>
  <si>
    <t>:a Microsteps/360deg</t>
  </si>
  <si>
    <t>9,024,000</t>
  </si>
  <si>
    <t>4,505,600</t>
  </si>
  <si>
    <t>-</t>
  </si>
  <si>
    <t>9,216,000</t>
  </si>
  <si>
    <t>5,184,000</t>
  </si>
  <si>
    <t>:s Microsteps/WormRev</t>
  </si>
  <si>
    <t>50,133</t>
  </si>
  <si>
    <t>66,844</t>
  </si>
  <si>
    <t>31,289</t>
  </si>
  <si>
    <t>25,600</t>
  </si>
  <si>
    <t>51,200</t>
  </si>
  <si>
    <t>38,400</t>
  </si>
  <si>
    <t>:b Timer Freq</t>
  </si>
  <si>
    <t>64,935</t>
  </si>
  <si>
    <t>56,738</t>
  </si>
  <si>
    <t>53,694</t>
  </si>
  <si>
    <t>67,322</t>
  </si>
  <si>
    <t>:g HiSpeed Factor</t>
  </si>
  <si>
    <t>:c Rampdown :U</t>
  </si>
  <si>
    <t>55,296</t>
  </si>
  <si>
    <t>??</t>
  </si>
  <si>
    <t>73,728</t>
  </si>
  <si>
    <t>38,912</t>
  </si>
  <si>
    <t>Stepper Typ</t>
  </si>
  <si>
    <t>1.8deg</t>
  </si>
  <si>
    <t>0.9deg</t>
  </si>
  <si>
    <t>Fullsteps/MotorRev</t>
  </si>
  <si>
    <t>Microsteps/Fullstep</t>
  </si>
  <si>
    <t>Microsteps/MotorRev</t>
  </si>
  <si>
    <t>12,800</t>
  </si>
  <si>
    <t>6,400</t>
  </si>
  <si>
    <t>Tot Ratio</t>
  </si>
  <si>
    <t xml:space="preserve">  Xfer + GBx</t>
  </si>
  <si>
    <t>47:12</t>
  </si>
  <si>
    <t>47:9</t>
  </si>
  <si>
    <t>1:1</t>
  </si>
  <si>
    <t>48:12</t>
  </si>
  <si>
    <t>2:1 + 36:12</t>
  </si>
  <si>
    <t xml:space="preserve">  WormWheel Teeth</t>
  </si>
  <si>
    <t xml:space="preserve">  FullSteps/360deg</t>
  </si>
  <si>
    <t>141,000</t>
  </si>
  <si>
    <t>174,000</t>
  </si>
  <si>
    <t>144,000</t>
  </si>
  <si>
    <t>162,000</t>
  </si>
  <si>
    <t xml:space="preserve">  FullSteps/WormRev</t>
  </si>
  <si>
    <t>1,200.000</t>
  </si>
  <si>
    <t xml:space="preserve">  Arcsec/Fullstep</t>
  </si>
  <si>
    <t xml:space="preserve">  Arcsec/Microstep</t>
  </si>
  <si>
    <t xml:space="preserve">  Microstep/Arcsec</t>
  </si>
  <si>
    <t>Encoder count(ticks)</t>
  </si>
  <si>
    <t>N/A</t>
  </si>
  <si>
    <t>17,624</t>
  </si>
  <si>
    <t>6,356</t>
  </si>
  <si>
    <t>5,144</t>
  </si>
  <si>
    <t xml:space="preserve">  Arcsec/Pulse</t>
  </si>
  <si>
    <t xml:space="preserve"> Microstep/Pulse</t>
  </si>
  <si>
    <t>1,449.968</t>
  </si>
  <si>
    <t>1,007.776</t>
  </si>
  <si>
    <t>SNAP Ports</t>
  </si>
  <si>
    <t>1,2</t>
  </si>
  <si>
    <t>PPEC Bins</t>
  </si>
  <si>
    <t xml:space="preserve">  Microsteps per Bin</t>
  </si>
  <si>
    <t xml:space="preserve">  Arcsec per Bin</t>
  </si>
  <si>
    <t>&gt;= Goto Lim</t>
  </si>
  <si>
    <t>65,535</t>
  </si>
  <si>
    <t>73,729</t>
  </si>
  <si>
    <t>38,913</t>
  </si>
  <si>
    <t>03d36m52s</t>
  </si>
  <si>
    <t>02d23m01s</t>
  </si>
  <si>
    <t>02d52m48s</t>
  </si>
  <si>
    <t>02d42m08s</t>
  </si>
  <si>
    <t>speed</t>
  </si>
  <si>
    <t>In Rad</t>
  </si>
  <si>
    <t>In Degrees</t>
  </si>
  <si>
    <t>AZGTi</t>
  </si>
  <si>
    <t>:I Sidereal</t>
  </si>
  <si>
    <t>sidereal seconds in a day</t>
  </si>
  <si>
    <t>degrees per sidereal second</t>
  </si>
  <si>
    <t>steps per degree</t>
  </si>
  <si>
    <t>Steps per sidereal second</t>
  </si>
  <si>
    <t>Seconds</t>
  </si>
  <si>
    <t>arcseconds/second)</t>
  </si>
  <si>
    <t>seconds/hour</t>
  </si>
  <si>
    <t>degrees/arcsecond</t>
  </si>
  <si>
    <t>degrees/circle</t>
  </si>
  <si>
    <t>Arcseconds/second</t>
  </si>
  <si>
    <t>Steps/revolution</t>
  </si>
  <si>
    <t>Steps/Second</t>
  </si>
  <si>
    <t>Arcseconds/Second</t>
  </si>
  <si>
    <t>Latitude</t>
  </si>
  <si>
    <t>=</t>
  </si>
  <si>
    <t>*</t>
  </si>
  <si>
    <t>h1</t>
  </si>
  <si>
    <t>dec1</t>
  </si>
  <si>
    <t>h2</t>
  </si>
  <si>
    <t>dec2</t>
  </si>
  <si>
    <t>dec error</t>
  </si>
  <si>
    <t>ra error</t>
  </si>
  <si>
    <t>determinant</t>
  </si>
  <si>
    <t>Degrees</t>
  </si>
  <si>
    <t>Examples</t>
  </si>
  <si>
    <t>42 40 N</t>
  </si>
  <si>
    <t>Ha error =</t>
  </si>
  <si>
    <t>Dec error =</t>
  </si>
  <si>
    <t>Altitude error =</t>
  </si>
  <si>
    <t>Azimuth error =</t>
  </si>
  <si>
    <t>Dec Arcmins</t>
  </si>
  <si>
    <t>Ra Arcmins</t>
  </si>
  <si>
    <t>from Two star polar alignment Ralph Pass October 7, 2003 Copyright © 1996-2003 Ralph Pass</t>
  </si>
  <si>
    <t>2 x 2 can only allow for an error in one axes so this will not work on a gem only a fork</t>
  </si>
  <si>
    <t>arcseconds</t>
  </si>
  <si>
    <t>Duration (ms)</t>
  </si>
  <si>
    <t>Microsteps To ms</t>
  </si>
  <si>
    <t>factorRadToStep</t>
  </si>
  <si>
    <t>EQ8 SPR</t>
  </si>
  <si>
    <t>Steps</t>
  </si>
  <si>
    <t>remove default 0x00800000</t>
  </si>
  <si>
    <t>step to angle in rad</t>
  </si>
  <si>
    <t>rad to degrees</t>
  </si>
  <si>
    <t>Home Sensor</t>
  </si>
  <si>
    <t>AZEQ5</t>
  </si>
  <si>
    <t>low mode</t>
  </si>
  <si>
    <t>high mode</t>
  </si>
  <si>
    <t>AZEQ6</t>
  </si>
  <si>
    <t>EQ6</t>
  </si>
  <si>
    <t>milliseconds</t>
  </si>
  <si>
    <t>backlash steps</t>
  </si>
  <si>
    <t>milliseconds for lash</t>
  </si>
  <si>
    <t>Average for 100</t>
  </si>
  <si>
    <t>Average for 500</t>
  </si>
  <si>
    <t>per/ms</t>
  </si>
  <si>
    <t>Average per/ms</t>
  </si>
  <si>
    <t>Using average per/ms</t>
  </si>
  <si>
    <t>GOTO speeds at steps per ms</t>
  </si>
  <si>
    <t>Sidereal</t>
  </si>
  <si>
    <t>Rate</t>
  </si>
  <si>
    <t>SPR</t>
  </si>
  <si>
    <t>%Sidereal</t>
  </si>
  <si>
    <t>SPS</t>
  </si>
  <si>
    <t>Min Pulse(ms)</t>
  </si>
  <si>
    <t>Minimal pulse for each mount based on sidreal rate</t>
  </si>
  <si>
    <t>SIMulator</t>
  </si>
  <si>
    <t>EQ6 Pulse to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</si>
</sst>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h:mm:ss.000"/>
    <numFmt numFmtId="165" formatCode="0.000000000"/>
    <numFmt numFmtId="166" formatCode="0.00000000000000"/>
    <numFmt numFmtId="167" formatCode="0.0000000"/>
    <numFmt numFmtId="168" formatCode="0.00000"/>
    <numFmt numFmtId="169" formatCode="0.00000000000"/>
    <numFmt numFmtId="170" formatCode="0.0000000000000000"/>
    <numFmt numFmtId="171" formatCode="0.000000000000000"/>
  </numFmts>
  <fonts count="10" x14ac:knownFonts="1">
    <font>
      <sz val="11"/>
      <color theme="1"/>
      <name val="Calibri"/>
      <family val="2"/>
      <scheme val="minor"/>
    </font>
    <font>
      <sz val="10"/>
      <color rgb="FF330033"/>
      <name val="Arial"/>
      <family val="2"/>
    </font>
    <font>
      <b/>
      <sz val="11"/>
      <color theme="1"/>
      <name val="Calibri"/>
      <family val="2"/>
      <scheme val="minor"/>
    </font>
    <font>
      <sz val="10.5"/>
      <color rgb="FF3C4043"/>
      <name val="Arial"/>
      <family val="2"/>
    </font>
    <font>
      <b/>
      <sz val="11"/>
      <name val="Calibri"/>
      <family val="2"/>
      <scheme val="minor"/>
    </font>
    <font>
      <sz val="9"/>
      <color rgb="FF000000"/>
      <name val="Arial"/>
      <family val="2"/>
    </font>
    <font>
      <sz val="11"/>
      <color rgb="FF1A1A1B"/>
      <name val="Calibri"/>
      <family val="2"/>
      <scheme val="minor"/>
    </font>
    <font>
      <sz val="8"/>
      <name val="MS Sans Serif"/>
    </font>
    <font>
      <b/>
      <sz val="8"/>
      <name val="MS Sans Serif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02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0" fillId="0" borderId="0" xfId="0" applyNumberFormat="1" applyFill="1" applyBorder="1"/>
    <xf numFmtId="49" fontId="0" fillId="0" borderId="0" xfId="0" applyNumberFormat="1" applyAlignment="1">
      <alignment horizontal="center"/>
    </xf>
    <xf numFmtId="49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9" fontId="0" fillId="2" borderId="0" xfId="0" applyNumberFormat="1" applyFill="1"/>
    <xf numFmtId="0" fontId="8" fillId="0" borderId="1" xfId="1" applyFont="1" applyBorder="1"/>
    <xf numFmtId="0" fontId="7" fillId="0" borderId="1" xfId="1" applyFont="1" applyBorder="1"/>
    <xf numFmtId="0" fontId="7" fillId="0" borderId="2" xfId="1" applyFont="1" applyFill="1" applyBorder="1"/>
    <xf numFmtId="170" fontId="0" fillId="0" borderId="0" xfId="0" applyNumberFormat="1"/>
    <xf numFmtId="170" fontId="0" fillId="2" borderId="0" xfId="0" applyNumberFormat="1" applyFill="1"/>
    <xf numFmtId="170" fontId="0" fillId="0" borderId="0" xfId="0" applyNumberFormat="1" applyBorder="1"/>
    <xf numFmtId="170" fontId="0" fillId="0" borderId="0" xfId="0" applyNumberFormat="1" applyFill="1" applyBorder="1"/>
    <xf numFmtId="0" fontId="0" fillId="8" borderId="0" xfId="0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 vertical="top"/>
    </xf>
    <xf numFmtId="0" fontId="0" fillId="8" borderId="0" xfId="0" applyFill="1" applyAlignment="1">
      <alignment horizontal="right" indent="1"/>
    </xf>
    <xf numFmtId="0" fontId="0" fillId="8" borderId="3" xfId="0" applyFill="1" applyBorder="1"/>
    <xf numFmtId="0" fontId="0" fillId="8" borderId="4" xfId="0" applyFill="1" applyBorder="1"/>
    <xf numFmtId="0" fontId="0" fillId="8" borderId="2" xfId="0" applyFill="1" applyBorder="1"/>
    <xf numFmtId="0" fontId="9" fillId="3" borderId="0" xfId="0" applyFont="1" applyFill="1" applyAlignment="1">
      <alignment horizontal="center" vertical="center"/>
    </xf>
    <xf numFmtId="0" fontId="0" fillId="3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3" xfId="0" applyFill="1" applyBorder="1"/>
    <xf numFmtId="0" fontId="0" fillId="5" borderId="4" xfId="0" applyFill="1" applyBorder="1"/>
    <xf numFmtId="0" fontId="0" fillId="5" borderId="2" xfId="0" applyFill="1" applyBorder="1"/>
    <xf numFmtId="3" fontId="0" fillId="0" borderId="0" xfId="0" applyNumberFormat="1"/>
    <xf numFmtId="0" fontId="0" fillId="0" borderId="5" xfId="0" applyBorder="1"/>
    <xf numFmtId="0" fontId="0" fillId="0" borderId="6" xfId="0" applyBorder="1"/>
    <xf numFmtId="0" fontId="0" fillId="9" borderId="7" xfId="0" applyFill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2" borderId="9" xfId="0" applyFill="1" applyBorder="1"/>
    <xf numFmtId="0" fontId="1" fillId="2" borderId="9" xfId="0" applyFont="1" applyFill="1" applyBorder="1"/>
    <xf numFmtId="0" fontId="2" fillId="0" borderId="7" xfId="0" applyFont="1" applyBorder="1"/>
    <xf numFmtId="0" fontId="0" fillId="2" borderId="8" xfId="0" applyFill="1" applyBorder="1"/>
    <xf numFmtId="0" fontId="0" fillId="2" borderId="10" xfId="0" applyFill="1" applyBorder="1"/>
    <xf numFmtId="0" fontId="2" fillId="0" borderId="5" xfId="0" applyFont="1" applyFill="1" applyBorder="1"/>
    <xf numFmtId="0" fontId="6" fillId="0" borderId="9" xfId="0" applyFont="1" applyBorder="1"/>
    <xf numFmtId="0" fontId="6" fillId="0" borderId="12" xfId="0" applyFont="1" applyBorder="1"/>
    <xf numFmtId="0" fontId="0" fillId="7" borderId="8" xfId="0" applyFill="1" applyBorder="1"/>
    <xf numFmtId="0" fontId="0" fillId="7" borderId="0" xfId="0" applyFill="1" applyBorder="1"/>
    <xf numFmtId="0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5" xfId="0" applyFill="1" applyBorder="1"/>
    <xf numFmtId="0" fontId="0" fillId="7" borderId="6" xfId="0" applyFill="1" applyBorder="1"/>
    <xf numFmtId="0" fontId="0" fillId="0" borderId="8" xfId="0" applyFill="1" applyBorder="1"/>
    <xf numFmtId="0" fontId="0" fillId="0" borderId="10" xfId="0" applyFill="1" applyBorder="1"/>
    <xf numFmtId="0" fontId="0" fillId="2" borderId="0" xfId="0" applyFill="1" applyBorder="1"/>
    <xf numFmtId="0" fontId="0" fillId="2" borderId="6" xfId="0" applyFill="1" applyBorder="1"/>
    <xf numFmtId="0" fontId="0" fillId="6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6" borderId="8" xfId="0" applyFill="1" applyBorder="1"/>
    <xf numFmtId="0" fontId="0" fillId="5" borderId="0" xfId="0" applyFill="1" applyBorder="1"/>
    <xf numFmtId="0" fontId="0" fillId="3" borderId="9" xfId="0" applyFill="1" applyBorder="1"/>
    <xf numFmtId="0" fontId="0" fillId="6" borderId="10" xfId="0" applyFill="1" applyBorder="1"/>
    <xf numFmtId="0" fontId="0" fillId="5" borderId="11" xfId="0" applyFill="1" applyBorder="1"/>
    <xf numFmtId="0" fontId="0" fillId="3" borderId="12" xfId="0" applyFill="1" applyBorder="1"/>
    <xf numFmtId="0" fontId="0" fillId="2" borderId="6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/>
    <xf numFmtId="0" fontId="0" fillId="4" borderId="12" xfId="0" applyFill="1" applyBorder="1"/>
    <xf numFmtId="3" fontId="7" fillId="0" borderId="1" xfId="1" applyNumberFormat="1" applyFont="1" applyBorder="1"/>
    <xf numFmtId="0" fontId="0" fillId="10" borderId="0" xfId="0" applyFill="1"/>
    <xf numFmtId="171" fontId="0" fillId="0" borderId="0" xfId="0" applyNumberFormat="1"/>
    <xf numFmtId="0" fontId="0" fillId="0" borderId="0" xfId="0" applyAlignment="1">
      <alignment horizontal="center" wrapText="1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0" fillId="9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Pulse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29647949170954"/>
          <c:y val="0.1233250207813799"/>
          <c:w val="0.83379697541989617"/>
          <c:h val="0.840099750623441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'Norm Tacking'!$P$7:$P$26</c:f>
              <c:numCache>
                <c:formatCode>0.00000</c:formatCode>
                <c:ptCount val="20"/>
                <c:pt idx="0">
                  <c:v>165</c:v>
                </c:pt>
                <c:pt idx="1">
                  <c:v>136</c:v>
                </c:pt>
                <c:pt idx="2">
                  <c:v>145</c:v>
                </c:pt>
                <c:pt idx="3">
                  <c:v>671</c:v>
                </c:pt>
                <c:pt idx="4">
                  <c:v>270</c:v>
                </c:pt>
                <c:pt idx="5">
                  <c:v>302</c:v>
                </c:pt>
                <c:pt idx="6">
                  <c:v>158</c:v>
                </c:pt>
                <c:pt idx="7">
                  <c:v>560</c:v>
                </c:pt>
                <c:pt idx="8">
                  <c:v>138</c:v>
                </c:pt>
                <c:pt idx="9">
                  <c:v>134</c:v>
                </c:pt>
                <c:pt idx="10">
                  <c:v>138</c:v>
                </c:pt>
                <c:pt idx="11">
                  <c:v>137</c:v>
                </c:pt>
                <c:pt idx="12">
                  <c:v>137</c:v>
                </c:pt>
                <c:pt idx="13">
                  <c:v>138</c:v>
                </c:pt>
                <c:pt idx="14">
                  <c:v>146</c:v>
                </c:pt>
                <c:pt idx="15">
                  <c:v>141</c:v>
                </c:pt>
                <c:pt idx="16">
                  <c:v>141</c:v>
                </c:pt>
                <c:pt idx="17">
                  <c:v>664</c:v>
                </c:pt>
                <c:pt idx="18">
                  <c:v>436</c:v>
                </c:pt>
              </c:numCache>
            </c:numRef>
          </c:cat>
          <c:val>
            <c:numRef>
              <c:f>'Norm Tacking'!$E$6:$E$25</c:f>
              <c:numCache>
                <c:formatCode>0.000000000</c:formatCode>
                <c:ptCount val="20"/>
                <c:pt idx="0">
                  <c:v>0</c:v>
                </c:pt>
                <c:pt idx="1">
                  <c:v>0.53662092773854297</c:v>
                </c:pt>
                <c:pt idx="2">
                  <c:v>0.30034663730453559</c:v>
                </c:pt>
                <c:pt idx="3">
                  <c:v>0.34439166421142176</c:v>
                </c:pt>
                <c:pt idx="4">
                  <c:v>0.86812176251828532</c:v>
                </c:pt>
                <c:pt idx="5">
                  <c:v>0.80958046066689349</c:v>
                </c:pt>
                <c:pt idx="6">
                  <c:v>0.66978691716468575</c:v>
                </c:pt>
                <c:pt idx="7">
                  <c:v>0.55720445006406294</c:v>
                </c:pt>
                <c:pt idx="8">
                  <c:v>0.16560332123646049</c:v>
                </c:pt>
                <c:pt idx="9">
                  <c:v>0.13200550606251227</c:v>
                </c:pt>
                <c:pt idx="10">
                  <c:v>-0.11141138628909175</c:v>
                </c:pt>
                <c:pt idx="11">
                  <c:v>-0.38566627617956328</c:v>
                </c:pt>
                <c:pt idx="12">
                  <c:v>-0.53564339618043277</c:v>
                </c:pt>
                <c:pt idx="13">
                  <c:v>-0.91123652377308417</c:v>
                </c:pt>
                <c:pt idx="14">
                  <c:v>-0.71921833121092504</c:v>
                </c:pt>
                <c:pt idx="15">
                  <c:v>-0.30309585749176904</c:v>
                </c:pt>
                <c:pt idx="16">
                  <c:v>2.7485309083772336E-2</c:v>
                </c:pt>
                <c:pt idx="17">
                  <c:v>0.34302540853451546</c:v>
                </c:pt>
                <c:pt idx="18">
                  <c:v>0.51837345536182511</c:v>
                </c:pt>
                <c:pt idx="19">
                  <c:v>0.3607790272441207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671544"/>
        <c:axId val="432677032"/>
      </c:lineChart>
      <c:catAx>
        <c:axId val="432671544"/>
        <c:scaling>
          <c:orientation val="minMax"/>
        </c:scaling>
        <c:delete val="0"/>
        <c:axPos val="b"/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77032"/>
        <c:crosses val="autoZero"/>
        <c:auto val="1"/>
        <c:lblAlgn val="ctr"/>
        <c:lblOffset val="100"/>
        <c:noMultiLvlLbl val="0"/>
      </c:catAx>
      <c:valAx>
        <c:axId val="4326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7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70347074073612E-2"/>
          <c:y val="0.12120853978955358"/>
          <c:w val="0.87876705354022311"/>
          <c:h val="0.812514677437129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'Norm Tacking'!$D$32:$D$39</c:f>
              <c:numCache>
                <c:formatCode>0.0000000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'Norm Tacking'!$E$32:$E$39</c:f>
              <c:numCache>
                <c:formatCode>General</c:formatCode>
                <c:ptCount val="8"/>
                <c:pt idx="0">
                  <c:v>0</c:v>
                </c:pt>
                <c:pt idx="1">
                  <c:v>-4319994.1810347587</c:v>
                </c:pt>
                <c:pt idx="2">
                  <c:v>-8639987.1982764695</c:v>
                </c:pt>
                <c:pt idx="3">
                  <c:v>-12959981.379311228</c:v>
                </c:pt>
                <c:pt idx="4">
                  <c:v>-17279975.560345985</c:v>
                </c:pt>
                <c:pt idx="5">
                  <c:v>-21599970.905173793</c:v>
                </c:pt>
                <c:pt idx="6">
                  <c:v>-25919965.086208552</c:v>
                </c:pt>
                <c:pt idx="7">
                  <c:v>-30239959.267243311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673896"/>
        <c:axId val="432673504"/>
      </c:lineChart>
      <c:catAx>
        <c:axId val="432673896"/>
        <c:scaling>
          <c:orientation val="minMax"/>
        </c:scaling>
        <c:delete val="0"/>
        <c:axPos val="b"/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73504"/>
        <c:crosses val="autoZero"/>
        <c:auto val="1"/>
        <c:lblAlgn val="ctr"/>
        <c:lblOffset val="100"/>
        <c:noMultiLvlLbl val="0"/>
      </c:catAx>
      <c:valAx>
        <c:axId val="4326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67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5</xdr:row>
      <xdr:rowOff>9524</xdr:rowOff>
    </xdr:from>
    <xdr:to>
      <xdr:col>14</xdr:col>
      <xdr:colOff>19050</xdr:colOff>
      <xdr:row>25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138111</xdr:colOff>
      <xdr:row>30</xdr:row>
      <xdr:rowOff>180974</xdr:rowOff>
    </xdr:from>
    <xdr:to>
      <xdr:col>14</xdr:col>
      <xdr:colOff>28575</xdr:colOff>
      <xdr:row>48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topLeftCell="A29" workbookViewId="0">
      <selection activeCell="D52" sqref="D52"/>
    </sheetView>
  </sheetViews>
  <sheetFormatPr defaultRowHeight="15" x14ac:dyDescent="0.25"/>
  <cols>
    <col min="1" max="1" width="20.140625" customWidth="1"/>
    <col min="3" max="3" width="16.85546875" customWidth="1"/>
    <col min="4" max="4" width="13.28515625" customWidth="1"/>
    <col min="5" max="5" width="12" bestFit="1" customWidth="1"/>
    <col min="6" max="6" width="26.140625" bestFit="1" customWidth="1"/>
    <col min="7" max="7" width="7.5703125" bestFit="1" customWidth="1"/>
    <col min="8" max="8" width="12" bestFit="1" customWidth="1"/>
    <col min="10" max="10" width="12" bestFit="1" customWidth="1"/>
    <col min="11" max="11" width="14.28515625" customWidth="1"/>
    <col min="12" max="12" width="12" bestFit="1" customWidth="1"/>
    <col min="14" max="14" width="13.28515625" customWidth="1"/>
    <col min="15" max="15" width="12" customWidth="1"/>
    <col min="16" max="16" width="12" bestFit="1" customWidth="1"/>
    <col min="18" max="18" width="19" customWidth="1"/>
    <col min="19" max="19" width="14.5703125" customWidth="1"/>
  </cols>
  <sheetData>
    <row r="1" spans="1:16" x14ac:dyDescent="0.25">
      <c r="A1" s="46"/>
      <c r="B1" s="47" t="s">
        <v>28</v>
      </c>
      <c r="C1" s="57"/>
      <c r="F1" s="46"/>
      <c r="G1" s="76" t="s">
        <v>1</v>
      </c>
      <c r="H1" s="57">
        <v>3</v>
      </c>
      <c r="J1" s="46"/>
      <c r="K1" s="86" t="s">
        <v>3</v>
      </c>
      <c r="L1" s="57">
        <v>3600</v>
      </c>
      <c r="N1" s="46"/>
      <c r="O1" s="86" t="s">
        <v>3</v>
      </c>
      <c r="P1" s="57">
        <v>3600</v>
      </c>
    </row>
    <row r="2" spans="1:16" x14ac:dyDescent="0.25">
      <c r="A2" s="49"/>
      <c r="B2" s="50" t="s">
        <v>0</v>
      </c>
      <c r="C2" s="51">
        <v>20</v>
      </c>
      <c r="F2" s="77" t="s">
        <v>4</v>
      </c>
      <c r="G2" s="78" t="s">
        <v>2</v>
      </c>
      <c r="H2" s="79" t="s">
        <v>1</v>
      </c>
      <c r="J2" s="77" t="s">
        <v>4</v>
      </c>
      <c r="K2" s="87" t="s">
        <v>2</v>
      </c>
      <c r="L2" s="88" t="s">
        <v>1</v>
      </c>
      <c r="N2" s="77" t="s">
        <v>4</v>
      </c>
      <c r="O2" s="87" t="s">
        <v>2</v>
      </c>
      <c r="P2" s="88" t="s">
        <v>1</v>
      </c>
    </row>
    <row r="3" spans="1:16" x14ac:dyDescent="0.25">
      <c r="A3" s="49">
        <v>1</v>
      </c>
      <c r="B3" s="50">
        <v>5.0000000000000001E-4</v>
      </c>
      <c r="C3" s="51">
        <f t="shared" ref="C3:C10" si="0">$C$2*B3</f>
        <v>0.01</v>
      </c>
      <c r="F3" s="80">
        <v>1</v>
      </c>
      <c r="G3" s="81">
        <v>3.3999999999999998E-3</v>
      </c>
      <c r="H3" s="82">
        <f t="shared" ref="H3:H10" si="1">$H$1*G3</f>
        <v>1.0199999999999999E-2</v>
      </c>
      <c r="J3" s="80">
        <v>1</v>
      </c>
      <c r="K3" s="81">
        <v>36</v>
      </c>
      <c r="L3" s="89">
        <f t="shared" ref="L3:L10" si="2">K3/$L$1</f>
        <v>0.01</v>
      </c>
      <c r="N3" s="80">
        <v>1</v>
      </c>
      <c r="O3" s="81">
        <v>36</v>
      </c>
      <c r="P3" s="89">
        <f t="shared" ref="P3:P10" si="3">O3/$L$1</f>
        <v>0.01</v>
      </c>
    </row>
    <row r="4" spans="1:16" x14ac:dyDescent="0.25">
      <c r="A4" s="49">
        <v>2</v>
      </c>
      <c r="B4" s="50">
        <v>1E-3</v>
      </c>
      <c r="C4" s="51">
        <f t="shared" si="0"/>
        <v>0.02</v>
      </c>
      <c r="F4" s="80">
        <v>2</v>
      </c>
      <c r="G4" s="81">
        <v>6.7999999999999996E-3</v>
      </c>
      <c r="H4" s="82">
        <f t="shared" si="1"/>
        <v>2.0399999999999998E-2</v>
      </c>
      <c r="J4" s="80">
        <v>2</v>
      </c>
      <c r="K4" s="81">
        <v>72</v>
      </c>
      <c r="L4" s="89">
        <f t="shared" si="2"/>
        <v>0.02</v>
      </c>
      <c r="N4" s="80">
        <v>2</v>
      </c>
      <c r="O4" s="81">
        <v>72</v>
      </c>
      <c r="P4" s="89">
        <f t="shared" si="3"/>
        <v>0.02</v>
      </c>
    </row>
    <row r="5" spans="1:16" x14ac:dyDescent="0.25">
      <c r="A5" s="49">
        <v>3</v>
      </c>
      <c r="B5" s="50">
        <v>7.0000000000000001E-3</v>
      </c>
      <c r="C5" s="51">
        <f t="shared" si="0"/>
        <v>0.14000000000000001</v>
      </c>
      <c r="F5" s="80">
        <v>3</v>
      </c>
      <c r="G5" s="81">
        <v>4.7E-2</v>
      </c>
      <c r="H5" s="82">
        <f t="shared" si="1"/>
        <v>0.14100000000000001</v>
      </c>
      <c r="J5" s="80">
        <v>3</v>
      </c>
      <c r="K5" s="81">
        <v>504</v>
      </c>
      <c r="L5" s="89">
        <f t="shared" si="2"/>
        <v>0.14000000000000001</v>
      </c>
      <c r="N5" s="80">
        <v>3</v>
      </c>
      <c r="O5" s="81">
        <v>504</v>
      </c>
      <c r="P5" s="89">
        <f t="shared" si="3"/>
        <v>0.14000000000000001</v>
      </c>
    </row>
    <row r="6" spans="1:16" x14ac:dyDescent="0.25">
      <c r="A6" s="49">
        <v>4</v>
      </c>
      <c r="B6" s="50">
        <v>0.01</v>
      </c>
      <c r="C6" s="51">
        <f t="shared" si="0"/>
        <v>0.2</v>
      </c>
      <c r="F6" s="80">
        <v>4</v>
      </c>
      <c r="G6" s="81">
        <v>6.8000000000000005E-2</v>
      </c>
      <c r="H6" s="82">
        <f t="shared" si="1"/>
        <v>0.20400000000000001</v>
      </c>
      <c r="J6" s="80">
        <v>4</v>
      </c>
      <c r="K6" s="81">
        <v>720</v>
      </c>
      <c r="L6" s="89">
        <f t="shared" si="2"/>
        <v>0.2</v>
      </c>
      <c r="N6" s="80">
        <v>4</v>
      </c>
      <c r="O6" s="81">
        <v>720</v>
      </c>
      <c r="P6" s="89">
        <f t="shared" si="3"/>
        <v>0.2</v>
      </c>
    </row>
    <row r="7" spans="1:16" x14ac:dyDescent="0.25">
      <c r="A7" s="49">
        <v>5</v>
      </c>
      <c r="B7" s="50">
        <v>0.03</v>
      </c>
      <c r="C7" s="51">
        <f t="shared" si="0"/>
        <v>0.6</v>
      </c>
      <c r="F7" s="80">
        <v>5</v>
      </c>
      <c r="G7" s="81">
        <v>0.2</v>
      </c>
      <c r="H7" s="82">
        <f t="shared" si="1"/>
        <v>0.60000000000000009</v>
      </c>
      <c r="J7" s="80">
        <v>5</v>
      </c>
      <c r="K7" s="81">
        <v>2160</v>
      </c>
      <c r="L7" s="89">
        <f t="shared" si="2"/>
        <v>0.6</v>
      </c>
      <c r="N7" s="80">
        <v>5</v>
      </c>
      <c r="O7" s="81">
        <v>2160</v>
      </c>
      <c r="P7" s="89">
        <f t="shared" si="3"/>
        <v>0.6</v>
      </c>
    </row>
    <row r="8" spans="1:16" x14ac:dyDescent="0.25">
      <c r="A8" s="49">
        <v>6</v>
      </c>
      <c r="B8" s="50">
        <v>0.06</v>
      </c>
      <c r="C8" s="51">
        <f t="shared" si="0"/>
        <v>1.2</v>
      </c>
      <c r="F8" s="80">
        <v>6</v>
      </c>
      <c r="G8" s="81">
        <v>0.4</v>
      </c>
      <c r="H8" s="82">
        <f t="shared" si="1"/>
        <v>1.2000000000000002</v>
      </c>
      <c r="J8" s="80">
        <v>6</v>
      </c>
      <c r="K8" s="81">
        <v>4320</v>
      </c>
      <c r="L8" s="89">
        <f t="shared" si="2"/>
        <v>1.2</v>
      </c>
      <c r="N8" s="80">
        <v>6</v>
      </c>
      <c r="O8" s="81">
        <v>4320</v>
      </c>
      <c r="P8" s="89">
        <f t="shared" si="3"/>
        <v>1.2</v>
      </c>
    </row>
    <row r="9" spans="1:16" x14ac:dyDescent="0.25">
      <c r="A9" s="49">
        <v>7</v>
      </c>
      <c r="B9" s="50">
        <v>0.1</v>
      </c>
      <c r="C9" s="51">
        <f t="shared" si="0"/>
        <v>2</v>
      </c>
      <c r="F9" s="80">
        <v>7</v>
      </c>
      <c r="G9" s="81">
        <v>0.8</v>
      </c>
      <c r="H9" s="82">
        <f t="shared" si="1"/>
        <v>2.4000000000000004</v>
      </c>
      <c r="J9" s="80">
        <v>7</v>
      </c>
      <c r="K9" s="81">
        <v>8640</v>
      </c>
      <c r="L9" s="89">
        <f t="shared" si="2"/>
        <v>2.4</v>
      </c>
      <c r="N9" s="80">
        <v>7</v>
      </c>
      <c r="O9" s="81">
        <v>8640</v>
      </c>
      <c r="P9" s="89">
        <f t="shared" si="3"/>
        <v>2.4</v>
      </c>
    </row>
    <row r="10" spans="1:16" ht="15.75" thickBot="1" x14ac:dyDescent="0.3">
      <c r="A10" s="52">
        <v>8</v>
      </c>
      <c r="B10" s="53">
        <v>0.17</v>
      </c>
      <c r="C10" s="54">
        <f t="shared" si="0"/>
        <v>3.4000000000000004</v>
      </c>
      <c r="F10" s="83">
        <v>8</v>
      </c>
      <c r="G10" s="84">
        <v>1</v>
      </c>
      <c r="H10" s="85">
        <f t="shared" si="1"/>
        <v>3</v>
      </c>
      <c r="J10" s="83">
        <v>8</v>
      </c>
      <c r="K10" s="84">
        <v>12600</v>
      </c>
      <c r="L10" s="90">
        <f t="shared" si="2"/>
        <v>3.5</v>
      </c>
      <c r="N10" s="83">
        <v>8</v>
      </c>
      <c r="O10" s="84">
        <v>12600</v>
      </c>
      <c r="P10" s="90">
        <f t="shared" si="3"/>
        <v>3.5</v>
      </c>
    </row>
    <row r="11" spans="1:16" ht="15.75" thickBot="1" x14ac:dyDescent="0.3"/>
    <row r="12" spans="1:16" x14ac:dyDescent="0.25">
      <c r="A12" s="46"/>
      <c r="B12" s="47" t="s">
        <v>26</v>
      </c>
      <c r="C12" s="57"/>
    </row>
    <row r="13" spans="1:16" ht="15.75" thickBot="1" x14ac:dyDescent="0.3">
      <c r="A13" s="49"/>
      <c r="B13" s="50" t="s">
        <v>0</v>
      </c>
      <c r="C13" s="51">
        <v>20</v>
      </c>
    </row>
    <row r="14" spans="1:16" x14ac:dyDescent="0.25">
      <c r="A14" s="49">
        <v>1</v>
      </c>
      <c r="B14" s="50">
        <v>5.0000000000000001E-4</v>
      </c>
      <c r="C14" s="51">
        <f>$C$2*B14</f>
        <v>0.01</v>
      </c>
      <c r="F14" s="46"/>
      <c r="G14" s="76" t="s">
        <v>1</v>
      </c>
      <c r="H14" s="57">
        <v>2</v>
      </c>
      <c r="J14" s="46"/>
      <c r="K14" s="76" t="s">
        <v>1</v>
      </c>
      <c r="L14" s="57">
        <v>3.5</v>
      </c>
      <c r="N14" s="46"/>
      <c r="O14" s="76" t="s">
        <v>1</v>
      </c>
      <c r="P14" s="57">
        <v>5</v>
      </c>
    </row>
    <row r="15" spans="1:16" x14ac:dyDescent="0.25">
      <c r="A15" s="49">
        <v>2</v>
      </c>
      <c r="B15" s="50">
        <v>1E-3</v>
      </c>
      <c r="C15" s="51">
        <f>$C$2*B15</f>
        <v>0.02</v>
      </c>
      <c r="F15" s="77" t="s">
        <v>6</v>
      </c>
      <c r="G15" s="78" t="s">
        <v>5</v>
      </c>
      <c r="H15" s="79" t="s">
        <v>1</v>
      </c>
      <c r="J15" s="77" t="s">
        <v>6</v>
      </c>
      <c r="K15" s="78" t="s">
        <v>5</v>
      </c>
      <c r="L15" s="79" t="s">
        <v>1</v>
      </c>
      <c r="N15" s="77" t="s">
        <v>6</v>
      </c>
      <c r="O15" s="78" t="s">
        <v>5</v>
      </c>
      <c r="P15" s="79" t="s">
        <v>1</v>
      </c>
    </row>
    <row r="16" spans="1:16" ht="15.75" thickBot="1" x14ac:dyDescent="0.3">
      <c r="A16" s="52">
        <v>3</v>
      </c>
      <c r="B16" s="53">
        <v>7.0000000000000001E-3</v>
      </c>
      <c r="C16" s="54">
        <f>$C$2*B16</f>
        <v>0.14000000000000001</v>
      </c>
      <c r="F16" s="80">
        <v>1</v>
      </c>
      <c r="G16" s="81">
        <v>3.3999999999999998E-3</v>
      </c>
      <c r="H16" s="82">
        <f t="shared" ref="H16:H23" si="4">ROUND($H$14*G16,3)</f>
        <v>7.0000000000000001E-3</v>
      </c>
      <c r="J16" s="80">
        <v>1</v>
      </c>
      <c r="K16" s="81">
        <v>3.3999999999999998E-3</v>
      </c>
      <c r="L16" s="82">
        <f t="shared" ref="L16:L23" si="5">ROUND($L$14*K16,3)</f>
        <v>1.2E-2</v>
      </c>
      <c r="N16" s="80">
        <v>1</v>
      </c>
      <c r="O16" s="81">
        <v>3.3999999999999998E-3</v>
      </c>
      <c r="P16" s="82">
        <f t="shared" ref="P16:P23" si="6">ROUND($P$14*O16,3)</f>
        <v>1.7000000000000001E-2</v>
      </c>
    </row>
    <row r="17" spans="1:19" ht="15.75" thickBot="1" x14ac:dyDescent="0.3">
      <c r="F17" s="80">
        <v>2</v>
      </c>
      <c r="G17" s="81">
        <v>6.7999999999999996E-3</v>
      </c>
      <c r="H17" s="82">
        <f t="shared" si="4"/>
        <v>1.4E-2</v>
      </c>
      <c r="J17" s="80">
        <v>2</v>
      </c>
      <c r="K17" s="81">
        <v>6.7999999999999996E-3</v>
      </c>
      <c r="L17" s="82">
        <f t="shared" si="5"/>
        <v>2.4E-2</v>
      </c>
      <c r="N17" s="80">
        <v>2</v>
      </c>
      <c r="O17" s="81">
        <v>6.7999999999999996E-3</v>
      </c>
      <c r="P17" s="82">
        <f t="shared" si="6"/>
        <v>3.4000000000000002E-2</v>
      </c>
    </row>
    <row r="18" spans="1:19" x14ac:dyDescent="0.25">
      <c r="A18" s="46"/>
      <c r="B18" s="47" t="s">
        <v>27</v>
      </c>
      <c r="C18" s="47">
        <v>20</v>
      </c>
      <c r="D18" s="57"/>
      <c r="F18" s="80">
        <v>3</v>
      </c>
      <c r="G18" s="81">
        <v>4.7E-2</v>
      </c>
      <c r="H18" s="82">
        <f t="shared" si="4"/>
        <v>9.4E-2</v>
      </c>
      <c r="J18" s="80">
        <v>3</v>
      </c>
      <c r="K18" s="81">
        <v>4.7E-2</v>
      </c>
      <c r="L18" s="82">
        <f t="shared" si="5"/>
        <v>0.16500000000000001</v>
      </c>
      <c r="N18" s="80">
        <v>3</v>
      </c>
      <c r="O18" s="81">
        <v>4.7E-2</v>
      </c>
      <c r="P18" s="82">
        <f t="shared" si="6"/>
        <v>0.23499999999999999</v>
      </c>
    </row>
    <row r="19" spans="1:19" x14ac:dyDescent="0.25">
      <c r="A19" s="49">
        <v>1</v>
      </c>
      <c r="B19" s="50">
        <v>0.02</v>
      </c>
      <c r="C19" s="50">
        <f>C21*B19</f>
        <v>0.1</v>
      </c>
      <c r="D19" s="51">
        <v>1.6</v>
      </c>
      <c r="F19" s="80">
        <v>4</v>
      </c>
      <c r="G19" s="81">
        <v>6.8000000000000005E-2</v>
      </c>
      <c r="H19" s="82">
        <f t="shared" si="4"/>
        <v>0.13600000000000001</v>
      </c>
      <c r="J19" s="80">
        <v>4</v>
      </c>
      <c r="K19" s="81">
        <v>6.8000000000000005E-2</v>
      </c>
      <c r="L19" s="82">
        <f t="shared" si="5"/>
        <v>0.23799999999999999</v>
      </c>
      <c r="N19" s="80">
        <v>4</v>
      </c>
      <c r="O19" s="81">
        <v>6.8000000000000005E-2</v>
      </c>
      <c r="P19" s="82">
        <f t="shared" si="6"/>
        <v>0.34</v>
      </c>
    </row>
    <row r="20" spans="1:19" x14ac:dyDescent="0.25">
      <c r="A20" s="49">
        <v>2</v>
      </c>
      <c r="B20" s="50">
        <v>0.1</v>
      </c>
      <c r="C20" s="50">
        <f>C21*B20</f>
        <v>0.5</v>
      </c>
      <c r="D20" s="51">
        <v>8</v>
      </c>
      <c r="F20" s="80">
        <v>5</v>
      </c>
      <c r="G20" s="81">
        <v>0.2</v>
      </c>
      <c r="H20" s="82">
        <f t="shared" si="4"/>
        <v>0.4</v>
      </c>
      <c r="J20" s="80">
        <v>5</v>
      </c>
      <c r="K20" s="81">
        <v>0.2</v>
      </c>
      <c r="L20" s="82">
        <f t="shared" si="5"/>
        <v>0.7</v>
      </c>
      <c r="N20" s="80">
        <v>5</v>
      </c>
      <c r="O20" s="81">
        <v>0.2</v>
      </c>
      <c r="P20" s="82">
        <f t="shared" si="6"/>
        <v>1</v>
      </c>
    </row>
    <row r="21" spans="1:19" ht="15.75" thickBot="1" x14ac:dyDescent="0.3">
      <c r="A21" s="52">
        <v>3</v>
      </c>
      <c r="B21" s="53"/>
      <c r="C21" s="53">
        <f>C18*250/1000</f>
        <v>5</v>
      </c>
      <c r="D21" s="54">
        <v>80</v>
      </c>
      <c r="F21" s="80">
        <v>6</v>
      </c>
      <c r="G21" s="81">
        <v>0.4</v>
      </c>
      <c r="H21" s="82">
        <f t="shared" si="4"/>
        <v>0.8</v>
      </c>
      <c r="J21" s="80">
        <v>6</v>
      </c>
      <c r="K21" s="81">
        <v>0.4</v>
      </c>
      <c r="L21" s="82">
        <f t="shared" si="5"/>
        <v>1.4</v>
      </c>
      <c r="N21" s="80">
        <v>6</v>
      </c>
      <c r="O21" s="81">
        <v>0.4</v>
      </c>
      <c r="P21" s="82">
        <f t="shared" si="6"/>
        <v>2</v>
      </c>
    </row>
    <row r="22" spans="1:19" x14ac:dyDescent="0.25">
      <c r="F22" s="80">
        <v>7</v>
      </c>
      <c r="G22" s="81">
        <v>0.8</v>
      </c>
      <c r="H22" s="82">
        <f t="shared" si="4"/>
        <v>1.6</v>
      </c>
      <c r="J22" s="80">
        <v>7</v>
      </c>
      <c r="K22" s="81">
        <v>0.8</v>
      </c>
      <c r="L22" s="82">
        <f t="shared" si="5"/>
        <v>2.8</v>
      </c>
      <c r="N22" s="80">
        <v>7</v>
      </c>
      <c r="O22" s="81">
        <v>0.8</v>
      </c>
      <c r="P22" s="82">
        <f t="shared" si="6"/>
        <v>4</v>
      </c>
    </row>
    <row r="23" spans="1:19" ht="15.75" thickBot="1" x14ac:dyDescent="0.3">
      <c r="F23" s="83">
        <v>8</v>
      </c>
      <c r="G23" s="84">
        <v>1</v>
      </c>
      <c r="H23" s="85">
        <f t="shared" si="4"/>
        <v>2</v>
      </c>
      <c r="J23" s="83">
        <v>8</v>
      </c>
      <c r="K23" s="84">
        <v>1</v>
      </c>
      <c r="L23" s="85">
        <f t="shared" si="5"/>
        <v>3.5</v>
      </c>
      <c r="N23" s="83">
        <v>8</v>
      </c>
      <c r="O23" s="84">
        <v>1</v>
      </c>
      <c r="P23" s="85">
        <f t="shared" si="6"/>
        <v>5</v>
      </c>
    </row>
    <row r="24" spans="1:19" ht="15.75" thickBot="1" x14ac:dyDescent="0.3"/>
    <row r="25" spans="1:19" x14ac:dyDescent="0.25">
      <c r="B25" s="55" t="s">
        <v>100</v>
      </c>
      <c r="C25" s="56"/>
      <c r="D25" s="57"/>
      <c r="F25" s="55" t="s">
        <v>34</v>
      </c>
      <c r="G25" s="47"/>
      <c r="H25" s="57"/>
      <c r="J25" s="55" t="s">
        <v>306</v>
      </c>
      <c r="K25" s="56"/>
      <c r="L25" s="57"/>
    </row>
    <row r="26" spans="1:19" x14ac:dyDescent="0.25">
      <c r="B26" s="49" t="s">
        <v>24</v>
      </c>
      <c r="C26" s="50"/>
      <c r="D26" s="51"/>
      <c r="F26" s="49" t="s">
        <v>24</v>
      </c>
      <c r="G26" s="50"/>
      <c r="H26" s="51"/>
      <c r="J26" s="49" t="s">
        <v>24</v>
      </c>
      <c r="K26" s="50"/>
      <c r="L26" s="51"/>
    </row>
    <row r="27" spans="1:19" x14ac:dyDescent="0.25">
      <c r="B27" s="49" t="s">
        <v>8</v>
      </c>
      <c r="C27" s="50"/>
      <c r="D27" s="58">
        <v>16</v>
      </c>
      <c r="F27" s="49" t="s">
        <v>8</v>
      </c>
      <c r="G27" s="50"/>
      <c r="H27" s="58">
        <v>130</v>
      </c>
      <c r="J27" s="49" t="s">
        <v>8</v>
      </c>
      <c r="K27" s="50"/>
      <c r="L27" s="58">
        <v>100</v>
      </c>
    </row>
    <row r="28" spans="1:19" x14ac:dyDescent="0.25">
      <c r="B28" s="49" t="s">
        <v>9</v>
      </c>
      <c r="C28" s="50"/>
      <c r="D28" s="51">
        <f>D27/1000</f>
        <v>1.6E-2</v>
      </c>
      <c r="F28" s="49" t="s">
        <v>9</v>
      </c>
      <c r="G28" s="50"/>
      <c r="H28" s="51">
        <f>H27/1000</f>
        <v>0.13</v>
      </c>
      <c r="J28" s="49" t="s">
        <v>9</v>
      </c>
      <c r="K28" s="50"/>
      <c r="L28" s="51">
        <f>L27/1000</f>
        <v>0.1</v>
      </c>
      <c r="N28" t="s">
        <v>48</v>
      </c>
      <c r="P28">
        <v>4</v>
      </c>
      <c r="R28">
        <f>P28/D34</f>
        <v>0.46551724137931039</v>
      </c>
      <c r="S28" t="s">
        <v>51</v>
      </c>
    </row>
    <row r="29" spans="1:19" x14ac:dyDescent="0.25">
      <c r="B29" s="49" t="s">
        <v>11</v>
      </c>
      <c r="C29" s="50"/>
      <c r="D29" s="58">
        <v>15.041</v>
      </c>
      <c r="F29" s="49" t="s">
        <v>11</v>
      </c>
      <c r="G29" s="50"/>
      <c r="H29" s="58">
        <v>15.041</v>
      </c>
      <c r="J29" s="49" t="s">
        <v>11</v>
      </c>
      <c r="K29" s="50"/>
      <c r="L29" s="58">
        <v>15.041</v>
      </c>
      <c r="N29" t="s">
        <v>52</v>
      </c>
      <c r="R29">
        <f>D30/D34</f>
        <v>4.8623922413793111E-4</v>
      </c>
    </row>
    <row r="30" spans="1:19" x14ac:dyDescent="0.25">
      <c r="B30" s="49" t="s">
        <v>10</v>
      </c>
      <c r="C30" s="50"/>
      <c r="D30" s="51">
        <f>D29/3600</f>
        <v>4.1780555555555555E-3</v>
      </c>
      <c r="F30" s="49" t="s">
        <v>10</v>
      </c>
      <c r="G30" s="50"/>
      <c r="H30" s="51">
        <f>H29/3600</f>
        <v>4.1780555555555555E-3</v>
      </c>
      <c r="J30" s="49" t="s">
        <v>10</v>
      </c>
      <c r="K30" s="50"/>
      <c r="L30" s="51">
        <f>L29/3600</f>
        <v>4.1780555555555555E-3</v>
      </c>
      <c r="R30">
        <f>R29*P28</f>
        <v>1.9449568965517244E-3</v>
      </c>
    </row>
    <row r="31" spans="1:19" x14ac:dyDescent="0.25">
      <c r="B31" s="49" t="s">
        <v>12</v>
      </c>
      <c r="C31" s="50"/>
      <c r="D31" s="58">
        <v>0.5</v>
      </c>
      <c r="F31" s="49" t="s">
        <v>12</v>
      </c>
      <c r="G31" s="50"/>
      <c r="H31" s="58">
        <v>0.5</v>
      </c>
      <c r="J31" s="49" t="s">
        <v>12</v>
      </c>
      <c r="K31" s="50"/>
      <c r="L31" s="58">
        <v>0.5</v>
      </c>
    </row>
    <row r="32" spans="1:19" x14ac:dyDescent="0.25">
      <c r="B32" s="49" t="s">
        <v>21</v>
      </c>
      <c r="C32" s="50"/>
      <c r="D32" s="51">
        <f>D30*D31</f>
        <v>2.0890277777777778E-3</v>
      </c>
      <c r="F32" s="49" t="s">
        <v>21</v>
      </c>
      <c r="G32" s="50"/>
      <c r="H32" s="51">
        <f>H30*H31</f>
        <v>2.0890277777777778E-3</v>
      </c>
      <c r="J32" s="49" t="s">
        <v>21</v>
      </c>
      <c r="K32" s="50"/>
      <c r="L32" s="51">
        <f>L30*L31</f>
        <v>2.0890277777777778E-3</v>
      </c>
    </row>
    <row r="33" spans="2:19" x14ac:dyDescent="0.25">
      <c r="B33" s="49" t="s">
        <v>7</v>
      </c>
      <c r="C33" s="50"/>
      <c r="D33" s="59">
        <v>11136000</v>
      </c>
      <c r="F33" s="49" t="s">
        <v>7</v>
      </c>
      <c r="G33" s="50"/>
      <c r="H33" s="59">
        <v>5184000</v>
      </c>
      <c r="J33" s="49" t="s">
        <v>7</v>
      </c>
      <c r="K33" s="50"/>
      <c r="L33" s="59">
        <v>9024000</v>
      </c>
      <c r="N33" t="s">
        <v>53</v>
      </c>
      <c r="R33">
        <f>P28*R29</f>
        <v>1.9449568965517244E-3</v>
      </c>
    </row>
    <row r="34" spans="2:19" x14ac:dyDescent="0.25">
      <c r="B34" s="49" t="s">
        <v>22</v>
      </c>
      <c r="C34" s="50"/>
      <c r="D34" s="51">
        <f>D33/360/3600</f>
        <v>8.5925925925925917</v>
      </c>
      <c r="F34" s="49" t="s">
        <v>22</v>
      </c>
      <c r="G34" s="50"/>
      <c r="H34" s="51">
        <f>H33/360/3600</f>
        <v>4</v>
      </c>
      <c r="J34" s="49" t="s">
        <v>22</v>
      </c>
      <c r="K34" s="50"/>
      <c r="L34" s="51">
        <f>L33/360/3600</f>
        <v>6.9629629629629637</v>
      </c>
    </row>
    <row r="35" spans="2:19" x14ac:dyDescent="0.25">
      <c r="B35" s="49" t="s">
        <v>20</v>
      </c>
      <c r="C35" s="50"/>
      <c r="D35" s="51">
        <f>D28*D32*3600</f>
        <v>0.120328</v>
      </c>
      <c r="F35" s="49" t="s">
        <v>20</v>
      </c>
      <c r="G35" s="50"/>
      <c r="H35" s="51">
        <f>H28*H32*3600</f>
        <v>0.9776649999999999</v>
      </c>
      <c r="J35" s="49" t="s">
        <v>20</v>
      </c>
      <c r="K35" s="50"/>
      <c r="L35" s="51">
        <f>L28*L32*3600</f>
        <v>0.75205000000000011</v>
      </c>
      <c r="N35" t="s">
        <v>49</v>
      </c>
      <c r="P35">
        <v>34</v>
      </c>
      <c r="R35">
        <f>(P35/1000)*D32*3600</f>
        <v>0.25569700000000001</v>
      </c>
      <c r="S35" t="s">
        <v>50</v>
      </c>
    </row>
    <row r="36" spans="2:19" ht="15.75" thickBot="1" x14ac:dyDescent="0.3">
      <c r="B36" s="52" t="s">
        <v>13</v>
      </c>
      <c r="C36" s="53"/>
      <c r="D36" s="54">
        <f>D34*D35</f>
        <v>1.0339294814814814</v>
      </c>
      <c r="F36" s="52" t="s">
        <v>13</v>
      </c>
      <c r="G36" s="53"/>
      <c r="H36" s="54">
        <f>H34*H35</f>
        <v>3.9106599999999996</v>
      </c>
      <c r="J36" s="52" t="s">
        <v>13</v>
      </c>
      <c r="K36" s="53"/>
      <c r="L36" s="54">
        <f>L34*L35</f>
        <v>5.2364962962962975</v>
      </c>
    </row>
    <row r="38" spans="2:19" ht="15.75" thickBot="1" x14ac:dyDescent="0.3">
      <c r="N38" s="18" t="s">
        <v>93</v>
      </c>
    </row>
    <row r="39" spans="2:19" x14ac:dyDescent="0.25">
      <c r="H39" s="55" t="s">
        <v>99</v>
      </c>
      <c r="I39" s="56"/>
      <c r="J39" s="56"/>
      <c r="K39" s="56"/>
      <c r="L39" s="60" t="s">
        <v>37</v>
      </c>
      <c r="N39" t="s">
        <v>94</v>
      </c>
      <c r="O39" t="s">
        <v>95</v>
      </c>
      <c r="P39" t="s">
        <v>98</v>
      </c>
      <c r="R39" t="s">
        <v>96</v>
      </c>
      <c r="S39" t="s">
        <v>97</v>
      </c>
    </row>
    <row r="40" spans="2:19" x14ac:dyDescent="0.25">
      <c r="B40" t="s">
        <v>23</v>
      </c>
      <c r="F40" t="s">
        <v>35</v>
      </c>
      <c r="H40" s="61" t="s">
        <v>91</v>
      </c>
      <c r="I40" s="50">
        <f>HEX2DEC(MID(H40,1,2)) * POWER(16,0)</f>
        <v>183</v>
      </c>
      <c r="J40" s="50">
        <f>HEX2DEC(MID(H40,3,2))* POWER(16,2)</f>
        <v>256</v>
      </c>
      <c r="K40" s="50">
        <f>HEX2DEC(MID(H40,5,2))* POWER(16,4)</f>
        <v>0</v>
      </c>
      <c r="L40" s="51">
        <f>I40+J40+K40</f>
        <v>439</v>
      </c>
      <c r="N40" s="1">
        <v>-4</v>
      </c>
      <c r="O40" s="1">
        <v>64</v>
      </c>
      <c r="P40">
        <f>IF(N40&lt;0,N40+360,N40)</f>
        <v>356</v>
      </c>
      <c r="R40">
        <f>(N40 * -1) + 90</f>
        <v>94</v>
      </c>
      <c r="S40">
        <f>O40</f>
        <v>64</v>
      </c>
    </row>
    <row r="41" spans="2:19" x14ac:dyDescent="0.25">
      <c r="B41" t="s">
        <v>14</v>
      </c>
      <c r="D41">
        <f>D28*D32*3600</f>
        <v>0.120328</v>
      </c>
      <c r="E41" t="s">
        <v>17</v>
      </c>
      <c r="H41" s="61" t="s">
        <v>36</v>
      </c>
      <c r="I41" s="50">
        <f t="shared" ref="I41:I44" si="7">HEX2DEC(MID(H41,1,2)) * POWER(16,0)</f>
        <v>239</v>
      </c>
      <c r="J41" s="50">
        <f t="shared" ref="J41:J44" si="8">HEX2DEC(MID(H41,3,2))* POWER(16,2)</f>
        <v>12544</v>
      </c>
      <c r="K41" s="50">
        <f t="shared" ref="K41:K44" si="9">HEX2DEC(MID(H41,5,2))* POWER(16,4)</f>
        <v>6619136</v>
      </c>
      <c r="L41" s="51">
        <f t="shared" ref="L41:L44" si="10">I41+J41+K41</f>
        <v>6631919</v>
      </c>
    </row>
    <row r="42" spans="2:19" x14ac:dyDescent="0.25">
      <c r="B42" t="s">
        <v>15</v>
      </c>
      <c r="D42">
        <f>D33/360/3600</f>
        <v>8.5925925925925917</v>
      </c>
      <c r="E42" t="s">
        <v>18</v>
      </c>
      <c r="H42" s="61" t="s">
        <v>91</v>
      </c>
      <c r="I42" s="50">
        <f t="shared" si="7"/>
        <v>183</v>
      </c>
      <c r="J42" s="50">
        <f t="shared" si="8"/>
        <v>256</v>
      </c>
      <c r="K42" s="50">
        <f t="shared" si="9"/>
        <v>0</v>
      </c>
      <c r="L42" s="51">
        <f t="shared" si="10"/>
        <v>439</v>
      </c>
    </row>
    <row r="43" spans="2:19" x14ac:dyDescent="0.25">
      <c r="B43" t="s">
        <v>16</v>
      </c>
      <c r="D43">
        <f>D41*D42</f>
        <v>1.0339294814814814</v>
      </c>
      <c r="E43" t="s">
        <v>19</v>
      </c>
      <c r="H43" s="61" t="s">
        <v>92</v>
      </c>
      <c r="I43" s="50">
        <f t="shared" si="7"/>
        <v>155</v>
      </c>
      <c r="J43" s="50">
        <f t="shared" si="8"/>
        <v>58624</v>
      </c>
      <c r="K43" s="50">
        <f t="shared" si="9"/>
        <v>8323072</v>
      </c>
      <c r="L43" s="51">
        <f t="shared" si="10"/>
        <v>8381851</v>
      </c>
      <c r="N43" s="45">
        <v>9024000</v>
      </c>
    </row>
    <row r="44" spans="2:19" ht="15.75" thickBot="1" x14ac:dyDescent="0.3">
      <c r="B44" t="s">
        <v>25</v>
      </c>
      <c r="D44">
        <f>ROUNDUP(D43,0)</f>
        <v>2</v>
      </c>
      <c r="H44" s="62"/>
      <c r="I44" s="53">
        <f t="shared" si="7"/>
        <v>0</v>
      </c>
      <c r="J44" s="53">
        <f t="shared" si="8"/>
        <v>0</v>
      </c>
      <c r="K44" s="53">
        <f t="shared" si="9"/>
        <v>0</v>
      </c>
      <c r="L44" s="54">
        <f t="shared" si="10"/>
        <v>0</v>
      </c>
      <c r="N44">
        <v>4.1780555555555555E-3</v>
      </c>
    </row>
    <row r="45" spans="2:19" ht="15.75" thickBot="1" x14ac:dyDescent="0.3">
      <c r="N45">
        <v>0.5</v>
      </c>
    </row>
    <row r="46" spans="2:19" x14ac:dyDescent="0.25">
      <c r="H46" s="63" t="s">
        <v>148</v>
      </c>
      <c r="I46" s="47"/>
      <c r="J46" s="47"/>
      <c r="K46" s="47"/>
      <c r="L46" s="57"/>
      <c r="N46">
        <f>N44*N45</f>
        <v>2.0890277777777778E-3</v>
      </c>
    </row>
    <row r="47" spans="2:19" x14ac:dyDescent="0.25">
      <c r="B47" t="s">
        <v>29</v>
      </c>
      <c r="D47" s="101">
        <v>1</v>
      </c>
      <c r="F47" t="s">
        <v>42</v>
      </c>
      <c r="H47" s="61">
        <v>439</v>
      </c>
      <c r="I47" s="50"/>
      <c r="J47" s="50" t="str">
        <f>DEC2HEX(H47,6)</f>
        <v>0001B7</v>
      </c>
      <c r="K47" s="50"/>
      <c r="L47" s="64" t="str">
        <f>MID(J47,5,2) &amp; MID(J47,3,2) &amp; MID(J47,1,2)</f>
        <v>B70100</v>
      </c>
      <c r="N47">
        <f>N43/360/3600</f>
        <v>6.9629629629629637</v>
      </c>
    </row>
    <row r="48" spans="2:19" x14ac:dyDescent="0.25">
      <c r="B48" t="s">
        <v>31</v>
      </c>
      <c r="D48">
        <f>D32*3600</f>
        <v>7.5205000000000002</v>
      </c>
      <c r="F48" t="s">
        <v>40</v>
      </c>
      <c r="H48" s="61">
        <v>502</v>
      </c>
      <c r="I48" s="50"/>
      <c r="J48" s="50" t="str">
        <f t="shared" ref="J48:J50" si="11">DEC2HEX(H48,6)</f>
        <v>0001F6</v>
      </c>
      <c r="K48" s="50"/>
      <c r="L48" s="64" t="str">
        <f t="shared" ref="L48:L50" si="12">MID(J48,5,2) &amp; MID(J48,3,2) &amp; MID(J48,1,2)</f>
        <v>F60100</v>
      </c>
    </row>
    <row r="49" spans="2:17" x14ac:dyDescent="0.25">
      <c r="B49" t="s">
        <v>30</v>
      </c>
      <c r="D49">
        <f>D41/D48*1000</f>
        <v>16</v>
      </c>
      <c r="F49" t="s">
        <v>41</v>
      </c>
      <c r="H49" s="61">
        <v>1119</v>
      </c>
      <c r="I49" s="50"/>
      <c r="J49" s="50" t="str">
        <f t="shared" si="11"/>
        <v>00045F</v>
      </c>
      <c r="K49" s="50"/>
      <c r="L49" s="64" t="str">
        <f t="shared" si="12"/>
        <v>5F0400</v>
      </c>
      <c r="N49">
        <f>1/N47/3600/N46</f>
        <v>1.9096738418535434E-2</v>
      </c>
    </row>
    <row r="50" spans="2:17" ht="15.75" thickBot="1" x14ac:dyDescent="0.3">
      <c r="B50" t="s">
        <v>32</v>
      </c>
      <c r="D50">
        <f>D49*D47</f>
        <v>16</v>
      </c>
      <c r="H50" s="62">
        <v>1118</v>
      </c>
      <c r="I50" s="53"/>
      <c r="J50" s="53" t="str">
        <f t="shared" si="11"/>
        <v>00045E</v>
      </c>
      <c r="K50" s="53"/>
      <c r="L50" s="65" t="str">
        <f t="shared" si="12"/>
        <v>5E0400</v>
      </c>
      <c r="N50">
        <f>N49*1000</f>
        <v>19.096738418535434</v>
      </c>
    </row>
    <row r="51" spans="2:17" ht="15.75" thickBot="1" x14ac:dyDescent="0.3">
      <c r="F51" t="s">
        <v>43</v>
      </c>
    </row>
    <row r="52" spans="2:17" x14ac:dyDescent="0.25">
      <c r="B52" s="46" t="s">
        <v>276</v>
      </c>
      <c r="C52" s="47"/>
      <c r="D52" s="48">
        <v>91</v>
      </c>
      <c r="F52" t="s">
        <v>41</v>
      </c>
      <c r="O52">
        <f>250/D34/3600/D32*1000</f>
        <v>3868.7358003067479</v>
      </c>
    </row>
    <row r="53" spans="2:17" ht="15.75" thickBot="1" x14ac:dyDescent="0.3">
      <c r="B53" s="49" t="s">
        <v>274</v>
      </c>
      <c r="C53" s="50"/>
      <c r="D53" s="51">
        <f>D52/D34</f>
        <v>10.590517241379311</v>
      </c>
      <c r="F53" t="s">
        <v>40</v>
      </c>
      <c r="O53">
        <f>250/8.592592593/3600/0.002089028*1000</f>
        <v>3868.7353885830848</v>
      </c>
      <c r="P53">
        <f>3600*D32</f>
        <v>7.5205000000000002</v>
      </c>
    </row>
    <row r="54" spans="2:17" x14ac:dyDescent="0.25">
      <c r="B54" s="49"/>
      <c r="C54" s="50"/>
      <c r="D54" s="51">
        <f>D53/3600</f>
        <v>2.9418103448275866E-3</v>
      </c>
      <c r="H54" s="55" t="s">
        <v>110</v>
      </c>
      <c r="I54" s="47"/>
      <c r="J54" s="47"/>
      <c r="K54" s="47"/>
      <c r="L54" s="57"/>
    </row>
    <row r="55" spans="2:17" x14ac:dyDescent="0.25">
      <c r="B55" s="49"/>
      <c r="C55" s="50"/>
      <c r="D55" s="51">
        <f>D54/D32</f>
        <v>1.4082198313116563</v>
      </c>
      <c r="H55" s="66" t="s">
        <v>102</v>
      </c>
      <c r="I55" s="67">
        <v>3.0000000000000001E-3</v>
      </c>
      <c r="J55" s="50"/>
      <c r="K55" s="50"/>
      <c r="L55" s="51"/>
      <c r="O55">
        <f>1000* 0.116379310344827/(7.5205 / 100) * 15.014</f>
        <v>23234.079722322087</v>
      </c>
    </row>
    <row r="56" spans="2:17" ht="15.75" thickBot="1" x14ac:dyDescent="0.3">
      <c r="B56" s="52" t="s">
        <v>275</v>
      </c>
      <c r="C56" s="53"/>
      <c r="D56" s="54">
        <f>D55*1000</f>
        <v>1408.2198313116562</v>
      </c>
      <c r="H56" s="49" t="s">
        <v>103</v>
      </c>
      <c r="I56" s="50"/>
      <c r="J56" s="68">
        <f>128 * 0.000072921158452214</f>
        <v>9.3339082818833918E-3</v>
      </c>
      <c r="K56" s="50"/>
      <c r="L56" s="51"/>
    </row>
    <row r="57" spans="2:17" ht="15.75" thickBot="1" x14ac:dyDescent="0.3">
      <c r="H57" s="49"/>
      <c r="I57" s="50"/>
      <c r="J57" s="69" t="s">
        <v>104</v>
      </c>
      <c r="K57" s="50"/>
      <c r="L57" s="70" t="s">
        <v>105</v>
      </c>
    </row>
    <row r="58" spans="2:17" x14ac:dyDescent="0.25">
      <c r="B58" s="46" t="s">
        <v>101</v>
      </c>
      <c r="C58" s="47"/>
      <c r="D58" s="47"/>
      <c r="E58" s="47"/>
      <c r="F58" s="57"/>
      <c r="H58" s="49" t="s">
        <v>106</v>
      </c>
      <c r="I58" s="50"/>
      <c r="J58" s="50">
        <f>IF(I55&gt;J56, I55/16,0)</f>
        <v>0</v>
      </c>
      <c r="K58" s="50"/>
      <c r="L58" s="51">
        <f>IF(I55&gt;J56, 0,I55)</f>
        <v>3.0000000000000001E-3</v>
      </c>
      <c r="O58" s="45">
        <v>11136000</v>
      </c>
      <c r="P58">
        <f>50 /100 * 15.041</f>
        <v>7.5205000000000002</v>
      </c>
      <c r="Q58">
        <f>15.041/2</f>
        <v>7.5205000000000002</v>
      </c>
    </row>
    <row r="59" spans="2:17" x14ac:dyDescent="0.25">
      <c r="B59" s="49"/>
      <c r="C59" s="50" t="s">
        <v>46</v>
      </c>
      <c r="D59" s="75">
        <v>0.84299999999999997</v>
      </c>
      <c r="E59" s="50"/>
      <c r="F59" s="51"/>
      <c r="H59" s="49" t="s">
        <v>107</v>
      </c>
      <c r="I59" s="50"/>
      <c r="J59" s="50" t="e">
        <f>1/J58</f>
        <v>#DIV/0!</v>
      </c>
      <c r="K59" s="50"/>
      <c r="L59" s="51">
        <f>1/L58</f>
        <v>333.33333333333331</v>
      </c>
      <c r="O59" s="45">
        <v>1296000</v>
      </c>
    </row>
    <row r="60" spans="2:17" x14ac:dyDescent="0.25">
      <c r="B60" s="49"/>
      <c r="C60" s="50" t="s">
        <v>44</v>
      </c>
      <c r="D60" s="75">
        <v>0.99</v>
      </c>
      <c r="E60" s="50"/>
      <c r="F60" s="51">
        <f>(D60*D59)</f>
        <v>0.83456999999999992</v>
      </c>
      <c r="H60" s="49" t="s">
        <v>108</v>
      </c>
      <c r="I60" s="50"/>
      <c r="J60" s="50" t="e">
        <f>J59 * 0.0320128742779054</f>
        <v>#DIV/0!</v>
      </c>
      <c r="K60" s="50"/>
      <c r="L60" s="51">
        <f>L59 * 0.0320128742779054</f>
        <v>10.670958092635132</v>
      </c>
      <c r="O60">
        <f>O58/O59</f>
        <v>8.5925925925925934</v>
      </c>
    </row>
    <row r="61" spans="2:17" ht="15.75" thickBot="1" x14ac:dyDescent="0.3">
      <c r="B61" s="49"/>
      <c r="C61" s="50" t="s">
        <v>45</v>
      </c>
      <c r="D61" s="75">
        <v>45.995632171630803</v>
      </c>
      <c r="E61" s="50"/>
      <c r="F61" s="51">
        <f>COS(D61)</f>
        <v>-0.42823497815851352</v>
      </c>
      <c r="H61" s="52" t="s">
        <v>4</v>
      </c>
      <c r="I61" s="53"/>
      <c r="J61" s="53" t="e">
        <f>TRUNC(J60,0)</f>
        <v>#DIV/0!</v>
      </c>
      <c r="K61" s="53"/>
      <c r="L61" s="54">
        <f>TRUNC(L60,0)</f>
        <v>10</v>
      </c>
      <c r="O61">
        <f>1000 * O60/P58</f>
        <v>1142.5560258749542</v>
      </c>
    </row>
    <row r="62" spans="2:17" ht="15.75" thickBot="1" x14ac:dyDescent="0.3">
      <c r="B62" s="49"/>
      <c r="C62" s="50"/>
      <c r="D62" s="50">
        <f>(D60*D59)/COS(D61)</f>
        <v>-1.9488599543848548</v>
      </c>
      <c r="E62" s="50"/>
      <c r="F62" s="51"/>
      <c r="O62">
        <f>O59/O58</f>
        <v>0.11637931034482758</v>
      </c>
    </row>
    <row r="63" spans="2:17" x14ac:dyDescent="0.25">
      <c r="B63" s="49"/>
      <c r="C63" s="50"/>
      <c r="D63" s="50"/>
      <c r="E63" s="50"/>
      <c r="F63" s="51"/>
      <c r="H63" s="71" t="s">
        <v>4</v>
      </c>
      <c r="I63" s="72">
        <v>5</v>
      </c>
      <c r="J63" s="47"/>
      <c r="K63" s="47"/>
      <c r="L63" s="57"/>
      <c r="O63">
        <f xml:space="preserve"> 250 * O59/O58</f>
        <v>29.094827586206897</v>
      </c>
      <c r="P63">
        <f>1000* O63/P58</f>
        <v>3868.7358003067479</v>
      </c>
    </row>
    <row r="64" spans="2:17" x14ac:dyDescent="0.25">
      <c r="B64" s="49"/>
      <c r="C64" s="50" t="s">
        <v>47</v>
      </c>
      <c r="D64" s="50">
        <v>12.8916</v>
      </c>
      <c r="E64" s="50"/>
      <c r="F64" s="51">
        <f>(D65*D64)</f>
        <v>0.4769892</v>
      </c>
      <c r="H64" s="73" t="s">
        <v>103</v>
      </c>
      <c r="I64" s="50"/>
      <c r="J64" s="19">
        <f>128 * 0.000072921158452214</f>
        <v>9.3339082818833918E-3</v>
      </c>
      <c r="K64" s="50"/>
      <c r="L64" s="51"/>
    </row>
    <row r="65" spans="2:12" ht="15.75" thickBot="1" x14ac:dyDescent="0.3">
      <c r="B65" s="52"/>
      <c r="C65" s="53" t="s">
        <v>46</v>
      </c>
      <c r="D65" s="53">
        <v>3.6999999999999998E-2</v>
      </c>
      <c r="E65" s="53"/>
      <c r="F65" s="54">
        <f>F64  * 0.6866</f>
        <v>0.32750078471999999</v>
      </c>
      <c r="H65" s="49" t="s">
        <v>109</v>
      </c>
      <c r="I65" s="50"/>
      <c r="J65" s="50">
        <f xml:space="preserve"> I63/0.0320128742779054</f>
        <v>156.18716259573398</v>
      </c>
      <c r="K65" s="50"/>
      <c r="L65" s="51">
        <f xml:space="preserve"> I63/0.0320128742779054</f>
        <v>156.18716259573398</v>
      </c>
    </row>
    <row r="66" spans="2:12" x14ac:dyDescent="0.25">
      <c r="H66" s="49" t="s">
        <v>107</v>
      </c>
      <c r="I66" s="50"/>
      <c r="J66" s="19">
        <f>1/J65</f>
        <v>6.4025748555810794E-3</v>
      </c>
      <c r="K66" s="50"/>
      <c r="L66" s="51">
        <f>1/L65</f>
        <v>6.4025748555810794E-3</v>
      </c>
    </row>
    <row r="67" spans="2:12" x14ac:dyDescent="0.25">
      <c r="H67" s="73" t="s">
        <v>106</v>
      </c>
      <c r="I67" s="50"/>
      <c r="J67" s="19">
        <f>16/J65</f>
        <v>0.10244119768929727</v>
      </c>
      <c r="K67" s="50"/>
      <c r="L67" s="51"/>
    </row>
    <row r="68" spans="2:12" x14ac:dyDescent="0.25">
      <c r="H68" s="49"/>
      <c r="I68" s="50"/>
      <c r="J68" s="69" t="s">
        <v>104</v>
      </c>
      <c r="K68" s="50"/>
      <c r="L68" s="70" t="s">
        <v>105</v>
      </c>
    </row>
    <row r="69" spans="2:12" ht="15.75" thickBot="1" x14ac:dyDescent="0.3">
      <c r="H69" s="74" t="s">
        <v>102</v>
      </c>
      <c r="I69" s="53"/>
      <c r="J69" s="53">
        <f>IF(J67&gt;J64,16/J65,0)</f>
        <v>0.10244119768929727</v>
      </c>
      <c r="K69" s="53"/>
      <c r="L69" s="54">
        <f>IF(L66&lt;J64,L66,0)</f>
        <v>6.4025748555810794E-3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0" workbookViewId="0">
      <selection activeCell="B28" sqref="B28"/>
    </sheetView>
  </sheetViews>
  <sheetFormatPr defaultRowHeight="15" x14ac:dyDescent="0.25"/>
  <cols>
    <col min="2" max="2" width="22.42578125" bestFit="1" customWidth="1"/>
    <col min="3" max="3" width="19.7109375" bestFit="1" customWidth="1"/>
    <col min="4" max="4" width="31.5703125" customWidth="1"/>
    <col min="5" max="5" width="12" bestFit="1" customWidth="1"/>
    <col min="6" max="6" width="8.5703125" customWidth="1"/>
    <col min="7" max="7" width="12.42578125" customWidth="1"/>
    <col min="8" max="8" width="15.7109375" bestFit="1" customWidth="1"/>
    <col min="9" max="9" width="20.28515625" customWidth="1"/>
    <col min="10" max="10" width="19.140625" bestFit="1" customWidth="1"/>
    <col min="11" max="11" width="20.140625" customWidth="1"/>
    <col min="12" max="12" width="12" bestFit="1" customWidth="1"/>
    <col min="13" max="13" width="12.5703125" customWidth="1"/>
  </cols>
  <sheetData>
    <row r="1" spans="1:13" x14ac:dyDescent="0.25">
      <c r="A1" s="7" t="s">
        <v>61</v>
      </c>
    </row>
    <row r="2" spans="1:13" x14ac:dyDescent="0.25">
      <c r="A2" s="4" t="s">
        <v>54</v>
      </c>
    </row>
    <row r="3" spans="1:13" x14ac:dyDescent="0.25">
      <c r="A3" s="4" t="s">
        <v>55</v>
      </c>
    </row>
    <row r="4" spans="1:13" x14ac:dyDescent="0.25">
      <c r="A4" s="4" t="s">
        <v>56</v>
      </c>
    </row>
    <row r="5" spans="1:13" x14ac:dyDescent="0.25">
      <c r="A5" t="s">
        <v>57</v>
      </c>
    </row>
    <row r="7" spans="1:13" x14ac:dyDescent="0.25">
      <c r="A7" s="4" t="s">
        <v>59</v>
      </c>
    </row>
    <row r="8" spans="1:13" x14ac:dyDescent="0.25">
      <c r="A8" s="5" t="s">
        <v>58</v>
      </c>
    </row>
    <row r="12" spans="1:13" x14ac:dyDescent="0.25">
      <c r="B12" s="7" t="s">
        <v>237</v>
      </c>
      <c r="H12" s="7" t="s">
        <v>236</v>
      </c>
    </row>
    <row r="13" spans="1:13" x14ac:dyDescent="0.25">
      <c r="B13" t="s">
        <v>154</v>
      </c>
      <c r="C13" s="1">
        <v>15.041067178700001</v>
      </c>
      <c r="H13" t="s">
        <v>151</v>
      </c>
      <c r="I13" s="23">
        <v>7.2920825775685299E-5</v>
      </c>
    </row>
    <row r="14" spans="1:13" x14ac:dyDescent="0.25">
      <c r="B14" t="s">
        <v>60</v>
      </c>
      <c r="C14" s="6">
        <f>360*60*60</f>
        <v>1296000</v>
      </c>
    </row>
    <row r="16" spans="1:13" x14ac:dyDescent="0.25">
      <c r="C16" t="s">
        <v>152</v>
      </c>
      <c r="D16" t="s">
        <v>153</v>
      </c>
      <c r="E16" t="s">
        <v>4</v>
      </c>
      <c r="H16" t="s">
        <v>235</v>
      </c>
      <c r="I16" t="s">
        <v>150</v>
      </c>
      <c r="J16" t="s">
        <v>153</v>
      </c>
      <c r="K16" t="s">
        <v>152</v>
      </c>
      <c r="L16" t="s">
        <v>149</v>
      </c>
      <c r="M16" t="s">
        <v>4</v>
      </c>
    </row>
    <row r="17" spans="1:13" x14ac:dyDescent="0.25">
      <c r="B17" t="s">
        <v>33</v>
      </c>
      <c r="C17" s="6">
        <f>'Synta Data'!F2</f>
        <v>11136000</v>
      </c>
      <c r="D17" s="6" t="str">
        <f>'Synta Data'!F4</f>
        <v>56,738</v>
      </c>
      <c r="E17">
        <f>D17*$C$14/C17/$C$13</f>
        <v>439.00670290839935</v>
      </c>
      <c r="G17" t="s">
        <v>33</v>
      </c>
      <c r="H17" s="11">
        <f>1/$I$13</f>
        <v>13713.503506887599</v>
      </c>
      <c r="I17">
        <f>J17/L17</f>
        <v>3.2012874277905473E-2</v>
      </c>
      <c r="J17" t="str">
        <f>'Synta Data'!F4</f>
        <v>56,738</v>
      </c>
      <c r="K17">
        <f>'Synta Data'!F2</f>
        <v>11136000</v>
      </c>
      <c r="L17">
        <f>K17 / (2*PI())</f>
        <v>1772349.4462713464</v>
      </c>
      <c r="M17">
        <f>H17*I17</f>
        <v>439.00866367560849</v>
      </c>
    </row>
    <row r="18" spans="1:13" x14ac:dyDescent="0.25">
      <c r="B18" t="s">
        <v>161</v>
      </c>
      <c r="C18" t="str">
        <f>'Synta Data'!H2</f>
        <v>5,184,000</v>
      </c>
      <c r="D18" t="str">
        <f>'Synta Data'!H4</f>
        <v>67,322</v>
      </c>
      <c r="E18">
        <f>D18*$C$14/C18/$C$13</f>
        <v>1118.9698044719896</v>
      </c>
      <c r="G18" t="s">
        <v>161</v>
      </c>
      <c r="H18" s="11">
        <f>1/$I$13</f>
        <v>13713.503506887599</v>
      </c>
      <c r="I18">
        <f>J18/L18</f>
        <v>8.1596566599140455E-2</v>
      </c>
      <c r="J18" t="str">
        <f>'Synta Data'!H4</f>
        <v>67,322</v>
      </c>
      <c r="K18" t="str">
        <f>'Synta Data'!H2</f>
        <v>5,184,000</v>
      </c>
      <c r="L18">
        <f>K18 / (2*PI())</f>
        <v>825059.22498838545</v>
      </c>
      <c r="M18">
        <f>H18*I18</f>
        <v>1118.9748022073002</v>
      </c>
    </row>
    <row r="22" spans="1:13" x14ac:dyDescent="0.25">
      <c r="A22" t="s">
        <v>297</v>
      </c>
    </row>
    <row r="23" spans="1:13" x14ac:dyDescent="0.25">
      <c r="B23" t="s">
        <v>111</v>
      </c>
      <c r="C23" t="s">
        <v>289</v>
      </c>
      <c r="D23" t="s">
        <v>294</v>
      </c>
      <c r="H23" t="s">
        <v>290</v>
      </c>
      <c r="I23" t="s">
        <v>291</v>
      </c>
      <c r="J23" t="s">
        <v>290</v>
      </c>
      <c r="K23" t="s">
        <v>291</v>
      </c>
    </row>
    <row r="24" spans="1:13" x14ac:dyDescent="0.25">
      <c r="A24" t="s">
        <v>284</v>
      </c>
      <c r="B24">
        <v>40000</v>
      </c>
      <c r="C24">
        <v>10000</v>
      </c>
      <c r="D24" s="93">
        <f>C24/B24</f>
        <v>0.25</v>
      </c>
      <c r="E24" t="s">
        <v>285</v>
      </c>
      <c r="H24">
        <v>100</v>
      </c>
      <c r="I24">
        <f>H24*D24</f>
        <v>25</v>
      </c>
      <c r="J24">
        <v>500</v>
      </c>
      <c r="K24">
        <f>J24*D24</f>
        <v>125</v>
      </c>
    </row>
    <row r="25" spans="1:13" x14ac:dyDescent="0.25">
      <c r="A25" t="s">
        <v>284</v>
      </c>
      <c r="B25">
        <v>40000</v>
      </c>
      <c r="C25">
        <v>5000</v>
      </c>
      <c r="D25" s="93">
        <f t="shared" ref="D25:D29" si="0">C25/B25</f>
        <v>0.125</v>
      </c>
      <c r="E25" t="s">
        <v>286</v>
      </c>
      <c r="H25">
        <v>100</v>
      </c>
      <c r="I25">
        <f t="shared" ref="I25:I28" si="1">H25*D25</f>
        <v>12.5</v>
      </c>
      <c r="J25">
        <v>500</v>
      </c>
      <c r="K25">
        <f t="shared" ref="K25:K28" si="2">J25*D25</f>
        <v>62.5</v>
      </c>
    </row>
    <row r="26" spans="1:13" x14ac:dyDescent="0.25">
      <c r="A26" t="s">
        <v>287</v>
      </c>
      <c r="B26">
        <v>70000</v>
      </c>
      <c r="C26">
        <v>9000</v>
      </c>
      <c r="D26" s="93">
        <f t="shared" si="0"/>
        <v>0.12857142857142856</v>
      </c>
      <c r="E26" t="s">
        <v>285</v>
      </c>
      <c r="H26">
        <v>100</v>
      </c>
      <c r="I26">
        <f t="shared" si="1"/>
        <v>12.857142857142856</v>
      </c>
      <c r="J26">
        <v>500</v>
      </c>
      <c r="K26">
        <f t="shared" si="2"/>
        <v>64.285714285714278</v>
      </c>
    </row>
    <row r="27" spans="1:13" x14ac:dyDescent="0.25">
      <c r="A27" t="s">
        <v>287</v>
      </c>
      <c r="B27">
        <v>65000</v>
      </c>
      <c r="C27">
        <v>5000</v>
      </c>
      <c r="D27" s="93">
        <f t="shared" si="0"/>
        <v>7.6923076923076927E-2</v>
      </c>
      <c r="E27" t="s">
        <v>286</v>
      </c>
      <c r="H27">
        <v>100</v>
      </c>
      <c r="I27">
        <f t="shared" si="1"/>
        <v>7.6923076923076925</v>
      </c>
      <c r="J27">
        <v>500</v>
      </c>
      <c r="K27">
        <f t="shared" si="2"/>
        <v>38.461538461538467</v>
      </c>
    </row>
    <row r="28" spans="1:13" x14ac:dyDescent="0.25">
      <c r="A28" t="s">
        <v>288</v>
      </c>
      <c r="B28">
        <v>54000</v>
      </c>
      <c r="C28">
        <v>10000</v>
      </c>
      <c r="D28" s="93">
        <f t="shared" si="0"/>
        <v>0.18518518518518517</v>
      </c>
      <c r="H28">
        <v>100</v>
      </c>
      <c r="I28">
        <f t="shared" si="1"/>
        <v>18.518518518518519</v>
      </c>
      <c r="J28">
        <v>500</v>
      </c>
      <c r="K28">
        <f t="shared" si="2"/>
        <v>92.592592592592581</v>
      </c>
    </row>
    <row r="29" spans="1:13" x14ac:dyDescent="0.25">
      <c r="A29" t="s">
        <v>33</v>
      </c>
      <c r="B29">
        <v>75000</v>
      </c>
      <c r="C29">
        <v>8000</v>
      </c>
      <c r="D29" s="93">
        <f t="shared" si="0"/>
        <v>0.10666666666666667</v>
      </c>
      <c r="H29" t="s">
        <v>292</v>
      </c>
      <c r="I29">
        <f>AVERAGE(I24:I28)</f>
        <v>15.313593813593815</v>
      </c>
      <c r="J29" t="s">
        <v>293</v>
      </c>
      <c r="K29">
        <f>AVERAGE(K24:K28)</f>
        <v>76.567969067969059</v>
      </c>
    </row>
    <row r="30" spans="1:13" x14ac:dyDescent="0.25">
      <c r="C30" t="s">
        <v>295</v>
      </c>
      <c r="D30" s="93">
        <f>AVERAGE(D24:D29)</f>
        <v>0.14539105955772622</v>
      </c>
    </row>
    <row r="31" spans="1:13" x14ac:dyDescent="0.25">
      <c r="D31" s="93"/>
      <c r="F31" t="s">
        <v>296</v>
      </c>
      <c r="H31">
        <v>100</v>
      </c>
      <c r="I31">
        <f>H31*D30</f>
        <v>14.539105955772621</v>
      </c>
      <c r="J31">
        <v>500</v>
      </c>
      <c r="K31">
        <f>J31*D30</f>
        <v>72.695529778863104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E24" sqref="E24"/>
    </sheetView>
  </sheetViews>
  <sheetFormatPr defaultRowHeight="15" x14ac:dyDescent="0.25"/>
  <cols>
    <col min="1" max="1" width="26" bestFit="1" customWidth="1"/>
    <col min="2" max="2" width="14" bestFit="1" customWidth="1"/>
    <col min="3" max="3" width="17.85546875" bestFit="1" customWidth="1"/>
    <col min="4" max="4" width="16.7109375" customWidth="1"/>
    <col min="5" max="5" width="16.85546875" customWidth="1"/>
    <col min="6" max="6" width="12.28515625" bestFit="1" customWidth="1"/>
    <col min="7" max="7" width="13.28515625" customWidth="1"/>
    <col min="8" max="8" width="13.28515625" bestFit="1" customWidth="1"/>
    <col min="9" max="9" width="21.7109375" customWidth="1"/>
    <col min="16" max="16" width="11.7109375" style="15" bestFit="1" customWidth="1"/>
    <col min="17" max="17" width="16.140625" style="14" customWidth="1"/>
  </cols>
  <sheetData>
    <row r="1" spans="1:17" x14ac:dyDescent="0.25">
      <c r="A1" s="7" t="s">
        <v>87</v>
      </c>
      <c r="B1" s="7"/>
    </row>
    <row r="2" spans="1:17" x14ac:dyDescent="0.25">
      <c r="A2" t="s">
        <v>86</v>
      </c>
      <c r="C2" s="12">
        <v>15.041067178700001</v>
      </c>
    </row>
    <row r="3" spans="1:17" x14ac:dyDescent="0.25">
      <c r="A3" t="s">
        <v>84</v>
      </c>
      <c r="C3" s="12">
        <v>8.5925930000000008</v>
      </c>
    </row>
    <row r="4" spans="1:17" x14ac:dyDescent="0.25">
      <c r="H4" t="s">
        <v>90</v>
      </c>
      <c r="I4" s="12">
        <f>((B25-$B$6)/$C$3)/((D25-$D$6)*86400)</f>
        <v>15.05087548762652</v>
      </c>
    </row>
    <row r="5" spans="1:17" s="9" customFormat="1" x14ac:dyDescent="0.25">
      <c r="A5" s="9" t="s">
        <v>62</v>
      </c>
      <c r="B5" s="9" t="s">
        <v>83</v>
      </c>
      <c r="C5" s="10" t="s">
        <v>85</v>
      </c>
      <c r="D5" s="9" t="s">
        <v>38</v>
      </c>
      <c r="E5" s="9" t="s">
        <v>39</v>
      </c>
      <c r="P5" s="16"/>
      <c r="Q5" s="17"/>
    </row>
    <row r="6" spans="1:17" x14ac:dyDescent="0.25">
      <c r="A6" t="s">
        <v>63</v>
      </c>
      <c r="B6">
        <v>2459698</v>
      </c>
      <c r="C6" s="8">
        <f t="shared" ref="C6:C25" si="0">TIMEVALUE(MID(A6,12,23))</f>
        <v>0.81632405092592597</v>
      </c>
      <c r="D6" s="8">
        <f>C6-$C$6</f>
        <v>0</v>
      </c>
      <c r="E6" s="11">
        <f t="shared" ref="E6:E25" si="1">((B6-$B$6)/$C$3)-((D6-$D$6)*86400*$C$2)</f>
        <v>0</v>
      </c>
    </row>
    <row r="7" spans="1:17" x14ac:dyDescent="0.25">
      <c r="A7" t="s">
        <v>64</v>
      </c>
      <c r="B7">
        <v>2459863</v>
      </c>
      <c r="C7" s="8">
        <f t="shared" si="0"/>
        <v>0.81633841435185184</v>
      </c>
      <c r="D7" s="8">
        <f t="shared" ref="D7:D25" si="2">C7-$C$6</f>
        <v>1.4363425925867368E-5</v>
      </c>
      <c r="E7" s="11">
        <f t="shared" si="1"/>
        <v>0.53662092773854297</v>
      </c>
      <c r="P7" s="15">
        <f t="shared" ref="P7:P25" si="3">B7-B6</f>
        <v>165</v>
      </c>
      <c r="Q7" s="8">
        <f>D7-D6</f>
        <v>1.4363425925867368E-5</v>
      </c>
    </row>
    <row r="8" spans="1:17" x14ac:dyDescent="0.25">
      <c r="A8" t="s">
        <v>65</v>
      </c>
      <c r="B8">
        <v>2459999</v>
      </c>
      <c r="C8" s="8">
        <f t="shared" si="0"/>
        <v>0.81635077546296297</v>
      </c>
      <c r="D8" s="8">
        <f t="shared" si="2"/>
        <v>2.6724537037003948E-5</v>
      </c>
      <c r="E8" s="11">
        <f t="shared" si="1"/>
        <v>0.30034663730453559</v>
      </c>
      <c r="P8" s="15">
        <f t="shared" si="3"/>
        <v>136</v>
      </c>
      <c r="Q8" s="8">
        <f t="shared" ref="Q8:Q25" si="4">D8-D7</f>
        <v>1.236111111113658E-5</v>
      </c>
    </row>
    <row r="9" spans="1:17" x14ac:dyDescent="0.25">
      <c r="A9" t="s">
        <v>66</v>
      </c>
      <c r="B9">
        <v>2460144</v>
      </c>
      <c r="C9" s="8">
        <f t="shared" si="0"/>
        <v>0.81636372685185188</v>
      </c>
      <c r="D9" s="8">
        <f t="shared" si="2"/>
        <v>3.9675925925908295E-5</v>
      </c>
      <c r="E9" s="11">
        <f t="shared" si="1"/>
        <v>0.34439166421142176</v>
      </c>
      <c r="P9" s="15">
        <f t="shared" si="3"/>
        <v>145</v>
      </c>
      <c r="Q9" s="8">
        <f t="shared" si="4"/>
        <v>1.2951388888904347E-5</v>
      </c>
    </row>
    <row r="10" spans="1:17" x14ac:dyDescent="0.25">
      <c r="A10" t="s">
        <v>67</v>
      </c>
      <c r="B10">
        <v>2460815</v>
      </c>
      <c r="C10" s="8">
        <f t="shared" si="0"/>
        <v>0.81642341435185184</v>
      </c>
      <c r="D10" s="8">
        <f t="shared" si="2"/>
        <v>9.9363425925869109E-5</v>
      </c>
      <c r="E10" s="11">
        <f t="shared" si="1"/>
        <v>0.86812176251828532</v>
      </c>
      <c r="P10" s="15">
        <f t="shared" si="3"/>
        <v>671</v>
      </c>
      <c r="Q10" s="8">
        <f t="shared" si="4"/>
        <v>5.9687499999960814E-5</v>
      </c>
    </row>
    <row r="11" spans="1:17" x14ac:dyDescent="0.25">
      <c r="A11" t="s">
        <v>68</v>
      </c>
      <c r="B11">
        <v>2461085</v>
      </c>
      <c r="C11" s="8">
        <f t="shared" si="0"/>
        <v>0.81644763888888894</v>
      </c>
      <c r="D11" s="8">
        <f t="shared" si="2"/>
        <v>1.235879629629677E-4</v>
      </c>
      <c r="E11" s="11">
        <f t="shared" si="1"/>
        <v>0.80958046066689349</v>
      </c>
      <c r="P11" s="15">
        <f t="shared" si="3"/>
        <v>270</v>
      </c>
      <c r="Q11" s="8">
        <f t="shared" si="4"/>
        <v>2.4224537037098592E-5</v>
      </c>
    </row>
    <row r="12" spans="1:17" x14ac:dyDescent="0.25">
      <c r="A12" t="s">
        <v>69</v>
      </c>
      <c r="B12">
        <v>2461387</v>
      </c>
      <c r="C12" s="8">
        <f t="shared" si="0"/>
        <v>0.8164747916666667</v>
      </c>
      <c r="D12" s="8">
        <f t="shared" si="2"/>
        <v>1.5074074074072907E-4</v>
      </c>
      <c r="E12" s="11">
        <f t="shared" si="1"/>
        <v>0.66978691716468575</v>
      </c>
      <c r="P12" s="15">
        <f t="shared" si="3"/>
        <v>302</v>
      </c>
      <c r="Q12" s="8">
        <f t="shared" si="4"/>
        <v>2.7152777777761372E-5</v>
      </c>
    </row>
    <row r="13" spans="1:17" x14ac:dyDescent="0.25">
      <c r="A13" t="s">
        <v>70</v>
      </c>
      <c r="B13">
        <v>2461545</v>
      </c>
      <c r="C13" s="8">
        <f t="shared" si="0"/>
        <v>0.81648902777777776</v>
      </c>
      <c r="D13" s="8">
        <f t="shared" si="2"/>
        <v>1.6497685185179467E-4</v>
      </c>
      <c r="E13" s="11">
        <f t="shared" si="1"/>
        <v>0.55720445006406294</v>
      </c>
      <c r="P13" s="15">
        <f t="shared" si="3"/>
        <v>158</v>
      </c>
      <c r="Q13" s="8">
        <f t="shared" si="4"/>
        <v>1.4236111111065597E-5</v>
      </c>
    </row>
    <row r="14" spans="1:17" x14ac:dyDescent="0.25">
      <c r="A14" t="s">
        <v>71</v>
      </c>
      <c r="B14">
        <v>2462105</v>
      </c>
      <c r="C14" s="8">
        <f t="shared" si="0"/>
        <v>0.81653947916666658</v>
      </c>
      <c r="D14" s="8">
        <f t="shared" si="2"/>
        <v>2.1542824074061162E-4</v>
      </c>
      <c r="E14" s="11">
        <f t="shared" si="1"/>
        <v>0.16560332123646049</v>
      </c>
      <c r="P14" s="15">
        <f t="shared" si="3"/>
        <v>560</v>
      </c>
      <c r="Q14" s="8">
        <f t="shared" si="4"/>
        <v>5.045138888881695E-5</v>
      </c>
    </row>
    <row r="15" spans="1:17" x14ac:dyDescent="0.25">
      <c r="A15" t="s">
        <v>72</v>
      </c>
      <c r="B15">
        <v>2462243</v>
      </c>
      <c r="C15" s="8">
        <f t="shared" si="0"/>
        <v>0.81655186342592589</v>
      </c>
      <c r="D15" s="8">
        <f t="shared" si="2"/>
        <v>2.2781249999992426E-4</v>
      </c>
      <c r="E15" s="11">
        <f t="shared" si="1"/>
        <v>0.13200550606251227</v>
      </c>
      <c r="P15" s="15">
        <f t="shared" si="3"/>
        <v>138</v>
      </c>
      <c r="Q15" s="8">
        <f t="shared" si="4"/>
        <v>1.2384259259312635E-5</v>
      </c>
    </row>
    <row r="16" spans="1:17" x14ac:dyDescent="0.25">
      <c r="A16" t="s">
        <v>73</v>
      </c>
      <c r="B16">
        <v>2462377</v>
      </c>
      <c r="C16" s="8">
        <f t="shared" si="0"/>
        <v>0.81656405092592588</v>
      </c>
      <c r="D16" s="8">
        <f t="shared" si="2"/>
        <v>2.3999999999990695E-4</v>
      </c>
      <c r="E16" s="11">
        <f t="shared" si="1"/>
        <v>-0.11141138628909175</v>
      </c>
      <c r="P16" s="15">
        <f t="shared" si="3"/>
        <v>134</v>
      </c>
      <c r="Q16" s="8">
        <f t="shared" si="4"/>
        <v>1.2187499999982698E-5</v>
      </c>
    </row>
    <row r="17" spans="1:17" x14ac:dyDescent="0.25">
      <c r="A17" t="s">
        <v>74</v>
      </c>
      <c r="B17">
        <v>2462515</v>
      </c>
      <c r="C17" s="8">
        <f t="shared" si="0"/>
        <v>0.81657662037037027</v>
      </c>
      <c r="D17" s="8">
        <f t="shared" si="2"/>
        <v>2.5256944444429497E-4</v>
      </c>
      <c r="E17" s="11">
        <f t="shared" si="1"/>
        <v>-0.38566627617956328</v>
      </c>
      <c r="P17" s="15">
        <f t="shared" si="3"/>
        <v>138</v>
      </c>
      <c r="Q17" s="8">
        <f t="shared" si="4"/>
        <v>1.2569444444388012E-5</v>
      </c>
    </row>
    <row r="18" spans="1:17" x14ac:dyDescent="0.25">
      <c r="A18" t="s">
        <v>75</v>
      </c>
      <c r="B18">
        <v>2462652</v>
      </c>
      <c r="C18" s="8">
        <f t="shared" si="0"/>
        <v>0.81658900462962958</v>
      </c>
      <c r="D18" s="8">
        <f t="shared" si="2"/>
        <v>2.649537037036076E-4</v>
      </c>
      <c r="E18" s="11">
        <f t="shared" si="1"/>
        <v>-0.53564339618043277</v>
      </c>
      <c r="P18" s="15">
        <f t="shared" si="3"/>
        <v>137</v>
      </c>
      <c r="Q18" s="8">
        <f t="shared" si="4"/>
        <v>1.2384259259312635E-5</v>
      </c>
    </row>
    <row r="19" spans="1:17" x14ac:dyDescent="0.25">
      <c r="A19" t="s">
        <v>76</v>
      </c>
      <c r="B19">
        <v>2462789</v>
      </c>
      <c r="C19" s="8">
        <f t="shared" si="0"/>
        <v>0.81660156249999993</v>
      </c>
      <c r="D19" s="8">
        <f t="shared" si="2"/>
        <v>2.775115740739631E-4</v>
      </c>
      <c r="E19" s="11">
        <f t="shared" si="1"/>
        <v>-0.91123652377308417</v>
      </c>
      <c r="P19" s="15">
        <f t="shared" si="3"/>
        <v>137</v>
      </c>
      <c r="Q19" s="8">
        <f t="shared" si="4"/>
        <v>1.2557870370355495E-5</v>
      </c>
    </row>
    <row r="20" spans="1:17" x14ac:dyDescent="0.25">
      <c r="A20" t="s">
        <v>77</v>
      </c>
      <c r="B20">
        <v>2462927</v>
      </c>
      <c r="C20" s="8">
        <f t="shared" si="0"/>
        <v>0.81661377314814809</v>
      </c>
      <c r="D20" s="8">
        <f t="shared" si="2"/>
        <v>2.8972222222212185E-4</v>
      </c>
      <c r="E20" s="11">
        <f t="shared" si="1"/>
        <v>-0.71921833121092504</v>
      </c>
      <c r="P20" s="15">
        <f t="shared" si="3"/>
        <v>138</v>
      </c>
      <c r="Q20" s="8">
        <f t="shared" si="4"/>
        <v>1.2210648148158754E-5</v>
      </c>
    </row>
    <row r="21" spans="1:17" x14ac:dyDescent="0.25">
      <c r="A21" t="s">
        <v>78</v>
      </c>
      <c r="B21">
        <v>2463073</v>
      </c>
      <c r="C21" s="8">
        <f t="shared" si="0"/>
        <v>0.81662652777777778</v>
      </c>
      <c r="D21" s="8">
        <f t="shared" si="2"/>
        <v>3.0247685185180728E-4</v>
      </c>
      <c r="E21" s="11">
        <f t="shared" si="1"/>
        <v>-0.30309585749176904</v>
      </c>
      <c r="P21" s="15">
        <f t="shared" si="3"/>
        <v>146</v>
      </c>
      <c r="Q21" s="8">
        <f t="shared" si="4"/>
        <v>1.2754629629685432E-5</v>
      </c>
    </row>
    <row r="22" spans="1:17" x14ac:dyDescent="0.25">
      <c r="A22" t="s">
        <v>79</v>
      </c>
      <c r="B22">
        <v>2463214</v>
      </c>
      <c r="C22" s="8">
        <f t="shared" si="0"/>
        <v>0.81663890046296295</v>
      </c>
      <c r="D22" s="8">
        <f t="shared" si="2"/>
        <v>3.1484953703697638E-4</v>
      </c>
      <c r="E22" s="11">
        <f t="shared" si="1"/>
        <v>2.7485309083772336E-2</v>
      </c>
      <c r="P22" s="15">
        <f t="shared" si="3"/>
        <v>141</v>
      </c>
      <c r="Q22" s="8">
        <f t="shared" si="4"/>
        <v>1.2372685185169097E-5</v>
      </c>
    </row>
    <row r="23" spans="1:17" x14ac:dyDescent="0.25">
      <c r="A23" t="s">
        <v>80</v>
      </c>
      <c r="B23">
        <v>2463355</v>
      </c>
      <c r="C23" s="8">
        <f t="shared" si="0"/>
        <v>0.81665128472222215</v>
      </c>
      <c r="D23" s="8">
        <f t="shared" si="2"/>
        <v>3.2723379629617799E-4</v>
      </c>
      <c r="E23" s="11">
        <f t="shared" si="1"/>
        <v>0.34302540853451546</v>
      </c>
      <c r="P23" s="15">
        <f t="shared" si="3"/>
        <v>141</v>
      </c>
      <c r="Q23" s="8">
        <f t="shared" si="4"/>
        <v>1.2384259259201613E-5</v>
      </c>
    </row>
    <row r="24" spans="1:17" x14ac:dyDescent="0.25">
      <c r="A24" t="s">
        <v>81</v>
      </c>
      <c r="B24">
        <v>2464019</v>
      </c>
      <c r="C24" s="8">
        <f t="shared" si="0"/>
        <v>0.81671061342592599</v>
      </c>
      <c r="D24" s="8">
        <f t="shared" si="2"/>
        <v>3.8656250000002057E-4</v>
      </c>
      <c r="E24" s="11">
        <f t="shared" si="1"/>
        <v>0.51837345536182511</v>
      </c>
      <c r="P24" s="15">
        <f t="shared" si="3"/>
        <v>664</v>
      </c>
      <c r="Q24" s="8">
        <f t="shared" si="4"/>
        <v>5.9328703703842578E-5</v>
      </c>
    </row>
    <row r="25" spans="1:17" x14ac:dyDescent="0.25">
      <c r="A25" t="s">
        <v>82</v>
      </c>
      <c r="B25">
        <v>2464455</v>
      </c>
      <c r="C25" s="8">
        <f t="shared" si="0"/>
        <v>0.81674978009259258</v>
      </c>
      <c r="D25" s="8">
        <f t="shared" si="2"/>
        <v>4.2572916666661076E-4</v>
      </c>
      <c r="E25" s="11">
        <f t="shared" si="1"/>
        <v>0.3607790272441207</v>
      </c>
      <c r="P25" s="15">
        <f t="shared" si="3"/>
        <v>436</v>
      </c>
      <c r="Q25" s="8">
        <f t="shared" si="4"/>
        <v>3.9166666666590189E-5</v>
      </c>
    </row>
    <row r="29" spans="1:17" x14ac:dyDescent="0.25">
      <c r="A29" t="s">
        <v>86</v>
      </c>
      <c r="C29" s="12">
        <v>50</v>
      </c>
    </row>
    <row r="30" spans="1:17" x14ac:dyDescent="0.25">
      <c r="H30" t="s">
        <v>90</v>
      </c>
      <c r="I30" s="12">
        <f>((B39-$B$33)/$C$3)/((D39-$D$33)*86400)</f>
        <v>6.7349134737756537E-5</v>
      </c>
    </row>
    <row r="31" spans="1:17" x14ac:dyDescent="0.25">
      <c r="B31" s="9" t="s">
        <v>37</v>
      </c>
      <c r="C31" s="9" t="s">
        <v>89</v>
      </c>
      <c r="D31" s="9" t="s">
        <v>88</v>
      </c>
      <c r="E31" s="9" t="s">
        <v>39</v>
      </c>
    </row>
    <row r="32" spans="1:17" x14ac:dyDescent="0.25">
      <c r="B32">
        <v>50</v>
      </c>
      <c r="C32">
        <v>200</v>
      </c>
      <c r="D32" s="13">
        <f t="shared" ref="D32:D39" si="5">C32-$C$32</f>
        <v>0</v>
      </c>
      <c r="E32">
        <f>((B32-$B$32)/$C$3)-((D32-$D$32)*86400*$C$29)</f>
        <v>0</v>
      </c>
    </row>
    <row r="33" spans="2:5" x14ac:dyDescent="0.25">
      <c r="B33">
        <v>100</v>
      </c>
      <c r="C33">
        <v>201</v>
      </c>
      <c r="D33" s="13">
        <f t="shared" si="5"/>
        <v>1</v>
      </c>
      <c r="E33">
        <f t="shared" ref="E33:E39" si="6">((B33-$B$32)/$C$3)-((D33-$D$32)*86400*$C$29)</f>
        <v>-4319994.1810347587</v>
      </c>
    </row>
    <row r="34" spans="2:5" x14ac:dyDescent="0.25">
      <c r="B34">
        <v>160</v>
      </c>
      <c r="C34">
        <v>202</v>
      </c>
      <c r="D34" s="13">
        <f t="shared" si="5"/>
        <v>2</v>
      </c>
      <c r="E34">
        <f t="shared" si="6"/>
        <v>-8639987.1982764695</v>
      </c>
    </row>
    <row r="35" spans="2:5" x14ac:dyDescent="0.25">
      <c r="B35">
        <v>210</v>
      </c>
      <c r="C35">
        <v>203</v>
      </c>
      <c r="D35" s="13">
        <f t="shared" si="5"/>
        <v>3</v>
      </c>
      <c r="E35">
        <f t="shared" si="6"/>
        <v>-12959981.379311228</v>
      </c>
    </row>
    <row r="36" spans="2:5" x14ac:dyDescent="0.25">
      <c r="B36">
        <v>260</v>
      </c>
      <c r="C36">
        <v>204</v>
      </c>
      <c r="D36" s="13">
        <f t="shared" si="5"/>
        <v>4</v>
      </c>
      <c r="E36">
        <f t="shared" si="6"/>
        <v>-17279975.560345985</v>
      </c>
    </row>
    <row r="37" spans="2:5" x14ac:dyDescent="0.25">
      <c r="B37">
        <v>300</v>
      </c>
      <c r="C37">
        <v>205</v>
      </c>
      <c r="D37" s="13">
        <f t="shared" si="5"/>
        <v>5</v>
      </c>
      <c r="E37">
        <f t="shared" si="6"/>
        <v>-21599970.905173793</v>
      </c>
    </row>
    <row r="38" spans="2:5" x14ac:dyDescent="0.25">
      <c r="B38">
        <v>350</v>
      </c>
      <c r="C38">
        <v>206</v>
      </c>
      <c r="D38" s="13">
        <f t="shared" si="5"/>
        <v>6</v>
      </c>
      <c r="E38">
        <f t="shared" si="6"/>
        <v>-25919965.086208552</v>
      </c>
    </row>
    <row r="39" spans="2:5" x14ac:dyDescent="0.25">
      <c r="B39">
        <v>400</v>
      </c>
      <c r="C39">
        <v>207</v>
      </c>
      <c r="D39" s="13">
        <f t="shared" si="5"/>
        <v>7</v>
      </c>
      <c r="E39">
        <f t="shared" si="6"/>
        <v>-30239959.267243311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13" workbookViewId="0">
      <selection activeCell="C42" sqref="C42"/>
    </sheetView>
  </sheetViews>
  <sheetFormatPr defaultRowHeight="15" x14ac:dyDescent="0.25"/>
  <cols>
    <col min="1" max="1" width="26.28515625" customWidth="1"/>
    <col min="2" max="3" width="12" bestFit="1" customWidth="1"/>
    <col min="4" max="4" width="16.42578125" bestFit="1" customWidth="1"/>
    <col min="5" max="5" width="31.28515625" bestFit="1" customWidth="1"/>
  </cols>
  <sheetData>
    <row r="1" spans="2:13" x14ac:dyDescent="0.25">
      <c r="C1" s="9"/>
      <c r="D1" s="9"/>
      <c r="E1" s="9" t="s">
        <v>111</v>
      </c>
      <c r="F1" s="9" t="s">
        <v>112</v>
      </c>
      <c r="G1" s="9" t="s">
        <v>113</v>
      </c>
      <c r="H1" s="9" t="s">
        <v>114</v>
      </c>
      <c r="I1" s="9" t="s">
        <v>115</v>
      </c>
      <c r="J1" s="9"/>
      <c r="K1" s="9" t="s">
        <v>116</v>
      </c>
      <c r="L1" s="9"/>
      <c r="M1" s="9" t="s">
        <v>117</v>
      </c>
    </row>
    <row r="2" spans="2:13" x14ac:dyDescent="0.25">
      <c r="C2" s="9"/>
      <c r="D2" t="s">
        <v>118</v>
      </c>
      <c r="E2" s="9">
        <v>200</v>
      </c>
      <c r="F2" s="9">
        <v>1</v>
      </c>
      <c r="G2" s="9">
        <v>20</v>
      </c>
      <c r="H2" s="9">
        <v>440</v>
      </c>
      <c r="I2" s="9">
        <f>(E2*F2*G2*H2) /360</f>
        <v>4888.8888888888887</v>
      </c>
      <c r="J2" s="9"/>
      <c r="K2" s="9">
        <f>E2*F2*G2</f>
        <v>4000</v>
      </c>
      <c r="L2" s="9"/>
      <c r="M2" s="9">
        <f>(I2/3600) * 15</f>
        <v>20.37037037037037</v>
      </c>
    </row>
    <row r="3" spans="2:13" x14ac:dyDescent="0.25">
      <c r="C3" s="9"/>
      <c r="D3" t="s">
        <v>119</v>
      </c>
      <c r="E3" s="9">
        <v>400</v>
      </c>
      <c r="F3" s="9">
        <v>32</v>
      </c>
      <c r="G3" s="9">
        <v>1</v>
      </c>
      <c r="H3" s="9">
        <v>360</v>
      </c>
      <c r="I3" s="9">
        <f>(E3*F3*G3*H3) /360</f>
        <v>12800</v>
      </c>
      <c r="J3" s="9"/>
      <c r="K3" s="9">
        <f>E3*F3*G3</f>
        <v>12800</v>
      </c>
      <c r="L3" s="9"/>
      <c r="M3" s="9"/>
    </row>
    <row r="4" spans="2:13" x14ac:dyDescent="0.25">
      <c r="C4" s="9"/>
      <c r="E4" s="9"/>
      <c r="F4" s="9"/>
      <c r="G4" s="9"/>
      <c r="H4" s="9"/>
      <c r="I4" s="9"/>
      <c r="J4" s="9"/>
      <c r="K4" s="9"/>
      <c r="L4" s="9"/>
      <c r="M4" s="9"/>
    </row>
    <row r="5" spans="2:13" x14ac:dyDescent="0.25"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2:13" x14ac:dyDescent="0.25">
      <c r="C6" s="9"/>
      <c r="D6" s="20"/>
      <c r="E6" s="9" t="s">
        <v>120</v>
      </c>
      <c r="F6" s="9" t="s">
        <v>121</v>
      </c>
      <c r="G6" s="9" t="s">
        <v>122</v>
      </c>
      <c r="H6" s="9"/>
      <c r="I6" s="9" t="s">
        <v>123</v>
      </c>
      <c r="J6" s="9"/>
      <c r="K6" s="9"/>
      <c r="L6" s="9"/>
      <c r="M6" s="9"/>
    </row>
    <row r="7" spans="2:13" x14ac:dyDescent="0.25">
      <c r="B7" t="s">
        <v>124</v>
      </c>
      <c r="C7" s="9" t="s">
        <v>125</v>
      </c>
      <c r="D7" s="21" t="s">
        <v>126</v>
      </c>
      <c r="E7" s="9">
        <v>2</v>
      </c>
      <c r="F7" s="9">
        <v>31</v>
      </c>
      <c r="G7" s="9">
        <v>49.09</v>
      </c>
      <c r="H7" s="9"/>
      <c r="I7" s="22">
        <f>E7+(F7/60)+(G7/3600)</f>
        <v>2.5303027777777776</v>
      </c>
      <c r="J7" s="9"/>
      <c r="K7" s="9"/>
      <c r="L7" s="9"/>
      <c r="M7" s="9"/>
    </row>
    <row r="8" spans="2:13" x14ac:dyDescent="0.25">
      <c r="C8" s="9" t="s">
        <v>127</v>
      </c>
      <c r="D8" s="20" t="s">
        <v>128</v>
      </c>
      <c r="E8" s="9"/>
      <c r="F8" s="9"/>
      <c r="G8" s="9"/>
      <c r="H8" s="9"/>
      <c r="I8" s="22"/>
      <c r="J8" s="9"/>
      <c r="K8" s="9"/>
      <c r="L8" s="9"/>
      <c r="M8" s="9"/>
    </row>
    <row r="9" spans="2:13" x14ac:dyDescent="0.25">
      <c r="C9" s="9"/>
      <c r="D9" s="20"/>
      <c r="E9" s="9"/>
      <c r="F9" s="9"/>
      <c r="G9" s="9"/>
      <c r="H9" s="9"/>
      <c r="I9" s="22"/>
      <c r="J9" s="9"/>
      <c r="K9" s="9"/>
      <c r="L9" s="9"/>
      <c r="M9" s="9"/>
    </row>
    <row r="10" spans="2:13" x14ac:dyDescent="0.25">
      <c r="C10" s="9"/>
      <c r="D10" s="20"/>
      <c r="E10" s="9"/>
      <c r="F10" s="9"/>
      <c r="G10" s="9"/>
      <c r="H10" s="9"/>
      <c r="I10" s="22"/>
      <c r="J10" s="9"/>
      <c r="K10" s="9"/>
      <c r="L10" s="9"/>
      <c r="M10" s="9"/>
    </row>
    <row r="11" spans="2:13" x14ac:dyDescent="0.25">
      <c r="B11" t="s">
        <v>129</v>
      </c>
      <c r="C11" s="9" t="s">
        <v>125</v>
      </c>
      <c r="D11" s="20" t="s">
        <v>130</v>
      </c>
      <c r="E11" s="9">
        <v>18</v>
      </c>
      <c r="F11" s="9">
        <v>36</v>
      </c>
      <c r="G11" s="9">
        <v>56.336350000000003</v>
      </c>
      <c r="H11" s="9"/>
      <c r="I11" s="22">
        <f>E11+(F11/60)+(G11/3600)</f>
        <v>18.615648986111111</v>
      </c>
      <c r="J11" s="9"/>
      <c r="K11" s="9">
        <f>I11-I7</f>
        <v>16.085346208333334</v>
      </c>
      <c r="L11" s="9"/>
      <c r="M11" s="9">
        <f>(I11-I7)*3600*M2</f>
        <v>1179592.0552777778</v>
      </c>
    </row>
    <row r="12" spans="2:13" x14ac:dyDescent="0.25">
      <c r="C12" s="9" t="s">
        <v>131</v>
      </c>
      <c r="D12" s="9" t="s">
        <v>132</v>
      </c>
      <c r="E12" s="9"/>
      <c r="F12" s="9"/>
      <c r="G12" s="9"/>
      <c r="H12" s="9"/>
      <c r="I12" s="9"/>
      <c r="J12" s="9"/>
      <c r="K12" s="9"/>
      <c r="L12" s="9"/>
      <c r="M12" s="9"/>
    </row>
    <row r="13" spans="2:13" x14ac:dyDescent="0.25">
      <c r="C13" s="9"/>
      <c r="D13" s="20"/>
      <c r="E13" s="9"/>
      <c r="F13" s="9"/>
      <c r="G13" s="9"/>
      <c r="H13" s="9"/>
      <c r="I13" s="9"/>
      <c r="J13" s="9"/>
      <c r="K13" s="9"/>
      <c r="L13" s="9"/>
      <c r="M13" s="9"/>
    </row>
    <row r="20" spans="1:5" x14ac:dyDescent="0.25">
      <c r="A20" t="s">
        <v>133</v>
      </c>
      <c r="B20">
        <v>10</v>
      </c>
    </row>
    <row r="21" spans="1:5" x14ac:dyDescent="0.25">
      <c r="A21" t="s">
        <v>134</v>
      </c>
      <c r="C21">
        <v>11136000</v>
      </c>
    </row>
    <row r="22" spans="1:5" x14ac:dyDescent="0.25">
      <c r="A22" t="s">
        <v>135</v>
      </c>
      <c r="C22">
        <v>1296000</v>
      </c>
    </row>
    <row r="23" spans="1:5" x14ac:dyDescent="0.25">
      <c r="A23" t="s">
        <v>136</v>
      </c>
      <c r="C23">
        <f>(B20 / 1000) *( PI() / (180 * 60 * 60))</f>
        <v>4.8481368110953601E-8</v>
      </c>
      <c r="E23" t="s">
        <v>137</v>
      </c>
    </row>
    <row r="24" spans="1:5" x14ac:dyDescent="0.25">
      <c r="A24" t="s">
        <v>138</v>
      </c>
      <c r="C24">
        <f>C21/ (2 * PI())</f>
        <v>1772349.4462713464</v>
      </c>
      <c r="E24" t="s">
        <v>139</v>
      </c>
    </row>
    <row r="25" spans="1:5" x14ac:dyDescent="0.25">
      <c r="A25" t="s">
        <v>140</v>
      </c>
      <c r="C25">
        <f>C23*C24</f>
        <v>8.5925925925925919E-2</v>
      </c>
      <c r="E25" t="s">
        <v>141</v>
      </c>
    </row>
    <row r="28" spans="1:5" x14ac:dyDescent="0.25">
      <c r="A28" t="s">
        <v>142</v>
      </c>
      <c r="B28">
        <v>0.5</v>
      </c>
    </row>
    <row r="29" spans="1:5" x14ac:dyDescent="0.25">
      <c r="A29" t="s">
        <v>143</v>
      </c>
      <c r="B29">
        <v>15.041067178700001</v>
      </c>
    </row>
    <row r="30" spans="1:5" x14ac:dyDescent="0.25">
      <c r="A30" t="s">
        <v>144</v>
      </c>
      <c r="C30">
        <f>C21/360/3600</f>
        <v>8.5925925925925917</v>
      </c>
    </row>
    <row r="31" spans="1:5" x14ac:dyDescent="0.25">
      <c r="A31" t="s">
        <v>145</v>
      </c>
      <c r="C31">
        <f>(B20/1000)*B28*B29</f>
        <v>7.5205335893500008E-2</v>
      </c>
    </row>
    <row r="32" spans="1:5" x14ac:dyDescent="0.25">
      <c r="A32" t="s">
        <v>146</v>
      </c>
      <c r="C32">
        <f>C31*C30</f>
        <v>0.64620881212192594</v>
      </c>
    </row>
    <row r="35" spans="1:6" x14ac:dyDescent="0.25">
      <c r="A35" t="s">
        <v>147</v>
      </c>
      <c r="C35">
        <f>B29/3600</f>
        <v>4.1780742163055554E-3</v>
      </c>
      <c r="E35">
        <f>C35*0.5</f>
        <v>2.0890371081527777E-3</v>
      </c>
    </row>
    <row r="36" spans="1:6" x14ac:dyDescent="0.25">
      <c r="E36">
        <f>1 / (C35/E35)</f>
        <v>0.5</v>
      </c>
    </row>
    <row r="37" spans="1:6" x14ac:dyDescent="0.25">
      <c r="E37">
        <f>B20/1000   * E35*3600</f>
        <v>7.5205335893499994E-2</v>
      </c>
    </row>
    <row r="38" spans="1:6" x14ac:dyDescent="0.25">
      <c r="E38">
        <f>E37*C30</f>
        <v>0.64620881212192582</v>
      </c>
    </row>
    <row r="39" spans="1:6" x14ac:dyDescent="0.25">
      <c r="E39">
        <f>ROUND(E38,0)</f>
        <v>1</v>
      </c>
      <c r="F39">
        <f>ROUND(-0.6,0)</f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B2" sqref="B2"/>
    </sheetView>
  </sheetViews>
  <sheetFormatPr defaultRowHeight="15" x14ac:dyDescent="0.25"/>
  <cols>
    <col min="1" max="1" width="17.7109375" bestFit="1" customWidth="1"/>
    <col min="2" max="2" width="8.85546875" bestFit="1" customWidth="1"/>
    <col min="3" max="4" width="7.85546875" bestFit="1" customWidth="1"/>
    <col min="5" max="5" width="4.7109375" bestFit="1" customWidth="1"/>
    <col min="6" max="9" width="8.85546875" bestFit="1" customWidth="1"/>
  </cols>
  <sheetData>
    <row r="1" spans="1:10" x14ac:dyDescent="0.25">
      <c r="A1" s="24" t="s">
        <v>155</v>
      </c>
      <c r="B1" s="24" t="s">
        <v>156</v>
      </c>
      <c r="C1" s="24" t="s">
        <v>157</v>
      </c>
      <c r="D1" s="24" t="s">
        <v>158</v>
      </c>
      <c r="E1" s="24" t="s">
        <v>159</v>
      </c>
      <c r="F1" s="24" t="s">
        <v>33</v>
      </c>
      <c r="G1" s="24" t="s">
        <v>160</v>
      </c>
      <c r="H1" s="24" t="s">
        <v>161</v>
      </c>
      <c r="I1" s="24" t="s">
        <v>162</v>
      </c>
      <c r="J1" t="s">
        <v>238</v>
      </c>
    </row>
    <row r="2" spans="1:10" x14ac:dyDescent="0.25">
      <c r="A2" s="25" t="s">
        <v>163</v>
      </c>
      <c r="B2" s="91">
        <v>9024000</v>
      </c>
      <c r="C2" s="25" t="s">
        <v>164</v>
      </c>
      <c r="D2" s="25" t="s">
        <v>165</v>
      </c>
      <c r="E2" s="25" t="s">
        <v>166</v>
      </c>
      <c r="F2" s="91">
        <v>11136000</v>
      </c>
      <c r="G2" s="25" t="s">
        <v>167</v>
      </c>
      <c r="H2" s="25" t="s">
        <v>168</v>
      </c>
      <c r="I2" s="25" t="s">
        <v>167</v>
      </c>
      <c r="J2">
        <v>2073600</v>
      </c>
    </row>
    <row r="3" spans="1:10" x14ac:dyDescent="0.25">
      <c r="A3" s="25" t="s">
        <v>169</v>
      </c>
      <c r="B3" s="25" t="s">
        <v>170</v>
      </c>
      <c r="C3" s="25" t="s">
        <v>171</v>
      </c>
      <c r="D3" s="25" t="s">
        <v>172</v>
      </c>
      <c r="E3" s="25" t="s">
        <v>166</v>
      </c>
      <c r="F3" s="25" t="s">
        <v>173</v>
      </c>
      <c r="G3" s="25" t="s">
        <v>174</v>
      </c>
      <c r="H3" s="25" t="s">
        <v>175</v>
      </c>
      <c r="I3" s="25" t="s">
        <v>174</v>
      </c>
      <c r="J3">
        <v>0</v>
      </c>
    </row>
    <row r="4" spans="1:10" x14ac:dyDescent="0.25">
      <c r="A4" s="25" t="s">
        <v>176</v>
      </c>
      <c r="B4" s="25" t="s">
        <v>177</v>
      </c>
      <c r="C4" s="25">
        <v>64935</v>
      </c>
      <c r="D4" s="25" t="s">
        <v>166</v>
      </c>
      <c r="E4" s="25" t="s">
        <v>166</v>
      </c>
      <c r="F4" s="25" t="s">
        <v>178</v>
      </c>
      <c r="G4" s="25" t="s">
        <v>179</v>
      </c>
      <c r="H4" s="25" t="s">
        <v>180</v>
      </c>
      <c r="I4" s="25" t="s">
        <v>179</v>
      </c>
      <c r="J4">
        <v>16000000</v>
      </c>
    </row>
    <row r="5" spans="1:10" x14ac:dyDescent="0.25">
      <c r="A5" s="25" t="s">
        <v>181</v>
      </c>
      <c r="B5" s="25">
        <v>16</v>
      </c>
      <c r="C5" s="25">
        <v>16</v>
      </c>
      <c r="D5" s="25" t="s">
        <v>166</v>
      </c>
      <c r="E5" s="25" t="s">
        <v>166</v>
      </c>
      <c r="F5" s="25">
        <v>16</v>
      </c>
      <c r="G5" s="25">
        <v>32</v>
      </c>
      <c r="H5" s="25">
        <v>16</v>
      </c>
      <c r="I5" s="25">
        <v>32</v>
      </c>
      <c r="J5" s="26">
        <v>1</v>
      </c>
    </row>
    <row r="6" spans="1:10" x14ac:dyDescent="0.25">
      <c r="A6" s="25" t="s">
        <v>182</v>
      </c>
      <c r="B6" s="25" t="s">
        <v>183</v>
      </c>
      <c r="C6" s="25" t="s">
        <v>184</v>
      </c>
      <c r="D6" s="25" t="s">
        <v>166</v>
      </c>
      <c r="E6" s="25" t="s">
        <v>166</v>
      </c>
      <c r="F6" s="25" t="s">
        <v>185</v>
      </c>
      <c r="G6" s="25" t="s">
        <v>185</v>
      </c>
      <c r="H6" s="25" t="s">
        <v>186</v>
      </c>
      <c r="I6" s="25" t="s">
        <v>185</v>
      </c>
      <c r="J6">
        <v>24541</v>
      </c>
    </row>
    <row r="7" spans="1:10" x14ac:dyDescent="0.25">
      <c r="A7" s="25" t="s">
        <v>187</v>
      </c>
      <c r="B7" s="25" t="s">
        <v>188</v>
      </c>
      <c r="C7" s="25" t="s">
        <v>188</v>
      </c>
      <c r="D7" s="25" t="s">
        <v>188</v>
      </c>
      <c r="E7" s="25" t="s">
        <v>166</v>
      </c>
      <c r="F7" s="25" t="s">
        <v>189</v>
      </c>
      <c r="G7" s="25" t="s">
        <v>188</v>
      </c>
      <c r="H7" s="25" t="s">
        <v>188</v>
      </c>
      <c r="I7" s="25" t="s">
        <v>188</v>
      </c>
    </row>
    <row r="8" spans="1:10" x14ac:dyDescent="0.25">
      <c r="A8" s="25" t="s">
        <v>190</v>
      </c>
      <c r="B8" s="25">
        <v>200</v>
      </c>
      <c r="C8" s="25">
        <v>200</v>
      </c>
      <c r="D8" s="25">
        <v>200</v>
      </c>
      <c r="E8" s="25" t="s">
        <v>166</v>
      </c>
      <c r="F8" s="25">
        <v>400</v>
      </c>
      <c r="G8" s="25">
        <v>200</v>
      </c>
      <c r="H8" s="25">
        <v>200</v>
      </c>
      <c r="I8" s="25">
        <v>200</v>
      </c>
    </row>
    <row r="9" spans="1:10" x14ac:dyDescent="0.25">
      <c r="A9" s="25" t="s">
        <v>191</v>
      </c>
      <c r="B9" s="25">
        <v>64</v>
      </c>
      <c r="C9" s="25">
        <v>64</v>
      </c>
      <c r="D9" s="25">
        <v>32</v>
      </c>
      <c r="E9" s="25" t="s">
        <v>166</v>
      </c>
      <c r="F9" s="25">
        <v>64</v>
      </c>
      <c r="G9" s="25">
        <v>64</v>
      </c>
      <c r="H9" s="25">
        <v>32</v>
      </c>
      <c r="I9" s="25">
        <v>64</v>
      </c>
    </row>
    <row r="10" spans="1:10" x14ac:dyDescent="0.25">
      <c r="A10" s="25" t="s">
        <v>192</v>
      </c>
      <c r="B10" s="25" t="s">
        <v>193</v>
      </c>
      <c r="C10" s="25" t="s">
        <v>193</v>
      </c>
      <c r="D10" s="25" t="s">
        <v>194</v>
      </c>
      <c r="E10" s="25" t="s">
        <v>166</v>
      </c>
      <c r="F10" s="25" t="s">
        <v>173</v>
      </c>
      <c r="G10" s="25" t="s">
        <v>193</v>
      </c>
      <c r="H10" s="25" t="s">
        <v>194</v>
      </c>
      <c r="I10" s="25" t="s">
        <v>193</v>
      </c>
    </row>
    <row r="11" spans="1:10" x14ac:dyDescent="0.25">
      <c r="A11" s="25" t="s">
        <v>195</v>
      </c>
      <c r="B11" s="25">
        <v>705</v>
      </c>
      <c r="C11" s="25">
        <v>705</v>
      </c>
      <c r="D11" s="25">
        <v>704</v>
      </c>
      <c r="E11" s="25" t="s">
        <v>166</v>
      </c>
      <c r="F11" s="25">
        <v>435</v>
      </c>
      <c r="G11" s="25">
        <v>720</v>
      </c>
      <c r="H11" s="25">
        <v>810</v>
      </c>
      <c r="I11" s="25">
        <v>720</v>
      </c>
    </row>
    <row r="12" spans="1:10" x14ac:dyDescent="0.25">
      <c r="A12" s="25" t="s">
        <v>196</v>
      </c>
      <c r="B12" s="25" t="s">
        <v>197</v>
      </c>
      <c r="C12" s="25" t="s">
        <v>198</v>
      </c>
      <c r="D12" s="25" t="s">
        <v>166</v>
      </c>
      <c r="E12" s="25" t="s">
        <v>166</v>
      </c>
      <c r="F12" s="25" t="s">
        <v>199</v>
      </c>
      <c r="G12" s="25" t="s">
        <v>200</v>
      </c>
      <c r="H12" s="25" t="s">
        <v>201</v>
      </c>
      <c r="I12" s="25" t="s">
        <v>200</v>
      </c>
    </row>
    <row r="13" spans="1:10" x14ac:dyDescent="0.25">
      <c r="A13" s="25" t="s">
        <v>202</v>
      </c>
      <c r="B13" s="25">
        <v>180</v>
      </c>
      <c r="C13" s="25">
        <v>135</v>
      </c>
      <c r="D13" s="25">
        <v>144</v>
      </c>
      <c r="E13" s="25" t="s">
        <v>166</v>
      </c>
      <c r="F13" s="25">
        <v>435</v>
      </c>
      <c r="G13" s="25">
        <v>180</v>
      </c>
      <c r="H13" s="25">
        <v>135</v>
      </c>
      <c r="I13" s="25">
        <v>180</v>
      </c>
    </row>
    <row r="14" spans="1:10" x14ac:dyDescent="0.25">
      <c r="A14" s="25" t="s">
        <v>203</v>
      </c>
      <c r="B14" s="25" t="s">
        <v>204</v>
      </c>
      <c r="C14" s="25" t="s">
        <v>204</v>
      </c>
      <c r="D14" s="25" t="s">
        <v>166</v>
      </c>
      <c r="E14" s="25" t="s">
        <v>166</v>
      </c>
      <c r="F14" s="25" t="s">
        <v>205</v>
      </c>
      <c r="G14" s="25" t="s">
        <v>206</v>
      </c>
      <c r="H14" s="25" t="s">
        <v>207</v>
      </c>
      <c r="I14" s="25" t="s">
        <v>206</v>
      </c>
    </row>
    <row r="15" spans="1:10" x14ac:dyDescent="0.25">
      <c r="A15" s="25" t="s">
        <v>208</v>
      </c>
      <c r="B15" s="25">
        <v>783.33299999999997</v>
      </c>
      <c r="C15" s="25">
        <v>1044.444</v>
      </c>
      <c r="D15" s="25" t="s">
        <v>166</v>
      </c>
      <c r="E15" s="25" t="s">
        <v>166</v>
      </c>
      <c r="F15" s="25">
        <v>400</v>
      </c>
      <c r="G15" s="25">
        <v>800</v>
      </c>
      <c r="H15" s="25" t="s">
        <v>209</v>
      </c>
      <c r="I15" s="25">
        <v>800</v>
      </c>
    </row>
    <row r="16" spans="1:10" x14ac:dyDescent="0.25">
      <c r="A16" s="25" t="s">
        <v>210</v>
      </c>
      <c r="B16" s="25">
        <v>9.1914890000000007</v>
      </c>
      <c r="C16" s="25">
        <v>9.1914890000000007</v>
      </c>
      <c r="D16" s="25" t="s">
        <v>166</v>
      </c>
      <c r="E16" s="25" t="s">
        <v>166</v>
      </c>
      <c r="F16" s="25">
        <v>7.4482759999999999</v>
      </c>
      <c r="G16" s="25">
        <v>9</v>
      </c>
      <c r="H16" s="25">
        <v>8</v>
      </c>
      <c r="I16" s="25">
        <v>9</v>
      </c>
    </row>
    <row r="17" spans="1:10" x14ac:dyDescent="0.25">
      <c r="A17" s="25" t="s">
        <v>211</v>
      </c>
      <c r="B17" s="25">
        <v>0.14361699999999999</v>
      </c>
      <c r="C17" s="25">
        <v>0.14361699999999999</v>
      </c>
      <c r="D17" s="25" t="s">
        <v>166</v>
      </c>
      <c r="E17" s="25" t="s">
        <v>166</v>
      </c>
      <c r="F17" s="25">
        <v>0.116379</v>
      </c>
      <c r="G17" s="25">
        <v>0.140625</v>
      </c>
      <c r="H17" s="25">
        <v>0.25</v>
      </c>
      <c r="I17" s="25">
        <v>0.140625</v>
      </c>
    </row>
    <row r="18" spans="1:10" x14ac:dyDescent="0.25">
      <c r="A18" s="25" t="s">
        <v>212</v>
      </c>
      <c r="B18" s="25">
        <v>6.9629630000000002</v>
      </c>
      <c r="C18" s="25">
        <v>6.9629630000000002</v>
      </c>
      <c r="D18" s="25" t="s">
        <v>166</v>
      </c>
      <c r="E18" s="25" t="s">
        <v>166</v>
      </c>
      <c r="F18" s="25">
        <v>8.5925930000000008</v>
      </c>
      <c r="G18" s="25">
        <v>7.1111110000000002</v>
      </c>
      <c r="H18" s="25">
        <v>4</v>
      </c>
      <c r="I18" s="25">
        <v>7.1111110000000002</v>
      </c>
    </row>
    <row r="19" spans="1:10" x14ac:dyDescent="0.25">
      <c r="A19" s="25" t="s">
        <v>213</v>
      </c>
      <c r="B19" s="25" t="s">
        <v>214</v>
      </c>
      <c r="C19" s="25" t="s">
        <v>214</v>
      </c>
      <c r="D19" s="25" t="s">
        <v>214</v>
      </c>
      <c r="E19" s="25" t="s">
        <v>214</v>
      </c>
      <c r="F19" s="25" t="s">
        <v>215</v>
      </c>
      <c r="G19" s="25" t="s">
        <v>216</v>
      </c>
      <c r="H19" s="25" t="s">
        <v>217</v>
      </c>
      <c r="I19" s="25" t="s">
        <v>214</v>
      </c>
    </row>
    <row r="20" spans="1:10" x14ac:dyDescent="0.25">
      <c r="A20" s="25" t="s">
        <v>218</v>
      </c>
      <c r="B20" s="25" t="s">
        <v>214</v>
      </c>
      <c r="C20" s="25" t="s">
        <v>214</v>
      </c>
      <c r="D20" s="25" t="s">
        <v>214</v>
      </c>
      <c r="E20" s="25" t="s">
        <v>214</v>
      </c>
      <c r="F20" s="25">
        <v>73.536000000000001</v>
      </c>
      <c r="G20" s="25">
        <v>203.90100000000001</v>
      </c>
      <c r="H20" s="25">
        <v>251.94399999999999</v>
      </c>
      <c r="I20" s="25" t="s">
        <v>214</v>
      </c>
    </row>
    <row r="21" spans="1:10" x14ac:dyDescent="0.25">
      <c r="A21" s="25" t="s">
        <v>219</v>
      </c>
      <c r="B21" s="25" t="s">
        <v>214</v>
      </c>
      <c r="C21" s="25" t="s">
        <v>214</v>
      </c>
      <c r="D21" s="25" t="s">
        <v>214</v>
      </c>
      <c r="E21" s="25" t="s">
        <v>214</v>
      </c>
      <c r="F21" s="25">
        <v>631.86599999999999</v>
      </c>
      <c r="G21" s="25" t="s">
        <v>220</v>
      </c>
      <c r="H21" s="25" t="s">
        <v>221</v>
      </c>
      <c r="I21" s="25" t="s">
        <v>214</v>
      </c>
    </row>
    <row r="22" spans="1:10" x14ac:dyDescent="0.25">
      <c r="A22" s="25" t="s">
        <v>222</v>
      </c>
      <c r="B22" s="25" t="s">
        <v>214</v>
      </c>
      <c r="C22" s="25" t="s">
        <v>214</v>
      </c>
      <c r="D22" s="25" t="s">
        <v>214</v>
      </c>
      <c r="E22" s="25" t="s">
        <v>214</v>
      </c>
      <c r="F22" s="25">
        <v>2</v>
      </c>
      <c r="G22" s="25">
        <v>2</v>
      </c>
      <c r="H22" s="25" t="s">
        <v>223</v>
      </c>
      <c r="I22" s="25">
        <v>2</v>
      </c>
    </row>
    <row r="23" spans="1:10" x14ac:dyDescent="0.25">
      <c r="A23" s="25" t="s">
        <v>224</v>
      </c>
      <c r="B23" s="25" t="s">
        <v>214</v>
      </c>
      <c r="C23" s="25" t="s">
        <v>214</v>
      </c>
      <c r="D23" s="25" t="s">
        <v>214</v>
      </c>
      <c r="E23" s="25" t="s">
        <v>214</v>
      </c>
      <c r="F23" s="25">
        <v>100</v>
      </c>
      <c r="G23" s="25">
        <v>100</v>
      </c>
      <c r="H23" s="25">
        <v>1200</v>
      </c>
      <c r="I23" s="25">
        <v>100</v>
      </c>
    </row>
    <row r="24" spans="1:10" x14ac:dyDescent="0.25">
      <c r="A24" s="25" t="s">
        <v>225</v>
      </c>
      <c r="B24" s="25" t="s">
        <v>214</v>
      </c>
      <c r="C24" s="25" t="s">
        <v>214</v>
      </c>
      <c r="D24" s="25" t="s">
        <v>214</v>
      </c>
      <c r="E24" s="25" t="s">
        <v>214</v>
      </c>
      <c r="F24" s="25">
        <v>256</v>
      </c>
      <c r="G24" s="25">
        <v>512</v>
      </c>
      <c r="H24" s="25">
        <v>32</v>
      </c>
      <c r="I24" s="25">
        <v>512</v>
      </c>
    </row>
    <row r="25" spans="1:10" x14ac:dyDescent="0.25">
      <c r="A25" s="25" t="s">
        <v>226</v>
      </c>
      <c r="B25" s="25" t="s">
        <v>214</v>
      </c>
      <c r="C25" s="25" t="s">
        <v>214</v>
      </c>
      <c r="D25" s="25" t="s">
        <v>214</v>
      </c>
      <c r="E25" s="25" t="s">
        <v>214</v>
      </c>
      <c r="F25" s="25">
        <v>29.792999999999999</v>
      </c>
      <c r="G25" s="25">
        <v>72</v>
      </c>
      <c r="H25" s="25">
        <v>8</v>
      </c>
      <c r="I25" s="25">
        <v>72</v>
      </c>
    </row>
    <row r="26" spans="1:10" x14ac:dyDescent="0.25">
      <c r="A26" s="25" t="s">
        <v>227</v>
      </c>
      <c r="B26" s="25" t="s">
        <v>228</v>
      </c>
      <c r="C26" s="25" t="s">
        <v>184</v>
      </c>
      <c r="D26" s="25" t="s">
        <v>166</v>
      </c>
      <c r="E26" s="25" t="s">
        <v>166</v>
      </c>
      <c r="F26" s="25" t="s">
        <v>229</v>
      </c>
      <c r="G26" s="25" t="s">
        <v>229</v>
      </c>
      <c r="H26" s="25" t="s">
        <v>230</v>
      </c>
      <c r="I26" s="25" t="s">
        <v>229</v>
      </c>
    </row>
    <row r="27" spans="1:10" x14ac:dyDescent="0.25">
      <c r="A27" s="25" t="s">
        <v>227</v>
      </c>
      <c r="B27" s="25" t="s">
        <v>231</v>
      </c>
      <c r="C27" s="25" t="s">
        <v>184</v>
      </c>
      <c r="D27" s="25" t="s">
        <v>166</v>
      </c>
      <c r="E27" s="25" t="s">
        <v>166</v>
      </c>
      <c r="F27" s="25" t="s">
        <v>232</v>
      </c>
      <c r="G27" s="25" t="s">
        <v>233</v>
      </c>
      <c r="H27" s="25" t="s">
        <v>234</v>
      </c>
      <c r="I27" s="25" t="s">
        <v>233</v>
      </c>
    </row>
    <row r="28" spans="1:10" x14ac:dyDescent="0.25">
      <c r="A28" s="26" t="s">
        <v>239</v>
      </c>
      <c r="J28">
        <v>664846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topLeftCell="A19" workbookViewId="0">
      <selection activeCell="B39" sqref="B39"/>
    </sheetView>
  </sheetViews>
  <sheetFormatPr defaultRowHeight="15" x14ac:dyDescent="0.25"/>
  <cols>
    <col min="4" max="4" width="15.140625" customWidth="1"/>
    <col min="5" max="5" width="26.42578125" style="27" customWidth="1"/>
    <col min="8" max="8" width="15.28515625" customWidth="1"/>
    <col min="9" max="9" width="27.28515625" style="27" customWidth="1"/>
  </cols>
  <sheetData>
    <row r="2" spans="2:9" x14ac:dyDescent="0.25">
      <c r="B2" t="s">
        <v>245</v>
      </c>
      <c r="E2" s="28">
        <v>15.041</v>
      </c>
      <c r="G2" t="s">
        <v>30</v>
      </c>
      <c r="I2" s="28">
        <v>1000</v>
      </c>
    </row>
    <row r="3" spans="2:9" x14ac:dyDescent="0.25">
      <c r="B3" t="s">
        <v>246</v>
      </c>
      <c r="E3" s="27">
        <v>3600</v>
      </c>
      <c r="G3" t="s">
        <v>244</v>
      </c>
      <c r="I3" s="30">
        <f>I2/1000</f>
        <v>1</v>
      </c>
    </row>
    <row r="4" spans="2:9" x14ac:dyDescent="0.25">
      <c r="B4" t="s">
        <v>247</v>
      </c>
      <c r="E4" s="27">
        <f>E2/E3</f>
        <v>4.1780555555555555E-3</v>
      </c>
      <c r="G4" t="s">
        <v>249</v>
      </c>
      <c r="I4" s="27">
        <f>I3*E4*E3</f>
        <v>15.041</v>
      </c>
    </row>
    <row r="5" spans="2:9" x14ac:dyDescent="0.25">
      <c r="B5" t="s">
        <v>248</v>
      </c>
      <c r="E5" s="27">
        <v>360</v>
      </c>
      <c r="G5" t="s">
        <v>247</v>
      </c>
      <c r="I5" s="27">
        <f>I4/3600</f>
        <v>4.1780555555555555E-3</v>
      </c>
    </row>
    <row r="7" spans="2:9" x14ac:dyDescent="0.25">
      <c r="B7" t="s">
        <v>250</v>
      </c>
      <c r="E7" s="27">
        <v>12960000</v>
      </c>
    </row>
    <row r="8" spans="2:9" x14ac:dyDescent="0.25">
      <c r="B8" t="s">
        <v>251</v>
      </c>
      <c r="E8" s="27">
        <f>E7/E5/E3</f>
        <v>10</v>
      </c>
      <c r="I8" s="29"/>
    </row>
    <row r="9" spans="2:9" x14ac:dyDescent="0.25">
      <c r="B9" t="s">
        <v>252</v>
      </c>
      <c r="E9" s="27">
        <f>E8*I4</f>
        <v>150.41</v>
      </c>
      <c r="I9" s="27">
        <f>E7</f>
        <v>12960000</v>
      </c>
    </row>
    <row r="10" spans="2:9" x14ac:dyDescent="0.25">
      <c r="I10" s="27">
        <f>I9/360</f>
        <v>36000</v>
      </c>
    </row>
    <row r="11" spans="2:9" x14ac:dyDescent="0.25">
      <c r="I11" s="27">
        <f>I10/3600</f>
        <v>10</v>
      </c>
    </row>
    <row r="12" spans="2:9" x14ac:dyDescent="0.25">
      <c r="I12" s="27">
        <f>I11*I5</f>
        <v>4.1780555555555557E-2</v>
      </c>
    </row>
    <row r="15" spans="2:9" x14ac:dyDescent="0.25">
      <c r="B15" t="s">
        <v>240</v>
      </c>
      <c r="E15" s="27">
        <v>86164.091</v>
      </c>
      <c r="I15" s="27">
        <v>1000</v>
      </c>
    </row>
    <row r="16" spans="2:9" x14ac:dyDescent="0.25">
      <c r="I16" s="27">
        <f>I15/10/360/60/60</f>
        <v>7.7160493827160506E-5</v>
      </c>
    </row>
    <row r="17" spans="2:9" x14ac:dyDescent="0.25">
      <c r="B17" t="s">
        <v>241</v>
      </c>
      <c r="E17" s="27">
        <f>E5/E15</f>
        <v>4.1780745995451864E-3</v>
      </c>
      <c r="I17" s="27">
        <f>I15/10/3600</f>
        <v>2.7777777777777776E-2</v>
      </c>
    </row>
    <row r="20" spans="2:9" x14ac:dyDescent="0.25">
      <c r="I20" s="27">
        <v>0.9</v>
      </c>
    </row>
    <row r="21" spans="2:9" x14ac:dyDescent="0.25">
      <c r="B21" t="s">
        <v>242</v>
      </c>
      <c r="E21" s="27">
        <f>E7/360/60/60</f>
        <v>10</v>
      </c>
      <c r="I21" s="27">
        <v>7.5</v>
      </c>
    </row>
    <row r="22" spans="2:9" x14ac:dyDescent="0.25">
      <c r="B22" t="s">
        <v>243</v>
      </c>
      <c r="E22" s="27">
        <f>E21*E17</f>
        <v>4.1780745995451868E-2</v>
      </c>
      <c r="I22" s="27">
        <f>I20*(I21/3600)</f>
        <v>1.8749999999999999E-3</v>
      </c>
    </row>
    <row r="23" spans="2:9" x14ac:dyDescent="0.25">
      <c r="I23" s="27">
        <f>I22/10</f>
        <v>1.875E-4</v>
      </c>
    </row>
    <row r="24" spans="2:9" x14ac:dyDescent="0.25">
      <c r="E24" s="27">
        <f>E22*60*60*24</f>
        <v>3609.8564540070415</v>
      </c>
    </row>
    <row r="27" spans="2:9" x14ac:dyDescent="0.25">
      <c r="B27" s="92" t="s">
        <v>283</v>
      </c>
      <c r="C27" s="92"/>
    </row>
    <row r="28" spans="2:9" x14ac:dyDescent="0.25">
      <c r="B28" t="s">
        <v>278</v>
      </c>
      <c r="E28" s="27">
        <v>11136000</v>
      </c>
    </row>
    <row r="29" spans="2:9" x14ac:dyDescent="0.25">
      <c r="B29" t="s">
        <v>277</v>
      </c>
      <c r="E29" s="27">
        <f>2 * PI()/E28</f>
        <v>5.6422281853264959E-7</v>
      </c>
    </row>
    <row r="31" spans="2:9" x14ac:dyDescent="0.25">
      <c r="B31" t="s">
        <v>279</v>
      </c>
      <c r="E31" s="27">
        <v>10552964</v>
      </c>
    </row>
    <row r="32" spans="2:9" x14ac:dyDescent="0.25">
      <c r="B32" t="s">
        <v>280</v>
      </c>
      <c r="E32" s="27">
        <f>E31-8388608</f>
        <v>2164356</v>
      </c>
    </row>
    <row r="33" spans="2:5" x14ac:dyDescent="0.25">
      <c r="B33" t="s">
        <v>281</v>
      </c>
      <c r="E33" s="27">
        <f>E32*E29</f>
        <v>1.2211790426280513</v>
      </c>
    </row>
    <row r="35" spans="2:5" x14ac:dyDescent="0.25">
      <c r="B35" t="s">
        <v>282</v>
      </c>
      <c r="E35" s="27">
        <f>180 / PI() * E33</f>
        <v>69.968405172413782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2" sqref="A2"/>
    </sheetView>
  </sheetViews>
  <sheetFormatPr defaultRowHeight="15" x14ac:dyDescent="0.25"/>
  <cols>
    <col min="1" max="1" width="9.140625" customWidth="1"/>
    <col min="4" max="4" width="14.85546875" bestFit="1" customWidth="1"/>
    <col min="5" max="5" width="12.7109375" bestFit="1" customWidth="1"/>
    <col min="6" max="6" width="3.42578125" customWidth="1"/>
    <col min="7" max="8" width="12.7109375" bestFit="1" customWidth="1"/>
    <col min="9" max="9" width="2" bestFit="1" customWidth="1"/>
    <col min="10" max="10" width="13.42578125" customWidth="1"/>
    <col min="11" max="11" width="4.42578125" customWidth="1"/>
  </cols>
  <sheetData>
    <row r="1" spans="1:10" ht="22.5" customHeight="1" x14ac:dyDescent="0.25">
      <c r="A1" s="94" t="s">
        <v>272</v>
      </c>
      <c r="B1" s="94"/>
      <c r="C1" s="94"/>
      <c r="D1" s="94"/>
      <c r="E1" s="94"/>
      <c r="F1" s="94"/>
      <c r="G1" s="94"/>
      <c r="H1" s="94"/>
    </row>
    <row r="2" spans="1:10" x14ac:dyDescent="0.25">
      <c r="A2" t="s">
        <v>273</v>
      </c>
    </row>
    <row r="5" spans="1:10" x14ac:dyDescent="0.25">
      <c r="G5" s="9" t="s">
        <v>264</v>
      </c>
      <c r="H5" s="9" t="s">
        <v>263</v>
      </c>
    </row>
    <row r="6" spans="1:10" x14ac:dyDescent="0.25">
      <c r="E6" s="32" t="s">
        <v>256</v>
      </c>
      <c r="F6" t="s">
        <v>254</v>
      </c>
      <c r="G6" s="34">
        <v>3</v>
      </c>
      <c r="H6" s="32">
        <f>G6*15</f>
        <v>45</v>
      </c>
      <c r="J6" s="9"/>
    </row>
    <row r="7" spans="1:10" x14ac:dyDescent="0.25">
      <c r="E7" s="33" t="s">
        <v>257</v>
      </c>
      <c r="F7" t="s">
        <v>254</v>
      </c>
      <c r="G7" s="34">
        <v>48</v>
      </c>
      <c r="H7" s="32"/>
    </row>
    <row r="8" spans="1:10" x14ac:dyDescent="0.25">
      <c r="E8" s="32" t="s">
        <v>258</v>
      </c>
      <c r="F8" t="s">
        <v>254</v>
      </c>
      <c r="G8" s="34">
        <v>23</v>
      </c>
      <c r="H8" s="32">
        <f>G8* 15</f>
        <v>345</v>
      </c>
    </row>
    <row r="9" spans="1:10" x14ac:dyDescent="0.25">
      <c r="E9" s="33" t="s">
        <v>259</v>
      </c>
      <c r="F9" t="s">
        <v>254</v>
      </c>
      <c r="G9" s="34">
        <v>45</v>
      </c>
      <c r="H9" s="32"/>
    </row>
    <row r="10" spans="1:10" x14ac:dyDescent="0.25">
      <c r="E10" s="32" t="s">
        <v>261</v>
      </c>
      <c r="F10" t="s">
        <v>254</v>
      </c>
      <c r="G10" s="34">
        <v>-12</v>
      </c>
      <c r="H10" s="32">
        <f>G10/60</f>
        <v>-0.2</v>
      </c>
    </row>
    <row r="11" spans="1:10" x14ac:dyDescent="0.25">
      <c r="E11" s="33" t="s">
        <v>260</v>
      </c>
      <c r="F11" t="s">
        <v>254</v>
      </c>
      <c r="G11" s="34">
        <v>-21</v>
      </c>
      <c r="H11" s="32">
        <f>G11/60</f>
        <v>-0.35</v>
      </c>
    </row>
    <row r="12" spans="1:10" x14ac:dyDescent="0.25">
      <c r="E12" s="32" t="s">
        <v>253</v>
      </c>
      <c r="F12" t="s">
        <v>254</v>
      </c>
      <c r="G12" s="34" t="s">
        <v>265</v>
      </c>
      <c r="H12" s="32">
        <v>42.666666669999998</v>
      </c>
    </row>
    <row r="14" spans="1:10" x14ac:dyDescent="0.25">
      <c r="C14" s="99">
        <v>4</v>
      </c>
      <c r="D14" s="35" t="s">
        <v>266</v>
      </c>
      <c r="E14" s="31">
        <f>J14*G14+J15*H14</f>
        <v>-0.2</v>
      </c>
      <c r="F14" s="97" t="s">
        <v>254</v>
      </c>
      <c r="G14" s="36">
        <f>TAN(G9)*SIN(H8)-TAN(G7)*SIN(H6)</f>
        <v>-1.9023434297983397</v>
      </c>
      <c r="H14" s="37">
        <f>COS(H12)*(TAN(G7)*COS(H6)-TAN(G9)*COS(H8))</f>
        <v>-0.18392326893206981</v>
      </c>
      <c r="I14" s="98" t="s">
        <v>255</v>
      </c>
      <c r="J14" s="38">
        <f>E19</f>
        <v>8.3066963446058462E-3</v>
      </c>
    </row>
    <row r="15" spans="1:10" x14ac:dyDescent="0.25">
      <c r="C15" s="99"/>
      <c r="D15" s="35" t="s">
        <v>267</v>
      </c>
      <c r="E15" s="31">
        <f>J14*G15+J15*H15</f>
        <v>-0.35000000000000003</v>
      </c>
      <c r="F15" s="97"/>
      <c r="G15" s="36">
        <f>COS(H8) - COS(H6)</f>
        <v>0.31376593904209982</v>
      </c>
      <c r="H15" s="37">
        <f>COS(H12)*(SIN(H8)-SIN(H6))</f>
        <v>-0.35208080814162784</v>
      </c>
      <c r="I15" s="98"/>
      <c r="J15" s="38">
        <f>E20</f>
        <v>1.0014926977702903</v>
      </c>
    </row>
    <row r="17" spans="3:10" ht="26.25" x14ac:dyDescent="0.25">
      <c r="C17" s="39">
        <v>5</v>
      </c>
      <c r="D17" s="2"/>
      <c r="E17" s="40" t="s">
        <v>262</v>
      </c>
      <c r="F17" s="2" t="s">
        <v>254</v>
      </c>
      <c r="G17" s="40">
        <f>COS(H12)*((TAN(G7)+TAN(G9))*(1-COS(H6-H8)))</f>
        <v>0.72748746931447905</v>
      </c>
      <c r="H17" s="2"/>
      <c r="I17" s="2"/>
      <c r="J17" s="2"/>
    </row>
    <row r="19" spans="3:10" x14ac:dyDescent="0.25">
      <c r="C19" s="100">
        <v>6</v>
      </c>
      <c r="D19" s="41" t="s">
        <v>268</v>
      </c>
      <c r="E19" s="3">
        <f>J19*G19 + J20*H19</f>
        <v>8.3066963446058462E-3</v>
      </c>
      <c r="F19" s="95" t="s">
        <v>254</v>
      </c>
      <c r="G19" s="42">
        <f>(COS(H12)*(SIN(H8)-SIN(H6)))/ G17</f>
        <v>-0.48396820975266858</v>
      </c>
      <c r="H19" s="43">
        <f>-COS(H12) * (TAN(G7)*COS(H6)-TAN(G9)*COS(H8)) / G17</f>
        <v>0.25281984458836537</v>
      </c>
      <c r="I19" s="96" t="s">
        <v>255</v>
      </c>
      <c r="J19" s="44">
        <f>H10</f>
        <v>-0.2</v>
      </c>
    </row>
    <row r="20" spans="3:10" x14ac:dyDescent="0.25">
      <c r="C20" s="100"/>
      <c r="D20" s="41" t="s">
        <v>269</v>
      </c>
      <c r="E20" s="3">
        <f>J19*G20+J20*H20</f>
        <v>1.0014926977702903</v>
      </c>
      <c r="F20" s="95"/>
      <c r="G20" s="42">
        <f>(COS(H6)-COS(H8)) / G17</f>
        <v>-0.43130081585840313</v>
      </c>
      <c r="H20" s="43">
        <f>(TAN(G9)*SIN(H8)-TAN(G7)*SIN(H6)) / G17</f>
        <v>-2.6149500988531704</v>
      </c>
      <c r="I20" s="96"/>
      <c r="J20" s="44">
        <f>H11</f>
        <v>-0.35</v>
      </c>
    </row>
    <row r="22" spans="3:10" x14ac:dyDescent="0.25">
      <c r="D22" s="32" t="s">
        <v>271</v>
      </c>
      <c r="E22">
        <f>E14* 60</f>
        <v>-12</v>
      </c>
    </row>
    <row r="23" spans="3:10" x14ac:dyDescent="0.25">
      <c r="D23" s="32" t="s">
        <v>270</v>
      </c>
      <c r="E23">
        <f>E15*60</f>
        <v>-21.000000000000004</v>
      </c>
    </row>
  </sheetData>
  <mergeCells count="7">
    <mergeCell ref="A1:H1"/>
    <mergeCell ref="F19:F20"/>
    <mergeCell ref="I19:I20"/>
    <mergeCell ref="F14:F15"/>
    <mergeCell ref="I14:I15"/>
    <mergeCell ref="C14:C15"/>
    <mergeCell ref="C19:C20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27" sqref="E27"/>
    </sheetView>
  </sheetViews>
  <sheetFormatPr defaultRowHeight="15" x14ac:dyDescent="0.25"/>
  <cols>
    <col min="1" max="1" width="13.85546875" bestFit="1" customWidth="1"/>
    <col min="2" max="2" width="14.5703125" customWidth="1"/>
    <col min="3" max="3" width="14" customWidth="1"/>
    <col min="4" max="10" width="12" bestFit="1" customWidth="1"/>
  </cols>
  <sheetData>
    <row r="1" spans="1:10" x14ac:dyDescent="0.25">
      <c r="A1" t="s">
        <v>304</v>
      </c>
    </row>
    <row r="3" spans="1:10" x14ac:dyDescent="0.25">
      <c r="A3" t="s">
        <v>40</v>
      </c>
      <c r="B3" s="32" t="s">
        <v>156</v>
      </c>
      <c r="C3" s="32" t="s">
        <v>157</v>
      </c>
      <c r="D3" s="32" t="s">
        <v>158</v>
      </c>
      <c r="E3" s="32" t="s">
        <v>33</v>
      </c>
      <c r="F3" s="32" t="s">
        <v>160</v>
      </c>
      <c r="G3" s="32" t="s">
        <v>161</v>
      </c>
      <c r="H3" s="32" t="s">
        <v>162</v>
      </c>
      <c r="I3" s="32" t="s">
        <v>238</v>
      </c>
      <c r="J3" s="32" t="s">
        <v>305</v>
      </c>
    </row>
    <row r="4" spans="1:10" x14ac:dyDescent="0.25">
      <c r="A4" t="s">
        <v>300</v>
      </c>
      <c r="B4" s="32">
        <v>9024000</v>
      </c>
      <c r="C4" s="32" t="s">
        <v>164</v>
      </c>
      <c r="D4" s="32" t="s">
        <v>165</v>
      </c>
      <c r="E4" s="32">
        <v>11136000</v>
      </c>
      <c r="F4" s="32" t="s">
        <v>167</v>
      </c>
      <c r="G4" s="32" t="s">
        <v>168</v>
      </c>
      <c r="H4" s="32" t="s">
        <v>167</v>
      </c>
      <c r="I4" s="32">
        <v>2073600</v>
      </c>
      <c r="J4" s="32">
        <v>12960000</v>
      </c>
    </row>
    <row r="5" spans="1:10" x14ac:dyDescent="0.25">
      <c r="A5" t="s">
        <v>298</v>
      </c>
      <c r="B5" s="32">
        <v>4.1780555555555555E-3</v>
      </c>
      <c r="C5" s="32">
        <v>4.1780555555555555E-3</v>
      </c>
      <c r="D5" s="32">
        <v>4.1780555555555555E-3</v>
      </c>
      <c r="E5" s="32">
        <v>4.1780555555555555E-3</v>
      </c>
      <c r="F5" s="32">
        <v>4.1780555555555555E-3</v>
      </c>
      <c r="G5" s="32">
        <v>4.1780555555555555E-3</v>
      </c>
      <c r="H5" s="32">
        <v>4.1780555555555555E-3</v>
      </c>
      <c r="I5" s="32">
        <v>4.1780555555555555E-3</v>
      </c>
      <c r="J5" s="32">
        <v>4.1780555555555555E-3</v>
      </c>
    </row>
    <row r="6" spans="1:10" x14ac:dyDescent="0.25">
      <c r="A6" t="s">
        <v>301</v>
      </c>
      <c r="B6" s="32">
        <v>0.1</v>
      </c>
      <c r="C6" s="32">
        <v>0.1</v>
      </c>
      <c r="D6" s="32">
        <v>0.1</v>
      </c>
      <c r="E6" s="32">
        <v>0.1</v>
      </c>
      <c r="F6" s="32">
        <v>0.1</v>
      </c>
      <c r="G6" s="32">
        <v>0.1</v>
      </c>
      <c r="H6" s="32">
        <v>0.1</v>
      </c>
      <c r="I6" s="32">
        <v>0.1</v>
      </c>
      <c r="J6" s="32">
        <v>0.1</v>
      </c>
    </row>
    <row r="7" spans="1:10" x14ac:dyDescent="0.25">
      <c r="A7" t="s">
        <v>299</v>
      </c>
      <c r="B7" s="32">
        <f t="shared" ref="B7:J7" si="0">B5*B6</f>
        <v>4.1780555555555559E-4</v>
      </c>
      <c r="C7" s="32">
        <f t="shared" si="0"/>
        <v>4.1780555555555559E-4</v>
      </c>
      <c r="D7" s="32">
        <f t="shared" si="0"/>
        <v>4.1780555555555559E-4</v>
      </c>
      <c r="E7" s="32">
        <f t="shared" si="0"/>
        <v>4.1780555555555559E-4</v>
      </c>
      <c r="F7" s="32">
        <f t="shared" si="0"/>
        <v>4.1780555555555559E-4</v>
      </c>
      <c r="G7" s="32">
        <f t="shared" si="0"/>
        <v>4.1780555555555559E-4</v>
      </c>
      <c r="H7" s="32">
        <f t="shared" si="0"/>
        <v>4.1780555555555559E-4</v>
      </c>
      <c r="I7" s="32">
        <f t="shared" si="0"/>
        <v>4.1780555555555559E-4</v>
      </c>
      <c r="J7" s="32">
        <f t="shared" si="0"/>
        <v>4.1780555555555559E-4</v>
      </c>
    </row>
    <row r="8" spans="1:10" x14ac:dyDescent="0.25">
      <c r="A8" t="s">
        <v>302</v>
      </c>
      <c r="B8" s="32">
        <f t="shared" ref="B8:J8" si="1">B4/360/3600</f>
        <v>6.9629629629629637</v>
      </c>
      <c r="C8" s="32">
        <f t="shared" si="1"/>
        <v>6.9629629629629637</v>
      </c>
      <c r="D8" s="32">
        <f t="shared" si="1"/>
        <v>3.4765432098765432</v>
      </c>
      <c r="E8" s="32">
        <f t="shared" si="1"/>
        <v>8.5925925925925917</v>
      </c>
      <c r="F8" s="32">
        <f t="shared" si="1"/>
        <v>7.1111111111111107</v>
      </c>
      <c r="G8" s="32">
        <f t="shared" si="1"/>
        <v>4</v>
      </c>
      <c r="H8" s="32">
        <f t="shared" si="1"/>
        <v>7.1111111111111107</v>
      </c>
      <c r="I8" s="32">
        <f t="shared" si="1"/>
        <v>1.6</v>
      </c>
      <c r="J8" s="32">
        <f t="shared" si="1"/>
        <v>10</v>
      </c>
    </row>
    <row r="9" spans="1:10" x14ac:dyDescent="0.25">
      <c r="A9" t="s">
        <v>303</v>
      </c>
      <c r="B9" s="32">
        <f t="shared" ref="B9:J9" si="2">1/B8/3600/B7 * 1000</f>
        <v>95.48369209267716</v>
      </c>
      <c r="C9" s="32">
        <f t="shared" si="2"/>
        <v>95.48369209267716</v>
      </c>
      <c r="D9" s="32">
        <f t="shared" si="2"/>
        <v>191.238644674254</v>
      </c>
      <c r="E9" s="32">
        <f t="shared" si="2"/>
        <v>77.374716006134946</v>
      </c>
      <c r="F9" s="32">
        <f t="shared" si="2"/>
        <v>93.494448507413068</v>
      </c>
      <c r="G9" s="32">
        <f t="shared" si="2"/>
        <v>166.21235290206766</v>
      </c>
      <c r="H9" s="32">
        <f t="shared" si="2"/>
        <v>93.494448507413068</v>
      </c>
      <c r="I9" s="32">
        <f t="shared" si="2"/>
        <v>415.53088225516916</v>
      </c>
      <c r="J9" s="32">
        <f t="shared" si="2"/>
        <v>66.484941160827063</v>
      </c>
    </row>
    <row r="10" spans="1:10" x14ac:dyDescent="0.25">
      <c r="B10" s="32"/>
      <c r="C10" s="32"/>
      <c r="D10" s="32"/>
      <c r="E10" s="32"/>
      <c r="F10" s="32"/>
      <c r="G10" s="32"/>
      <c r="H10" s="32"/>
      <c r="I10" s="32"/>
      <c r="J10" s="32"/>
    </row>
    <row r="12" spans="1:10" x14ac:dyDescent="0.25">
      <c r="A12" t="s">
        <v>40</v>
      </c>
      <c r="B12" s="32" t="s">
        <v>156</v>
      </c>
      <c r="C12" s="32" t="s">
        <v>157</v>
      </c>
      <c r="D12" s="32" t="s">
        <v>158</v>
      </c>
      <c r="E12" s="32" t="s">
        <v>33</v>
      </c>
      <c r="F12" s="32" t="s">
        <v>160</v>
      </c>
      <c r="G12" s="32" t="s">
        <v>161</v>
      </c>
      <c r="H12" s="32" t="s">
        <v>162</v>
      </c>
      <c r="I12" s="32" t="s">
        <v>238</v>
      </c>
      <c r="J12" s="32" t="s">
        <v>305</v>
      </c>
    </row>
    <row r="13" spans="1:10" x14ac:dyDescent="0.25">
      <c r="A13" t="s">
        <v>300</v>
      </c>
      <c r="B13" s="32">
        <v>9024000</v>
      </c>
      <c r="C13" s="32" t="s">
        <v>164</v>
      </c>
      <c r="D13" s="32" t="s">
        <v>165</v>
      </c>
      <c r="E13" s="32">
        <v>11136000</v>
      </c>
      <c r="F13" s="32" t="s">
        <v>167</v>
      </c>
      <c r="G13" s="32" t="s">
        <v>168</v>
      </c>
      <c r="H13" s="32" t="s">
        <v>167</v>
      </c>
      <c r="I13" s="32">
        <v>2073600</v>
      </c>
      <c r="J13" s="32">
        <v>12960000</v>
      </c>
    </row>
    <row r="14" spans="1:10" x14ac:dyDescent="0.25">
      <c r="A14" t="s">
        <v>298</v>
      </c>
      <c r="B14" s="32">
        <v>4.1780555555555555E-3</v>
      </c>
      <c r="C14" s="32">
        <v>4.1780555555555555E-3</v>
      </c>
      <c r="D14" s="32">
        <v>4.1780555555555555E-3</v>
      </c>
      <c r="E14" s="32">
        <v>4.1780555555555555E-3</v>
      </c>
      <c r="F14" s="32">
        <v>4.1780555555555555E-3</v>
      </c>
      <c r="G14" s="32">
        <v>4.1780555555555555E-3</v>
      </c>
      <c r="H14" s="32">
        <v>4.1780555555555555E-3</v>
      </c>
      <c r="I14" s="32">
        <v>4.1780555555555555E-3</v>
      </c>
      <c r="J14" s="32">
        <v>4.1780555555555555E-3</v>
      </c>
    </row>
    <row r="15" spans="1:10" x14ac:dyDescent="0.25">
      <c r="A15" t="s">
        <v>301</v>
      </c>
      <c r="B15" s="32">
        <v>0.5</v>
      </c>
      <c r="C15" s="32">
        <v>0.5</v>
      </c>
      <c r="D15" s="32">
        <v>0.5</v>
      </c>
      <c r="E15" s="32">
        <v>0.5</v>
      </c>
      <c r="F15" s="32">
        <v>0.5</v>
      </c>
      <c r="G15" s="32">
        <v>0.5</v>
      </c>
      <c r="H15" s="32">
        <v>0.5</v>
      </c>
      <c r="I15" s="32">
        <v>0.5</v>
      </c>
      <c r="J15" s="32">
        <v>0.5</v>
      </c>
    </row>
    <row r="16" spans="1:10" x14ac:dyDescent="0.25">
      <c r="A16" t="s">
        <v>299</v>
      </c>
      <c r="B16" s="32">
        <f t="shared" ref="B16:J16" si="3">B14*B15</f>
        <v>2.0890277777777778E-3</v>
      </c>
      <c r="C16" s="32">
        <f t="shared" si="3"/>
        <v>2.0890277777777778E-3</v>
      </c>
      <c r="D16" s="32">
        <f t="shared" si="3"/>
        <v>2.0890277777777778E-3</v>
      </c>
      <c r="E16" s="32">
        <f t="shared" si="3"/>
        <v>2.0890277777777778E-3</v>
      </c>
      <c r="F16" s="32">
        <f t="shared" si="3"/>
        <v>2.0890277777777778E-3</v>
      </c>
      <c r="G16" s="32">
        <f t="shared" si="3"/>
        <v>2.0890277777777778E-3</v>
      </c>
      <c r="H16" s="32">
        <f t="shared" si="3"/>
        <v>2.0890277777777778E-3</v>
      </c>
      <c r="I16" s="32">
        <f t="shared" si="3"/>
        <v>2.0890277777777778E-3</v>
      </c>
      <c r="J16" s="32">
        <f t="shared" si="3"/>
        <v>2.0890277777777778E-3</v>
      </c>
    </row>
    <row r="17" spans="1:10" x14ac:dyDescent="0.25">
      <c r="A17" t="s">
        <v>302</v>
      </c>
      <c r="B17" s="32">
        <f t="shared" ref="B17:J17" si="4">B13/360/3600</f>
        <v>6.9629629629629637</v>
      </c>
      <c r="C17" s="32">
        <f t="shared" si="4"/>
        <v>6.9629629629629637</v>
      </c>
      <c r="D17" s="32">
        <f t="shared" si="4"/>
        <v>3.4765432098765432</v>
      </c>
      <c r="E17" s="32">
        <f t="shared" si="4"/>
        <v>8.5925925925925917</v>
      </c>
      <c r="F17" s="32">
        <f t="shared" si="4"/>
        <v>7.1111111111111107</v>
      </c>
      <c r="G17" s="32">
        <f t="shared" si="4"/>
        <v>4</v>
      </c>
      <c r="H17" s="32">
        <f t="shared" si="4"/>
        <v>7.1111111111111107</v>
      </c>
      <c r="I17" s="32">
        <f t="shared" si="4"/>
        <v>1.6</v>
      </c>
      <c r="J17" s="32">
        <f t="shared" si="4"/>
        <v>10</v>
      </c>
    </row>
    <row r="18" spans="1:10" x14ac:dyDescent="0.25">
      <c r="A18" t="s">
        <v>303</v>
      </c>
      <c r="B18" s="32">
        <f t="shared" ref="B18:J18" si="5">1/B17/3600/B16 * 1000</f>
        <v>19.096738418535434</v>
      </c>
      <c r="C18" s="32">
        <f t="shared" si="5"/>
        <v>19.096738418535434</v>
      </c>
      <c r="D18" s="32">
        <f t="shared" si="5"/>
        <v>38.247728934850805</v>
      </c>
      <c r="E18" s="32">
        <f t="shared" si="5"/>
        <v>15.474943201226992</v>
      </c>
      <c r="F18" s="32">
        <f t="shared" si="5"/>
        <v>18.698889701482614</v>
      </c>
      <c r="G18" s="32">
        <f t="shared" si="5"/>
        <v>33.242470580413539</v>
      </c>
      <c r="H18" s="32">
        <f t="shared" si="5"/>
        <v>18.698889701482614</v>
      </c>
      <c r="I18" s="32">
        <f t="shared" si="5"/>
        <v>83.106176451033832</v>
      </c>
      <c r="J18" s="32">
        <f t="shared" si="5"/>
        <v>13.296988232165415</v>
      </c>
    </row>
    <row r="21" spans="1:10" x14ac:dyDescent="0.25">
      <c r="A21" t="s">
        <v>40</v>
      </c>
      <c r="B21" s="32" t="s">
        <v>156</v>
      </c>
      <c r="C21" s="32" t="s">
        <v>157</v>
      </c>
      <c r="D21" s="32" t="s">
        <v>158</v>
      </c>
      <c r="E21" s="32" t="s">
        <v>33</v>
      </c>
      <c r="F21" s="32" t="s">
        <v>160</v>
      </c>
      <c r="G21" s="32" t="s">
        <v>161</v>
      </c>
      <c r="H21" s="32" t="s">
        <v>162</v>
      </c>
      <c r="I21" s="32" t="s">
        <v>238</v>
      </c>
      <c r="J21" s="32" t="s">
        <v>305</v>
      </c>
    </row>
    <row r="22" spans="1:10" x14ac:dyDescent="0.25">
      <c r="A22" t="s">
        <v>300</v>
      </c>
      <c r="B22" s="32">
        <v>9024000</v>
      </c>
      <c r="C22" s="32" t="s">
        <v>164</v>
      </c>
      <c r="D22" s="32" t="s">
        <v>165</v>
      </c>
      <c r="E22" s="32">
        <v>11136000</v>
      </c>
      <c r="F22" s="32" t="s">
        <v>167</v>
      </c>
      <c r="G22" s="32" t="s">
        <v>168</v>
      </c>
      <c r="H22" s="32" t="s">
        <v>167</v>
      </c>
      <c r="I22" s="32">
        <v>2073600</v>
      </c>
      <c r="J22" s="32">
        <v>12960000</v>
      </c>
    </row>
    <row r="23" spans="1:10" x14ac:dyDescent="0.25">
      <c r="A23" t="s">
        <v>298</v>
      </c>
      <c r="B23" s="32">
        <v>4.1780555555555555E-3</v>
      </c>
      <c r="C23" s="32">
        <v>4.1780555555555555E-3</v>
      </c>
      <c r="D23" s="32">
        <v>4.1780555555555555E-3</v>
      </c>
      <c r="E23" s="32">
        <v>4.1780555555555555E-3</v>
      </c>
      <c r="F23" s="32">
        <v>4.1780555555555555E-3</v>
      </c>
      <c r="G23" s="32">
        <v>4.1780555555555555E-3</v>
      </c>
      <c r="H23" s="32">
        <v>4.1780555555555555E-3</v>
      </c>
      <c r="I23" s="32">
        <v>4.1780555555555555E-3</v>
      </c>
      <c r="J23" s="32">
        <v>4.1780555555555555E-3</v>
      </c>
    </row>
    <row r="24" spans="1:10" x14ac:dyDescent="0.25">
      <c r="A24" t="s">
        <v>301</v>
      </c>
      <c r="B24" s="32">
        <v>0.4</v>
      </c>
      <c r="C24" s="32">
        <v>0.4</v>
      </c>
      <c r="D24" s="32">
        <v>0.4</v>
      </c>
      <c r="E24" s="32">
        <v>0.4</v>
      </c>
      <c r="F24" s="32">
        <v>0.4</v>
      </c>
      <c r="G24" s="32">
        <v>0.4</v>
      </c>
      <c r="H24" s="32">
        <v>0.4</v>
      </c>
      <c r="I24" s="32">
        <v>0.4</v>
      </c>
      <c r="J24" s="32">
        <v>0.4</v>
      </c>
    </row>
    <row r="25" spans="1:10" x14ac:dyDescent="0.25">
      <c r="A25" t="s">
        <v>299</v>
      </c>
      <c r="B25" s="32">
        <f t="shared" ref="B25:J25" si="6">B23*B24</f>
        <v>1.6712222222222224E-3</v>
      </c>
      <c r="C25" s="32">
        <f t="shared" si="6"/>
        <v>1.6712222222222224E-3</v>
      </c>
      <c r="D25" s="32">
        <f t="shared" si="6"/>
        <v>1.6712222222222224E-3</v>
      </c>
      <c r="E25" s="32">
        <f t="shared" si="6"/>
        <v>1.6712222222222224E-3</v>
      </c>
      <c r="F25" s="32">
        <f t="shared" si="6"/>
        <v>1.6712222222222224E-3</v>
      </c>
      <c r="G25" s="32">
        <f t="shared" si="6"/>
        <v>1.6712222222222224E-3</v>
      </c>
      <c r="H25" s="32">
        <f t="shared" si="6"/>
        <v>1.6712222222222224E-3</v>
      </c>
      <c r="I25" s="32">
        <f t="shared" si="6"/>
        <v>1.6712222222222224E-3</v>
      </c>
      <c r="J25" s="32">
        <f t="shared" si="6"/>
        <v>1.6712222222222224E-3</v>
      </c>
    </row>
    <row r="26" spans="1:10" x14ac:dyDescent="0.25">
      <c r="A26" t="s">
        <v>302</v>
      </c>
      <c r="B26" s="32">
        <f t="shared" ref="B26:J26" si="7">B22/360/3600</f>
        <v>6.9629629629629637</v>
      </c>
      <c r="C26" s="32">
        <f t="shared" si="7"/>
        <v>6.9629629629629637</v>
      </c>
      <c r="D26" s="32">
        <f t="shared" si="7"/>
        <v>3.4765432098765432</v>
      </c>
      <c r="E26" s="32">
        <f t="shared" si="7"/>
        <v>8.5925925925925917</v>
      </c>
      <c r="F26" s="32">
        <f t="shared" si="7"/>
        <v>7.1111111111111107</v>
      </c>
      <c r="G26" s="32">
        <f t="shared" si="7"/>
        <v>4</v>
      </c>
      <c r="H26" s="32">
        <f t="shared" si="7"/>
        <v>7.1111111111111107</v>
      </c>
      <c r="I26" s="32">
        <f t="shared" si="7"/>
        <v>1.6</v>
      </c>
      <c r="J26" s="32">
        <f t="shared" si="7"/>
        <v>10</v>
      </c>
    </row>
    <row r="27" spans="1:10" x14ac:dyDescent="0.25">
      <c r="A27" t="s">
        <v>303</v>
      </c>
      <c r="B27" s="32">
        <f t="shared" ref="B27:J27" si="8">1/B26/3600/B25 * 1000</f>
        <v>23.87092302316929</v>
      </c>
      <c r="C27" s="32">
        <f t="shared" si="8"/>
        <v>23.87092302316929</v>
      </c>
      <c r="D27" s="32">
        <f t="shared" si="8"/>
        <v>47.809661168563501</v>
      </c>
      <c r="E27" s="32">
        <f t="shared" si="8"/>
        <v>19.343679001533737</v>
      </c>
      <c r="F27" s="32">
        <f t="shared" si="8"/>
        <v>23.373612126853267</v>
      </c>
      <c r="G27" s="32">
        <f t="shared" si="8"/>
        <v>41.553088225516916</v>
      </c>
      <c r="H27" s="32">
        <f t="shared" si="8"/>
        <v>23.373612126853267</v>
      </c>
      <c r="I27" s="32">
        <f t="shared" si="8"/>
        <v>103.88272056379229</v>
      </c>
      <c r="J27" s="32">
        <f t="shared" si="8"/>
        <v>16.621235290206766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Speeds</vt:lpstr>
      <vt:lpstr>Norm Tacking</vt:lpstr>
      <vt:lpstr>Sheet2</vt:lpstr>
      <vt:lpstr>Synta Data</vt:lpstr>
      <vt:lpstr>Sheet3</vt:lpstr>
      <vt:lpstr>Alignments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`</dc:creator>
  <cp:lastModifiedBy>`</cp:lastModifiedBy>
  <dcterms:created xsi:type="dcterms:W3CDTF">2019-01-01T15:04:20Z</dcterms:created>
  <dcterms:modified xsi:type="dcterms:W3CDTF">2020-01-06T13:01:11Z</dcterms:modified>
</cp:coreProperties>
</file>