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ThermalCamera. " sheetId="1" state="visible" r:id="rId2"/>
  </sheets>
  <definedNames>
    <definedName function="false" hidden="false" name="BoardQty" vbProcedure="false">'OpenThermalCamera. '!$H$1</definedName>
    <definedName function="false" hidden="false" name="digikey_part_data" vbProcedure="false">'OpenThermalCamera. '!$I$5:$M$19</definedName>
    <definedName function="false" hidden="false" name="EUR_GBP" vbProcedure="false">'OpenThermalCamera. '!$C$22</definedName>
    <definedName function="false" hidden="false" name="EUR_USD" vbProcedure="false">'OpenThermalCamera. '!$C$23</definedName>
    <definedName function="false" hidden="false" name="farnell_part_data" vbProcedure="false">'OpenThermalCamera. '!$N$5:$R$19</definedName>
    <definedName function="false" hidden="false" name="global_part_data" vbProcedure="false">'OpenThermalCamera. '!$A$5:$H$19</definedName>
    <definedName function="false" hidden="false" name="mouser_part_data" vbProcedure="false">'OpenThermalCamera. '!$S$5:$W$19</definedName>
    <definedName function="false" hidden="false" name="newark_part_data" vbProcedure="false">'OpenThermalCamera. '!$X$5:$AB$19</definedName>
    <definedName function="false" hidden="false" name="rs_part_data" vbProcedure="false">'OpenThermalCamera. '!$AC$5:$AG$19</definedName>
    <definedName function="false" hidden="false" name="TotalCost" vbProcedure="false">'OpenThermalCamera.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G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21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$0.50      $0.50
    10   $0.35      $3.48
   100   $0.21     $20.87
   500   $0.16     $78.27
  1000   $0.13    $132.19
  3000   $0.11    $326.70
  6000   $0.10    $617.10
  9000   $0.10    $871.20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$0.04      $0.35
   100   $0.03      $3.12
   500   $0.03     $13.82
  4000   $0.03    $112.00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$0.12      $0.12
    10   $0.09      $0.86
   100   $0.04      $4.05
   500   $0.03     $14.21
  1000   $0.02     $23.53
  4000   $0.02     $69.68
  8000   $0.02    $129.60
 12000   $0.02    $184.68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$0.23      $0.23
    10   $0.16      $1.59
   100   $0.09      $8.99
   500   $0.06     $31.74
  1000   $0.06     $55.55
  4000   $0.05    $184.00
  8000   $0.04    $349.60
 12000   $0.04    $496.80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$1.90      $1.90
    10   $1.72     $17.25
    25   $1.62     $40.48
    50   $1.55     $77.44
   100   $1.48    $147.84
   250   $1.34    $334.40
   500   $1.23    $616.00
  1500   $0.93  $1,392.00
  3000   $0.90  $2,688.00
  7500   $0.85  $6,384.00
 10500   $0.83  $8,736.00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$0.04      $0.42
   100   $0.02      $1.70
  1000   $0.01      $7.65
  2500   $0.01     $16.60
  5000   $0.00     $24.95
 10000   $0.00     $43.30
 25000   $0.00     $95.25
 50000   $0.00    $174.50
125000   $0.00    $427.50</t>
        </r>
      </text>
    </comment>
    <comment ref="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$0.07      $0.66
   100   $0.03      $2.67
  1000   $0.01     $11.99
  2500   $0.01     $26.03
  5000   $0.01     $39.10
 10000   $0.01     $67.90
 25000   $0.01    $149.25
 50000   $0.01    $273.50
125000   $0.01    $670.00</t>
        </r>
      </text>
    </comment>
    <comment ref="K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$0.01      $0.01
 40000   $0.01    $228.40
 50000   $0.01    $262.00
125000   $0.01    $641.25</t>
        </r>
      </text>
    </comment>
    <comment ref="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$0.06      $0.63
   100   $0.03      $2.56
  1000   $0.01     $11.49
  2500   $0.01     $24.92
  5000   $0.01     $37.40
 10000   $0.01     $65.00
 25000   $0.01    $142.75
 50000   $0.01    $262.00
125000   $0.01    $641.25</t>
        </r>
      </text>
    </comment>
    <comment ref="K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$46.34     $46.34
    10  $43.34    $433.36
    25  $40.08  $1,001.98
   100  $37.57  $3,757.44</t>
        </r>
      </text>
    </comment>
    <comment ref="K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$0.75      $0.75
    10   $0.66      $6.59
   100   $0.51     $50.55
   500   $0.40    $199.82
  1000   $0.32    $319.71
  3000   $0.28    $843.90
  6000   $0.26  $1,571.40
 15000   $0.25  $3,783.00</t>
        </r>
      </text>
    </comment>
    <comment ref="K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$2.25      $2.25
    10   $2.02     $20.25
   100   $1.63    $162.73
   500   $1.34    $668.50
  1000   $1.11  $1,107.80</t>
        </r>
      </text>
    </comment>
    <comment ref="K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$0.65      $0.65
    10   $0.55      $5.52
   100   $0.41     $41.24
   500   $0.32    $162.02
  1000   $0.25    $250.39
  3000   $0.22    $664.95
  6000   $0.21  $1,244.10
 15000   $0.19  $2,895.75
 30000   $0.18  $5,491.20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P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£0.16      £0.16
     5   £0.16      £0.79
    50   £0.10      £5.00
   150   £0.10     £14.99
   250   £0.08     £20.72
   500   £0.07     £34.30
  1500   £0.06     £87.75
  3000   £0.05    £135.60
 15000   £0.04    £574.50</t>
        </r>
      </text>
    </comment>
    <comment ref="P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£0.06      £0.06
    10   £0.06      £0.65
   100   £0.04      £4.22
   150   £0.04      £6.33
   500   £0.03     £15.65
  1000   £0.03     £26.70
  2000   £0.02     £49.40
  4000   £0.02     £84.40
 20000   £0.02    £348.00</t>
        </r>
      </text>
    </comment>
    <comment ref="P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£0.09      £0.09
    10   £0.09      £0.92
   100   £0.04      £4.06
   150   £0.04      £6.09
   500   £0.03     £12.75
  1000   £0.02     £18.60
  2000   £0.02     £34.60
  4000   £0.01     £51.60
 20000   £0.01    £194.00</t>
        </r>
      </text>
    </comment>
    <comment ref="P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£0.17      £0.17
    10   £0.17      £1.74
   100   £0.10     £10.30
   150   £0.10     £15.45
   500   £0.06     £32.40
  1000   £0.05     £54.70
  2000   £0.04     £85.60
  4000   £0.03    £134.80</t>
        </r>
      </text>
    </comment>
    <comment ref="P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£0.01      £0.01
    25   £0.01      £0.30
    50   £0.01      £0.54
   100   £0.01      £0.98
   250   £0.01      £2.12
   500   £0.01      £3.35</t>
        </r>
      </text>
    </comment>
    <comment ref="P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£0.02      £0.02
    10   £0.02      £0.24
   100   £0.02      £1.87
   150   £0.02      £2.80
   500   £0.01      £6.75
  1000   £0.01     £10.90
  2500   £0.01     £21.75
  5000   £0.01     £28.50
 25000   £0.00    £125.00</t>
        </r>
      </text>
    </comment>
    <comment ref="P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£0.56      £0.56
     5   £0.56      £2.80
    10   £0.56      £5.61
    50   £0.49     £24.50
   100   £0.32     £31.70
   150   £0.32     £47.55
   250   £0.29     £72.00
   500   £0.26    £129.50
  1000   £0.23    £230.00
  2500   £0.21    £535.00
  5000   £0.20  £1,025.00</t>
        </r>
      </text>
    </comment>
    <comment ref="P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£1.83      £1.83
    25   £1.61     £40.25
    50   £1.46     £73.00
   100   £1.29    £129.00
   250   £1.21    £302.50
   500   £1.12    £560.00
  1000   £0.93    £933.00
  2500   £0.84  £2,087.50</t>
        </r>
      </text>
    </comment>
    <comment ref="P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£0.54      £0.54
     5   £0.54      £2.72
    10   £0.44      £4.35
   100   £0.24     £23.90
   150   £0.24     £35.85
   250   £0.21     £53.00
   500   £0.18     £92.00
  1000   £0.16    £157.00
  5000   £0.14    £710.00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U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$0.18      $0.18
    10   $0.18      $1.80
    50   $0.15      $7.40
   100   $0.13     $12.60
   500   $0.11     $55.00
  1000   $0.11    $110.00
  3000   $0.11    $324.00
  6000   $0.10    $612.00
  9000   $0.10    $864.00
 10000   $0.10    $960.00</t>
        </r>
      </text>
    </comment>
    <comment ref="U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$0.04      $0.35
    50   $0.04      $1.75
   100   $0.03      $3.20
  1000   $0.03     $28.00
 10000   $0.02    $220.00</t>
        </r>
      </text>
    </comment>
    <comment ref="U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$0.10      $1.00
    50   $0.08      $4.05
   100   $0.04      $4.00
   500   $0.03     $14.00
  1000   $0.02     $17.00
  8000   $0.02    $120.00
 10000   $0.02    $150.00
100000   $0.01  $1,400.00</t>
        </r>
      </text>
    </comment>
    <comment ref="U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$0.23      $0.23
    10   $0.16      $1.59
    50   $0.16      $7.95
   100   $0.09      $8.90
   500   $0.06     $31.50
  1000   $0.06     $55.00
  4000   $0.05    $184.00
  8000   $0.04    $328.00
 10000   $0.04    $410.00</t>
        </r>
      </text>
    </comment>
    <comment ref="U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$1.72      $1.72
    10   $1.40     $14.00
    50   $1.40     $70.00
   100   $1.21    $121.00
   500   $1.12    $560.00
  1000   $0.96    $959.00
  1500   $0.90  $1,342.50
  4500   $0.83  $3,744.00
  9000   $0.80  $7,200.00
 10000   $0.80  $8,000.00
 24000   $0.78 $18,720.00</t>
        </r>
      </text>
    </comment>
    <comment ref="U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$0.04      $0.42
    50   $0.04      $2.10
   100   $0.02      $1.70
   500   $0.02      $8.00
  1000   $0.01      $6.00
  5000   $0.00     $20.00
 10000   $0.00     $40.00</t>
        </r>
      </text>
    </comment>
    <comment ref="U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$0.07      $0.66
    50   $0.07      $3.30
   100   $0.05      $4.70
  1000   $0.03     $27.00
  5000   $0.02     $95.00
 10000   $0.02    $150.00
 25000   $0.01    $325.00
 50000   $0.01    $550.00
100000   $0.01  $1,000.00</t>
        </r>
      </text>
    </comment>
    <comment ref="U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$0.14      $0.14
    10   $0.06      $0.65
    50   $0.06      $3.25
   100   $0.04      $3.80
   500   $0.02     $10.50
  1000   $0.01     $13.00
  5000   $0.01     $45.00
 10000   $0.01     $80.00
 25000   $0.01    $175.00
 50000   $0.01    $300.00</t>
        </r>
      </text>
    </comment>
    <comment ref="U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$0.06      $0.61
    50   $0.06      $3.05
   100   $0.02      $2.40
   500   $0.02      $9.00
  1000   $0.01      $9.00
  5000   $0.00     $25.00
 10000   $0.00     $50.00</t>
        </r>
      </text>
    </comment>
    <comment ref="U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$44.99     $44.99
     5  $42.56    $212.80
    10  $42.07    $420.70
    25  $38.91    $972.75
    50  $37.69  $1,884.50
   100  $36.47  $3,647.00
   250  $34.04  $8,510.00
   500  $32.34 $16,170.00
  1000  $29.19 $29,190.00
 10000  $36.47 $364,700.00</t>
        </r>
      </text>
    </comment>
    <comment ref="U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$0.72      $0.72
    10   $0.60      $6.00
    50   $0.60     $30.00
   100   $0.39     $38.80
  1000   $0.31    $311.00
  2000   $0.28    $564.00
  3000   $0.26    $786.00
  9000   $0.25  $2,277.00
 10000   $0.25  $2,530.00
 24000   $0.24  $5,832.00
 48000   $0.23 $11,184.00</t>
        </r>
      </text>
    </comment>
    <comment ref="U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$2.25      $2.25
    10   $1.91     $19.10
    50   $1.91     $95.50
   100   $1.53    $153.00
   500   $1.34    $670.00
  1000   $1.11  $1,110.00
  2500   $1.04  $2,600.00
  5000   $0.99  $4,970.00
 10000   $0.96  $9,550.00
 25000   $0.92 $22,925.00</t>
        </r>
      </text>
    </comment>
    <comment ref="U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$0.57      $0.57
    10   $0.47      $4.70
    50   $0.47     $23.50
   100   $0.29     $28.70
  1000   $0.22    $222.00
  3000   $0.19    $567.00
  9000   $0.18  $1,584.00
 10000   $0.18  $1,760.00
 24000   $0.17  $4,008.00
 45000   $0.16  $7,335.00
 99000   $0.16 $15,543.00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X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Y2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Z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$0.18      $0.18
     5   $0.18      $0.90
    10   $0.17      $1.69
    25   $0.16      $3.98
    50   $0.15      $7.40
   100   $0.13     $12.60
   250   $0.12     $29.50
   500   $0.11     $55.00
  3000   $0.11    $336.00
  5000   $0.10    $495.00
  6000   $0.10    $594.00
 10000   $0.08    $810.00
 12000   $0.08    $972.00
 20000   $0.07  $1,400.00
 21000   $0.07  $1,470.00
 30000   $0.07  $1,980.00
 50000   $0.06  $2,850.00
 51000   $0.06  $2,907.00</t>
        </r>
      </text>
    </comment>
    <comment ref="Z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$0.10      $0.10
    10   $0.04      $0.37
    25   $0.04      $0.90
    50   $0.04      $1.75
   100   $0.03      $3.40
   250   $0.03      $8.00
   500   $0.03     $15.00</t>
        </r>
      </text>
    </comment>
    <comment ref="Z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$0.02      $0.02
  4000   $0.02     $76.00
  8000   $0.02    $144.00</t>
        </r>
      </text>
    </comment>
    <comment ref="Z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$0.05      $0.05
    25   $0.20      $4.98
    50   $0.16      $7.75
   100   $0.11     $11.10
   250   $0.10     $23.75
   500   $0.08     $39.50
  1000   $0.07     $69.00
  4000   $0.04    $176.00
  8000   $0.04    $328.00</t>
        </r>
      </text>
    </comment>
    <comment ref="Z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$0.00      $0.00
    25   $0.00      $0.05
    50   $0.00      $0.10
   100   $0.00      $0.20
   250   $0.00      $0.50
   500   $0.00      $1.00
  1000   $0.00      $2.00
  5000   $0.02     $90.00
 10000   $0.02    $170.00
 20000   $0.02    $340.00
 30000   $0.02    $480.00
 50000   $0.02    $800.00</t>
        </r>
      </text>
    </comment>
    <comment ref="Z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$0.12      $0.12
    10   $0.12      $1.25
    25   $0.08      $2.08
    50   $0.07      $3.55
   100   $0.06      $5.90
   250   $0.05     $12.50
   500   $0.04     $21.50
  1000   $0.03     $34.00
  5000   $0.02    $105.00
 10000   $0.02    $190.00
 20000   $0.02    $380.00</t>
        </r>
      </text>
    </comment>
    <comment ref="Z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$0.01      $0.01
  5000   $0.01     $45.00</t>
        </r>
      </text>
    </comment>
    <comment ref="Z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$0.02      $0.02
  5000   $0.01     $70.00
 10000   $0.01    $100.00
 40000   $0.01    $400.00</t>
        </r>
      </text>
    </comment>
    <comment ref="Z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$0.72      $0.72
    25   $0.60     $15.00
    50   $0.49     $24.70
   100   $0.39     $38.80
   250   $0.36     $90.50
   500   $0.34    $168.50
  1000   $0.31    $311.00
  2500   $0.28    $705.00</t>
        </r>
      </text>
    </comment>
    <comment ref="Z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$2.25      $2.25
    10   $1.91     $19.10
   100   $1.53    $153.00
   500   $1.34    $670.00
  1000   $1.11  $1,110.00
  2500   $1.04  $2,600.00
  5000   $0.99  $4,970.00</t>
        </r>
      </text>
    </comment>
    <comment ref="Z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0   $0.00      $0.00
     1   $0.57      $0.57
    10   $0.47      $4.70
    25   $0.41     $10.22
    50   $0.35     $17.40
   100   $0.29     $28.70
   250   $0.26     $66.25
   500   $0.24    $122.00
  1000   $0.22    $222.00
  3000   $0.17    $510.00
  6000   $0.17  $1,014.00
 12000   $0.17  $2,004.00
 18000   $0.16  $2,970.00
 30000   $0.16  $4,830.00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C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E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£0.03      £0.03
   250   £0.03      £8.50
  1000   £0.03     £26.00
  2000   £0.02     £50.00
  4000   £0.03    £104.00
 12000   £0.02    £300.00</t>
        </r>
      </text>
    </comment>
    <comment ref="AE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£0.01      £0.01
   200   £0.01      £2.60
   400   £0.01      £4.00
   800   £0.01      £7.20
  4000   £0.01     £24.00</t>
        </r>
      </text>
    </comment>
    <comment ref="AE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1 £171.93    £171.93
    50   £0.15      £7.30
   800   £0.06     £48.00
  2000   £0.05    £104.00</t>
        </r>
      </text>
    </comment>
    <comment ref="AE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£47.50     £47.50
    50   £0.03      £1.60
   500   £0.01      £7.00
  1000   £0.01     £11.00
  1250   £0.00      £6.25
  2500   £0.00     £10.00</t>
        </r>
      </text>
    </comment>
    <comment ref="AE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£0.57      £0.57
     5   £0.57      £2.85
    30   £0.44     £13.20
   150   £0.28     £42.30
   750   £0.25    £190.50
  1500   £0.23    £342.00
  3000   £0.22    £651.00
  9000   £0.21  £1,908.00</t>
        </r>
      </text>
    </comment>
    <comment ref="AE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£1.73      £1.73
     5   £1.73      £8.67
    25   £1.37     £34.35
    50   £1.24     £61.90
    74   £1.48    £109.37
   100   £1.10    £110.00
   250   £1.06    £264.50</t>
        </r>
      </text>
    </comment>
    <comment ref="AE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0   £0.00      £0.00
     1   £0.38      £0.38
    10   £0.38      £3.82
    30   £0.22      £6.69
   150   £0.19     £28.65
   750   £0.15    £112.50
  1500   £0.13    £195.00
  3000   £0.13    £399.00
  9000   £0.13  £1,134.00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<sst xmlns="http://schemas.openxmlformats.org/spreadsheetml/2006/main" count="169" uniqueCount="137">
  <si>
    <t xml:space="preserve">Prj:</t>
  </si>
  <si>
    <t xml:space="preserve">OpenThermalCamera</t>
  </si>
  <si>
    <t xml:space="preserve">Board Qty:</t>
  </si>
  <si>
    <t xml:space="preserve">Co.:</t>
  </si>
  <si>
    <t xml:space="preserve">Martin Peterlin - TheMarpe</t>
  </si>
  <si>
    <t xml:space="preserve">Unit Cost:</t>
  </si>
  <si>
    <t xml:space="preserve">Prj date:</t>
  </si>
  <si>
    <t xml:space="preserve">09/21/19 20:50:41</t>
  </si>
  <si>
    <t xml:space="preserve">Total Cost:</t>
  </si>
  <si>
    <t xml:space="preserve">$ date:</t>
  </si>
  <si>
    <t xml:space="preserve">2019-09-21 20:50:54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</si>
  <si>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</si>
  <si>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</si>
  <si>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</si>
  <si>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</si>
  <si>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</si>
  <si>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</si>
  <si>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</si>
  <si>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</si>
  <si>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</si>
  <si>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</si>
  <si>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</si>
  <si>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</si>
  <si>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</si>
  <si>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</si>
  <si>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</si>
  <si>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</si>
  <si>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</si>
  <si>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</t>
  </si>
  <si>
    <t xml:space="preserve">2u2</t>
  </si>
  <si>
    <t xml:space="preserve">Capacitor_SMD:C_0805_2012Metric_Pad1.15x1.40mm_HandSolder</t>
  </si>
  <si>
    <t xml:space="preserve">VJ0805G225KXYTW1BC</t>
  </si>
  <si>
    <t xml:space="preserve">720-1727-1-ND</t>
  </si>
  <si>
    <t xml:space="preserve">2896530</t>
  </si>
  <si>
    <t xml:space="preserve">77VJ0805G225KXYTBC</t>
  </si>
  <si>
    <t xml:space="preserve">62AC8496</t>
  </si>
  <si>
    <t xml:space="preserve">C2</t>
  </si>
  <si>
    <t xml:space="preserve">10n</t>
  </si>
  <si>
    <t xml:space="preserve">885012207011</t>
  </si>
  <si>
    <t xml:space="preserve">732-8021-1-ND</t>
  </si>
  <si>
    <t xml:space="preserve">2534050</t>
  </si>
  <si>
    <t xml:space="preserve">710885012207011</t>
  </si>
  <si>
    <t xml:space="preserve">15AC9380</t>
  </si>
  <si>
    <t xml:space="preserve">1814054</t>
  </si>
  <si>
    <t xml:space="preserve">C3,C5,C6</t>
  </si>
  <si>
    <t xml:space="preserve">100n</t>
  </si>
  <si>
    <t xml:space="preserve">0805B104K250CT</t>
  </si>
  <si>
    <t xml:space="preserve">1292-1566-6-ND</t>
  </si>
  <si>
    <t xml:space="preserve">2496943</t>
  </si>
  <si>
    <t xml:space="preserve">7910805B104K250CT</t>
  </si>
  <si>
    <t xml:space="preserve">58Y7821</t>
  </si>
  <si>
    <t xml:space="preserve">NonStk</t>
  </si>
  <si>
    <t xml:space="preserve">1763302</t>
  </si>
  <si>
    <t xml:space="preserve">C4</t>
  </si>
  <si>
    <t xml:space="preserve">10uF</t>
  </si>
  <si>
    <t xml:space="preserve">C2012X5R1C106K085AC</t>
  </si>
  <si>
    <t xml:space="preserve">445-7644-1-ND</t>
  </si>
  <si>
    <t xml:space="preserve">2346924</t>
  </si>
  <si>
    <t xml:space="preserve">810C2012X5R1C106K2</t>
  </si>
  <si>
    <t xml:space="preserve">04X3273</t>
  </si>
  <si>
    <t xml:space="preserve">1110433</t>
  </si>
  <si>
    <t xml:space="preserve">J2</t>
  </si>
  <si>
    <t xml:space="preserve">DX07P024AJ1R1500</t>
  </si>
  <si>
    <t xml:space="preserve">lib_fp:DX07P024AJ1R1500</t>
  </si>
  <si>
    <t xml:space="preserve">JAE Electronics</t>
  </si>
  <si>
    <t xml:space="preserve">670-2868-1-ND</t>
  </si>
  <si>
    <t xml:space="preserve">656DX07P024AJ1R1500</t>
  </si>
  <si>
    <t xml:space="preserve">R1</t>
  </si>
  <si>
    <t xml:space="preserve">50k</t>
  </si>
  <si>
    <t xml:space="preserve">Resistor_SMD:R_0805_2012Metric_Pad1.15x1.40mm_HandSolder</t>
  </si>
  <si>
    <t xml:space="preserve">CRCW080551K0JNEA</t>
  </si>
  <si>
    <t xml:space="preserve">541-51KACT-ND</t>
  </si>
  <si>
    <t xml:space="preserve">1514873</t>
  </si>
  <si>
    <t xml:space="preserve">71CRCW080551K0JNEA</t>
  </si>
  <si>
    <t xml:space="preserve">59M6920</t>
  </si>
  <si>
    <t xml:space="preserve">R2,R3</t>
  </si>
  <si>
    <t xml:space="preserve">4k7</t>
  </si>
  <si>
    <t xml:space="preserve">CRCW08054K70FKEA</t>
  </si>
  <si>
    <t xml:space="preserve">541-4.70KCCT-ND</t>
  </si>
  <si>
    <t xml:space="preserve">1469923</t>
  </si>
  <si>
    <t xml:space="preserve">71CRCW08054.7KE3</t>
  </si>
  <si>
    <t xml:space="preserve">53K0215</t>
  </si>
  <si>
    <t xml:space="preserve">1694716</t>
  </si>
  <si>
    <t xml:space="preserve">R4</t>
  </si>
  <si>
    <t xml:space="preserve">5k1</t>
  </si>
  <si>
    <t xml:space="preserve">CRCW08055K10FKEAC</t>
  </si>
  <si>
    <t xml:space="preserve">CRCW08055K10FKEAC-ND</t>
  </si>
  <si>
    <t xml:space="preserve">71CRCW08055K10FKEAC</t>
  </si>
  <si>
    <t xml:space="preserve">95AC8936</t>
  </si>
  <si>
    <t xml:space="preserve">R5,R6</t>
  </si>
  <si>
    <t xml:space="preserve">1k</t>
  </si>
  <si>
    <t xml:space="preserve">CRCW08051K00FKEAC</t>
  </si>
  <si>
    <t xml:space="preserve">541-3977-1-ND</t>
  </si>
  <si>
    <t xml:space="preserve">71CRCW08051K00FKEAC</t>
  </si>
  <si>
    <t xml:space="preserve">98AC1020</t>
  </si>
  <si>
    <t xml:space="preserve">U1</t>
  </si>
  <si>
    <t xml:space="preserve">MLX90640</t>
  </si>
  <si>
    <t xml:space="preserve">lib_fp:MLX90640</t>
  </si>
  <si>
    <t xml:space="preserve">Melexis</t>
  </si>
  <si>
    <t xml:space="preserve">MLX90640ESF-BAB-000-SP</t>
  </si>
  <si>
    <t xml:space="preserve">MLX90640ESF-BAB-000-SP-ND</t>
  </si>
  <si>
    <t xml:space="preserve">482MLX90640ESFBABSP</t>
  </si>
  <si>
    <t xml:space="preserve">U2</t>
  </si>
  <si>
    <t xml:space="preserve">TPS79333-EP</t>
  </si>
  <si>
    <t xml:space="preserve">Package_TO_SOT_SMD:SOT-23-5</t>
  </si>
  <si>
    <t xml:space="preserve">Texas Instruments</t>
  </si>
  <si>
    <t xml:space="preserve">TPS79333DBVR</t>
  </si>
  <si>
    <t xml:space="preserve">296-12961-6-ND</t>
  </si>
  <si>
    <t xml:space="preserve">1470478</t>
  </si>
  <si>
    <t xml:space="preserve">595TPS79333DBVR</t>
  </si>
  <si>
    <t xml:space="preserve">77C1365</t>
  </si>
  <si>
    <t xml:space="preserve">6614490</t>
  </si>
  <si>
    <t xml:space="preserve">U3</t>
  </si>
  <si>
    <t xml:space="preserve">STM32F042F6Px</t>
  </si>
  <si>
    <t xml:space="preserve">Package_SO:TSSOP-20_4.4x6.5mm_P0.65mm</t>
  </si>
  <si>
    <t xml:space="preserve">STMicroelectronics</t>
  </si>
  <si>
    <t xml:space="preserve">STM32F042F6P6</t>
  </si>
  <si>
    <t xml:space="preserve">497-17344-ND</t>
  </si>
  <si>
    <t xml:space="preserve">2469549</t>
  </si>
  <si>
    <t xml:space="preserve">511STM32F042F6P6</t>
  </si>
  <si>
    <t xml:space="preserve">42Y1015</t>
  </si>
  <si>
    <t xml:space="preserve">8607501</t>
  </si>
  <si>
    <t xml:space="preserve">U4</t>
  </si>
  <si>
    <t xml:space="preserve">NUP2202</t>
  </si>
  <si>
    <t xml:space="preserve">Package_TO_SOT_SMD:SOT-363_SC-70-6</t>
  </si>
  <si>
    <t xml:space="preserve">ON SEMICONDUCTOR</t>
  </si>
  <si>
    <t xml:space="preserve">NUP2202W1T2G</t>
  </si>
  <si>
    <t xml:space="preserve">NUP2202W1T2GOSDKR-ND</t>
  </si>
  <si>
    <t xml:space="preserve">2533276</t>
  </si>
  <si>
    <t xml:space="preserve">863NUP2202W1T2G</t>
  </si>
  <si>
    <t xml:space="preserve">81Y7068</t>
  </si>
  <si>
    <t xml:space="preserve">463690</t>
  </si>
  <si>
    <t xml:space="preserve">Used currency rates:</t>
  </si>
  <si>
    <t xml:space="preserve">Total Purchase:</t>
  </si>
  <si>
    <t xml:space="preserve">EUR(€)/GBP(£):</t>
  </si>
  <si>
    <t xml:space="preserve">EUR(€)/USD($):</t>
  </si>
  <si>
    <t xml:space="preserve">KiCost® v.1.1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</si>
</sst>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€#,##0.00"/>
    <numFmt numFmtId="166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ctopart.com/click/track?ai=8078&amp;sig=0fba5b8&amp;sid=459&amp;ppid=46604723&amp;vpid=464290379&amp;ct=offers" TargetMode="External"/><Relationship Id="rId3" Type="http://schemas.openxmlformats.org/officeDocument/2006/relationships/hyperlink" Target="https://octopart.com/click/track?ai=8078&amp;sig=07624a5&amp;sid=11744&amp;ppid=46604723&amp;vpid=494461261&amp;ct=offers" TargetMode="External"/><Relationship Id="rId4" Type="http://schemas.openxmlformats.org/officeDocument/2006/relationships/hyperlink" Target="https://octopart.com/click/track?ai=8078&amp;sig=0643838&amp;sid=2401&amp;ppid=46604723&amp;vpid=116520910&amp;ct=offers" TargetMode="External"/><Relationship Id="rId5" Type="http://schemas.openxmlformats.org/officeDocument/2006/relationships/hyperlink" Target="https://octopart.com/click/track?ai=8078&amp;sig=0bba5bf&amp;sid=2402&amp;ppid=46604723&amp;vpid=494777176&amp;ct=offers" TargetMode="External"/><Relationship Id="rId6" Type="http://schemas.openxmlformats.org/officeDocument/2006/relationships/hyperlink" Target="https://octopart.com/click/track?ai=8078&amp;sig=05332f0&amp;sid=459&amp;ppid=65419785&amp;vpid=229679422&amp;ct=offers" TargetMode="External"/><Relationship Id="rId7" Type="http://schemas.openxmlformats.org/officeDocument/2006/relationships/hyperlink" Target="https://octopart.com/click/track?ai=8078&amp;sig=0bcfc16&amp;sid=819&amp;ppid=65419785&amp;vpid=425232446&amp;ct=offers" TargetMode="External"/><Relationship Id="rId8" Type="http://schemas.openxmlformats.org/officeDocument/2006/relationships/hyperlink" Target="https://octopart.com/click/track?ai=8078&amp;sig=01827dd&amp;sid=2401&amp;ppid=65419785&amp;vpid=265812216&amp;ct=offers" TargetMode="External"/><Relationship Id="rId9" Type="http://schemas.openxmlformats.org/officeDocument/2006/relationships/hyperlink" Target="https://octopart.com/click/track?ai=8078&amp;sig=091652a&amp;sid=2402&amp;ppid=65419785&amp;vpid=423935271&amp;ct=offers" TargetMode="External"/><Relationship Id="rId10" Type="http://schemas.openxmlformats.org/officeDocument/2006/relationships/hyperlink" Target="https://octopart.com/click/track?c=1&amp;ai=8078&amp;sig=0fe3a41&amp;sid=10022&amp;ppid=65419785&amp;vpid=527542116&amp;ct=offers" TargetMode="External"/><Relationship Id="rId11" Type="http://schemas.openxmlformats.org/officeDocument/2006/relationships/hyperlink" Target="https://octopart.com/click/track?ai=8078&amp;sig=0d1fb69&amp;sid=459&amp;ppid=44502640&amp;vpid=482068368&amp;ct=offers" TargetMode="External"/><Relationship Id="rId12" Type="http://schemas.openxmlformats.org/officeDocument/2006/relationships/hyperlink" Target="https://octopart.com/click/track?ai=8078&amp;sig=0ae86fd&amp;sid=819&amp;ppid=44502640&amp;vpid=238084420&amp;ct=offers" TargetMode="External"/><Relationship Id="rId13" Type="http://schemas.openxmlformats.org/officeDocument/2006/relationships/hyperlink" Target="https://octopart.com/click/track?ai=8078&amp;sig=037a634&amp;sid=2401&amp;ppid=44502640&amp;vpid=509504237&amp;ct=offers" TargetMode="External"/><Relationship Id="rId14" Type="http://schemas.openxmlformats.org/officeDocument/2006/relationships/hyperlink" Target="https://octopart.com/click/track?ai=8078&amp;sig=069d975&amp;sid=2402&amp;ppid=44502640&amp;vpid=231885871&amp;ct=offers" TargetMode="External"/><Relationship Id="rId15" Type="http://schemas.openxmlformats.org/officeDocument/2006/relationships/hyperlink" Target="https://octopart.com/click/track?c=1&amp;ai=8078&amp;sig=0979f98&amp;sid=10022&amp;ppid=44502640&amp;vpid=562996477&amp;ct=offers" TargetMode="External"/><Relationship Id="rId16" Type="http://schemas.openxmlformats.org/officeDocument/2006/relationships/hyperlink" Target="https://octopart.com/click/track?ai=8078&amp;sig=01e4528&amp;sid=459&amp;ppid=25947710&amp;vpid=63973722&amp;ct=offers" TargetMode="External"/><Relationship Id="rId17" Type="http://schemas.openxmlformats.org/officeDocument/2006/relationships/hyperlink" Target="https://octopart.com/click/track?ai=8078&amp;sig=0d12613&amp;sid=11744&amp;ppid=25947710&amp;vpid=133117046&amp;ct=offers" TargetMode="External"/><Relationship Id="rId18" Type="http://schemas.openxmlformats.org/officeDocument/2006/relationships/hyperlink" Target="https://octopart.com/click/track?ai=8078&amp;sig=03961ac&amp;sid=2401&amp;ppid=25947710&amp;vpid=66164356&amp;ct=offers" TargetMode="External"/><Relationship Id="rId19" Type="http://schemas.openxmlformats.org/officeDocument/2006/relationships/hyperlink" Target="https://octopart.com/click/track?ai=8078&amp;sig=0703545&amp;sid=2402&amp;ppid=25947710&amp;vpid=88873678&amp;ct=offers" TargetMode="External"/><Relationship Id="rId20" Type="http://schemas.openxmlformats.org/officeDocument/2006/relationships/hyperlink" Target="https://octopart.com/click/track?c=1&amp;ai=8078&amp;sig=0bb9a74&amp;sid=10022&amp;ppid=25947710&amp;vpid=271792902&amp;ct=offers" TargetMode="External"/><Relationship Id="rId21" Type="http://schemas.openxmlformats.org/officeDocument/2006/relationships/hyperlink" Target="https://octopart.com/click/track?ai=8078&amp;sig=084a4ed&amp;sid=459&amp;ppid=71471103&amp;vpid=259292757&amp;ct=offers" TargetMode="External"/><Relationship Id="rId22" Type="http://schemas.openxmlformats.org/officeDocument/2006/relationships/hyperlink" Target="https://octopart.com/click/track?ai=8078&amp;sig=0a7b5ed&amp;sid=2401&amp;ppid=71471103&amp;vpid=255980038&amp;ct=offers" TargetMode="External"/><Relationship Id="rId23" Type="http://schemas.openxmlformats.org/officeDocument/2006/relationships/hyperlink" Target="https://octopart.com/click/track?ai=8078&amp;sig=0c2e4fe&amp;sid=459&amp;ppid=39789373&amp;vpid=115968422&amp;ct=offers" TargetMode="External"/><Relationship Id="rId24" Type="http://schemas.openxmlformats.org/officeDocument/2006/relationships/hyperlink" Target="https://octopart.com/click/track?ai=8078&amp;sig=0d7b924&amp;sid=819&amp;ppid=39789373&amp;vpid=139776722&amp;ct=offers" TargetMode="External"/><Relationship Id="rId25" Type="http://schemas.openxmlformats.org/officeDocument/2006/relationships/hyperlink" Target="https://octopart.com/click/track?ai=8078&amp;sig=0732f5c&amp;sid=2401&amp;ppid=39789373&amp;vpid=116516900&amp;ct=offers" TargetMode="External"/><Relationship Id="rId26" Type="http://schemas.openxmlformats.org/officeDocument/2006/relationships/hyperlink" Target="https://octopart.com/click/track?ai=8078&amp;sig=078ebd7&amp;sid=2402&amp;ppid=39789373&amp;vpid=115417107&amp;ct=offers" TargetMode="External"/><Relationship Id="rId27" Type="http://schemas.openxmlformats.org/officeDocument/2006/relationships/hyperlink" Target="https://octopart.com/click/track?ai=8078&amp;sig=0d6806c&amp;sid=459&amp;ppid=39437405&amp;vpid=114979004&amp;ct=offers" TargetMode="External"/><Relationship Id="rId28" Type="http://schemas.openxmlformats.org/officeDocument/2006/relationships/hyperlink" Target="https://octopart.com/click/track?ai=8078&amp;sig=069b841&amp;sid=819&amp;ppid=39437405&amp;vpid=249362388&amp;ct=offers" TargetMode="External"/><Relationship Id="rId29" Type="http://schemas.openxmlformats.org/officeDocument/2006/relationships/hyperlink" Target="https://octopart.com/click/track?ai=8078&amp;sig=06e54b9&amp;sid=2401&amp;ppid=39437405&amp;vpid=114829042&amp;ct=offers" TargetMode="External"/><Relationship Id="rId30" Type="http://schemas.openxmlformats.org/officeDocument/2006/relationships/hyperlink" Target="https://octopart.com/click/track?ai=8078&amp;sig=039bd06&amp;sid=2402&amp;ppid=39437405&amp;vpid=115417066&amp;ct=offers" TargetMode="External"/><Relationship Id="rId31" Type="http://schemas.openxmlformats.org/officeDocument/2006/relationships/hyperlink" Target="https://octopart.com/click/track?c=1&amp;ai=8078&amp;sig=0fc0c50&amp;sid=10022&amp;ppid=39437405&amp;vpid=501389797&amp;ct=offers" TargetMode="External"/><Relationship Id="rId32" Type="http://schemas.openxmlformats.org/officeDocument/2006/relationships/hyperlink" Target="https://octopart.com/click/track?c=1&amp;ai=8078&amp;sig=0148ee9&amp;sid=459&amp;ppid=87885329&amp;vpid=454322310&amp;ct=offers" TargetMode="External"/><Relationship Id="rId33" Type="http://schemas.openxmlformats.org/officeDocument/2006/relationships/hyperlink" Target="https://octopart.com/click/track?ai=8078&amp;sig=08b7ec6&amp;sid=2401&amp;ppid=87885329&amp;vpid=458954671&amp;ct=offers" TargetMode="External"/><Relationship Id="rId34" Type="http://schemas.openxmlformats.org/officeDocument/2006/relationships/hyperlink" Target="https://octopart.com/click/track?ai=8078&amp;sig=0e65cdd&amp;sid=2402&amp;ppid=87885329&amp;vpid=530876765&amp;ct=offers" TargetMode="External"/><Relationship Id="rId35" Type="http://schemas.openxmlformats.org/officeDocument/2006/relationships/hyperlink" Target="https://octopart.com/click/track?ai=8078&amp;sig=057cb21&amp;sid=459&amp;ppid=22248120&amp;vpid=454353752&amp;ct=offers" TargetMode="External"/><Relationship Id="rId36" Type="http://schemas.openxmlformats.org/officeDocument/2006/relationships/hyperlink" Target="https://octopart.com/click/track?ai=8078&amp;sig=0fc7168&amp;sid=2401&amp;ppid=22248120&amp;vpid=455078622&amp;ct=offers" TargetMode="External"/><Relationship Id="rId37" Type="http://schemas.openxmlformats.org/officeDocument/2006/relationships/hyperlink" Target="https://octopart.com/click/track?c=1&amp;ai=8078&amp;sig=00c578c&amp;sid=2402&amp;ppid=22248120&amp;vpid=532301100&amp;ct=offers" TargetMode="External"/><Relationship Id="rId38" Type="http://schemas.openxmlformats.org/officeDocument/2006/relationships/hyperlink" Target="http://datasheet.octopart.com/MLX90640ESF-BAB-000-SP-Melexis-datasheet-104525313.pdf" TargetMode="External"/><Relationship Id="rId39" Type="http://schemas.openxmlformats.org/officeDocument/2006/relationships/hyperlink" Target="https://octopart.com/click/track?c=1&amp;ai=8078&amp;sig=00e2062&amp;sid=459&amp;ppid=91472901&amp;vpid=477784722&amp;ct=offers" TargetMode="External"/><Relationship Id="rId40" Type="http://schemas.openxmlformats.org/officeDocument/2006/relationships/hyperlink" Target="https://octopart.com/click/track?ai=8078&amp;sig=08a3e50&amp;sid=2401&amp;ppid=91472901&amp;vpid=480476869&amp;ct=offers" TargetMode="External"/><Relationship Id="rId41" Type="http://schemas.openxmlformats.org/officeDocument/2006/relationships/hyperlink" Target="http://www.ti.com/lit/ds/symlink/tps79333-ep.pdf" TargetMode="External"/><Relationship Id="rId42" Type="http://schemas.openxmlformats.org/officeDocument/2006/relationships/hyperlink" Target="https://octopart.com/click/track?ai=8078&amp;sig=0295eef&amp;sid=459&amp;ppid=525272&amp;vpid=34353681&amp;ct=offers" TargetMode="External"/><Relationship Id="rId43" Type="http://schemas.openxmlformats.org/officeDocument/2006/relationships/hyperlink" Target="https://octopart.com/click/track?c=1&amp;ai=8078&amp;sig=04ca578&amp;sid=11744&amp;ppid=525272&amp;vpid=547751783&amp;ct=offers" TargetMode="External"/><Relationship Id="rId44" Type="http://schemas.openxmlformats.org/officeDocument/2006/relationships/hyperlink" Target="https://octopart.com/click/track?ai=8078&amp;sig=0b4db10&amp;sid=2401&amp;ppid=525272&amp;vpid=37722785&amp;ct=offers" TargetMode="External"/><Relationship Id="rId45" Type="http://schemas.openxmlformats.org/officeDocument/2006/relationships/hyperlink" Target="https://octopart.com/click/track?ai=8078&amp;sig=0fe0be9&amp;sid=2402&amp;ppid=525272&amp;vpid=3030975&amp;ct=offers" TargetMode="External"/><Relationship Id="rId46" Type="http://schemas.openxmlformats.org/officeDocument/2006/relationships/hyperlink" Target="https://octopart.com/click/track?ai=8078&amp;sig=0d9031f&amp;sid=10022&amp;ppid=525272&amp;vpid=199171836&amp;ct=offers" TargetMode="External"/><Relationship Id="rId47" Type="http://schemas.openxmlformats.org/officeDocument/2006/relationships/hyperlink" Target="http://www.st.com/st-web-ui/static/active/en/resource/technical/document/datasheet/DM00105814.pdf" TargetMode="External"/><Relationship Id="rId48" Type="http://schemas.openxmlformats.org/officeDocument/2006/relationships/hyperlink" Target="https://octopart.com/click/track?ai=8078&amp;sig=0336943&amp;sid=459&amp;ppid=34084830&amp;vpid=438816131&amp;ct=offers" TargetMode="External"/><Relationship Id="rId49" Type="http://schemas.openxmlformats.org/officeDocument/2006/relationships/hyperlink" Target="https://octopart.com/click/track?ai=8078&amp;sig=0e843bf&amp;sid=819&amp;ppid=34084830&amp;vpid=209386396&amp;ct=offers" TargetMode="External"/><Relationship Id="rId50" Type="http://schemas.openxmlformats.org/officeDocument/2006/relationships/hyperlink" Target="https://octopart.com/click/track?ai=8078&amp;sig=0596617&amp;sid=2401&amp;ppid=34084830&amp;vpid=183946111&amp;ct=offers" TargetMode="External"/><Relationship Id="rId51" Type="http://schemas.openxmlformats.org/officeDocument/2006/relationships/hyperlink" Target="https://octopart.com/click/track?ai=8078&amp;sig=004a9a0&amp;sid=2402&amp;ppid=34084830&amp;vpid=212750442&amp;ct=offers" TargetMode="External"/><Relationship Id="rId52" Type="http://schemas.openxmlformats.org/officeDocument/2006/relationships/hyperlink" Target="https://octopart.com/click/track?ai=8078&amp;sig=0d545e3&amp;sid=10022&amp;ppid=34084830&amp;vpid=215021200&amp;ct=offers" TargetMode="External"/><Relationship Id="rId53" Type="http://schemas.openxmlformats.org/officeDocument/2006/relationships/hyperlink" Target="http://www.onsemi.ru.com/pub_link/Collateral/NUP2202W1-D.PDF" TargetMode="External"/><Relationship Id="rId54" Type="http://schemas.openxmlformats.org/officeDocument/2006/relationships/hyperlink" Target="https://octopart.com/click/track?ai=8078&amp;sig=09c37d5&amp;sid=459&amp;ppid=1390500&amp;vpid=51297359&amp;ct=offers" TargetMode="External"/><Relationship Id="rId55" Type="http://schemas.openxmlformats.org/officeDocument/2006/relationships/hyperlink" Target="https://octopart.com/click/track?ai=8078&amp;sig=02ae48e&amp;sid=11744&amp;ppid=1390500&amp;vpid=259451652&amp;ct=offers" TargetMode="External"/><Relationship Id="rId56" Type="http://schemas.openxmlformats.org/officeDocument/2006/relationships/hyperlink" Target="https://octopart.com/click/track?ai=8078&amp;sig=0c8e1cb&amp;sid=2401&amp;ppid=1390500&amp;vpid=37716427&amp;ct=offers" TargetMode="External"/><Relationship Id="rId57" Type="http://schemas.openxmlformats.org/officeDocument/2006/relationships/hyperlink" Target="https://octopart.com/click/track?ai=8078&amp;sig=0a7f88b&amp;sid=2402&amp;ppid=1390500&amp;vpid=260423814&amp;ct=offers" TargetMode="External"/><Relationship Id="rId58" Type="http://schemas.openxmlformats.org/officeDocument/2006/relationships/hyperlink" Target="https://octopart.com/click/track?ai=8078&amp;sig=0669eb6&amp;sid=10022&amp;ppid=1390500&amp;vpid=199088847&amp;ct=offers" TargetMode="External"/><Relationship Id="rId5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H2" activeCellId="0" sqref="H2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9.14"/>
    <col collapsed="false" customWidth="true" hidden="false" outlineLevel="1" max="6" min="4" style="0" width="9.14"/>
    <col collapsed="false" customWidth="true" hidden="false" outlineLevel="0" max="7" min="7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1" max="14" min="14" style="0" width="9.14"/>
    <col collapsed="false" customWidth="true" hidden="false" outlineLevel="2" max="16" min="15" style="0" width="9.14"/>
    <col collapsed="false" customWidth="true" hidden="false" outlineLevel="0" max="17" min="17" style="0" width="15.71"/>
    <col collapsed="false" customWidth="true" hidden="false" outlineLevel="2" max="18" min="18" style="0" width="15.71"/>
    <col collapsed="false" customWidth="true" hidden="false" outlineLevel="1" max="19" min="19" style="0" width="9.14"/>
    <col collapsed="false" customWidth="true" hidden="false" outlineLevel="2" max="21" min="20" style="0" width="9.14"/>
    <col collapsed="false" customWidth="true" hidden="false" outlineLevel="0" max="22" min="22" style="0" width="15.71"/>
    <col collapsed="false" customWidth="true" hidden="false" outlineLevel="2" max="23" min="23" style="0" width="15.71"/>
    <col collapsed="false" customWidth="true" hidden="false" outlineLevel="1" max="24" min="24" style="0" width="9.14"/>
    <col collapsed="false" customWidth="true" hidden="false" outlineLevel="2" max="26" min="25" style="0" width="9.14"/>
    <col collapsed="false" customWidth="true" hidden="false" outlineLevel="0" max="27" min="27" style="0" width="15.71"/>
    <col collapsed="false" customWidth="true" hidden="false" outlineLevel="2" max="28" min="28" style="0" width="15.71"/>
    <col collapsed="false" customWidth="true" hidden="false" outlineLevel="1" max="29" min="29" style="0" width="9.14"/>
    <col collapsed="false" customWidth="true" hidden="false" outlineLevel="2" max="31" min="30" style="0" width="9.14"/>
    <col collapsed="false" customWidth="true" hidden="false" outlineLevel="0" max="32" min="32" style="0" width="15.71"/>
    <col collapsed="false" customWidth="true" hidden="false" outlineLevel="2" max="33" min="33" style="0" width="15.71"/>
    <col collapsed="false" customWidth="true" hidden="false" outlineLevel="0" max="1025" min="3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G2" s="1" t="s">
        <v>5</v>
      </c>
      <c r="H2" s="4" t="n">
        <f aca="false">TotalCost/BoardQty</f>
        <v>45.1349538620104</v>
      </c>
    </row>
    <row r="3" customFormat="false" ht="15" hidden="false" customHeight="false" outlineLevel="0" collapsed="false">
      <c r="A3" s="1" t="s">
        <v>6</v>
      </c>
      <c r="B3" s="2" t="s">
        <v>7</v>
      </c>
      <c r="G3" s="1" t="s">
        <v>8</v>
      </c>
      <c r="H3" s="5" t="n">
        <f aca="false">SUM(H7:H19)</f>
        <v>45.1349538620104</v>
      </c>
      <c r="L3" s="5" t="n">
        <f aca="false">SUM(L7:L19)</f>
        <v>47.8059684182353</v>
      </c>
      <c r="M3" s="6" t="str">
        <f aca="false">(COUNTA(L7:L19)&amp;" of "&amp;ROWS(L7:L19)&amp;" parts found")</f>
        <v>13 of 13 parts found</v>
      </c>
      <c r="Q3" s="5" t="n">
        <f aca="false">SUM(Q7:Q19)</f>
        <v>4.24195505228494</v>
      </c>
      <c r="R3" s="6" t="str">
        <f aca="false">(COUNTA(Q7:Q19)&amp;" of "&amp;ROWS(Q7:Q19)&amp;" parts found")</f>
        <v>9 of 13 parts found</v>
      </c>
      <c r="V3" s="5" t="n">
        <f aca="false">SUM(V7:V19)</f>
        <v>46.1236506378803</v>
      </c>
      <c r="W3" s="6" t="str">
        <f aca="false">(COUNTA(V7:V19)&amp;" of "&amp;ROWS(V7:V19)&amp;" parts found")</f>
        <v>13 of 13 parts found</v>
      </c>
      <c r="AA3" s="5" t="n">
        <f aca="false">SUM(AA7:AA19)</f>
        <v>3.75947899009724</v>
      </c>
      <c r="AB3" s="6" t="str">
        <f aca="false">(COUNTA(AA7:AA19)&amp;" of "&amp;ROWS(AA7:AA19)&amp;" parts found")</f>
        <v>11 of 13 parts found</v>
      </c>
      <c r="AF3" s="5" t="n">
        <f aca="false">SUM(AF7:AF19)</f>
        <v>311.617077820787</v>
      </c>
      <c r="AG3" s="6" t="str">
        <f aca="false">(COUNTA(AF7:AF19)&amp;" of "&amp;ROWS(AF7:AF19)&amp;" parts found")</f>
        <v>7 of 13 parts found</v>
      </c>
    </row>
    <row r="4" customFormat="false" ht="15" hidden="false" customHeight="false" outlineLevel="0" collapsed="false">
      <c r="A4" s="1" t="s">
        <v>9</v>
      </c>
      <c r="B4" s="2" t="s">
        <v>10</v>
      </c>
    </row>
    <row r="5" customFormat="false" ht="15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8" t="s">
        <v>12</v>
      </c>
      <c r="J5" s="8"/>
      <c r="K5" s="8"/>
      <c r="L5" s="8"/>
      <c r="M5" s="8"/>
      <c r="N5" s="9" t="s">
        <v>13</v>
      </c>
      <c r="O5" s="9"/>
      <c r="P5" s="9"/>
      <c r="Q5" s="9"/>
      <c r="R5" s="9"/>
      <c r="S5" s="10" t="s">
        <v>14</v>
      </c>
      <c r="T5" s="10"/>
      <c r="U5" s="10"/>
      <c r="V5" s="10"/>
      <c r="W5" s="10"/>
      <c r="X5" s="11" t="s">
        <v>15</v>
      </c>
      <c r="Y5" s="11"/>
      <c r="Z5" s="11"/>
      <c r="AA5" s="11"/>
      <c r="AB5" s="11"/>
      <c r="AC5" s="12" t="s">
        <v>16</v>
      </c>
      <c r="AD5" s="12"/>
      <c r="AE5" s="12"/>
      <c r="AF5" s="12"/>
      <c r="AG5" s="12"/>
    </row>
    <row r="6" customFormat="false" ht="15" hidden="false" customHeight="false" outlineLevel="0" collapsed="false">
      <c r="A6" s="13" t="s">
        <v>17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23</v>
      </c>
      <c r="L6" s="13" t="s">
        <v>24</v>
      </c>
      <c r="M6" s="13" t="s">
        <v>27</v>
      </c>
      <c r="N6" s="13" t="s">
        <v>25</v>
      </c>
      <c r="O6" s="13" t="s">
        <v>26</v>
      </c>
      <c r="P6" s="13" t="s">
        <v>23</v>
      </c>
      <c r="Q6" s="13" t="s">
        <v>24</v>
      </c>
      <c r="R6" s="13" t="s">
        <v>27</v>
      </c>
      <c r="S6" s="13" t="s">
        <v>25</v>
      </c>
      <c r="T6" s="13" t="s">
        <v>26</v>
      </c>
      <c r="U6" s="13" t="s">
        <v>23</v>
      </c>
      <c r="V6" s="13" t="s">
        <v>24</v>
      </c>
      <c r="W6" s="13" t="s">
        <v>27</v>
      </c>
      <c r="X6" s="13" t="s">
        <v>25</v>
      </c>
      <c r="Y6" s="13" t="s">
        <v>26</v>
      </c>
      <c r="Z6" s="13" t="s">
        <v>23</v>
      </c>
      <c r="AA6" s="13" t="s">
        <v>24</v>
      </c>
      <c r="AB6" s="13" t="s">
        <v>27</v>
      </c>
      <c r="AC6" s="13" t="s">
        <v>25</v>
      </c>
      <c r="AD6" s="13" t="s">
        <v>26</v>
      </c>
      <c r="AE6" s="13" t="s">
        <v>23</v>
      </c>
      <c r="AF6" s="13" t="s">
        <v>24</v>
      </c>
      <c r="AG6" s="13" t="s">
        <v>27</v>
      </c>
    </row>
    <row r="7" customFormat="false" ht="15" hidden="false" customHeight="false" outlineLevel="0" collapsed="false">
      <c r="A7" s="14" t="s">
        <v>28</v>
      </c>
      <c r="B7" s="14" t="s">
        <v>29</v>
      </c>
      <c r="C7" s="14" t="s">
        <v>30</v>
      </c>
      <c r="E7" s="14" t="s">
        <v>31</v>
      </c>
      <c r="F7" s="15" t="n">
        <f aca="false">BoardQty*1</f>
        <v>1</v>
      </c>
      <c r="G7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0.160585244000357</v>
      </c>
      <c r="H7" s="16" t="n">
        <f aca="false">IFERROR(F7*G7,"")</f>
        <v>0.160585244000357</v>
      </c>
      <c r="I7" s="17" t="n">
        <v>3000</v>
      </c>
      <c r="K7" s="16" t="n">
        <f aca="false">IFERROR(EUR_USD*LOOKUP(IF(J7="",F7,J7),{0,1,10,100,500,1000,3000,6000,9000},{0,0.5,0.348,0.2087,0.15654,0.13219,0.1089,0.10285,0.0968}),"")</f>
        <v>0.446070122223213</v>
      </c>
      <c r="L7" s="16" t="n">
        <f aca="false">IFERROR(IF(J7="",F7,J7)*K7,"")</f>
        <v>0.446070122223213</v>
      </c>
      <c r="M7" s="18" t="s">
        <v>32</v>
      </c>
      <c r="N7" s="17" t="n">
        <v>11770</v>
      </c>
      <c r="P7" s="16" t="n">
        <f aca="false">IFERROR(EUR_GBP*LOOKUP(IF(O7="",F7,O7),{0,1,5,50,150,250,500,1500,3000,15000},{0,0.158,0.158,0.0999,0.0999,0.0829,0.0686,0.0585,0.0452,0.0383}),"")</f>
        <v>0.182563984054538</v>
      </c>
      <c r="Q7" s="16" t="n">
        <f aca="false">IFERROR(IF(O7="",F7,O7)*P7,"")</f>
        <v>0.182563984054538</v>
      </c>
      <c r="R7" s="18" t="s">
        <v>33</v>
      </c>
      <c r="S7" s="17" t="n">
        <v>1044</v>
      </c>
      <c r="U7" s="16" t="n">
        <f aca="false">IFERROR(EUR_USD*LOOKUP(IF(T7="",F7,T7),{0,1,10,50,100,500,1000,3000,6000,9000,10000},{0,0.18,0.18,0.148,0.126,0.11,0.11,0.108,0.102,0.096,0.096}),"")</f>
        <v>0.160585244000357</v>
      </c>
      <c r="V7" s="16" t="n">
        <f aca="false">IFERROR(IF(T7="",F7,T7)*U7,"")</f>
        <v>0.160585244000357</v>
      </c>
      <c r="W7" s="18" t="s">
        <v>34</v>
      </c>
      <c r="X7" s="17" t="n">
        <v>11770</v>
      </c>
      <c r="Z7" s="16" t="n">
        <f aca="false">IFERROR(EUR_USD*LOOKUP(IF(Y7="",F7,Y7),{0,1,5,10,25,50,100,250,500,3000,5000,6000,10000,12000,20000,21000,30000,50000,51000},{0,0.18,0.18,0.169,0.159,0.148,0.126,0.118,0.11,0.112,0.099,0.099,0.081,0.081,0.07,0.07,0.066,0.057,0.057}),"")</f>
        <v>0.160585244000357</v>
      </c>
      <c r="AA7" s="16" t="n">
        <f aca="false">IFERROR(IF(Y7="",F7,Y7)*Z7,"")</f>
        <v>0.160585244000357</v>
      </c>
      <c r="AB7" s="18" t="s">
        <v>35</v>
      </c>
    </row>
    <row r="8" customFormat="false" ht="15" hidden="false" customHeight="false" outlineLevel="0" collapsed="false">
      <c r="A8" s="14" t="s">
        <v>36</v>
      </c>
      <c r="B8" s="14" t="s">
        <v>37</v>
      </c>
      <c r="C8" s="14" t="s">
        <v>30</v>
      </c>
      <c r="E8" s="14" t="s">
        <v>38</v>
      </c>
      <c r="F8" s="15" t="n">
        <f aca="false">BoardQty*1</f>
        <v>1</v>
      </c>
      <c r="G8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0.039285920619331</v>
      </c>
      <c r="H8" s="16" t="n">
        <f aca="false">IFERROR(F8*G8,"")</f>
        <v>0.039285920619331</v>
      </c>
      <c r="I8" s="17" t="n">
        <v>5758</v>
      </c>
      <c r="K8" s="16" t="n">
        <f aca="false">IFERROR(EUR_USD*LOOKUP(IF(J8="",F8,J8),{0,1,10,100,500,4000},{0,0.1,0.035,0.0312,0.02764,0.028}),"")</f>
        <v>0.0892140244446427</v>
      </c>
      <c r="L8" s="16" t="n">
        <f aca="false">IFERROR(IF(J8="",F8,J8)*K8,"")</f>
        <v>0.0892140244446427</v>
      </c>
      <c r="M8" s="18" t="s">
        <v>39</v>
      </c>
      <c r="N8" s="17" t="n">
        <v>6063</v>
      </c>
      <c r="P8" s="16" t="n">
        <f aca="false">IFERROR(EUR_GBP*LOOKUP(IF(O8="",F8,O8),{0,1,10,100,150,500,1000,2000,4000,20000},{0,0.0649,0.0649,0.0422,0.0422,0.0313,0.0267,0.0247,0.0211,0.0174}),"")</f>
        <v>0.0749898896527818</v>
      </c>
      <c r="Q8" s="16" t="n">
        <f aca="false">IFERROR(IF(O8="",F8,O8)*P8,"")</f>
        <v>0.0749898896527818</v>
      </c>
      <c r="R8" s="18" t="s">
        <v>40</v>
      </c>
      <c r="S8" s="17" t="n">
        <v>14171</v>
      </c>
      <c r="U8" s="16" t="n">
        <f aca="false">IFERROR(EUR_USD*LOOKUP(IF(T8="",F8,T8),{0,1,10,50,100,1000,10000},{0,0.1,0.035,0.035,0.032,0.028,0.022}),"")</f>
        <v>0.0892140244446427</v>
      </c>
      <c r="V8" s="16" t="n">
        <f aca="false">IFERROR(IF(T8="",F8,T8)*U8,"")</f>
        <v>0.0892140244446427</v>
      </c>
      <c r="W8" s="18" t="s">
        <v>41</v>
      </c>
      <c r="X8" s="17" t="n">
        <v>5283</v>
      </c>
      <c r="Z8" s="16" t="n">
        <f aca="false">IFERROR(EUR_USD*LOOKUP(IF(Y8="",F8,Y8),{0,1,10,25,50,100,250,500},{0,0.1,0.037,0.036,0.035,0.034,0.032,0.03}),"")</f>
        <v>0.0892140244446427</v>
      </c>
      <c r="AA8" s="16" t="n">
        <f aca="false">IFERROR(IF(Y8="",F8,Y8)*Z8,"")</f>
        <v>0.0892140244446427</v>
      </c>
      <c r="AB8" s="18" t="s">
        <v>42</v>
      </c>
      <c r="AC8" s="17" t="n">
        <v>3000</v>
      </c>
      <c r="AE8" s="16" t="n">
        <f aca="false">IFERROR(EUR_GBP*LOOKUP(IF(AD8="",F8,AD8),{0,1,250,1000,2000,4000,12000},{0,0.034,0.034,0.026,0.025,0.026,0.025}),"")</f>
        <v>0.039285920619331</v>
      </c>
      <c r="AF8" s="16" t="n">
        <f aca="false">IFERROR(IF(AD8="",F8,AD8)*AE8,"")</f>
        <v>0.039285920619331</v>
      </c>
      <c r="AG8" s="18" t="s">
        <v>43</v>
      </c>
    </row>
    <row r="9" customFormat="false" ht="15" hidden="false" customHeight="false" outlineLevel="0" collapsed="false">
      <c r="A9" s="14" t="s">
        <v>44</v>
      </c>
      <c r="B9" s="14" t="s">
        <v>45</v>
      </c>
      <c r="C9" s="14" t="s">
        <v>30</v>
      </c>
      <c r="E9" s="14" t="s">
        <v>46</v>
      </c>
      <c r="F9" s="15" t="n">
        <f aca="false">BoardQty*3</f>
        <v>3</v>
      </c>
      <c r="G9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0.0150210872956266</v>
      </c>
      <c r="H9" s="16" t="n">
        <f aca="false">IFERROR(F9*G9,"")</f>
        <v>0.0450632618868797</v>
      </c>
      <c r="I9" s="17" t="n">
        <v>598606</v>
      </c>
      <c r="K9" s="16" t="n">
        <f aca="false">IFERROR(EUR_USD*LOOKUP(IF(J9="",F9,J9),{0,1,10,100,500,1000,4000,8000,12000},{0,0.12,0.086,0.0405,0.02842,0.02353,0.01742,0.0162,0.01539}),"")</f>
        <v>0.107056829333571</v>
      </c>
      <c r="L9" s="16" t="n">
        <f aca="false">IFERROR(IF(J9="",F9,J9)*K9,"")</f>
        <v>0.321170488000714</v>
      </c>
      <c r="M9" s="18" t="s">
        <v>47</v>
      </c>
      <c r="N9" s="17" t="n">
        <v>1000000</v>
      </c>
      <c r="P9" s="16" t="n">
        <f aca="false">IFERROR(EUR_GBP*LOOKUP(IF(O9="",F9,O9),{0,1,10,100,150,500,1000,2000,4000,20000},{0,0.0923,0.0923,0.0406,0.0406,0.0255,0.0186,0.0173,0.0129,0.0097}),"")</f>
        <v>0.106649719798949</v>
      </c>
      <c r="Q9" s="16" t="n">
        <f aca="false">IFERROR(IF(O9="",F9,O9)*P9,"")</f>
        <v>0.319949159396846</v>
      </c>
      <c r="R9" s="18" t="s">
        <v>48</v>
      </c>
      <c r="S9" s="17" t="n">
        <v>10790</v>
      </c>
      <c r="U9" s="16" t="n">
        <f aca="false">IFERROR(EUR_USD*LOOKUP(IF(T9="",F9,T9),{0,1,10,50,100,500,1000,8000,10000,100000},{0,0.1,0.1,0.081,0.04,0.028,0.017,0.015,0.015,0.014}),"")</f>
        <v>0.0892140244446427</v>
      </c>
      <c r="V9" s="16" t="n">
        <f aca="false">IFERROR(IF(T9="",F9,T9)*U9,"")</f>
        <v>0.267642073333928</v>
      </c>
      <c r="W9" s="18" t="s">
        <v>49</v>
      </c>
      <c r="X9" s="17" t="n">
        <v>1000000</v>
      </c>
      <c r="Z9" s="16" t="n">
        <f aca="false">IFERROR(EUR_USD*LOOKUP(IF(Y9="",F9,Y9),{0,1,4000,8000},{0,0.019,0.019,0.018}),"")</f>
        <v>0.0169506646444821</v>
      </c>
      <c r="AA9" s="16" t="n">
        <f aca="false">IFERROR(IF(Y9="",F9,Y9)*Z9,"")</f>
        <v>0.0508519939334463</v>
      </c>
      <c r="AB9" s="18" t="s">
        <v>50</v>
      </c>
      <c r="AC9" s="19" t="s">
        <v>51</v>
      </c>
      <c r="AE9" s="16" t="n">
        <f aca="false">IFERROR(EUR_GBP*LOOKUP(IF(AD9="",F9,AD9),{0,1,200,400,800,4000},{0,0.013,0.013,0.01,0.009,0.006}),"")</f>
        <v>0.0150210872956266</v>
      </c>
      <c r="AF9" s="16" t="n">
        <f aca="false">IFERROR(IF(AD9="",F9,AD9)*AE9,"")</f>
        <v>0.0450632618868797</v>
      </c>
      <c r="AG9" s="18" t="s">
        <v>52</v>
      </c>
    </row>
    <row r="10" customFormat="false" ht="15" hidden="false" customHeight="false" outlineLevel="0" collapsed="false">
      <c r="A10" s="14" t="s">
        <v>53</v>
      </c>
      <c r="B10" s="14" t="s">
        <v>54</v>
      </c>
      <c r="C10" s="14" t="s">
        <v>30</v>
      </c>
      <c r="E10" s="14" t="s">
        <v>55</v>
      </c>
      <c r="F10" s="15" t="n">
        <f aca="false">BoardQty*1</f>
        <v>1</v>
      </c>
      <c r="G10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0.0410384512445356</v>
      </c>
      <c r="H10" s="16" t="n">
        <f aca="false">IFERROR(F10*G10,"")</f>
        <v>0.0410384512445356</v>
      </c>
      <c r="I10" s="17" t="n">
        <v>1816187</v>
      </c>
      <c r="K10" s="16" t="n">
        <f aca="false">IFERROR(EUR_USD*LOOKUP(IF(J10="",F10,J10),{0,1,10,100,500,1000,4000,8000,12000},{0,0.23,0.159,0.0899,0.06348,0.05555,0.046,0.0437,0.0414}),"")</f>
        <v>0.205192256222678</v>
      </c>
      <c r="L10" s="16" t="n">
        <f aca="false">IFERROR(IF(J10="",F10,J10)*K10,"")</f>
        <v>0.205192256222678</v>
      </c>
      <c r="M10" s="18" t="s">
        <v>56</v>
      </c>
      <c r="N10" s="17" t="n">
        <v>328000</v>
      </c>
      <c r="P10" s="16" t="n">
        <f aca="false">IFERROR(EUR_GBP*LOOKUP(IF(O10="",F10,O10),{0,1,10,100,150,500,1000,2000,4000},{0,0.174,0.174,0.103,0.103,0.0648,0.0547,0.0428,0.0337}),"")</f>
        <v>0.201051476110694</v>
      </c>
      <c r="Q10" s="16" t="n">
        <f aca="false">IFERROR(IF(O10="",F10,O10)*P10,"")</f>
        <v>0.201051476110694</v>
      </c>
      <c r="R10" s="18" t="s">
        <v>57</v>
      </c>
      <c r="S10" s="17" t="n">
        <v>103997</v>
      </c>
      <c r="U10" s="16" t="n">
        <f aca="false">IFERROR(EUR_USD*LOOKUP(IF(T10="",F10,T10),{0,1,10,50,100,500,1000,4000,8000,10000},{0,0.23,0.159,0.159,0.089,0.063,0.055,0.046,0.041,0.041}),"")</f>
        <v>0.205192256222678</v>
      </c>
      <c r="V10" s="16" t="n">
        <f aca="false">IFERROR(IF(T10="",F10,T10)*U10,"")</f>
        <v>0.205192256222678</v>
      </c>
      <c r="W10" s="18" t="s">
        <v>58</v>
      </c>
      <c r="X10" s="17" t="n">
        <v>3000</v>
      </c>
      <c r="Z10" s="16" t="n">
        <f aca="false">IFERROR(EUR_USD*LOOKUP(IF(Y10="",F10,Y10),{0,1,25,50,100,250,500,1000,4000,8000},{0,0.046,0.199,0.155,0.111,0.095,0.079,0.069,0.044,0.041}),"")</f>
        <v>0.0410384512445356</v>
      </c>
      <c r="AA10" s="16" t="n">
        <f aca="false">IFERROR(IF(Y10="",F10,Y10)*Z10,"")</f>
        <v>0.0410384512445356</v>
      </c>
      <c r="AB10" s="18" t="s">
        <v>59</v>
      </c>
      <c r="AC10" s="17" t="n">
        <v>57200</v>
      </c>
      <c r="AE10" s="16" t="n">
        <f aca="false">IFERROR(EUR_GBP*LOOKUP(IF(AD10="",F10,AD10),{0,1,50,800,2000},{0,171.93,0.146,0.06,0.052}),"")</f>
        <v>198.659656825929</v>
      </c>
      <c r="AF10" s="16" t="n">
        <f aca="false">IFERROR(IF(AD10="",F10,AD10)*AE10,"")</f>
        <v>198.659656825929</v>
      </c>
      <c r="AG10" s="18" t="s">
        <v>60</v>
      </c>
    </row>
    <row r="11" customFormat="false" ht="15" hidden="false" customHeight="false" outlineLevel="0" collapsed="false">
      <c r="A11" s="14" t="s">
        <v>61</v>
      </c>
      <c r="B11" s="14" t="s">
        <v>62</v>
      </c>
      <c r="C11" s="14" t="s">
        <v>63</v>
      </c>
      <c r="D11" s="14" t="s">
        <v>64</v>
      </c>
      <c r="E11" s="14" t="s">
        <v>62</v>
      </c>
      <c r="F11" s="15" t="n">
        <f aca="false">BoardQty*1</f>
        <v>1</v>
      </c>
      <c r="G11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1.53448122044785</v>
      </c>
      <c r="H11" s="16" t="n">
        <f aca="false">IFERROR(F11*G11,"")</f>
        <v>1.53448122044785</v>
      </c>
      <c r="I11" s="17" t="n">
        <v>1034</v>
      </c>
      <c r="K11" s="16" t="n">
        <f aca="false">IFERROR(EUR_USD*LOOKUP(IF(J11="",F11,J11),{0,1,10,25,50,100,250,500,1500,3000,7500,10500},{0,1.9,1.725,1.6192,1.5488,1.4784,1.3376,1.232,0.928,0.896,0.8512,0.832}),"")</f>
        <v>1.69506646444821</v>
      </c>
      <c r="L11" s="16" t="n">
        <f aca="false">IFERROR(IF(J11="",F11,J11)*K11,"")</f>
        <v>1.69506646444821</v>
      </c>
      <c r="M11" s="18" t="s">
        <v>65</v>
      </c>
      <c r="S11" s="17" t="n">
        <v>3446</v>
      </c>
      <c r="U11" s="16" t="n">
        <f aca="false">IFERROR(EUR_USD*LOOKUP(IF(T11="",F11,T11),{0,1,10,50,100,500,1000,1500,4500,9000,10000,24000},{0,1.72,1.4,1.4,1.21,1.12,0.959,0.895,0.832,0.8,0.8,0.78}),"")</f>
        <v>1.53448122044785</v>
      </c>
      <c r="V11" s="16" t="n">
        <f aca="false">IFERROR(IF(T11="",F11,T11)*U11,"")</f>
        <v>1.53448122044785</v>
      </c>
      <c r="W11" s="18" t="s">
        <v>66</v>
      </c>
    </row>
    <row r="12" customFormat="false" ht="15" hidden="false" customHeight="false" outlineLevel="0" collapsed="false">
      <c r="A12" s="14" t="s">
        <v>67</v>
      </c>
      <c r="B12" s="14" t="s">
        <v>68</v>
      </c>
      <c r="C12" s="14" t="s">
        <v>69</v>
      </c>
      <c r="E12" s="14" t="s">
        <v>70</v>
      </c>
      <c r="F12" s="15" t="n">
        <f aca="false">BoardQty*1</f>
        <v>1</v>
      </c>
      <c r="G12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0.00178428048889285</v>
      </c>
      <c r="H12" s="16" t="n">
        <f aca="false">IFERROR(F12*G12,"")</f>
        <v>0.00178428048889285</v>
      </c>
      <c r="I12" s="17" t="n">
        <v>61944</v>
      </c>
      <c r="K12" s="16" t="n">
        <f aca="false">IFERROR(EUR_USD*LOOKUP(IF(J12="",F12,J12),{0,1,10,100,1000,2500,5000,10000,25000,50000,125000},{0,0.1,0.042,0.017,0.00765,0.00664,0.00499,0.00433,0.00381,0.00349,0.00342}),"")</f>
        <v>0.0892140244446427</v>
      </c>
      <c r="L12" s="16" t="n">
        <f aca="false">IFERROR(IF(J12="",F12,J12)*K12,"")</f>
        <v>0.0892140244446427</v>
      </c>
      <c r="M12" s="18" t="s">
        <v>71</v>
      </c>
      <c r="N12" s="17" t="n">
        <v>4656</v>
      </c>
      <c r="P12" s="16" t="n">
        <f aca="false">IFERROR(EUR_GBP*LOOKUP(IF(O12="",F12,O12),{0,1,25,50,100,250,500},{0,0.0128,0.0118,0.0108,0.0098,0.0085,0.0067}),"")</f>
        <v>0.0147899936449246</v>
      </c>
      <c r="Q12" s="16" t="n">
        <f aca="false">IFERROR(IF(O12="",F12,O12)*P12,"")</f>
        <v>0.0147899936449246</v>
      </c>
      <c r="R12" s="18" t="s">
        <v>72</v>
      </c>
      <c r="S12" s="17" t="n">
        <v>30756</v>
      </c>
      <c r="U12" s="16" t="n">
        <f aca="false">IFERROR(EUR_USD*LOOKUP(IF(T12="",F12,T12),{0,1,10,50,100,500,1000,5000,10000},{0,0.1,0.042,0.042,0.017,0.016,0.006,0.004,0.004}),"")</f>
        <v>0.0892140244446427</v>
      </c>
      <c r="V12" s="16" t="n">
        <f aca="false">IFERROR(IF(T12="",F12,T12)*U12,"")</f>
        <v>0.0892140244446427</v>
      </c>
      <c r="W12" s="18" t="s">
        <v>73</v>
      </c>
      <c r="X12" s="17" t="n">
        <v>25000</v>
      </c>
      <c r="Z12" s="16" t="n">
        <f aca="false">IFERROR(EUR_USD*LOOKUP(IF(Y12="",F12,Y12),{0,1,25,50,100,250,500,1000,5000,10000,20000,30000,50000},{0,0.002,0.002,0.002,0.002,0.002,0.002,0.002,0.018,0.017,0.017,0.016,0.016}),"")</f>
        <v>0.00178428048889285</v>
      </c>
      <c r="AA12" s="16" t="n">
        <f aca="false">IFERROR(IF(Y12="",F12,Y12)*Z12,"")</f>
        <v>0.00178428048889285</v>
      </c>
      <c r="AB12" s="18" t="s">
        <v>74</v>
      </c>
    </row>
    <row r="13" customFormat="false" ht="15" hidden="false" customHeight="false" outlineLevel="0" collapsed="false">
      <c r="A13" s="14" t="s">
        <v>75</v>
      </c>
      <c r="B13" s="14" t="s">
        <v>76</v>
      </c>
      <c r="C13" s="14" t="s">
        <v>69</v>
      </c>
      <c r="E13" s="14" t="s">
        <v>77</v>
      </c>
      <c r="F13" s="15" t="n">
        <f aca="false">BoardQty*2</f>
        <v>2</v>
      </c>
      <c r="G13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0.0280778785602866</v>
      </c>
      <c r="H13" s="16" t="n">
        <f aca="false">IFERROR(F13*G13,"")</f>
        <v>0.0561557571205731</v>
      </c>
      <c r="I13" s="17" t="n">
        <v>71382</v>
      </c>
      <c r="K13" s="16" t="n">
        <f aca="false">IFERROR(EUR_USD*LOOKUP(IF(J13="",F13,J13),{0,1,10,100,1000,2500,5000,10000,25000,50000,125000},{0,0.1,0.066,0.0267,0.01199,0.01041,0.00782,0.00679,0.00597,0.00547,0.00536}),"")</f>
        <v>0.0892140244446427</v>
      </c>
      <c r="L13" s="16" t="n">
        <f aca="false">IFERROR(IF(J13="",F13,J13)*K13,"")</f>
        <v>0.178428048889285</v>
      </c>
      <c r="M13" s="18" t="s">
        <v>78</v>
      </c>
      <c r="N13" s="17" t="n">
        <v>580000</v>
      </c>
      <c r="P13" s="16" t="n">
        <f aca="false">IFERROR(EUR_GBP*LOOKUP(IF(O13="",F13,O13),{0,1,10,100,150,500,1000,2500,5000,25000},{0,0.0243,0.0243,0.0187,0.0187,0.0135,0.0109,0.0087,0.0057,0.005}),"")</f>
        <v>0.0280778785602866</v>
      </c>
      <c r="Q13" s="16" t="n">
        <f aca="false">IFERROR(IF(O13="",F13,O13)*P13,"")</f>
        <v>0.0561557571205731</v>
      </c>
      <c r="R13" s="18" t="s">
        <v>79</v>
      </c>
      <c r="S13" s="17" t="n">
        <v>52660</v>
      </c>
      <c r="U13" s="16" t="n">
        <f aca="false">IFERROR(EUR_USD*LOOKUP(IF(T13="",F13,T13),{0,1,10,50,100,1000,5000,10000,25000,50000,100000},{0,0.1,0.066,0.066,0.047,0.027,0.019,0.015,0.013,0.011,0.01}),"")</f>
        <v>0.0892140244446427</v>
      </c>
      <c r="V13" s="16" t="n">
        <f aca="false">IFERROR(IF(T13="",F13,T13)*U13,"")</f>
        <v>0.178428048889285</v>
      </c>
      <c r="W13" s="18" t="s">
        <v>80</v>
      </c>
      <c r="X13" s="17" t="n">
        <v>65745</v>
      </c>
      <c r="Z13" s="16" t="n">
        <f aca="false">IFERROR(EUR_USD*LOOKUP(IF(Y13="",F13,Y13),{0,1,10,25,50,100,250,500,1000,5000,10000,20000},{0,0.125,0.125,0.083,0.071,0.059,0.05,0.043,0.034,0.021,0.019,0.019}),"")</f>
        <v>0.111517530555803</v>
      </c>
      <c r="AA13" s="16" t="n">
        <f aca="false">IFERROR(IF(Y13="",F13,Y13)*Z13,"")</f>
        <v>0.223035061111607</v>
      </c>
      <c r="AB13" s="18" t="s">
        <v>81</v>
      </c>
      <c r="AC13" s="17" t="n">
        <v>161400</v>
      </c>
      <c r="AE13" s="16" t="n">
        <f aca="false">IFERROR(EUR_GBP*LOOKUP(IF(AD13="",F13,AD13),{0,1,50,500,1000,1250,2500},{0,47.5,0.032,0.014,0.011,0.005,0.004}),"")</f>
        <v>54.8847420417124</v>
      </c>
      <c r="AF13" s="16" t="n">
        <f aca="false">IFERROR(IF(AD13="",F13,AD13)*AE13,"")</f>
        <v>109.769484083425</v>
      </c>
      <c r="AG13" s="18" t="s">
        <v>82</v>
      </c>
    </row>
    <row r="14" customFormat="false" ht="15" hidden="false" customHeight="false" outlineLevel="0" collapsed="false">
      <c r="A14" s="14" t="s">
        <v>83</v>
      </c>
      <c r="B14" s="14" t="s">
        <v>84</v>
      </c>
      <c r="C14" s="14" t="s">
        <v>69</v>
      </c>
      <c r="E14" s="14" t="s">
        <v>85</v>
      </c>
      <c r="F14" s="15" t="n">
        <f aca="false">BoardQty*1</f>
        <v>1</v>
      </c>
      <c r="G14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0.0050941207957891</v>
      </c>
      <c r="H14" s="16" t="n">
        <f aca="false">IFERROR(F14*G14,"")</f>
        <v>0.0050941207957891</v>
      </c>
      <c r="I14" s="19" t="s">
        <v>51</v>
      </c>
      <c r="K14" s="16" t="n">
        <f aca="false">IFERROR(EUR_USD*LOOKUP(IF(J14="",F14,J14),{0,1,40000,50000,125000},{0,0.00571,0.00571,0.00524,0.00513}),"")</f>
        <v>0.0050941207957891</v>
      </c>
      <c r="L14" s="16" t="n">
        <f aca="false">IFERROR(IF(J14="",F14,J14)*K14,"")</f>
        <v>0.0050941207957891</v>
      </c>
      <c r="M14" s="18" t="s">
        <v>86</v>
      </c>
      <c r="S14" s="17" t="n">
        <v>36179</v>
      </c>
      <c r="U14" s="16" t="n">
        <f aca="false">IFERROR(EUR_USD*LOOKUP(IF(T14="",F14,T14),{0,1,10,50,100,500,1000,5000,10000,25000,50000},{0,0.14,0.065,0.065,0.038,0.021,0.013,0.009,0.008,0.007,0.006}),"")</f>
        <v>0.1248996342225</v>
      </c>
      <c r="V14" s="16" t="n">
        <f aca="false">IFERROR(IF(T14="",F14,T14)*U14,"")</f>
        <v>0.1248996342225</v>
      </c>
      <c r="W14" s="18" t="s">
        <v>87</v>
      </c>
      <c r="X14" s="17" t="n">
        <v>35000</v>
      </c>
      <c r="Z14" s="16" t="n">
        <f aca="false">IFERROR(EUR_USD*LOOKUP(IF(Y14="",F14,Y14),{0,1,5000},{0,0.009,0.009}),"")</f>
        <v>0.00802926220001784</v>
      </c>
      <c r="AA14" s="16" t="n">
        <f aca="false">IFERROR(IF(Y14="",F14,Y14)*Z14,"")</f>
        <v>0.00802926220001784</v>
      </c>
      <c r="AB14" s="18" t="s">
        <v>88</v>
      </c>
    </row>
    <row r="15" customFormat="false" ht="15" hidden="false" customHeight="false" outlineLevel="0" collapsed="false">
      <c r="A15" s="14" t="s">
        <v>89</v>
      </c>
      <c r="B15" s="14" t="s">
        <v>90</v>
      </c>
      <c r="C15" s="14" t="s">
        <v>69</v>
      </c>
      <c r="E15" s="14" t="s">
        <v>91</v>
      </c>
      <c r="F15" s="15" t="n">
        <f aca="false">BoardQty*2</f>
        <v>2</v>
      </c>
      <c r="G15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0.0133821036666964</v>
      </c>
      <c r="H15" s="16" t="n">
        <f aca="false">IFERROR(F15*G15,"")</f>
        <v>0.0267642073333928</v>
      </c>
      <c r="I15" s="17" t="n">
        <v>845546</v>
      </c>
      <c r="K15" s="16" t="n">
        <f aca="false">IFERROR(EUR_USD*LOOKUP(IF(J15="",F15,J15),{0,1,10,100,1000,2500,5000,10000,25000,50000,125000},{0,0.1,0.063,0.0256,0.01149,0.00997,0.00748,0.0065,0.00571,0.00524,0.00513}),"")</f>
        <v>0.0892140244446427</v>
      </c>
      <c r="L15" s="16" t="n">
        <f aca="false">IFERROR(IF(J15="",F15,J15)*K15,"")</f>
        <v>0.178428048889285</v>
      </c>
      <c r="M15" s="18" t="s">
        <v>92</v>
      </c>
      <c r="S15" s="17" t="n">
        <v>476302</v>
      </c>
      <c r="U15" s="16" t="n">
        <f aca="false">IFERROR(EUR_USD*LOOKUP(IF(T15="",F15,T15),{0,1,10,50,100,500,1000,5000,10000},{0,0.1,0.061,0.061,0.024,0.018,0.009,0.005,0.005}),"")</f>
        <v>0.0892140244446427</v>
      </c>
      <c r="V15" s="16" t="n">
        <f aca="false">IFERROR(IF(T15="",F15,T15)*U15,"")</f>
        <v>0.178428048889285</v>
      </c>
      <c r="W15" s="18" t="s">
        <v>93</v>
      </c>
      <c r="X15" s="19" t="s">
        <v>51</v>
      </c>
      <c r="Z15" s="16" t="n">
        <f aca="false">IFERROR(EUR_USD*LOOKUP(IF(Y15="",F15,Y15),{0,1,5000,10000,40000},{0,0.015,0.014,0.01,0.01}),"")</f>
        <v>0.0133821036666964</v>
      </c>
      <c r="AA15" s="16" t="n">
        <f aca="false">IFERROR(IF(Y15="",F15,Y15)*Z15,"")</f>
        <v>0.0267642073333928</v>
      </c>
      <c r="AB15" s="18" t="s">
        <v>94</v>
      </c>
    </row>
    <row r="16" customFormat="false" ht="15" hidden="false" customHeight="false" outlineLevel="0" collapsed="false">
      <c r="A16" s="14" t="s">
        <v>95</v>
      </c>
      <c r="B16" s="14" t="s">
        <v>96</v>
      </c>
      <c r="C16" s="14" t="s">
        <v>97</v>
      </c>
      <c r="D16" s="14" t="s">
        <v>98</v>
      </c>
      <c r="E16" s="14" t="s">
        <v>99</v>
      </c>
      <c r="F16" s="15" t="n">
        <f aca="false">BoardQty*1</f>
        <v>1</v>
      </c>
      <c r="G16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40.1373895976448</v>
      </c>
      <c r="H16" s="16" t="n">
        <f aca="false">IFERROR(F16*G16,"")</f>
        <v>40.1373895976448</v>
      </c>
      <c r="I16" s="17" t="n">
        <v>169</v>
      </c>
      <c r="K16" s="16" t="n">
        <f aca="false">IFERROR(EUR_USD*LOOKUP(IF(J16="",F16,J16),{0,1,10,25,100},{0,46.34,43.336,40.0792,37.5744}),"")</f>
        <v>41.3417789276474</v>
      </c>
      <c r="L16" s="16" t="n">
        <f aca="false">IFERROR(IF(J16="",F16,J16)*K16,"")</f>
        <v>41.3417789276474</v>
      </c>
      <c r="M16" s="18" t="s">
        <v>100</v>
      </c>
      <c r="S16" s="17" t="n">
        <v>163</v>
      </c>
      <c r="U16" s="16" t="n">
        <f aca="false">IFERROR(EUR_USD*LOOKUP(IF(T16="",F16,T16),{0,1,5,10,25,50,100,250,500,1000,10000},{0,44.99,42.56,42.07,38.91,37.69,36.47,34.04,32.34,29.19,36.47}),"")</f>
        <v>40.1373895976448</v>
      </c>
      <c r="V16" s="16" t="n">
        <f aca="false">IFERROR(IF(T16="",F16,T16)*U16,"")</f>
        <v>40.1373895976448</v>
      </c>
      <c r="W16" s="18" t="s">
        <v>101</v>
      </c>
    </row>
    <row r="17" customFormat="false" ht="15" hidden="false" customHeight="false" outlineLevel="0" collapsed="false">
      <c r="A17" s="14" t="s">
        <v>102</v>
      </c>
      <c r="B17" s="14" t="s">
        <v>103</v>
      </c>
      <c r="C17" s="14" t="s">
        <v>104</v>
      </c>
      <c r="D17" s="14" t="s">
        <v>105</v>
      </c>
      <c r="E17" s="14" t="s">
        <v>106</v>
      </c>
      <c r="F17" s="15" t="n">
        <f aca="false">BoardQty*1</f>
        <v>1</v>
      </c>
      <c r="G17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0.642340976001427</v>
      </c>
      <c r="H17" s="16" t="n">
        <f aca="false">IFERROR(F17*G17,"")</f>
        <v>0.642340976001427</v>
      </c>
      <c r="I17" s="17" t="n">
        <v>18300</v>
      </c>
      <c r="K17" s="16" t="n">
        <f aca="false">IFERROR(EUR_USD*LOOKUP(IF(J17="",F17,J17),{0,1,10,100,500,1000,3000,6000,15000},{0,0.75,0.659,0.5055,0.39964,0.31971,0.2813,0.2619,0.2522}),"")</f>
        <v>0.66910518333482</v>
      </c>
      <c r="L17" s="16" t="n">
        <f aca="false">IFERROR(IF(J17="",F17,J17)*K17,"")</f>
        <v>0.66910518333482</v>
      </c>
      <c r="M17" s="18" t="s">
        <v>107</v>
      </c>
      <c r="N17" s="19" t="s">
        <v>51</v>
      </c>
      <c r="P17" s="16" t="n">
        <f aca="false">IFERROR(EUR_GBP*LOOKUP(IF(O17="",F17,O17),{0,1,5,10,50,100,150,250,500,1000,2500,5000},{0,0.561,0.561,0.561,0.49,0.317,0.317,0.288,0.259,0.23,0.214,0.205}),"")</f>
        <v>0.648217690218961</v>
      </c>
      <c r="Q17" s="16" t="n">
        <f aca="false">IFERROR(IF(O17="",F17,O17)*P17,"")</f>
        <v>0.648217690218961</v>
      </c>
      <c r="R17" s="18" t="s">
        <v>108</v>
      </c>
      <c r="S17" s="17" t="n">
        <v>15320</v>
      </c>
      <c r="U17" s="16" t="n">
        <f aca="false">IFERROR(EUR_USD*LOOKUP(IF(T17="",F17,T17),{0,1,10,50,100,1000,2000,3000,9000,10000,24000,48000},{0,0.72,0.6,0.6,0.388,0.311,0.282,0.262,0.253,0.253,0.243,0.233}),"")</f>
        <v>0.642340976001427</v>
      </c>
      <c r="V17" s="16" t="n">
        <f aca="false">IFERROR(IF(T17="",F17,T17)*U17,"")</f>
        <v>0.642340976001427</v>
      </c>
      <c r="W17" s="18" t="s">
        <v>109</v>
      </c>
      <c r="X17" s="17" t="n">
        <v>4234</v>
      </c>
      <c r="Z17" s="16" t="n">
        <f aca="false">IFERROR(EUR_USD*LOOKUP(IF(Y17="",F17,Y17),{0,1,25,50,100,250,500,1000,2500},{0,0.72,0.6,0.494,0.388,0.362,0.337,0.311,0.282}),"")</f>
        <v>0.642340976001427</v>
      </c>
      <c r="AA17" s="16" t="n">
        <f aca="false">IFERROR(IF(Y17="",F17,Y17)*Z17,"")</f>
        <v>0.642340976001427</v>
      </c>
      <c r="AB17" s="18" t="s">
        <v>110</v>
      </c>
      <c r="AC17" s="17" t="n">
        <v>3460</v>
      </c>
      <c r="AE17" s="16" t="n">
        <f aca="false">IFERROR(EUR_GBP*LOOKUP(IF(AD17="",F17,AD17),{0,1,5,30,150,750,1500,3000,9000},{0,0.57,0.57,0.44,0.282,0.254,0.228,0.217,0.212}),"")</f>
        <v>0.658616904500549</v>
      </c>
      <c r="AF17" s="16" t="n">
        <f aca="false">IFERROR(IF(AD17="",F17,AD17)*AE17,"")</f>
        <v>0.658616904500549</v>
      </c>
      <c r="AG17" s="18" t="s">
        <v>111</v>
      </c>
    </row>
    <row r="18" customFormat="false" ht="15" hidden="false" customHeight="false" outlineLevel="0" collapsed="false">
      <c r="A18" s="14" t="s">
        <v>112</v>
      </c>
      <c r="B18" s="14" t="s">
        <v>113</v>
      </c>
      <c r="C18" s="14" t="s">
        <v>114</v>
      </c>
      <c r="D18" s="14" t="s">
        <v>115</v>
      </c>
      <c r="E18" s="14" t="s">
        <v>116</v>
      </c>
      <c r="F18" s="15" t="n">
        <f aca="false">BoardQty*1</f>
        <v>1</v>
      </c>
      <c r="G18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2.00358195158588</v>
      </c>
      <c r="H18" s="16" t="n">
        <f aca="false">IFERROR(F18*G18,"")</f>
        <v>2.00358195158588</v>
      </c>
      <c r="I18" s="17" t="n">
        <v>2214</v>
      </c>
      <c r="K18" s="16" t="n">
        <f aca="false">IFERROR(EUR_USD*LOOKUP(IF(J18="",F18,J18),{0,1,10,100,500,1000},{0,2.25,2.025,1.6273,1.337,1.1078}),"")</f>
        <v>2.00731555000446</v>
      </c>
      <c r="L18" s="16" t="n">
        <f aca="false">IFERROR(IF(J18="",F18,J18)*K18,"")</f>
        <v>2.00731555000446</v>
      </c>
      <c r="M18" s="18" t="s">
        <v>117</v>
      </c>
      <c r="N18" s="17" t="n">
        <v>22350</v>
      </c>
      <c r="P18" s="16" t="n">
        <f aca="false">IFERROR(EUR_GBP*LOOKUP(IF(O18="",F18,O18),{0,1,25,50,100,250,500,1000,2500},{0,1.83,1.61,1.46,1.29,1.21,1.12,0.933,0.835}),"")</f>
        <v>2.11450690392281</v>
      </c>
      <c r="Q18" s="16" t="n">
        <f aca="false">IFERROR(IF(O18="",F18,O18)*P18,"")</f>
        <v>2.11450690392281</v>
      </c>
      <c r="R18" s="18" t="s">
        <v>118</v>
      </c>
      <c r="S18" s="17" t="n">
        <v>6022</v>
      </c>
      <c r="U18" s="16" t="n">
        <f aca="false">IFERROR(EUR_USD*LOOKUP(IF(T18="",F18,T18),{0,1,10,50,100,500,1000,2500,5000,10000,25000},{0,2.25,1.91,1.91,1.53,1.34,1.11,1.04,0.994,0.955,0.917}),"")</f>
        <v>2.00731555000446</v>
      </c>
      <c r="V18" s="16" t="n">
        <f aca="false">IFERROR(IF(T18="",F18,T18)*U18,"")</f>
        <v>2.00731555000446</v>
      </c>
      <c r="W18" s="18" t="s">
        <v>119</v>
      </c>
      <c r="X18" s="17" t="n">
        <v>22348</v>
      </c>
      <c r="Z18" s="16" t="n">
        <f aca="false">IFERROR(EUR_USD*LOOKUP(IF(Y18="",F18,Y18),{0,1,10,100,500,1000,2500,5000},{0,2.25,1.91,1.53,1.34,1.11,1.04,0.994}),"")</f>
        <v>2.00731555000446</v>
      </c>
      <c r="AA18" s="16" t="n">
        <f aca="false">IFERROR(IF(Y18="",F18,Y18)*Z18,"")</f>
        <v>2.00731555000446</v>
      </c>
      <c r="AB18" s="18" t="s">
        <v>120</v>
      </c>
      <c r="AC18" s="17" t="n">
        <v>815</v>
      </c>
      <c r="AE18" s="16" t="n">
        <f aca="false">IFERROR(EUR_GBP*LOOKUP(IF(AD18="",F18,AD18),{0,1,5,25,50,74,100,250},{0,1.734,1.734,1.374,1.238,1.478,1.1,1.058}),"")</f>
        <v>2.00358195158588</v>
      </c>
      <c r="AF18" s="16" t="n">
        <f aca="false">IFERROR(IF(AD18="",F18,AD18)*AE18,"")</f>
        <v>2.00358195158588</v>
      </c>
      <c r="AG18" s="18" t="s">
        <v>121</v>
      </c>
    </row>
    <row r="19" customFormat="false" ht="15" hidden="false" customHeight="false" outlineLevel="0" collapsed="false">
      <c r="A19" s="14" t="s">
        <v>122</v>
      </c>
      <c r="B19" s="14" t="s">
        <v>123</v>
      </c>
      <c r="C19" s="14" t="s">
        <v>124</v>
      </c>
      <c r="D19" s="14" t="s">
        <v>125</v>
      </c>
      <c r="E19" s="14" t="s">
        <v>126</v>
      </c>
      <c r="F19" s="15" t="n">
        <f aca="false">BoardQty*1</f>
        <v>1</v>
      </c>
      <c r="G19" s="16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0.441388872840719</v>
      </c>
      <c r="H19" s="16" t="n">
        <f aca="false">IFERROR(F19*G19,"")</f>
        <v>0.441388872840719</v>
      </c>
      <c r="I19" s="17" t="n">
        <v>41358</v>
      </c>
      <c r="K19" s="16" t="n">
        <f aca="false">IFERROR(EUR_USD*LOOKUP(IF(J19="",F19,J19),{0,1,10,100,500,1000,3000,6000,15000,30000},{0,0.65,0.552,0.4124,0.32404,0.25039,0.22165,0.20735,0.19305,0.18304}),"")</f>
        <v>0.579891158890178</v>
      </c>
      <c r="L19" s="16" t="n">
        <f aca="false">IFERROR(IF(J19="",F19,J19)*K19,"")</f>
        <v>0.579891158890178</v>
      </c>
      <c r="M19" s="18" t="s">
        <v>127</v>
      </c>
      <c r="N19" s="17" t="n">
        <v>5494</v>
      </c>
      <c r="P19" s="16" t="n">
        <f aca="false">IFERROR(EUR_GBP*LOOKUP(IF(O19="",F19,O19),{0,1,5,10,100,150,250,500,1000,5000},{0,0.545,0.545,0.435,0.239,0.239,0.212,0.184,0.157,0.142}),"")</f>
        <v>0.629730198162806</v>
      </c>
      <c r="Q19" s="16" t="n">
        <f aca="false">IFERROR(IF(O19="",F19,O19)*P19,"")</f>
        <v>0.629730198162806</v>
      </c>
      <c r="R19" s="18" t="s">
        <v>128</v>
      </c>
      <c r="S19" s="17" t="n">
        <v>12496</v>
      </c>
      <c r="U19" s="16" t="n">
        <f aca="false">IFERROR(EUR_USD*LOOKUP(IF(T19="",F19,T19),{0,1,10,50,100,1000,3000,9000,10000,24000,45000,99000},{0,0.57,0.47,0.47,0.287,0.222,0.189,0.176,0.176,0.167,0.163,0.157}),"")</f>
        <v>0.508519939334463</v>
      </c>
      <c r="V19" s="16" t="n">
        <f aca="false">IFERROR(IF(T19="",F19,T19)*U19,"")</f>
        <v>0.508519939334463</v>
      </c>
      <c r="W19" s="18" t="s">
        <v>129</v>
      </c>
      <c r="X19" s="17" t="n">
        <v>5510</v>
      </c>
      <c r="Z19" s="16" t="n">
        <f aca="false">IFERROR(EUR_USD*LOOKUP(IF(Y19="",F19,Y19),{0,1,10,25,50,100,250,500,1000,3000,6000,12000,18000,30000},{0,0.57,0.47,0.409,0.348,0.287,0.265,0.244,0.222,0.17,0.169,0.167,0.165,0.161}),"")</f>
        <v>0.508519939334463</v>
      </c>
      <c r="AA19" s="16" t="n">
        <f aca="false">IFERROR(IF(Y19="",F19,Y19)*Z19,"")</f>
        <v>0.508519939334463</v>
      </c>
      <c r="AB19" s="18" t="s">
        <v>130</v>
      </c>
      <c r="AC19" s="17" t="n">
        <v>9780</v>
      </c>
      <c r="AE19" s="16" t="n">
        <f aca="false">IFERROR(EUR_GBP*LOOKUP(IF(AD19="",F19,AD19),{0,1,10,30,150,750,1500,3000,9000},{0,0.382,0.382,0.223,0.191,0.15,0.13,0.133,0.126}),"")</f>
        <v>0.441388872840719</v>
      </c>
      <c r="AF19" s="16" t="n">
        <f aca="false">IFERROR(IF(AD19="",F19,AD19)*AE19,"")</f>
        <v>0.441388872840719</v>
      </c>
      <c r="AG19" s="18" t="s">
        <v>131</v>
      </c>
    </row>
    <row r="21" customFormat="false" ht="15" hidden="false" customHeight="false" outlineLevel="0" collapsed="false">
      <c r="B21" s="0" t="s">
        <v>132</v>
      </c>
      <c r="G21" s="1" t="s">
        <v>133</v>
      </c>
      <c r="H21" s="5" t="n">
        <f aca="true"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J21" s="6" t="str">
        <f aca="false">IFERROR(IF(OR(J7:J19),COUNTIFS(J7:J19,"&gt;0",L7:L19,"&lt;&gt;")&amp;" of "&amp;(ROWS(L7:L19)-COUNTBLANK(L7:L19))&amp;" parts purchased",""),"")</f>
        <v/>
      </c>
      <c r="L21" s="5" t="n">
        <f aca="false">SUMIF(J7:J19,"&gt;0",L7:L19)</f>
        <v>0</v>
      </c>
      <c r="O21" s="6" t="str">
        <f aca="false">IFERROR(IF(OR(O7:O19),COUNTIFS(O7:O19,"&gt;0",Q7:Q19,"&lt;&gt;")&amp;" of "&amp;(ROWS(Q7:Q19)-COUNTBLANK(Q7:Q19))&amp;" parts purchased",""),"")</f>
        <v/>
      </c>
      <c r="Q21" s="5" t="n">
        <f aca="false">SUMIF(O7:O19,"&gt;0",Q7:Q19)</f>
        <v>0</v>
      </c>
      <c r="T21" s="6" t="str">
        <f aca="false">IFERROR(IF(OR(T7:T19),COUNTIFS(T7:T19,"&gt;0",V7:V19,"&lt;&gt;")&amp;" of "&amp;(ROWS(V7:V19)-COUNTBLANK(V7:V19))&amp;" parts purchased",""),"")</f>
        <v/>
      </c>
      <c r="V21" s="5" t="n">
        <f aca="false">SUMIF(T7:T19,"&gt;0",V7:V19)</f>
        <v>0</v>
      </c>
      <c r="Y21" s="6" t="str">
        <f aca="false">IFERROR(IF(OR(Y7:Y19),COUNTIFS(Y7:Y19,"&gt;0",AA7:AA19,"&lt;&gt;")&amp;" of "&amp;(ROWS(AA7:AA19)-COUNTBLANK(AA7:AA19))&amp;" parts purchased",""),"")</f>
        <v/>
      </c>
      <c r="AA21" s="5" t="n">
        <f aca="false">SUMIF(Y7:Y19,"&gt;0",AA7:AA19)</f>
        <v>0</v>
      </c>
      <c r="AD21" s="6" t="str">
        <f aca="false">IFERROR(IF(OR(AD7:AD19),COUNTIFS(AD7:AD19,"&gt;0",AF7:AF19,"&lt;&gt;")&amp;" of "&amp;(ROWS(AF7:AF19)-COUNTBLANK(AF7:AF19))&amp;" parts purchased",""),"")</f>
        <v/>
      </c>
      <c r="AF21" s="5" t="n">
        <f aca="false">SUMIF(AD7:AD19,"&gt;0",AF7:AF19)</f>
        <v>0</v>
      </c>
    </row>
    <row r="22" customFormat="false" ht="15" hidden="false" customHeight="false" outlineLevel="0" collapsed="false">
      <c r="B22" s="20" t="s">
        <v>134</v>
      </c>
      <c r="C22" s="0" t="n">
        <v>1.15546825350974</v>
      </c>
      <c r="J22" s="0" t="str">
        <f aca="false" t="array" ref="J22:J22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2" s="0" t="str">
        <f aca="false" t="array" ref="O22:O22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2" s="0" t="str">
        <f aca="false" t="array" ref="T22:T22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2" s="0" t="str">
        <f aca="false" t="array" ref="Y22:Y22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2" s="0" t="str">
        <f aca="false" t="array" ref="AD22:AD22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3" customFormat="false" ht="15" hidden="false" customHeight="false" outlineLevel="0" collapsed="false">
      <c r="B23" s="20" t="s">
        <v>135</v>
      </c>
      <c r="C23" s="0" t="n">
        <v>0.892140244446427</v>
      </c>
      <c r="J23" s="0" t="str">
        <f aca="false" t="array" ref="J23:J23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3" s="0" t="str">
        <f aca="false" t="array" ref="O23:O23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3" s="0" t="str">
        <f aca="false" t="array" ref="T23:T23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3" s="0" t="str">
        <f aca="false" t="array" ref="Y23:Y23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3" s="0" t="str">
        <f aca="false" t="array" ref="AD23:AD23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4" customFormat="false" ht="15" hidden="false" customHeight="false" outlineLevel="0" collapsed="false">
      <c r="J24" s="0" t="str">
        <f aca="false" t="array" ref="J24:J24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4" s="0" t="str">
        <f aca="false" t="array" ref="O24:O24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4" s="0" t="str">
        <f aca="false" t="array" ref="T24:T24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4" s="0" t="str">
        <f aca="false" t="array" ref="Y24:Y24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4" s="0" t="str">
        <f aca="false" t="array" ref="AD24:AD24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5" customFormat="false" ht="15" hidden="false" customHeight="false" outlineLevel="0" collapsed="false">
      <c r="A25" s="2" t="s">
        <v>136</v>
      </c>
      <c r="J25" s="0" t="str">
        <f aca="false" t="array" ref="J25:J25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5" s="0" t="str">
        <f aca="false" t="array" ref="O25:O25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5" s="0" t="str">
        <f aca="false" t="array" ref="T25:T25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5" s="0" t="str">
        <f aca="false" t="array" ref="Y25:Y25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5" s="0" t="str">
        <f aca="false" t="array" ref="AD25:AD25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6" customFormat="false" ht="15" hidden="false" customHeight="false" outlineLevel="0" collapsed="false">
      <c r="J26" s="0" t="str">
        <f aca="false" t="array" ref="J26:J26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6" s="0" t="str">
        <f aca="false" t="array" ref="O26:O26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6" s="0" t="str">
        <f aca="false" t="array" ref="T26:T26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6" s="0" t="str">
        <f aca="false" t="array" ref="Y26:Y26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6" s="0" t="str">
        <f aca="false" t="array" ref="AD26:AD26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7" customFormat="false" ht="15" hidden="false" customHeight="false" outlineLevel="0" collapsed="false">
      <c r="J27" s="0" t="str">
        <f aca="false" t="array" ref="J27:J27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7" s="0" t="str">
        <f aca="false" t="array" ref="O27:O27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7" s="0" t="str">
        <f aca="false" t="array" ref="T27:T27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7" s="0" t="str">
        <f aca="false" t="array" ref="Y27:Y27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7" s="0" t="str">
        <f aca="false" t="array" ref="AD27:AD27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8" customFormat="false" ht="15" hidden="false" customHeight="false" outlineLevel="0" collapsed="false">
      <c r="J28" s="0" t="str">
        <f aca="false" t="array" ref="J28:J28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8" s="0" t="str">
        <f aca="false" t="array" ref="O28:O28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8" s="0" t="str">
        <f aca="false" t="array" ref="T28:T28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8" s="0" t="str">
        <f aca="false" t="array" ref="Y28:Y28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8" s="0" t="str">
        <f aca="false" t="array" ref="AD28:AD28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29" customFormat="false" ht="15" hidden="false" customHeight="false" outlineLevel="0" collapsed="false">
      <c r="J29" s="0" t="str">
        <f aca="false" t="array" ref="J29:J29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29" s="0" t="str">
        <f aca="false" t="array" ref="O29:O29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29" s="0" t="str">
        <f aca="false" t="array" ref="T29:T29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29" s="0" t="str">
        <f aca="false" t="array" ref="Y29:Y29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29" s="0" t="str">
        <f aca="false" t="array" ref="AD29:AD29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30" customFormat="false" ht="15" hidden="false" customHeight="false" outlineLevel="0" collapsed="false">
      <c r="J30" s="0" t="str">
        <f aca="false" t="array" ref="J30:J30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30" s="0" t="str">
        <f aca="false" t="array" ref="O30:O30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30" s="0" t="str">
        <f aca="false" t="array" ref="T30:T30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30" s="0" t="str">
        <f aca="false" t="array" ref="Y30:Y30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30" s="0" t="str">
        <f aca="false" t="array" ref="AD30:AD30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31" customFormat="false" ht="15" hidden="false" customHeight="false" outlineLevel="0" collapsed="false">
      <c r="J31" s="0" t="str">
        <f aca="false" t="array" ref="J31:J31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31" s="0" t="str">
        <f aca="false" t="array" ref="O31:O31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31" s="0" t="str">
        <f aca="false" t="array" ref="T31:T31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31" s="0" t="str">
        <f aca="false" t="array" ref="Y31:Y31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31" s="0" t="str">
        <f aca="false" t="array" ref="AD31:AD31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32" customFormat="false" ht="15" hidden="false" customHeight="false" outlineLevel="0" collapsed="false">
      <c r="J32" s="0" t="str">
        <f aca="false" t="array" ref="J32:J32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32" s="0" t="str">
        <f aca="false" t="array" ref="O32:O32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32" s="0" t="str">
        <f aca="false" t="array" ref="T32:T32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32" s="0" t="str">
        <f aca="false" t="array" ref="Y32:Y32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32" s="0" t="str">
        <f aca="false" t="array" ref="AD32:AD32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33" customFormat="false" ht="15" hidden="false" customHeight="false" outlineLevel="0" collapsed="false">
      <c r="J33" s="0" t="str">
        <f aca="false" t="array" ref="J33:J33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33" s="0" t="str">
        <f aca="false" t="array" ref="O33:O33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33" s="0" t="str">
        <f aca="false" t="array" ref="T33:T33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33" s="0" t="str">
        <f aca="false" t="array" ref="Y33:Y33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33" s="0" t="str">
        <f aca="false" t="array" ref="AD33:AD33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  <row r="34" customFormat="false" ht="15" hidden="false" customHeight="false" outlineLevel="0" collapsed="false">
      <c r="J34" s="0" t="str">
        <f aca="false" t="array" ref="J34:J34">IFERROR(CONCATENATE(TEXT(INDEX(J7:J19,SMALL(IF(ISNUMBER(J7:J19),IF(J7:J19&gt;0,IF(M7:M19&lt;&gt;"",ROW(J7:J19)-MIN(ROW(J7:J19))+1))),ROW()-ROW(A$22)+1)),"##0"),",",INDEX(M7:M19,SMALL(IF(ISNUMBER(J7:J19),IF(J7:J19&gt;0,IF(M7:M19&lt;&gt;"",ROW(J7:J19)-MIN(ROW(J7:J19))+1))),ROW()-ROW(A$22)+1)),",",SUBSTITUTE(INDEX(A7:A19,SMALL(IF(ISNUMBER(J7:J19),IF(J7:J19&gt;0,IF(M7:M19&lt;&gt;"",ROW(J7:J19)-MIN(ROW(J7:J19))+1))),ROW()-ROW(A$22)+1)),",",";")),"")</f>
        <v/>
      </c>
      <c r="O34" s="0" t="str">
        <f aca="false" t="array" ref="O34:O34">IFERROR(CONCATENATE(INDEX(R7:R19,SMALL(IF(ISNUMBER(O7:O19),IF(O7:O19&gt;0,IF(R7:R19&lt;&gt;"",ROW(O7:O19)-MIN(ROW(O7:O19))+1))),ROW()-ROW(A$22)+1))," ",TEXT(INDEX(O7:O19,SMALL(IF(ISNUMBER(O7:O19),IF(O7:O19&gt;0,IF(R7:R19&lt;&gt;"",ROW(O7:O19)-MIN(ROW(O7:O19))+1))),ROW()-ROW(A$22)+1)),"##0")," ",SUBSTITUTE(INDEX(A7:A19,SMALL(IF(ISNUMBER(O7:O19),IF(O7:O19&gt;0,IF(R7:R19&lt;&gt;"",ROW(O7:O19)-MIN(ROW(O7:O19))+1))),ROW()-ROW(A$22)+1))," ",";")),"")</f>
        <v/>
      </c>
      <c r="T34" s="0" t="str">
        <f aca="false" t="array" ref="T34:T34">IFERROR(CONCATENATE(INDEX(W7:W19,SMALL(IF(ISNUMBER(T7:T19),IF(T7:T19&gt;0,IF(W7:W19&lt;&gt;"",ROW(T7:T19)-MIN(ROW(T7:T19))+1))),ROW()-ROW(A$22)+1)),"|",TEXT(INDEX(T7:T19,SMALL(IF(ISNUMBER(T7:T19),IF(T7:T19&gt;0,IF(W7:W19&lt;&gt;"",ROW(T7:T19)-MIN(ROW(T7:T19))+1))),ROW()-ROW(A$22)+1)),"##0"),"|",SUBSTITUTE(SUBSTITUTE(INDEX(A7:A19,SMALL(IF(ISNUMBER(T7:T19),IF(T7:T19&gt;0,IF(W7:W19&lt;&gt;"",ROW(T7:T19)-MIN(ROW(T7:T19))+1))),ROW()-ROW(A$22)+1)),"|",";")," ","_")),"")</f>
        <v/>
      </c>
      <c r="Y34" s="0" t="str">
        <f aca="false" t="array" ref="Y34:Y34">IFERROR(CONCATENATE(INDEX(AB7:AB19,SMALL(IF(ISNUMBER(Y7:Y19),IF(Y7:Y19&gt;0,IF(AB7:AB19&lt;&gt;"",ROW(Y7:Y19)-MIN(ROW(Y7:Y19))+1))),ROW()-ROW(A$22)+1)),",",TEXT(INDEX(Y7:Y19,SMALL(IF(ISNUMBER(Y7:Y19),IF(Y7:Y19&gt;0,IF(AB7:AB19&lt;&gt;"",ROW(Y7:Y19)-MIN(ROW(Y7:Y19))+1))),ROW()-ROW(A$22)+1)),"##0"),",",SUBSTITUTE(INDEX(A7:A19,SMALL(IF(ISNUMBER(Y7:Y19),IF(Y7:Y19&gt;0,IF(AB7:AB19&lt;&gt;"",ROW(Y7:Y19)-MIN(ROW(Y7:Y19))+1))),ROW()-ROW(A$22)+1)),",",";")),"")</f>
        <v/>
      </c>
      <c r="AD34" s="0" t="str">
        <f aca="false" t="array" ref="AD34:AD34">IFERROR(CONCATENATE(INDEX(AG7:AG19,SMALL(IF(ISNUMBER(AD7:AD19),IF(AD7:AD19&gt;0,IF(AG7:AG19&lt;&gt;"",ROW(AD7:AD19)-MIN(ROW(AD7:AD19))+1))),ROW()-ROW(A$22)+1))," ",TEXT(INDEX(AD7:AD19,SMALL(IF(ISNUMBER(AD7:AD19),IF(AD7:AD19&gt;0,IF(AG7:AG19&lt;&gt;"",ROW(AD7:AD19)-MIN(ROW(AD7:AD19))+1))),ROW()-ROW(A$22)+1)),"##0")," ",SUBSTITUTE(INDEX(A7:A19,SMALL(IF(ISNUMBER(AD7:AD19),IF(AD7:AD19&gt;0,IF(AG7:AG19&lt;&gt;"",ROW(AD7:AD19)-MIN(ROW(AD7:AD19))+1))),ROW()-ROW(A$22)+1))," ",";")),"")</f>
        <v/>
      </c>
    </row>
  </sheetData>
  <mergeCells count="6">
    <mergeCell ref="A5:H5"/>
    <mergeCell ref="I5:M5"/>
    <mergeCell ref="N5:R5"/>
    <mergeCell ref="S5:W5"/>
    <mergeCell ref="X5:AB5"/>
    <mergeCell ref="AC5:AG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12">
    <cfRule type="cellIs" priority="3" operator="lessThanOrEqual" aboveAverage="0" equalAverage="0" bottom="0" percent="0" rank="0" text="" dxfId="0">
      <formula>H12</formula>
    </cfRule>
  </conditionalFormatting>
  <conditionalFormatting sqref="AA13">
    <cfRule type="cellIs" priority="4" operator="lessThanOrEqual" aboveAverage="0" equalAverage="0" bottom="0" percent="0" rank="0" text="" dxfId="0">
      <formula>H13</formula>
    </cfRule>
  </conditionalFormatting>
  <conditionalFormatting sqref="AA14">
    <cfRule type="cellIs" priority="5" operator="lessThanOrEqual" aboveAverage="0" equalAverage="0" bottom="0" percent="0" rank="0" text="" dxfId="0">
      <formula>H14</formula>
    </cfRule>
  </conditionalFormatting>
  <conditionalFormatting sqref="AA15">
    <cfRule type="cellIs" priority="6" operator="lessThanOrEqual" aboveAverage="0" equalAverage="0" bottom="0" percent="0" rank="0" text="" dxfId="0">
      <formula>H15</formula>
    </cfRule>
  </conditionalFormatting>
  <conditionalFormatting sqref="AA17">
    <cfRule type="cellIs" priority="7" operator="lessThanOrEqual" aboveAverage="0" equalAverage="0" bottom="0" percent="0" rank="0" text="" dxfId="0">
      <formula>H17</formula>
    </cfRule>
  </conditionalFormatting>
  <conditionalFormatting sqref="AA18">
    <cfRule type="cellIs" priority="8" operator="lessThanOrEqual" aboveAverage="0" equalAverage="0" bottom="0" percent="0" rank="0" text="" dxfId="0">
      <formula>H18</formula>
    </cfRule>
  </conditionalFormatting>
  <conditionalFormatting sqref="AA19">
    <cfRule type="cellIs" priority="9" operator="lessThanOrEqual" aboveAverage="0" equalAverage="0" bottom="0" percent="0" rank="0" text="" dxfId="0">
      <formula>H19</formula>
    </cfRule>
  </conditionalFormatting>
  <conditionalFormatting sqref="AA7">
    <cfRule type="cellIs" priority="10" operator="lessThanOrEqual" aboveAverage="0" equalAverage="0" bottom="0" percent="0" rank="0" text="" dxfId="0">
      <formula>H7</formula>
    </cfRule>
  </conditionalFormatting>
  <conditionalFormatting sqref="AA8">
    <cfRule type="cellIs" priority="11" operator="lessThanOrEqual" aboveAverage="0" equalAverage="0" bottom="0" percent="0" rank="0" text="" dxfId="0">
      <formula>H8</formula>
    </cfRule>
  </conditionalFormatting>
  <conditionalFormatting sqref="AA9">
    <cfRule type="cellIs" priority="12" operator="lessThanOrEqual" aboveAverage="0" equalAverage="0" bottom="0" percent="0" rank="0" text="" dxfId="0">
      <formula>H9</formula>
    </cfRule>
  </conditionalFormatting>
  <conditionalFormatting sqref="AC10">
    <cfRule type="cellIs" priority="13" operator="equal" aboveAverage="0" equalAverage="0" bottom="0" percent="0" rank="0" text="" dxfId="1">
      <formula>0</formula>
    </cfRule>
    <cfRule type="cellIs" priority="14" operator="lessThan" aboveAverage="0" equalAverage="0" bottom="0" percent="0" rank="0" text="" dxfId="2">
      <formula>F10</formula>
    </cfRule>
  </conditionalFormatting>
  <conditionalFormatting sqref="AC13">
    <cfRule type="cellIs" priority="15" operator="equal" aboveAverage="0" equalAverage="0" bottom="0" percent="0" rank="0" text="" dxfId="1">
      <formula>0</formula>
    </cfRule>
    <cfRule type="cellIs" priority="16" operator="lessThan" aboveAverage="0" equalAverage="0" bottom="0" percent="0" rank="0" text="" dxfId="2">
      <formula>F13</formula>
    </cfRule>
  </conditionalFormatting>
  <conditionalFormatting sqref="AC17">
    <cfRule type="cellIs" priority="17" operator="equal" aboveAverage="0" equalAverage="0" bottom="0" percent="0" rank="0" text="" dxfId="1">
      <formula>0</formula>
    </cfRule>
    <cfRule type="cellIs" priority="18" operator="lessThan" aboveAverage="0" equalAverage="0" bottom="0" percent="0" rank="0" text="" dxfId="2">
      <formula>F17</formula>
    </cfRule>
  </conditionalFormatting>
  <conditionalFormatting sqref="AC18">
    <cfRule type="cellIs" priority="19" operator="equal" aboveAverage="0" equalAverage="0" bottom="0" percent="0" rank="0" text="" dxfId="1">
      <formula>0</formula>
    </cfRule>
    <cfRule type="cellIs" priority="20" operator="lessThan" aboveAverage="0" equalAverage="0" bottom="0" percent="0" rank="0" text="" dxfId="2">
      <formula>F18</formula>
    </cfRule>
  </conditionalFormatting>
  <conditionalFormatting sqref="AC19">
    <cfRule type="cellIs" priority="21" operator="equal" aboveAverage="0" equalAverage="0" bottom="0" percent="0" rank="0" text="" dxfId="1">
      <formula>0</formula>
    </cfRule>
    <cfRule type="cellIs" priority="22" operator="lessThan" aboveAverage="0" equalAverage="0" bottom="0" percent="0" rank="0" text="" dxfId="2">
      <formula>F19</formula>
    </cfRule>
  </conditionalFormatting>
  <conditionalFormatting sqref="AC8">
    <cfRule type="cellIs" priority="23" operator="equal" aboveAverage="0" equalAverage="0" bottom="0" percent="0" rank="0" text="" dxfId="1">
      <formula>0</formula>
    </cfRule>
    <cfRule type="cellIs" priority="24" operator="lessThan" aboveAverage="0" equalAverage="0" bottom="0" percent="0" rank="0" text="" dxfId="2">
      <formula>F8</formula>
    </cfRule>
  </conditionalFormatting>
  <conditionalFormatting sqref="AC9">
    <cfRule type="cellIs" priority="25" operator="equal" aboveAverage="0" equalAverage="0" bottom="0" percent="0" rank="0" text="" dxfId="1">
      <formula>0</formula>
    </cfRule>
    <cfRule type="cellIs" priority="26" operator="lessThan" aboveAverage="0" equalAverage="0" bottom="0" percent="0" rank="0" text="" dxfId="2">
      <formula>F9</formula>
    </cfRule>
  </conditionalFormatting>
  <conditionalFormatting sqref="AD10">
    <cfRule type="expression" priority="27" aboveAverage="0" equalAverage="0" bottom="0" percent="0" rank="0" text="" dxfId="3">
      <formula>AND(AD10&gt;0,AD10&lt;0)</formula>
    </cfRule>
    <cfRule type="cellIs" priority="28" operator="greaterThan" aboveAverage="0" equalAverage="0" bottom="0" percent="0" rank="0" text="" dxfId="1">
      <formula>AC10</formula>
    </cfRule>
  </conditionalFormatting>
  <conditionalFormatting sqref="AD13">
    <cfRule type="expression" priority="29" aboveAverage="0" equalAverage="0" bottom="0" percent="0" rank="0" text="" dxfId="3">
      <formula>AND(AD13&gt;0,AD13&lt;0)</formula>
    </cfRule>
    <cfRule type="cellIs" priority="30" operator="greaterThan" aboveAverage="0" equalAverage="0" bottom="0" percent="0" rank="0" text="" dxfId="1">
      <formula>AC13</formula>
    </cfRule>
  </conditionalFormatting>
  <conditionalFormatting sqref="AD17">
    <cfRule type="expression" priority="31" aboveAverage="0" equalAverage="0" bottom="0" percent="0" rank="0" text="" dxfId="3">
      <formula>AND(AD17&gt;0,AD17&lt;0)</formula>
    </cfRule>
    <cfRule type="cellIs" priority="32" operator="greaterThan" aboveAverage="0" equalAverage="0" bottom="0" percent="0" rank="0" text="" dxfId="1">
      <formula>AC17</formula>
    </cfRule>
  </conditionalFormatting>
  <conditionalFormatting sqref="AD18">
    <cfRule type="expression" priority="33" aboveAverage="0" equalAverage="0" bottom="0" percent="0" rank="0" text="" dxfId="3">
      <formula>AND(AD18&gt;0,AD18&lt;0)</formula>
    </cfRule>
    <cfRule type="cellIs" priority="34" operator="greaterThan" aboveAverage="0" equalAverage="0" bottom="0" percent="0" rank="0" text="" dxfId="1">
      <formula>AC18</formula>
    </cfRule>
  </conditionalFormatting>
  <conditionalFormatting sqref="AD19">
    <cfRule type="expression" priority="35" aboveAverage="0" equalAverage="0" bottom="0" percent="0" rank="0" text="" dxfId="3">
      <formula>AND(AD19&gt;0,AD19&lt;0)</formula>
    </cfRule>
    <cfRule type="cellIs" priority="36" operator="greaterThan" aboveAverage="0" equalAverage="0" bottom="0" percent="0" rank="0" text="" dxfId="1">
      <formula>AC19</formula>
    </cfRule>
  </conditionalFormatting>
  <conditionalFormatting sqref="AD8">
    <cfRule type="expression" priority="37" aboveAverage="0" equalAverage="0" bottom="0" percent="0" rank="0" text="" dxfId="3">
      <formula>AND(AD8&gt;0,AD8&lt;0)</formula>
    </cfRule>
    <cfRule type="cellIs" priority="38" operator="greaterThan" aboveAverage="0" equalAverage="0" bottom="0" percent="0" rank="0" text="" dxfId="1">
      <formula>AC8</formula>
    </cfRule>
  </conditionalFormatting>
  <conditionalFormatting sqref="AD9">
    <cfRule type="expression" priority="39" aboveAverage="0" equalAverage="0" bottom="0" percent="0" rank="0" text="" dxfId="3">
      <formula>AND(AD9&gt;0,AD9&lt;0)</formula>
    </cfRule>
    <cfRule type="cellIs" priority="40" operator="greaterThan" aboveAverage="0" equalAverage="0" bottom="0" percent="0" rank="0" text="" dxfId="1">
      <formula>AC9</formula>
    </cfRule>
  </conditionalFormatting>
  <conditionalFormatting sqref="AE10">
    <cfRule type="cellIs" priority="41" operator="lessThanOrEqual" aboveAverage="0" equalAverage="0" bottom="0" percent="0" rank="0" text="" dxfId="0">
      <formula>G10</formula>
    </cfRule>
  </conditionalFormatting>
  <conditionalFormatting sqref="AE13">
    <cfRule type="cellIs" priority="42" operator="lessThanOrEqual" aboveAverage="0" equalAverage="0" bottom="0" percent="0" rank="0" text="" dxfId="0">
      <formula>G13</formula>
    </cfRule>
  </conditionalFormatting>
  <conditionalFormatting sqref="AE17">
    <cfRule type="cellIs" priority="43" operator="lessThanOrEqual" aboveAverage="0" equalAverage="0" bottom="0" percent="0" rank="0" text="" dxfId="0">
      <formula>G17</formula>
    </cfRule>
  </conditionalFormatting>
  <conditionalFormatting sqref="AE18">
    <cfRule type="cellIs" priority="44" operator="lessThanOrEqual" aboveAverage="0" equalAverage="0" bottom="0" percent="0" rank="0" text="" dxfId="0">
      <formula>G18</formula>
    </cfRule>
  </conditionalFormatting>
  <conditionalFormatting sqref="AE19">
    <cfRule type="cellIs" priority="45" operator="lessThanOrEqual" aboveAverage="0" equalAverage="0" bottom="0" percent="0" rank="0" text="" dxfId="0">
      <formula>G19</formula>
    </cfRule>
  </conditionalFormatting>
  <conditionalFormatting sqref="AE8">
    <cfRule type="cellIs" priority="46" operator="lessThanOrEqual" aboveAverage="0" equalAverage="0" bottom="0" percent="0" rank="0" text="" dxfId="0">
      <formula>G8</formula>
    </cfRule>
  </conditionalFormatting>
  <conditionalFormatting sqref="AE9">
    <cfRule type="cellIs" priority="47" operator="lessThanOrEqual" aboveAverage="0" equalAverage="0" bottom="0" percent="0" rank="0" text="" dxfId="0">
      <formula>G9</formula>
    </cfRule>
  </conditionalFormatting>
  <conditionalFormatting sqref="AF10">
    <cfRule type="cellIs" priority="48" operator="lessThanOrEqual" aboveAverage="0" equalAverage="0" bottom="0" percent="0" rank="0" text="" dxfId="0">
      <formula>H10</formula>
    </cfRule>
  </conditionalFormatting>
  <conditionalFormatting sqref="AF13">
    <cfRule type="cellIs" priority="49" operator="lessThanOrEqual" aboveAverage="0" equalAverage="0" bottom="0" percent="0" rank="0" text="" dxfId="0">
      <formula>H13</formula>
    </cfRule>
  </conditionalFormatting>
  <conditionalFormatting sqref="AF17">
    <cfRule type="cellIs" priority="50" operator="lessThanOrEqual" aboveAverage="0" equalAverage="0" bottom="0" percent="0" rank="0" text="" dxfId="0">
      <formula>H17</formula>
    </cfRule>
  </conditionalFormatting>
  <conditionalFormatting sqref="AF18">
    <cfRule type="cellIs" priority="51" operator="lessThanOrEqual" aboveAverage="0" equalAverage="0" bottom="0" percent="0" rank="0" text="" dxfId="0">
      <formula>H18</formula>
    </cfRule>
  </conditionalFormatting>
  <conditionalFormatting sqref="AF19">
    <cfRule type="cellIs" priority="52" operator="lessThanOrEqual" aboveAverage="0" equalAverage="0" bottom="0" percent="0" rank="0" text="" dxfId="0">
      <formula>H19</formula>
    </cfRule>
  </conditionalFormatting>
  <conditionalFormatting sqref="AF8">
    <cfRule type="cellIs" priority="53" operator="lessThanOrEqual" aboveAverage="0" equalAverage="0" bottom="0" percent="0" rank="0" text="" dxfId="0">
      <formula>H8</formula>
    </cfRule>
  </conditionalFormatting>
  <conditionalFormatting sqref="AF9">
    <cfRule type="cellIs" priority="54" operator="lessThanOrEqual" aboveAverage="0" equalAverage="0" bottom="0" percent="0" rank="0" text="" dxfId="0">
      <formula>H9</formula>
    </cfRule>
  </conditionalFormatting>
  <conditionalFormatting sqref="F10">
    <cfRule type="expression" priority="55" aboveAverage="0" equalAverage="0" bottom="0" percent="0" rank="0" text="" dxfId="4">
      <formula>AND(ISBLANK(E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56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57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5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1">
    <cfRule type="expression" priority="59" aboveAverage="0" equalAverage="0" bottom="0" percent="0" rank="0" text="" dxfId="4">
      <formula>AND(ISBLANK(E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60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61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6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2">
    <cfRule type="expression" priority="63" aboveAverage="0" equalAverage="0" bottom="0" percent="0" rank="0" text="" dxfId="4">
      <formula>AND(ISBLANK(E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64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65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6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3">
    <cfRule type="expression" priority="67" aboveAverage="0" equalAverage="0" bottom="0" percent="0" rank="0" text="" dxfId="4">
      <formula>AND(ISBLANK(E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68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69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7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4">
    <cfRule type="expression" priority="71" aboveAverage="0" equalAverage="0" bottom="0" percent="0" rank="0" text="" dxfId="4">
      <formula>AND(ISBLANK(E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72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73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7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5">
    <cfRule type="expression" priority="75" aboveAverage="0" equalAverage="0" bottom="0" percent="0" rank="0" text="" dxfId="4">
      <formula>AND(ISBLANK(E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76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77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7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6">
    <cfRule type="expression" priority="79" aboveAverage="0" equalAverage="0" bottom="0" percent="0" rank="0" text="" dxfId="4">
      <formula>AND(ISBLANK(E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80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81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8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7">
    <cfRule type="expression" priority="83" aboveAverage="0" equalAverage="0" bottom="0" percent="0" rank="0" text="" dxfId="4">
      <formula>AND(ISBLANK(E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84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85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8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8">
    <cfRule type="expression" priority="87" aboveAverage="0" equalAverage="0" bottom="0" percent="0" rank="0" text="" dxfId="4">
      <formula>AND(ISBLANK(E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88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89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9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19">
    <cfRule type="expression" priority="91" aboveAverage="0" equalAverage="0" bottom="0" percent="0" rank="0" text="" dxfId="4">
      <formula>AND(ISBLANK(E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92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93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9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7">
    <cfRule type="expression" priority="95" aboveAverage="0" equalAverage="0" bottom="0" percent="0" rank="0" text="" dxfId="4">
      <formula>AND(ISBLANK(E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96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97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9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8">
    <cfRule type="expression" priority="99" aboveAverage="0" equalAverage="0" bottom="0" percent="0" rank="0" text="" dxfId="4">
      <formula>AND(ISBLANK(E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100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101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10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F9">
    <cfRule type="expression" priority="103" aboveAverage="0" equalAverage="0" bottom="0" percent="0" rank="0" text="" dxfId="4">
      <formula>AND(ISBLANK(E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priority="104" aboveAverage="0" equalAverage="0" bottom="0" percent="0" rank="0" text="" dxfId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priority="105" operator="greaterThan" aboveAverage="0" equalAverage="0" bottom="0" percent="0" rank="0" text="" dxfId="2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priority="10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I10">
    <cfRule type="cellIs" priority="107" operator="equal" aboveAverage="0" equalAverage="0" bottom="0" percent="0" rank="0" text="" dxfId="1">
      <formula>0</formula>
    </cfRule>
    <cfRule type="cellIs" priority="108" operator="lessThan" aboveAverage="0" equalAverage="0" bottom="0" percent="0" rank="0" text="" dxfId="2">
      <formula>F10</formula>
    </cfRule>
  </conditionalFormatting>
  <conditionalFormatting sqref="I11">
    <cfRule type="cellIs" priority="109" operator="equal" aboveAverage="0" equalAverage="0" bottom="0" percent="0" rank="0" text="" dxfId="1">
      <formula>0</formula>
    </cfRule>
    <cfRule type="cellIs" priority="110" operator="lessThan" aboveAverage="0" equalAverage="0" bottom="0" percent="0" rank="0" text="" dxfId="2">
      <formula>F11</formula>
    </cfRule>
  </conditionalFormatting>
  <conditionalFormatting sqref="I12">
    <cfRule type="cellIs" priority="111" operator="equal" aboveAverage="0" equalAverage="0" bottom="0" percent="0" rank="0" text="" dxfId="1">
      <formula>0</formula>
    </cfRule>
    <cfRule type="cellIs" priority="112" operator="lessThan" aboveAverage="0" equalAverage="0" bottom="0" percent="0" rank="0" text="" dxfId="2">
      <formula>F12</formula>
    </cfRule>
  </conditionalFormatting>
  <conditionalFormatting sqref="I13">
    <cfRule type="cellIs" priority="113" operator="equal" aboveAverage="0" equalAverage="0" bottom="0" percent="0" rank="0" text="" dxfId="1">
      <formula>0</formula>
    </cfRule>
    <cfRule type="cellIs" priority="114" operator="lessThan" aboveAverage="0" equalAverage="0" bottom="0" percent="0" rank="0" text="" dxfId="2">
      <formula>F13</formula>
    </cfRule>
  </conditionalFormatting>
  <conditionalFormatting sqref="I14">
    <cfRule type="cellIs" priority="115" operator="equal" aboveAverage="0" equalAverage="0" bottom="0" percent="0" rank="0" text="" dxfId="1">
      <formula>0</formula>
    </cfRule>
    <cfRule type="cellIs" priority="116" operator="lessThan" aboveAverage="0" equalAverage="0" bottom="0" percent="0" rank="0" text="" dxfId="2">
      <formula>F14</formula>
    </cfRule>
  </conditionalFormatting>
  <conditionalFormatting sqref="I15">
    <cfRule type="cellIs" priority="117" operator="equal" aboveAverage="0" equalAverage="0" bottom="0" percent="0" rank="0" text="" dxfId="1">
      <formula>0</formula>
    </cfRule>
    <cfRule type="cellIs" priority="118" operator="lessThan" aboveAverage="0" equalAverage="0" bottom="0" percent="0" rank="0" text="" dxfId="2">
      <formula>F15</formula>
    </cfRule>
  </conditionalFormatting>
  <conditionalFormatting sqref="I16">
    <cfRule type="cellIs" priority="119" operator="equal" aboveAverage="0" equalAverage="0" bottom="0" percent="0" rank="0" text="" dxfId="1">
      <formula>0</formula>
    </cfRule>
    <cfRule type="cellIs" priority="120" operator="lessThan" aboveAverage="0" equalAverage="0" bottom="0" percent="0" rank="0" text="" dxfId="2">
      <formula>F16</formula>
    </cfRule>
  </conditionalFormatting>
  <conditionalFormatting sqref="I17">
    <cfRule type="cellIs" priority="121" operator="equal" aboveAverage="0" equalAverage="0" bottom="0" percent="0" rank="0" text="" dxfId="1">
      <formula>0</formula>
    </cfRule>
    <cfRule type="cellIs" priority="122" operator="lessThan" aboveAverage="0" equalAverage="0" bottom="0" percent="0" rank="0" text="" dxfId="2">
      <formula>F17</formula>
    </cfRule>
  </conditionalFormatting>
  <conditionalFormatting sqref="I18">
    <cfRule type="cellIs" priority="123" operator="equal" aboveAverage="0" equalAverage="0" bottom="0" percent="0" rank="0" text="" dxfId="1">
      <formula>0</formula>
    </cfRule>
    <cfRule type="cellIs" priority="124" operator="lessThan" aboveAverage="0" equalAverage="0" bottom="0" percent="0" rank="0" text="" dxfId="2">
      <formula>F18</formula>
    </cfRule>
  </conditionalFormatting>
  <conditionalFormatting sqref="I19">
    <cfRule type="cellIs" priority="125" operator="equal" aboveAverage="0" equalAverage="0" bottom="0" percent="0" rank="0" text="" dxfId="1">
      <formula>0</formula>
    </cfRule>
    <cfRule type="cellIs" priority="126" operator="lessThan" aboveAverage="0" equalAverage="0" bottom="0" percent="0" rank="0" text="" dxfId="2">
      <formula>F19</formula>
    </cfRule>
  </conditionalFormatting>
  <conditionalFormatting sqref="I7">
    <cfRule type="cellIs" priority="127" operator="equal" aboveAverage="0" equalAverage="0" bottom="0" percent="0" rank="0" text="" dxfId="1">
      <formula>0</formula>
    </cfRule>
    <cfRule type="cellIs" priority="128" operator="lessThan" aboveAverage="0" equalAverage="0" bottom="0" percent="0" rank="0" text="" dxfId="2">
      <formula>F7</formula>
    </cfRule>
  </conditionalFormatting>
  <conditionalFormatting sqref="I8">
    <cfRule type="cellIs" priority="129" operator="equal" aboveAverage="0" equalAverage="0" bottom="0" percent="0" rank="0" text="" dxfId="1">
      <formula>0</formula>
    </cfRule>
    <cfRule type="cellIs" priority="130" operator="lessThan" aboveAverage="0" equalAverage="0" bottom="0" percent="0" rank="0" text="" dxfId="2">
      <formula>F8</formula>
    </cfRule>
  </conditionalFormatting>
  <conditionalFormatting sqref="I9">
    <cfRule type="cellIs" priority="131" operator="equal" aboveAverage="0" equalAverage="0" bottom="0" percent="0" rank="0" text="" dxfId="1">
      <formula>0</formula>
    </cfRule>
    <cfRule type="cellIs" priority="132" operator="lessThan" aboveAverage="0" equalAverage="0" bottom="0" percent="0" rank="0" text="" dxfId="2">
      <formula>F9</formula>
    </cfRule>
  </conditionalFormatting>
  <conditionalFormatting sqref="J10">
    <cfRule type="expression" priority="133" aboveAverage="0" equalAverage="0" bottom="0" percent="0" rank="0" text="" dxfId="3">
      <formula>AND(J10&gt;0,J10&lt;0)</formula>
    </cfRule>
    <cfRule type="cellIs" priority="134" operator="greaterThan" aboveAverage="0" equalAverage="0" bottom="0" percent="0" rank="0" text="" dxfId="1">
      <formula>I10</formula>
    </cfRule>
  </conditionalFormatting>
  <conditionalFormatting sqref="J11">
    <cfRule type="expression" priority="135" aboveAverage="0" equalAverage="0" bottom="0" percent="0" rank="0" text="" dxfId="3">
      <formula>AND(J11&gt;0,J11&lt;0)</formula>
    </cfRule>
    <cfRule type="cellIs" priority="136" operator="greaterThan" aboveAverage="0" equalAverage="0" bottom="0" percent="0" rank="0" text="" dxfId="1">
      <formula>I11</formula>
    </cfRule>
  </conditionalFormatting>
  <conditionalFormatting sqref="J12">
    <cfRule type="expression" priority="137" aboveAverage="0" equalAverage="0" bottom="0" percent="0" rank="0" text="" dxfId="3">
      <formula>AND(J12&gt;0,J12&lt;0)</formula>
    </cfRule>
    <cfRule type="cellIs" priority="138" operator="greaterThan" aboveAverage="0" equalAverage="0" bottom="0" percent="0" rank="0" text="" dxfId="1">
      <formula>I12</formula>
    </cfRule>
  </conditionalFormatting>
  <conditionalFormatting sqref="J13">
    <cfRule type="expression" priority="139" aboveAverage="0" equalAverage="0" bottom="0" percent="0" rank="0" text="" dxfId="3">
      <formula>AND(J13&gt;0,J13&lt;0)</formula>
    </cfRule>
    <cfRule type="cellIs" priority="140" operator="greaterThan" aboveAverage="0" equalAverage="0" bottom="0" percent="0" rank="0" text="" dxfId="1">
      <formula>I13</formula>
    </cfRule>
  </conditionalFormatting>
  <conditionalFormatting sqref="J14">
    <cfRule type="expression" priority="141" aboveAverage="0" equalAverage="0" bottom="0" percent="0" rank="0" text="" dxfId="3">
      <formula>AND(J14&gt;0,J14&lt;0)</formula>
    </cfRule>
    <cfRule type="cellIs" priority="142" operator="greaterThan" aboveAverage="0" equalAverage="0" bottom="0" percent="0" rank="0" text="" dxfId="1">
      <formula>I14</formula>
    </cfRule>
  </conditionalFormatting>
  <conditionalFormatting sqref="J15">
    <cfRule type="expression" priority="143" aboveAverage="0" equalAverage="0" bottom="0" percent="0" rank="0" text="" dxfId="3">
      <formula>AND(J15&gt;0,J15&lt;0)</formula>
    </cfRule>
    <cfRule type="cellIs" priority="144" operator="greaterThan" aboveAverage="0" equalAverage="0" bottom="0" percent="0" rank="0" text="" dxfId="1">
      <formula>I15</formula>
    </cfRule>
  </conditionalFormatting>
  <conditionalFormatting sqref="J16">
    <cfRule type="expression" priority="145" aboveAverage="0" equalAverage="0" bottom="0" percent="0" rank="0" text="" dxfId="3">
      <formula>AND(J16&gt;0,J16&lt;0)</formula>
    </cfRule>
    <cfRule type="cellIs" priority="146" operator="greaterThan" aboveAverage="0" equalAverage="0" bottom="0" percent="0" rank="0" text="" dxfId="1">
      <formula>I16</formula>
    </cfRule>
  </conditionalFormatting>
  <conditionalFormatting sqref="J17">
    <cfRule type="expression" priority="147" aboveAverage="0" equalAverage="0" bottom="0" percent="0" rank="0" text="" dxfId="3">
      <formula>AND(J17&gt;0,J17&lt;0)</formula>
    </cfRule>
    <cfRule type="cellIs" priority="148" operator="greaterThan" aboveAverage="0" equalAverage="0" bottom="0" percent="0" rank="0" text="" dxfId="1">
      <formula>I17</formula>
    </cfRule>
  </conditionalFormatting>
  <conditionalFormatting sqref="J18">
    <cfRule type="expression" priority="149" aboveAverage="0" equalAverage="0" bottom="0" percent="0" rank="0" text="" dxfId="3">
      <formula>AND(J18&gt;0,J18&lt;0)</formula>
    </cfRule>
    <cfRule type="cellIs" priority="150" operator="greaterThan" aboveAverage="0" equalAverage="0" bottom="0" percent="0" rank="0" text="" dxfId="1">
      <formula>I18</formula>
    </cfRule>
  </conditionalFormatting>
  <conditionalFormatting sqref="J19">
    <cfRule type="expression" priority="151" aboveAverage="0" equalAverage="0" bottom="0" percent="0" rank="0" text="" dxfId="3">
      <formula>AND(J19&gt;0,J19&lt;0)</formula>
    </cfRule>
    <cfRule type="cellIs" priority="152" operator="greaterThan" aboveAverage="0" equalAverage="0" bottom="0" percent="0" rank="0" text="" dxfId="1">
      <formula>I19</formula>
    </cfRule>
  </conditionalFormatting>
  <conditionalFormatting sqref="J7">
    <cfRule type="expression" priority="153" aboveAverage="0" equalAverage="0" bottom="0" percent="0" rank="0" text="" dxfId="3">
      <formula>AND(J7&gt;0,J7&lt;0)</formula>
    </cfRule>
    <cfRule type="cellIs" priority="154" operator="greaterThan" aboveAverage="0" equalAverage="0" bottom="0" percent="0" rank="0" text="" dxfId="1">
      <formula>I7</formula>
    </cfRule>
  </conditionalFormatting>
  <conditionalFormatting sqref="J8">
    <cfRule type="expression" priority="155" aboveAverage="0" equalAverage="0" bottom="0" percent="0" rank="0" text="" dxfId="3">
      <formula>AND(J8&gt;0,J8&lt;0)</formula>
    </cfRule>
    <cfRule type="cellIs" priority="156" operator="greaterThan" aboveAverage="0" equalAverage="0" bottom="0" percent="0" rank="0" text="" dxfId="1">
      <formula>I8</formula>
    </cfRule>
  </conditionalFormatting>
  <conditionalFormatting sqref="J9">
    <cfRule type="expression" priority="157" aboveAverage="0" equalAverage="0" bottom="0" percent="0" rank="0" text="" dxfId="3">
      <formula>AND(J9&gt;0,J9&lt;0)</formula>
    </cfRule>
    <cfRule type="cellIs" priority="158" operator="greaterThan" aboveAverage="0" equalAverage="0" bottom="0" percent="0" rank="0" text="" dxfId="1">
      <formula>I9</formula>
    </cfRule>
  </conditionalFormatting>
  <conditionalFormatting sqref="K10">
    <cfRule type="cellIs" priority="159" operator="lessThanOrEqual" aboveAverage="0" equalAverage="0" bottom="0" percent="0" rank="0" text="" dxfId="0">
      <formula>G10</formula>
    </cfRule>
  </conditionalFormatting>
  <conditionalFormatting sqref="K11">
    <cfRule type="cellIs" priority="160" operator="lessThanOrEqual" aboveAverage="0" equalAverage="0" bottom="0" percent="0" rank="0" text="" dxfId="0">
      <formula>G11</formula>
    </cfRule>
  </conditionalFormatting>
  <conditionalFormatting sqref="K12">
    <cfRule type="cellIs" priority="161" operator="lessThanOrEqual" aboveAverage="0" equalAverage="0" bottom="0" percent="0" rank="0" text="" dxfId="0">
      <formula>G12</formula>
    </cfRule>
  </conditionalFormatting>
  <conditionalFormatting sqref="K13">
    <cfRule type="cellIs" priority="162" operator="lessThanOrEqual" aboveAverage="0" equalAverage="0" bottom="0" percent="0" rank="0" text="" dxfId="0">
      <formula>G13</formula>
    </cfRule>
  </conditionalFormatting>
  <conditionalFormatting sqref="K14">
    <cfRule type="cellIs" priority="163" operator="lessThanOrEqual" aboveAverage="0" equalAverage="0" bottom="0" percent="0" rank="0" text="" dxfId="0">
      <formula>G14</formula>
    </cfRule>
  </conditionalFormatting>
  <conditionalFormatting sqref="K15">
    <cfRule type="cellIs" priority="164" operator="lessThanOrEqual" aboveAverage="0" equalAverage="0" bottom="0" percent="0" rank="0" text="" dxfId="0">
      <formula>G15</formula>
    </cfRule>
  </conditionalFormatting>
  <conditionalFormatting sqref="K16">
    <cfRule type="cellIs" priority="165" operator="lessThanOrEqual" aboveAverage="0" equalAverage="0" bottom="0" percent="0" rank="0" text="" dxfId="0">
      <formula>G16</formula>
    </cfRule>
  </conditionalFormatting>
  <conditionalFormatting sqref="K17">
    <cfRule type="cellIs" priority="166" operator="lessThanOrEqual" aboveAverage="0" equalAverage="0" bottom="0" percent="0" rank="0" text="" dxfId="0">
      <formula>G17</formula>
    </cfRule>
  </conditionalFormatting>
  <conditionalFormatting sqref="K18">
    <cfRule type="cellIs" priority="167" operator="lessThanOrEqual" aboveAverage="0" equalAverage="0" bottom="0" percent="0" rank="0" text="" dxfId="0">
      <formula>G18</formula>
    </cfRule>
  </conditionalFormatting>
  <conditionalFormatting sqref="K19">
    <cfRule type="cellIs" priority="168" operator="lessThanOrEqual" aboveAverage="0" equalAverage="0" bottom="0" percent="0" rank="0" text="" dxfId="0">
      <formula>G19</formula>
    </cfRule>
  </conditionalFormatting>
  <conditionalFormatting sqref="K7">
    <cfRule type="cellIs" priority="169" operator="lessThanOrEqual" aboveAverage="0" equalAverage="0" bottom="0" percent="0" rank="0" text="" dxfId="0">
      <formula>G7</formula>
    </cfRule>
  </conditionalFormatting>
  <conditionalFormatting sqref="K8">
    <cfRule type="cellIs" priority="170" operator="lessThanOrEqual" aboveAverage="0" equalAverage="0" bottom="0" percent="0" rank="0" text="" dxfId="0">
      <formula>G8</formula>
    </cfRule>
  </conditionalFormatting>
  <conditionalFormatting sqref="K9">
    <cfRule type="cellIs" priority="171" operator="lessThanOrEqual" aboveAverage="0" equalAverage="0" bottom="0" percent="0" rank="0" text="" dxfId="0">
      <formula>G9</formula>
    </cfRule>
  </conditionalFormatting>
  <conditionalFormatting sqref="L10">
    <cfRule type="cellIs" priority="172" operator="lessThanOrEqual" aboveAverage="0" equalAverage="0" bottom="0" percent="0" rank="0" text="" dxfId="0">
      <formula>H10</formula>
    </cfRule>
  </conditionalFormatting>
  <conditionalFormatting sqref="L11">
    <cfRule type="cellIs" priority="173" operator="lessThanOrEqual" aboveAverage="0" equalAverage="0" bottom="0" percent="0" rank="0" text="" dxfId="0">
      <formula>H11</formula>
    </cfRule>
  </conditionalFormatting>
  <conditionalFormatting sqref="L12">
    <cfRule type="cellIs" priority="174" operator="lessThanOrEqual" aboveAverage="0" equalAverage="0" bottom="0" percent="0" rank="0" text="" dxfId="0">
      <formula>H12</formula>
    </cfRule>
  </conditionalFormatting>
  <conditionalFormatting sqref="L13">
    <cfRule type="cellIs" priority="175" operator="lessThanOrEqual" aboveAverage="0" equalAverage="0" bottom="0" percent="0" rank="0" text="" dxfId="0">
      <formula>H13</formula>
    </cfRule>
  </conditionalFormatting>
  <conditionalFormatting sqref="L14">
    <cfRule type="cellIs" priority="176" operator="lessThanOrEqual" aboveAverage="0" equalAverage="0" bottom="0" percent="0" rank="0" text="" dxfId="0">
      <formula>H14</formula>
    </cfRule>
  </conditionalFormatting>
  <conditionalFormatting sqref="L15">
    <cfRule type="cellIs" priority="177" operator="lessThanOrEqual" aboveAverage="0" equalAverage="0" bottom="0" percent="0" rank="0" text="" dxfId="0">
      <formula>H15</formula>
    </cfRule>
  </conditionalFormatting>
  <conditionalFormatting sqref="L16">
    <cfRule type="cellIs" priority="178" operator="lessThanOrEqual" aboveAverage="0" equalAverage="0" bottom="0" percent="0" rank="0" text="" dxfId="0">
      <formula>H16</formula>
    </cfRule>
  </conditionalFormatting>
  <conditionalFormatting sqref="L17">
    <cfRule type="cellIs" priority="179" operator="lessThanOrEqual" aboveAverage="0" equalAverage="0" bottom="0" percent="0" rank="0" text="" dxfId="0">
      <formula>H17</formula>
    </cfRule>
  </conditionalFormatting>
  <conditionalFormatting sqref="L18">
    <cfRule type="cellIs" priority="180" operator="lessThanOrEqual" aboveAverage="0" equalAverage="0" bottom="0" percent="0" rank="0" text="" dxfId="0">
      <formula>H18</formula>
    </cfRule>
  </conditionalFormatting>
  <conditionalFormatting sqref="L19">
    <cfRule type="cellIs" priority="181" operator="lessThanOrEqual" aboveAverage="0" equalAverage="0" bottom="0" percent="0" rank="0" text="" dxfId="0">
      <formula>H19</formula>
    </cfRule>
  </conditionalFormatting>
  <conditionalFormatting sqref="L7">
    <cfRule type="cellIs" priority="182" operator="lessThanOrEqual" aboveAverage="0" equalAverage="0" bottom="0" percent="0" rank="0" text="" dxfId="0">
      <formula>H7</formula>
    </cfRule>
  </conditionalFormatting>
  <conditionalFormatting sqref="L8">
    <cfRule type="cellIs" priority="183" operator="lessThanOrEqual" aboveAverage="0" equalAverage="0" bottom="0" percent="0" rank="0" text="" dxfId="0">
      <formula>H8</formula>
    </cfRule>
  </conditionalFormatting>
  <conditionalFormatting sqref="L9">
    <cfRule type="cellIs" priority="184" operator="lessThanOrEqual" aboveAverage="0" equalAverage="0" bottom="0" percent="0" rank="0" text="" dxfId="0">
      <formula>H9</formula>
    </cfRule>
  </conditionalFormatting>
  <conditionalFormatting sqref="N10">
    <cfRule type="cellIs" priority="185" operator="equal" aboveAverage="0" equalAverage="0" bottom="0" percent="0" rank="0" text="" dxfId="1">
      <formula>0</formula>
    </cfRule>
    <cfRule type="cellIs" priority="186" operator="lessThan" aboveAverage="0" equalAverage="0" bottom="0" percent="0" rank="0" text="" dxfId="2">
      <formula>F10</formula>
    </cfRule>
  </conditionalFormatting>
  <conditionalFormatting sqref="N12">
    <cfRule type="cellIs" priority="187" operator="equal" aboveAverage="0" equalAverage="0" bottom="0" percent="0" rank="0" text="" dxfId="1">
      <formula>0</formula>
    </cfRule>
    <cfRule type="cellIs" priority="188" operator="lessThan" aboveAverage="0" equalAverage="0" bottom="0" percent="0" rank="0" text="" dxfId="2">
      <formula>F12</formula>
    </cfRule>
  </conditionalFormatting>
  <conditionalFormatting sqref="N13">
    <cfRule type="cellIs" priority="189" operator="equal" aboveAverage="0" equalAverage="0" bottom="0" percent="0" rank="0" text="" dxfId="1">
      <formula>0</formula>
    </cfRule>
    <cfRule type="cellIs" priority="190" operator="lessThan" aboveAverage="0" equalAverage="0" bottom="0" percent="0" rank="0" text="" dxfId="2">
      <formula>F13</formula>
    </cfRule>
  </conditionalFormatting>
  <conditionalFormatting sqref="N17">
    <cfRule type="cellIs" priority="191" operator="equal" aboveAverage="0" equalAverage="0" bottom="0" percent="0" rank="0" text="" dxfId="1">
      <formula>0</formula>
    </cfRule>
    <cfRule type="cellIs" priority="192" operator="lessThan" aboveAverage="0" equalAverage="0" bottom="0" percent="0" rank="0" text="" dxfId="2">
      <formula>F17</formula>
    </cfRule>
  </conditionalFormatting>
  <conditionalFormatting sqref="N18">
    <cfRule type="cellIs" priority="193" operator="equal" aboveAverage="0" equalAverage="0" bottom="0" percent="0" rank="0" text="" dxfId="1">
      <formula>0</formula>
    </cfRule>
    <cfRule type="cellIs" priority="194" operator="lessThan" aboveAverage="0" equalAverage="0" bottom="0" percent="0" rank="0" text="" dxfId="2">
      <formula>F18</formula>
    </cfRule>
  </conditionalFormatting>
  <conditionalFormatting sqref="N19">
    <cfRule type="cellIs" priority="195" operator="equal" aboveAverage="0" equalAverage="0" bottom="0" percent="0" rank="0" text="" dxfId="1">
      <formula>0</formula>
    </cfRule>
    <cfRule type="cellIs" priority="196" operator="lessThan" aboveAverage="0" equalAverage="0" bottom="0" percent="0" rank="0" text="" dxfId="2">
      <formula>F19</formula>
    </cfRule>
  </conditionalFormatting>
  <conditionalFormatting sqref="N7">
    <cfRule type="cellIs" priority="197" operator="equal" aboveAverage="0" equalAverage="0" bottom="0" percent="0" rank="0" text="" dxfId="1">
      <formula>0</formula>
    </cfRule>
    <cfRule type="cellIs" priority="198" operator="lessThan" aboveAverage="0" equalAverage="0" bottom="0" percent="0" rank="0" text="" dxfId="2">
      <formula>F7</formula>
    </cfRule>
  </conditionalFormatting>
  <conditionalFormatting sqref="N8">
    <cfRule type="cellIs" priority="199" operator="equal" aboveAverage="0" equalAverage="0" bottom="0" percent="0" rank="0" text="" dxfId="1">
      <formula>0</formula>
    </cfRule>
    <cfRule type="cellIs" priority="200" operator="lessThan" aboveAverage="0" equalAverage="0" bottom="0" percent="0" rank="0" text="" dxfId="2">
      <formula>F8</formula>
    </cfRule>
  </conditionalFormatting>
  <conditionalFormatting sqref="N9">
    <cfRule type="cellIs" priority="201" operator="equal" aboveAverage="0" equalAverage="0" bottom="0" percent="0" rank="0" text="" dxfId="1">
      <formula>0</formula>
    </cfRule>
    <cfRule type="cellIs" priority="202" operator="lessThan" aboveAverage="0" equalAverage="0" bottom="0" percent="0" rank="0" text="" dxfId="2">
      <formula>F9</formula>
    </cfRule>
  </conditionalFormatting>
  <conditionalFormatting sqref="O10">
    <cfRule type="expression" priority="203" aboveAverage="0" equalAverage="0" bottom="0" percent="0" rank="0" text="" dxfId="3">
      <formula>AND(O10&gt;0,O10&lt;0)</formula>
    </cfRule>
    <cfRule type="cellIs" priority="204" operator="greaterThan" aboveAverage="0" equalAverage="0" bottom="0" percent="0" rank="0" text="" dxfId="1">
      <formula>N10</formula>
    </cfRule>
  </conditionalFormatting>
  <conditionalFormatting sqref="O12">
    <cfRule type="expression" priority="205" aboveAverage="0" equalAverage="0" bottom="0" percent="0" rank="0" text="" dxfId="3">
      <formula>AND(O12&gt;0,O12&lt;0)</formula>
    </cfRule>
    <cfRule type="cellIs" priority="206" operator="greaterThan" aboveAverage="0" equalAverage="0" bottom="0" percent="0" rank="0" text="" dxfId="1">
      <formula>N12</formula>
    </cfRule>
  </conditionalFormatting>
  <conditionalFormatting sqref="O13">
    <cfRule type="expression" priority="207" aboveAverage="0" equalAverage="0" bottom="0" percent="0" rank="0" text="" dxfId="3">
      <formula>AND(O13&gt;0,O13&lt;0)</formula>
    </cfRule>
    <cfRule type="cellIs" priority="208" operator="greaterThan" aboveAverage="0" equalAverage="0" bottom="0" percent="0" rank="0" text="" dxfId="1">
      <formula>N13</formula>
    </cfRule>
  </conditionalFormatting>
  <conditionalFormatting sqref="O17">
    <cfRule type="expression" priority="209" aboveAverage="0" equalAverage="0" bottom="0" percent="0" rank="0" text="" dxfId="3">
      <formula>AND(O17&gt;0,O17&lt;0)</formula>
    </cfRule>
    <cfRule type="cellIs" priority="210" operator="greaterThan" aboveAverage="0" equalAverage="0" bottom="0" percent="0" rank="0" text="" dxfId="1">
      <formula>N17</formula>
    </cfRule>
  </conditionalFormatting>
  <conditionalFormatting sqref="O18">
    <cfRule type="expression" priority="211" aboveAverage="0" equalAverage="0" bottom="0" percent="0" rank="0" text="" dxfId="3">
      <formula>AND(O18&gt;0,O18&lt;0)</formula>
    </cfRule>
    <cfRule type="cellIs" priority="212" operator="greaterThan" aboveAverage="0" equalAverage="0" bottom="0" percent="0" rank="0" text="" dxfId="1">
      <formula>N18</formula>
    </cfRule>
  </conditionalFormatting>
  <conditionalFormatting sqref="O19">
    <cfRule type="expression" priority="213" aboveAverage="0" equalAverage="0" bottom="0" percent="0" rank="0" text="" dxfId="3">
      <formula>AND(O19&gt;0,O19&lt;0)</formula>
    </cfRule>
    <cfRule type="cellIs" priority="214" operator="greaterThan" aboveAverage="0" equalAverage="0" bottom="0" percent="0" rank="0" text="" dxfId="1">
      <formula>N19</formula>
    </cfRule>
  </conditionalFormatting>
  <conditionalFormatting sqref="O7">
    <cfRule type="expression" priority="215" aboveAverage="0" equalAverage="0" bottom="0" percent="0" rank="0" text="" dxfId="3">
      <formula>AND(O7&gt;0,O7&lt;0)</formula>
    </cfRule>
    <cfRule type="cellIs" priority="216" operator="greaterThan" aboveAverage="0" equalAverage="0" bottom="0" percent="0" rank="0" text="" dxfId="1">
      <formula>N7</formula>
    </cfRule>
  </conditionalFormatting>
  <conditionalFormatting sqref="O8">
    <cfRule type="expression" priority="217" aboveAverage="0" equalAverage="0" bottom="0" percent="0" rank="0" text="" dxfId="3">
      <formula>AND(O8&gt;0,O8&lt;0)</formula>
    </cfRule>
    <cfRule type="cellIs" priority="218" operator="greaterThan" aboveAverage="0" equalAverage="0" bottom="0" percent="0" rank="0" text="" dxfId="1">
      <formula>N8</formula>
    </cfRule>
  </conditionalFormatting>
  <conditionalFormatting sqref="O9">
    <cfRule type="expression" priority="219" aboveAverage="0" equalAverage="0" bottom="0" percent="0" rank="0" text="" dxfId="3">
      <formula>AND(O9&gt;0,O9&lt;0)</formula>
    </cfRule>
    <cfRule type="cellIs" priority="220" operator="greaterThan" aboveAverage="0" equalAverage="0" bottom="0" percent="0" rank="0" text="" dxfId="1">
      <formula>N9</formula>
    </cfRule>
  </conditionalFormatting>
  <conditionalFormatting sqref="P10">
    <cfRule type="cellIs" priority="221" operator="lessThanOrEqual" aboveAverage="0" equalAverage="0" bottom="0" percent="0" rank="0" text="" dxfId="0">
      <formula>G10</formula>
    </cfRule>
  </conditionalFormatting>
  <conditionalFormatting sqref="P12">
    <cfRule type="cellIs" priority="222" operator="lessThanOrEqual" aboveAverage="0" equalAverage="0" bottom="0" percent="0" rank="0" text="" dxfId="0">
      <formula>G12</formula>
    </cfRule>
  </conditionalFormatting>
  <conditionalFormatting sqref="P13">
    <cfRule type="cellIs" priority="223" operator="lessThanOrEqual" aboveAverage="0" equalAverage="0" bottom="0" percent="0" rank="0" text="" dxfId="0">
      <formula>G13</formula>
    </cfRule>
  </conditionalFormatting>
  <conditionalFormatting sqref="P17">
    <cfRule type="cellIs" priority="224" operator="lessThanOrEqual" aboveAverage="0" equalAverage="0" bottom="0" percent="0" rank="0" text="" dxfId="0">
      <formula>G17</formula>
    </cfRule>
  </conditionalFormatting>
  <conditionalFormatting sqref="P18">
    <cfRule type="cellIs" priority="225" operator="lessThanOrEqual" aboveAverage="0" equalAverage="0" bottom="0" percent="0" rank="0" text="" dxfId="0">
      <formula>G18</formula>
    </cfRule>
  </conditionalFormatting>
  <conditionalFormatting sqref="P19">
    <cfRule type="cellIs" priority="226" operator="lessThanOrEqual" aboveAverage="0" equalAverage="0" bottom="0" percent="0" rank="0" text="" dxfId="0">
      <formula>G19</formula>
    </cfRule>
  </conditionalFormatting>
  <conditionalFormatting sqref="P7">
    <cfRule type="cellIs" priority="227" operator="lessThanOrEqual" aboveAverage="0" equalAverage="0" bottom="0" percent="0" rank="0" text="" dxfId="0">
      <formula>G7</formula>
    </cfRule>
  </conditionalFormatting>
  <conditionalFormatting sqref="P8">
    <cfRule type="cellIs" priority="228" operator="lessThanOrEqual" aboveAverage="0" equalAverage="0" bottom="0" percent="0" rank="0" text="" dxfId="0">
      <formula>G8</formula>
    </cfRule>
  </conditionalFormatting>
  <conditionalFormatting sqref="P9">
    <cfRule type="cellIs" priority="229" operator="lessThanOrEqual" aboveAverage="0" equalAverage="0" bottom="0" percent="0" rank="0" text="" dxfId="0">
      <formula>G9</formula>
    </cfRule>
  </conditionalFormatting>
  <conditionalFormatting sqref="Q10">
    <cfRule type="cellIs" priority="230" operator="lessThanOrEqual" aboveAverage="0" equalAverage="0" bottom="0" percent="0" rank="0" text="" dxfId="0">
      <formula>H10</formula>
    </cfRule>
  </conditionalFormatting>
  <conditionalFormatting sqref="Q12">
    <cfRule type="cellIs" priority="231" operator="lessThanOrEqual" aboveAverage="0" equalAverage="0" bottom="0" percent="0" rank="0" text="" dxfId="0">
      <formula>H12</formula>
    </cfRule>
  </conditionalFormatting>
  <conditionalFormatting sqref="Q13">
    <cfRule type="cellIs" priority="232" operator="lessThanOrEqual" aboveAverage="0" equalAverage="0" bottom="0" percent="0" rank="0" text="" dxfId="0">
      <formula>H13</formula>
    </cfRule>
  </conditionalFormatting>
  <conditionalFormatting sqref="Q17">
    <cfRule type="cellIs" priority="233" operator="lessThanOrEqual" aboveAverage="0" equalAverage="0" bottom="0" percent="0" rank="0" text="" dxfId="0">
      <formula>H17</formula>
    </cfRule>
  </conditionalFormatting>
  <conditionalFormatting sqref="Q18">
    <cfRule type="cellIs" priority="234" operator="lessThanOrEqual" aboveAverage="0" equalAverage="0" bottom="0" percent="0" rank="0" text="" dxfId="0">
      <formula>H18</formula>
    </cfRule>
  </conditionalFormatting>
  <conditionalFormatting sqref="Q19">
    <cfRule type="cellIs" priority="235" operator="lessThanOrEqual" aboveAverage="0" equalAverage="0" bottom="0" percent="0" rank="0" text="" dxfId="0">
      <formula>H19</formula>
    </cfRule>
  </conditionalFormatting>
  <conditionalFormatting sqref="Q7">
    <cfRule type="cellIs" priority="236" operator="lessThanOrEqual" aboveAverage="0" equalAverage="0" bottom="0" percent="0" rank="0" text="" dxfId="0">
      <formula>H7</formula>
    </cfRule>
  </conditionalFormatting>
  <conditionalFormatting sqref="Q8">
    <cfRule type="cellIs" priority="237" operator="lessThanOrEqual" aboveAverage="0" equalAverage="0" bottom="0" percent="0" rank="0" text="" dxfId="0">
      <formula>H8</formula>
    </cfRule>
  </conditionalFormatting>
  <conditionalFormatting sqref="Q9">
    <cfRule type="cellIs" priority="238" operator="lessThanOrEqual" aboveAverage="0" equalAverage="0" bottom="0" percent="0" rank="0" text="" dxfId="0">
      <formula>H9</formula>
    </cfRule>
  </conditionalFormatting>
  <conditionalFormatting sqref="S10">
    <cfRule type="cellIs" priority="239" operator="equal" aboveAverage="0" equalAverage="0" bottom="0" percent="0" rank="0" text="" dxfId="1">
      <formula>0</formula>
    </cfRule>
    <cfRule type="cellIs" priority="240" operator="lessThan" aboveAverage="0" equalAverage="0" bottom="0" percent="0" rank="0" text="" dxfId="2">
      <formula>F10</formula>
    </cfRule>
  </conditionalFormatting>
  <conditionalFormatting sqref="S11">
    <cfRule type="cellIs" priority="241" operator="equal" aboveAverage="0" equalAverage="0" bottom="0" percent="0" rank="0" text="" dxfId="1">
      <formula>0</formula>
    </cfRule>
    <cfRule type="cellIs" priority="242" operator="lessThan" aboveAverage="0" equalAverage="0" bottom="0" percent="0" rank="0" text="" dxfId="2">
      <formula>F11</formula>
    </cfRule>
  </conditionalFormatting>
  <conditionalFormatting sqref="S12">
    <cfRule type="cellIs" priority="243" operator="equal" aboveAverage="0" equalAverage="0" bottom="0" percent="0" rank="0" text="" dxfId="1">
      <formula>0</formula>
    </cfRule>
    <cfRule type="cellIs" priority="244" operator="lessThan" aboveAverage="0" equalAverage="0" bottom="0" percent="0" rank="0" text="" dxfId="2">
      <formula>F12</formula>
    </cfRule>
  </conditionalFormatting>
  <conditionalFormatting sqref="S13">
    <cfRule type="cellIs" priority="245" operator="equal" aboveAverage="0" equalAverage="0" bottom="0" percent="0" rank="0" text="" dxfId="1">
      <formula>0</formula>
    </cfRule>
    <cfRule type="cellIs" priority="246" operator="lessThan" aboveAverage="0" equalAverage="0" bottom="0" percent="0" rank="0" text="" dxfId="2">
      <formula>F13</formula>
    </cfRule>
  </conditionalFormatting>
  <conditionalFormatting sqref="S14">
    <cfRule type="cellIs" priority="247" operator="equal" aboveAverage="0" equalAverage="0" bottom="0" percent="0" rank="0" text="" dxfId="1">
      <formula>0</formula>
    </cfRule>
    <cfRule type="cellIs" priority="248" operator="lessThan" aboveAverage="0" equalAverage="0" bottom="0" percent="0" rank="0" text="" dxfId="2">
      <formula>F14</formula>
    </cfRule>
  </conditionalFormatting>
  <conditionalFormatting sqref="S15">
    <cfRule type="cellIs" priority="249" operator="equal" aboveAverage="0" equalAverage="0" bottom="0" percent="0" rank="0" text="" dxfId="1">
      <formula>0</formula>
    </cfRule>
    <cfRule type="cellIs" priority="250" operator="lessThan" aboveAverage="0" equalAverage="0" bottom="0" percent="0" rank="0" text="" dxfId="2">
      <formula>F15</formula>
    </cfRule>
  </conditionalFormatting>
  <conditionalFormatting sqref="S16">
    <cfRule type="cellIs" priority="251" operator="equal" aboveAverage="0" equalAverage="0" bottom="0" percent="0" rank="0" text="" dxfId="1">
      <formula>0</formula>
    </cfRule>
    <cfRule type="cellIs" priority="252" operator="lessThan" aboveAverage="0" equalAverage="0" bottom="0" percent="0" rank="0" text="" dxfId="2">
      <formula>F16</formula>
    </cfRule>
  </conditionalFormatting>
  <conditionalFormatting sqref="S17">
    <cfRule type="cellIs" priority="253" operator="equal" aboveAverage="0" equalAverage="0" bottom="0" percent="0" rank="0" text="" dxfId="1">
      <formula>0</formula>
    </cfRule>
    <cfRule type="cellIs" priority="254" operator="lessThan" aboveAverage="0" equalAverage="0" bottom="0" percent="0" rank="0" text="" dxfId="2">
      <formula>F17</formula>
    </cfRule>
  </conditionalFormatting>
  <conditionalFormatting sqref="S18">
    <cfRule type="cellIs" priority="255" operator="equal" aboveAverage="0" equalAverage="0" bottom="0" percent="0" rank="0" text="" dxfId="1">
      <formula>0</formula>
    </cfRule>
    <cfRule type="cellIs" priority="256" operator="lessThan" aboveAverage="0" equalAverage="0" bottom="0" percent="0" rank="0" text="" dxfId="2">
      <formula>F18</formula>
    </cfRule>
  </conditionalFormatting>
  <conditionalFormatting sqref="S19">
    <cfRule type="cellIs" priority="257" operator="equal" aboveAverage="0" equalAverage="0" bottom="0" percent="0" rank="0" text="" dxfId="1">
      <formula>0</formula>
    </cfRule>
    <cfRule type="cellIs" priority="258" operator="lessThan" aboveAverage="0" equalAverage="0" bottom="0" percent="0" rank="0" text="" dxfId="2">
      <formula>F19</formula>
    </cfRule>
  </conditionalFormatting>
  <conditionalFormatting sqref="S7">
    <cfRule type="cellIs" priority="259" operator="equal" aboveAverage="0" equalAverage="0" bottom="0" percent="0" rank="0" text="" dxfId="1">
      <formula>0</formula>
    </cfRule>
    <cfRule type="cellIs" priority="260" operator="lessThan" aboveAverage="0" equalAverage="0" bottom="0" percent="0" rank="0" text="" dxfId="2">
      <formula>F7</formula>
    </cfRule>
  </conditionalFormatting>
  <conditionalFormatting sqref="S8">
    <cfRule type="cellIs" priority="261" operator="equal" aboveAverage="0" equalAverage="0" bottom="0" percent="0" rank="0" text="" dxfId="1">
      <formula>0</formula>
    </cfRule>
    <cfRule type="cellIs" priority="262" operator="lessThan" aboveAverage="0" equalAverage="0" bottom="0" percent="0" rank="0" text="" dxfId="2">
      <formula>F8</formula>
    </cfRule>
  </conditionalFormatting>
  <conditionalFormatting sqref="S9">
    <cfRule type="cellIs" priority="263" operator="equal" aboveAverage="0" equalAverage="0" bottom="0" percent="0" rank="0" text="" dxfId="1">
      <formula>0</formula>
    </cfRule>
    <cfRule type="cellIs" priority="264" operator="lessThan" aboveAverage="0" equalAverage="0" bottom="0" percent="0" rank="0" text="" dxfId="2">
      <formula>F9</formula>
    </cfRule>
  </conditionalFormatting>
  <conditionalFormatting sqref="T10">
    <cfRule type="expression" priority="265" aboveAverage="0" equalAverage="0" bottom="0" percent="0" rank="0" text="" dxfId="3">
      <formula>AND(T10&gt;0,T10&lt;0)</formula>
    </cfRule>
    <cfRule type="cellIs" priority="266" operator="greaterThan" aboveAverage="0" equalAverage="0" bottom="0" percent="0" rank="0" text="" dxfId="1">
      <formula>S10</formula>
    </cfRule>
  </conditionalFormatting>
  <conditionalFormatting sqref="T11">
    <cfRule type="expression" priority="267" aboveAverage="0" equalAverage="0" bottom="0" percent="0" rank="0" text="" dxfId="3">
      <formula>AND(T11&gt;0,T11&lt;0)</formula>
    </cfRule>
    <cfRule type="cellIs" priority="268" operator="greaterThan" aboveAverage="0" equalAverage="0" bottom="0" percent="0" rank="0" text="" dxfId="1">
      <formula>S11</formula>
    </cfRule>
  </conditionalFormatting>
  <conditionalFormatting sqref="T12">
    <cfRule type="expression" priority="269" aboveAverage="0" equalAverage="0" bottom="0" percent="0" rank="0" text="" dxfId="3">
      <formula>AND(T12&gt;0,T12&lt;0)</formula>
    </cfRule>
    <cfRule type="cellIs" priority="270" operator="greaterThan" aboveAverage="0" equalAverage="0" bottom="0" percent="0" rank="0" text="" dxfId="1">
      <formula>S12</formula>
    </cfRule>
  </conditionalFormatting>
  <conditionalFormatting sqref="T13">
    <cfRule type="expression" priority="271" aboveAverage="0" equalAverage="0" bottom="0" percent="0" rank="0" text="" dxfId="3">
      <formula>AND(T13&gt;0,T13&lt;0)</formula>
    </cfRule>
    <cfRule type="cellIs" priority="272" operator="greaterThan" aboveAverage="0" equalAverage="0" bottom="0" percent="0" rank="0" text="" dxfId="1">
      <formula>S13</formula>
    </cfRule>
  </conditionalFormatting>
  <conditionalFormatting sqref="T14">
    <cfRule type="expression" priority="273" aboveAverage="0" equalAverage="0" bottom="0" percent="0" rank="0" text="" dxfId="3">
      <formula>AND(T14&gt;0,T14&lt;0)</formula>
    </cfRule>
    <cfRule type="cellIs" priority="274" operator="greaterThan" aboveAverage="0" equalAverage="0" bottom="0" percent="0" rank="0" text="" dxfId="1">
      <formula>S14</formula>
    </cfRule>
  </conditionalFormatting>
  <conditionalFormatting sqref="T15">
    <cfRule type="expression" priority="275" aboveAverage="0" equalAverage="0" bottom="0" percent="0" rank="0" text="" dxfId="3">
      <formula>AND(T15&gt;0,T15&lt;0)</formula>
    </cfRule>
    <cfRule type="cellIs" priority="276" operator="greaterThan" aboveAverage="0" equalAverage="0" bottom="0" percent="0" rank="0" text="" dxfId="1">
      <formula>S15</formula>
    </cfRule>
  </conditionalFormatting>
  <conditionalFormatting sqref="T16">
    <cfRule type="expression" priority="277" aboveAverage="0" equalAverage="0" bottom="0" percent="0" rank="0" text="" dxfId="3">
      <formula>AND(T16&gt;0,T16&lt;0)</formula>
    </cfRule>
    <cfRule type="cellIs" priority="278" operator="greaterThan" aboveAverage="0" equalAverage="0" bottom="0" percent="0" rank="0" text="" dxfId="1">
      <formula>S16</formula>
    </cfRule>
  </conditionalFormatting>
  <conditionalFormatting sqref="T17">
    <cfRule type="expression" priority="279" aboveAverage="0" equalAverage="0" bottom="0" percent="0" rank="0" text="" dxfId="3">
      <formula>AND(T17&gt;0,T17&lt;0)</formula>
    </cfRule>
    <cfRule type="cellIs" priority="280" operator="greaterThan" aboveAverage="0" equalAverage="0" bottom="0" percent="0" rank="0" text="" dxfId="1">
      <formula>S17</formula>
    </cfRule>
  </conditionalFormatting>
  <conditionalFormatting sqref="T18">
    <cfRule type="expression" priority="281" aboveAverage="0" equalAverage="0" bottom="0" percent="0" rank="0" text="" dxfId="3">
      <formula>AND(T18&gt;0,T18&lt;0)</formula>
    </cfRule>
    <cfRule type="cellIs" priority="282" operator="greaterThan" aboveAverage="0" equalAverage="0" bottom="0" percent="0" rank="0" text="" dxfId="1">
      <formula>S18</formula>
    </cfRule>
  </conditionalFormatting>
  <conditionalFormatting sqref="T19">
    <cfRule type="expression" priority="283" aboveAverage="0" equalAverage="0" bottom="0" percent="0" rank="0" text="" dxfId="3">
      <formula>AND(T19&gt;0,T19&lt;0)</formula>
    </cfRule>
    <cfRule type="cellIs" priority="284" operator="greaterThan" aboveAverage="0" equalAverage="0" bottom="0" percent="0" rank="0" text="" dxfId="1">
      <formula>S19</formula>
    </cfRule>
  </conditionalFormatting>
  <conditionalFormatting sqref="T7">
    <cfRule type="expression" priority="285" aboveAverage="0" equalAverage="0" bottom="0" percent="0" rank="0" text="" dxfId="3">
      <formula>AND(T7&gt;0,T7&lt;0)</formula>
    </cfRule>
    <cfRule type="cellIs" priority="286" operator="greaterThan" aboveAverage="0" equalAverage="0" bottom="0" percent="0" rank="0" text="" dxfId="1">
      <formula>S7</formula>
    </cfRule>
  </conditionalFormatting>
  <conditionalFormatting sqref="T8">
    <cfRule type="expression" priority="287" aboveAverage="0" equalAverage="0" bottom="0" percent="0" rank="0" text="" dxfId="3">
      <formula>AND(T8&gt;0,T8&lt;0)</formula>
    </cfRule>
    <cfRule type="cellIs" priority="288" operator="greaterThan" aboveAverage="0" equalAverage="0" bottom="0" percent="0" rank="0" text="" dxfId="1">
      <formula>S8</formula>
    </cfRule>
  </conditionalFormatting>
  <conditionalFormatting sqref="T9">
    <cfRule type="expression" priority="289" aboveAverage="0" equalAverage="0" bottom="0" percent="0" rank="0" text="" dxfId="3">
      <formula>AND(T9&gt;0,T9&lt;0)</formula>
    </cfRule>
    <cfRule type="cellIs" priority="290" operator="greaterThan" aboveAverage="0" equalAverage="0" bottom="0" percent="0" rank="0" text="" dxfId="1">
      <formula>S9</formula>
    </cfRule>
  </conditionalFormatting>
  <conditionalFormatting sqref="U10">
    <cfRule type="cellIs" priority="291" operator="lessThanOrEqual" aboveAverage="0" equalAverage="0" bottom="0" percent="0" rank="0" text="" dxfId="0">
      <formula>G10</formula>
    </cfRule>
  </conditionalFormatting>
  <conditionalFormatting sqref="U11">
    <cfRule type="cellIs" priority="292" operator="lessThanOrEqual" aboveAverage="0" equalAverage="0" bottom="0" percent="0" rank="0" text="" dxfId="0">
      <formula>G11</formula>
    </cfRule>
  </conditionalFormatting>
  <conditionalFormatting sqref="U12">
    <cfRule type="cellIs" priority="293" operator="lessThanOrEqual" aboveAverage="0" equalAverage="0" bottom="0" percent="0" rank="0" text="" dxfId="0">
      <formula>G12</formula>
    </cfRule>
  </conditionalFormatting>
  <conditionalFormatting sqref="U13">
    <cfRule type="cellIs" priority="294" operator="lessThanOrEqual" aboveAverage="0" equalAverage="0" bottom="0" percent="0" rank="0" text="" dxfId="0">
      <formula>G13</formula>
    </cfRule>
  </conditionalFormatting>
  <conditionalFormatting sqref="U14">
    <cfRule type="cellIs" priority="295" operator="lessThanOrEqual" aboveAverage="0" equalAverage="0" bottom="0" percent="0" rank="0" text="" dxfId="0">
      <formula>G14</formula>
    </cfRule>
  </conditionalFormatting>
  <conditionalFormatting sqref="U15">
    <cfRule type="cellIs" priority="296" operator="lessThanOrEqual" aboveAverage="0" equalAverage="0" bottom="0" percent="0" rank="0" text="" dxfId="0">
      <formula>G15</formula>
    </cfRule>
  </conditionalFormatting>
  <conditionalFormatting sqref="U16">
    <cfRule type="cellIs" priority="297" operator="lessThanOrEqual" aboveAverage="0" equalAverage="0" bottom="0" percent="0" rank="0" text="" dxfId="0">
      <formula>G16</formula>
    </cfRule>
  </conditionalFormatting>
  <conditionalFormatting sqref="U17">
    <cfRule type="cellIs" priority="298" operator="lessThanOrEqual" aboveAverage="0" equalAverage="0" bottom="0" percent="0" rank="0" text="" dxfId="0">
      <formula>G17</formula>
    </cfRule>
  </conditionalFormatting>
  <conditionalFormatting sqref="U18">
    <cfRule type="cellIs" priority="299" operator="lessThanOrEqual" aboveAverage="0" equalAverage="0" bottom="0" percent="0" rank="0" text="" dxfId="0">
      <formula>G18</formula>
    </cfRule>
  </conditionalFormatting>
  <conditionalFormatting sqref="U19">
    <cfRule type="cellIs" priority="300" operator="lessThanOrEqual" aboveAverage="0" equalAverage="0" bottom="0" percent="0" rank="0" text="" dxfId="0">
      <formula>G19</formula>
    </cfRule>
  </conditionalFormatting>
  <conditionalFormatting sqref="U7">
    <cfRule type="cellIs" priority="301" operator="lessThanOrEqual" aboveAverage="0" equalAverage="0" bottom="0" percent="0" rank="0" text="" dxfId="0">
      <formula>G7</formula>
    </cfRule>
  </conditionalFormatting>
  <conditionalFormatting sqref="U8">
    <cfRule type="cellIs" priority="302" operator="lessThanOrEqual" aboveAverage="0" equalAverage="0" bottom="0" percent="0" rank="0" text="" dxfId="0">
      <formula>G8</formula>
    </cfRule>
  </conditionalFormatting>
  <conditionalFormatting sqref="U9">
    <cfRule type="cellIs" priority="303" operator="lessThanOrEqual" aboveAverage="0" equalAverage="0" bottom="0" percent="0" rank="0" text="" dxfId="0">
      <formula>G9</formula>
    </cfRule>
  </conditionalFormatting>
  <conditionalFormatting sqref="V10">
    <cfRule type="cellIs" priority="304" operator="lessThanOrEqual" aboveAverage="0" equalAverage="0" bottom="0" percent="0" rank="0" text="" dxfId="0">
      <formula>H10</formula>
    </cfRule>
  </conditionalFormatting>
  <conditionalFormatting sqref="V11">
    <cfRule type="cellIs" priority="305" operator="lessThanOrEqual" aboveAverage="0" equalAverage="0" bottom="0" percent="0" rank="0" text="" dxfId="0">
      <formula>H11</formula>
    </cfRule>
  </conditionalFormatting>
  <conditionalFormatting sqref="V12">
    <cfRule type="cellIs" priority="306" operator="lessThanOrEqual" aboveAverage="0" equalAverage="0" bottom="0" percent="0" rank="0" text="" dxfId="0">
      <formula>H12</formula>
    </cfRule>
  </conditionalFormatting>
  <conditionalFormatting sqref="V13">
    <cfRule type="cellIs" priority="307" operator="lessThanOrEqual" aboveAverage="0" equalAverage="0" bottom="0" percent="0" rank="0" text="" dxfId="0">
      <formula>H13</formula>
    </cfRule>
  </conditionalFormatting>
  <conditionalFormatting sqref="V14">
    <cfRule type="cellIs" priority="308" operator="lessThanOrEqual" aboveAverage="0" equalAverage="0" bottom="0" percent="0" rank="0" text="" dxfId="0">
      <formula>H14</formula>
    </cfRule>
  </conditionalFormatting>
  <conditionalFormatting sqref="V15">
    <cfRule type="cellIs" priority="309" operator="lessThanOrEqual" aboveAverage="0" equalAverage="0" bottom="0" percent="0" rank="0" text="" dxfId="0">
      <formula>H15</formula>
    </cfRule>
  </conditionalFormatting>
  <conditionalFormatting sqref="V16">
    <cfRule type="cellIs" priority="310" operator="lessThanOrEqual" aboveAverage="0" equalAverage="0" bottom="0" percent="0" rank="0" text="" dxfId="0">
      <formula>H16</formula>
    </cfRule>
  </conditionalFormatting>
  <conditionalFormatting sqref="V17">
    <cfRule type="cellIs" priority="311" operator="lessThanOrEqual" aboveAverage="0" equalAverage="0" bottom="0" percent="0" rank="0" text="" dxfId="0">
      <formula>H17</formula>
    </cfRule>
  </conditionalFormatting>
  <conditionalFormatting sqref="V18">
    <cfRule type="cellIs" priority="312" operator="lessThanOrEqual" aboveAverage="0" equalAverage="0" bottom="0" percent="0" rank="0" text="" dxfId="0">
      <formula>H18</formula>
    </cfRule>
  </conditionalFormatting>
  <conditionalFormatting sqref="V19">
    <cfRule type="cellIs" priority="313" operator="lessThanOrEqual" aboveAverage="0" equalAverage="0" bottom="0" percent="0" rank="0" text="" dxfId="0">
      <formula>H19</formula>
    </cfRule>
  </conditionalFormatting>
  <conditionalFormatting sqref="V7">
    <cfRule type="cellIs" priority="314" operator="lessThanOrEqual" aboveAverage="0" equalAverage="0" bottom="0" percent="0" rank="0" text="" dxfId="0">
      <formula>H7</formula>
    </cfRule>
  </conditionalFormatting>
  <conditionalFormatting sqref="V8">
    <cfRule type="cellIs" priority="315" operator="lessThanOrEqual" aboveAverage="0" equalAverage="0" bottom="0" percent="0" rank="0" text="" dxfId="0">
      <formula>H8</formula>
    </cfRule>
  </conditionalFormatting>
  <conditionalFormatting sqref="V9">
    <cfRule type="cellIs" priority="316" operator="lessThanOrEqual" aboveAverage="0" equalAverage="0" bottom="0" percent="0" rank="0" text="" dxfId="0">
      <formula>H9</formula>
    </cfRule>
  </conditionalFormatting>
  <conditionalFormatting sqref="X10">
    <cfRule type="cellIs" priority="317" operator="equal" aboveAverage="0" equalAverage="0" bottom="0" percent="0" rank="0" text="" dxfId="1">
      <formula>0</formula>
    </cfRule>
    <cfRule type="cellIs" priority="318" operator="lessThan" aboveAverage="0" equalAverage="0" bottom="0" percent="0" rank="0" text="" dxfId="2">
      <formula>F10</formula>
    </cfRule>
  </conditionalFormatting>
  <conditionalFormatting sqref="X12">
    <cfRule type="cellIs" priority="319" operator="equal" aboveAverage="0" equalAverage="0" bottom="0" percent="0" rank="0" text="" dxfId="1">
      <formula>0</formula>
    </cfRule>
    <cfRule type="cellIs" priority="320" operator="lessThan" aboveAverage="0" equalAverage="0" bottom="0" percent="0" rank="0" text="" dxfId="2">
      <formula>F12</formula>
    </cfRule>
  </conditionalFormatting>
  <conditionalFormatting sqref="X13">
    <cfRule type="cellIs" priority="321" operator="equal" aboveAverage="0" equalAverage="0" bottom="0" percent="0" rank="0" text="" dxfId="1">
      <formula>0</formula>
    </cfRule>
    <cfRule type="cellIs" priority="322" operator="lessThan" aboveAverage="0" equalAverage="0" bottom="0" percent="0" rank="0" text="" dxfId="2">
      <formula>F13</formula>
    </cfRule>
  </conditionalFormatting>
  <conditionalFormatting sqref="X14">
    <cfRule type="cellIs" priority="323" operator="equal" aboveAverage="0" equalAverage="0" bottom="0" percent="0" rank="0" text="" dxfId="1">
      <formula>0</formula>
    </cfRule>
    <cfRule type="cellIs" priority="324" operator="lessThan" aboveAverage="0" equalAverage="0" bottom="0" percent="0" rank="0" text="" dxfId="2">
      <formula>F14</formula>
    </cfRule>
  </conditionalFormatting>
  <conditionalFormatting sqref="X15">
    <cfRule type="cellIs" priority="325" operator="equal" aboveAverage="0" equalAverage="0" bottom="0" percent="0" rank="0" text="" dxfId="1">
      <formula>0</formula>
    </cfRule>
    <cfRule type="cellIs" priority="326" operator="lessThan" aboveAverage="0" equalAverage="0" bottom="0" percent="0" rank="0" text="" dxfId="2">
      <formula>F15</formula>
    </cfRule>
  </conditionalFormatting>
  <conditionalFormatting sqref="X17">
    <cfRule type="cellIs" priority="327" operator="equal" aboveAverage="0" equalAverage="0" bottom="0" percent="0" rank="0" text="" dxfId="1">
      <formula>0</formula>
    </cfRule>
    <cfRule type="cellIs" priority="328" operator="lessThan" aboveAverage="0" equalAverage="0" bottom="0" percent="0" rank="0" text="" dxfId="2">
      <formula>F17</formula>
    </cfRule>
  </conditionalFormatting>
  <conditionalFormatting sqref="X18">
    <cfRule type="cellIs" priority="329" operator="equal" aboveAverage="0" equalAverage="0" bottom="0" percent="0" rank="0" text="" dxfId="1">
      <formula>0</formula>
    </cfRule>
    <cfRule type="cellIs" priority="330" operator="lessThan" aboveAverage="0" equalAverage="0" bottom="0" percent="0" rank="0" text="" dxfId="2">
      <formula>F18</formula>
    </cfRule>
  </conditionalFormatting>
  <conditionalFormatting sqref="X19">
    <cfRule type="cellIs" priority="331" operator="equal" aboveAverage="0" equalAverage="0" bottom="0" percent="0" rank="0" text="" dxfId="1">
      <formula>0</formula>
    </cfRule>
    <cfRule type="cellIs" priority="332" operator="lessThan" aboveAverage="0" equalAverage="0" bottom="0" percent="0" rank="0" text="" dxfId="2">
      <formula>F19</formula>
    </cfRule>
  </conditionalFormatting>
  <conditionalFormatting sqref="X7">
    <cfRule type="cellIs" priority="333" operator="equal" aboveAverage="0" equalAverage="0" bottom="0" percent="0" rank="0" text="" dxfId="1">
      <formula>0</formula>
    </cfRule>
    <cfRule type="cellIs" priority="334" operator="lessThan" aboveAverage="0" equalAverage="0" bottom="0" percent="0" rank="0" text="" dxfId="2">
      <formula>F7</formula>
    </cfRule>
  </conditionalFormatting>
  <conditionalFormatting sqref="X8">
    <cfRule type="cellIs" priority="335" operator="equal" aboveAverage="0" equalAverage="0" bottom="0" percent="0" rank="0" text="" dxfId="1">
      <formula>0</formula>
    </cfRule>
    <cfRule type="cellIs" priority="336" operator="lessThan" aboveAverage="0" equalAverage="0" bottom="0" percent="0" rank="0" text="" dxfId="2">
      <formula>F8</formula>
    </cfRule>
  </conditionalFormatting>
  <conditionalFormatting sqref="X9">
    <cfRule type="cellIs" priority="337" operator="equal" aboveAverage="0" equalAverage="0" bottom="0" percent="0" rank="0" text="" dxfId="1">
      <formula>0</formula>
    </cfRule>
    <cfRule type="cellIs" priority="338" operator="lessThan" aboveAverage="0" equalAverage="0" bottom="0" percent="0" rank="0" text="" dxfId="2">
      <formula>F9</formula>
    </cfRule>
  </conditionalFormatting>
  <conditionalFormatting sqref="Y10">
    <cfRule type="expression" priority="339" aboveAverage="0" equalAverage="0" bottom="0" percent="0" rank="0" text="" dxfId="3">
      <formula>AND(Y10&gt;0,Y10&lt;0)</formula>
    </cfRule>
    <cfRule type="cellIs" priority="340" operator="greaterThan" aboveAverage="0" equalAverage="0" bottom="0" percent="0" rank="0" text="" dxfId="1">
      <formula>X10</formula>
    </cfRule>
  </conditionalFormatting>
  <conditionalFormatting sqref="Y12">
    <cfRule type="expression" priority="341" aboveAverage="0" equalAverage="0" bottom="0" percent="0" rank="0" text="" dxfId="3">
      <formula>AND(Y12&gt;0,Y12&lt;0)</formula>
    </cfRule>
    <cfRule type="cellIs" priority="342" operator="greaterThan" aboveAverage="0" equalAverage="0" bottom="0" percent="0" rank="0" text="" dxfId="1">
      <formula>X12</formula>
    </cfRule>
  </conditionalFormatting>
  <conditionalFormatting sqref="Y13">
    <cfRule type="expression" priority="343" aboveAverage="0" equalAverage="0" bottom="0" percent="0" rank="0" text="" dxfId="3">
      <formula>AND(Y13&gt;0,Y13&lt;0)</formula>
    </cfRule>
    <cfRule type="cellIs" priority="344" operator="greaterThan" aboveAverage="0" equalAverage="0" bottom="0" percent="0" rank="0" text="" dxfId="1">
      <formula>X13</formula>
    </cfRule>
  </conditionalFormatting>
  <conditionalFormatting sqref="Y14">
    <cfRule type="expression" priority="345" aboveAverage="0" equalAverage="0" bottom="0" percent="0" rank="0" text="" dxfId="3">
      <formula>AND(Y14&gt;0,Y14&lt;0)</formula>
    </cfRule>
    <cfRule type="cellIs" priority="346" operator="greaterThan" aboveAverage="0" equalAverage="0" bottom="0" percent="0" rank="0" text="" dxfId="1">
      <formula>X14</formula>
    </cfRule>
  </conditionalFormatting>
  <conditionalFormatting sqref="Y15">
    <cfRule type="expression" priority="347" aboveAverage="0" equalAverage="0" bottom="0" percent="0" rank="0" text="" dxfId="3">
      <formula>AND(Y15&gt;0,Y15&lt;0)</formula>
    </cfRule>
    <cfRule type="cellIs" priority="348" operator="greaterThan" aboveAverage="0" equalAverage="0" bottom="0" percent="0" rank="0" text="" dxfId="1">
      <formula>X15</formula>
    </cfRule>
  </conditionalFormatting>
  <conditionalFormatting sqref="Y17">
    <cfRule type="expression" priority="349" aboveAverage="0" equalAverage="0" bottom="0" percent="0" rank="0" text="" dxfId="3">
      <formula>AND(Y17&gt;0,Y17&lt;0)</formula>
    </cfRule>
    <cfRule type="cellIs" priority="350" operator="greaterThan" aboveAverage="0" equalAverage="0" bottom="0" percent="0" rank="0" text="" dxfId="1">
      <formula>X17</formula>
    </cfRule>
  </conditionalFormatting>
  <conditionalFormatting sqref="Y18">
    <cfRule type="expression" priority="351" aboveAverage="0" equalAverage="0" bottom="0" percent="0" rank="0" text="" dxfId="3">
      <formula>AND(Y18&gt;0,Y18&lt;0)</formula>
    </cfRule>
    <cfRule type="cellIs" priority="352" operator="greaterThan" aboveAverage="0" equalAverage="0" bottom="0" percent="0" rank="0" text="" dxfId="1">
      <formula>X18</formula>
    </cfRule>
  </conditionalFormatting>
  <conditionalFormatting sqref="Y19">
    <cfRule type="expression" priority="353" aboveAverage="0" equalAverage="0" bottom="0" percent="0" rank="0" text="" dxfId="3">
      <formula>AND(Y19&gt;0,Y19&lt;0)</formula>
    </cfRule>
    <cfRule type="cellIs" priority="354" operator="greaterThan" aboveAverage="0" equalAverage="0" bottom="0" percent="0" rank="0" text="" dxfId="1">
      <formula>X19</formula>
    </cfRule>
  </conditionalFormatting>
  <conditionalFormatting sqref="Y7">
    <cfRule type="expression" priority="355" aboveAverage="0" equalAverage="0" bottom="0" percent="0" rank="0" text="" dxfId="3">
      <formula>AND(Y7&gt;0,Y7&lt;0)</formula>
    </cfRule>
    <cfRule type="cellIs" priority="356" operator="greaterThan" aboveAverage="0" equalAverage="0" bottom="0" percent="0" rank="0" text="" dxfId="1">
      <formula>X7</formula>
    </cfRule>
  </conditionalFormatting>
  <conditionalFormatting sqref="Y8">
    <cfRule type="expression" priority="357" aboveAverage="0" equalAverage="0" bottom="0" percent="0" rank="0" text="" dxfId="3">
      <formula>AND(Y8&gt;0,Y8&lt;0)</formula>
    </cfRule>
    <cfRule type="cellIs" priority="358" operator="greaterThan" aboveAverage="0" equalAverage="0" bottom="0" percent="0" rank="0" text="" dxfId="1">
      <formula>X8</formula>
    </cfRule>
  </conditionalFormatting>
  <conditionalFormatting sqref="Y9">
    <cfRule type="expression" priority="359" aboveAverage="0" equalAverage="0" bottom="0" percent="0" rank="0" text="" dxfId="3">
      <formula>AND(Y9&gt;0,Y9&lt;0)</formula>
    </cfRule>
    <cfRule type="cellIs" priority="360" operator="greaterThan" aboveAverage="0" equalAverage="0" bottom="0" percent="0" rank="0" text="" dxfId="1">
      <formula>X9</formula>
    </cfRule>
  </conditionalFormatting>
  <conditionalFormatting sqref="Z10">
    <cfRule type="cellIs" priority="361" operator="lessThanOrEqual" aboveAverage="0" equalAverage="0" bottom="0" percent="0" rank="0" text="" dxfId="0">
      <formula>G10</formula>
    </cfRule>
  </conditionalFormatting>
  <conditionalFormatting sqref="Z12">
    <cfRule type="cellIs" priority="362" operator="lessThanOrEqual" aboveAverage="0" equalAverage="0" bottom="0" percent="0" rank="0" text="" dxfId="0">
      <formula>G12</formula>
    </cfRule>
  </conditionalFormatting>
  <conditionalFormatting sqref="Z13">
    <cfRule type="cellIs" priority="363" operator="lessThanOrEqual" aboveAverage="0" equalAverage="0" bottom="0" percent="0" rank="0" text="" dxfId="0">
      <formula>G13</formula>
    </cfRule>
  </conditionalFormatting>
  <conditionalFormatting sqref="Z14">
    <cfRule type="cellIs" priority="364" operator="lessThanOrEqual" aboveAverage="0" equalAverage="0" bottom="0" percent="0" rank="0" text="" dxfId="0">
      <formula>G14</formula>
    </cfRule>
  </conditionalFormatting>
  <conditionalFormatting sqref="Z15">
    <cfRule type="cellIs" priority="365" operator="lessThanOrEqual" aboveAverage="0" equalAverage="0" bottom="0" percent="0" rank="0" text="" dxfId="0">
      <formula>G15</formula>
    </cfRule>
  </conditionalFormatting>
  <conditionalFormatting sqref="Z17">
    <cfRule type="cellIs" priority="366" operator="lessThanOrEqual" aboveAverage="0" equalAverage="0" bottom="0" percent="0" rank="0" text="" dxfId="0">
      <formula>G17</formula>
    </cfRule>
  </conditionalFormatting>
  <conditionalFormatting sqref="Z18">
    <cfRule type="cellIs" priority="367" operator="lessThanOrEqual" aboveAverage="0" equalAverage="0" bottom="0" percent="0" rank="0" text="" dxfId="0">
      <formula>G18</formula>
    </cfRule>
  </conditionalFormatting>
  <conditionalFormatting sqref="Z19">
    <cfRule type="cellIs" priority="368" operator="lessThanOrEqual" aboveAverage="0" equalAverage="0" bottom="0" percent="0" rank="0" text="" dxfId="0">
      <formula>G19</formula>
    </cfRule>
  </conditionalFormatting>
  <conditionalFormatting sqref="Z7">
    <cfRule type="cellIs" priority="369" operator="lessThanOrEqual" aboveAverage="0" equalAverage="0" bottom="0" percent="0" rank="0" text="" dxfId="0">
      <formula>G7</formula>
    </cfRule>
  </conditionalFormatting>
  <conditionalFormatting sqref="Z8">
    <cfRule type="cellIs" priority="370" operator="lessThanOrEqual" aboveAverage="0" equalAverage="0" bottom="0" percent="0" rank="0" text="" dxfId="0">
      <formula>G8</formula>
    </cfRule>
  </conditionalFormatting>
  <conditionalFormatting sqref="Z9">
    <cfRule type="cellIs" priority="371" operator="lessThanOrEqual" aboveAverage="0" equalAverage="0" bottom="0" percent="0" rank="0" text="" dxfId="0">
      <formula>G9</formula>
    </cfRule>
  </conditionalFormatting>
  <hyperlinks>
    <hyperlink ref="M7" r:id="rId2" display="720-1727-1-ND"/>
    <hyperlink ref="R7" r:id="rId3" display="2896530"/>
    <hyperlink ref="W7" r:id="rId4" display="77VJ0805G225KXYTBC"/>
    <hyperlink ref="AB7" r:id="rId5" display="62AC8496"/>
    <hyperlink ref="M8" r:id="rId6" display="732-8021-1-ND"/>
    <hyperlink ref="R8" r:id="rId7" display="2534050"/>
    <hyperlink ref="W8" r:id="rId8" display="710885012207011"/>
    <hyperlink ref="AB8" r:id="rId9" display="15AC9380"/>
    <hyperlink ref="AG8" r:id="rId10" display="1814054"/>
    <hyperlink ref="M9" r:id="rId11" display="1292-1566-6-ND"/>
    <hyperlink ref="R9" r:id="rId12" display="2496943"/>
    <hyperlink ref="W9" r:id="rId13" display="7910805B104K250CT"/>
    <hyperlink ref="AB9" r:id="rId14" display="58Y7821"/>
    <hyperlink ref="AG9" r:id="rId15" display="1763302"/>
    <hyperlink ref="M10" r:id="rId16" display="445-7644-1-ND"/>
    <hyperlink ref="R10" r:id="rId17" display="2346924"/>
    <hyperlink ref="W10" r:id="rId18" display="810C2012X5R1C106K2"/>
    <hyperlink ref="AB10" r:id="rId19" display="04X3273"/>
    <hyperlink ref="AG10" r:id="rId20" display="1110433"/>
    <hyperlink ref="M11" r:id="rId21" display="670-2868-1-ND"/>
    <hyperlink ref="W11" r:id="rId22" display="656DX07P024AJ1R1500"/>
    <hyperlink ref="M12" r:id="rId23" display="541-51KACT-ND"/>
    <hyperlink ref="R12" r:id="rId24" display="1514873"/>
    <hyperlink ref="W12" r:id="rId25" display="71CRCW080551K0JNEA"/>
    <hyperlink ref="AB12" r:id="rId26" display="59M6920"/>
    <hyperlink ref="M13" r:id="rId27" display="541-4.70KCCT-ND"/>
    <hyperlink ref="R13" r:id="rId28" display="1469923"/>
    <hyperlink ref="W13" r:id="rId29" display="71CRCW08054.7KE3"/>
    <hyperlink ref="AB13" r:id="rId30" display="53K0215"/>
    <hyperlink ref="AG13" r:id="rId31" display="1694716"/>
    <hyperlink ref="M14" r:id="rId32" display="CRCW08055K10FKEAC-ND"/>
    <hyperlink ref="W14" r:id="rId33" display="71CRCW08055K10FKEAC"/>
    <hyperlink ref="AB14" r:id="rId34" display="95AC8936"/>
    <hyperlink ref="M15" r:id="rId35" display="541-3977-1-ND"/>
    <hyperlink ref="W15" r:id="rId36" display="71CRCW08051K00FKEAC"/>
    <hyperlink ref="AB15" r:id="rId37" display="98AC1020"/>
    <hyperlink ref="E16" r:id="rId38" display="MLX90640ESF-BAB-000-SP"/>
    <hyperlink ref="M16" r:id="rId39" display="MLX90640ESF-BAB-000-SP-ND"/>
    <hyperlink ref="W16" r:id="rId40" display="482MLX90640ESFBABSP"/>
    <hyperlink ref="E17" r:id="rId41" display="TPS79333DBVR"/>
    <hyperlink ref="M17" r:id="rId42" display="296-12961-6-ND"/>
    <hyperlink ref="R17" r:id="rId43" display="1470478"/>
    <hyperlink ref="W17" r:id="rId44" display="595TPS79333DBVR"/>
    <hyperlink ref="AB17" r:id="rId45" display="77C1365"/>
    <hyperlink ref="AG17" r:id="rId46" display="6614490"/>
    <hyperlink ref="E18" r:id="rId47" display="STM32F042F6P6"/>
    <hyperlink ref="M18" r:id="rId48" display="497-17344-ND"/>
    <hyperlink ref="R18" r:id="rId49" display="2469549"/>
    <hyperlink ref="W18" r:id="rId50" display="511STM32F042F6P6"/>
    <hyperlink ref="AB18" r:id="rId51" display="42Y1015"/>
    <hyperlink ref="AG18" r:id="rId52" display="8607501"/>
    <hyperlink ref="E19" r:id="rId53" display="NUP2202W1T2G"/>
    <hyperlink ref="M19" r:id="rId54" display="NUP2202W1T2GOSDKR-ND"/>
    <hyperlink ref="R19" r:id="rId55" display="2533276"/>
    <hyperlink ref="W19" r:id="rId56" display="863NUP2202W1T2G"/>
    <hyperlink ref="AB19" r:id="rId57" display="81Y7068"/>
    <hyperlink ref="AG19" r:id="rId58" display="46369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2019-09-21T18:50:55Z</dcterms:created>
  <dc:creator/>
  <dc:description/>
  <dc:language>en-US</dc:language>
  <cp:lastModifiedBy/>
  <dcterms:modified xsi:type="dcterms:W3CDTF">2019-09-21T20:52:25Z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