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API_Salesforce\"/>
    </mc:Choice>
  </mc:AlternateContent>
  <xr:revisionPtr revIDLastSave="0" documentId="8_{BAC37344-E501-4F73-B97E-71EF5D97A108}" xr6:coauthVersionLast="47" xr6:coauthVersionMax="47" xr10:uidLastSave="{00000000-0000-0000-0000-000000000000}"/>
  <bookViews>
    <workbookView xWindow="-120" yWindow="-120" windowWidth="29040" windowHeight="15720" tabRatio="758" activeTab="4" xr2:uid="{E2460B79-BC04-4EE3-96B2-168C94CE19B7}"/>
  </bookViews>
  <sheets>
    <sheet name="#readme" sheetId="12" r:id="rId1"/>
    <sheet name="AQUILON C (4RU)" sheetId="1" r:id="rId2"/>
    <sheet name="AQUILON C+ (5RU)" sheetId="13" r:id="rId3"/>
    <sheet name="AQUILON C max (6RU)" sheetId="26" r:id="rId4"/>
    <sheet name="DECODER" sheetId="7" r:id="rId5"/>
    <sheet name="_VISUEL" sheetId="25" state="hidden" r:id="rId6"/>
    <sheet name="_Pictures" sheetId="24" state="hidden" r:id="rId7"/>
    <sheet name="_WORK" sheetId="8" state="hidden" r:id="rId8"/>
    <sheet name="_MVW" sheetId="23" state="hidden" r:id="rId9"/>
    <sheet name="_CHASSIS" sheetId="3" state="hidden" r:id="rId10"/>
    <sheet name="_PSU" sheetId="21" state="hidden" r:id="rId11"/>
    <sheet name="_WARRANTY_4RU" sheetId="20" state="hidden" r:id="rId12"/>
    <sheet name="_WARRANTY_5RU" sheetId="22" state="hidden" r:id="rId13"/>
    <sheet name="_WARRANTY_6RU" sheetId="27" state="hidden" r:id="rId14"/>
    <sheet name="_GENERIC" sheetId="16" state="hidden" r:id="rId15"/>
    <sheet name="_INPUT" sheetId="14" state="hidden" r:id="rId16"/>
    <sheet name="_OUTPUT" sheetId="15" state="hidden" r:id="rId17"/>
    <sheet name="_VIDEO" sheetId="17" state="hidden" r:id="rId18"/>
    <sheet name="_IMAGES" sheetId="19" state="hidden" r:id="rId19"/>
    <sheet name="_ACCESSORIES" sheetId="18" state="hidden" r:id="rId20"/>
  </sheets>
  <definedNames>
    <definedName name="_xlnm._FilterDatabase" localSheetId="4" hidden="1">DECODER!$C$43:$J$71</definedName>
    <definedName name="_xlnm.Print_Area" localSheetId="1">'AQUILON C (4RU)'!$B$1:$S$55</definedName>
    <definedName name="_xlnm.Print_Area" localSheetId="3">'AQUILON C max (6RU)'!$B$1:$S$75</definedName>
    <definedName name="_xlnm.Print_Area" localSheetId="2">'AQUILON C+ (5RU)'!$B$1:$S$65</definedName>
    <definedName name="_xlnm.Print_Area" localSheetId="4">DECODER!$B$1:$L$42</definedName>
  </definedNames>
  <calcPr calcId="191028"/>
  <pivotCaches>
    <pivotCache cacheId="28"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7" l="1"/>
  <c r="F57" i="7"/>
  <c r="F55" i="7"/>
  <c r="F54" i="7"/>
  <c r="F53" i="7"/>
  <c r="F52" i="7"/>
  <c r="F51" i="7"/>
  <c r="F50" i="7"/>
  <c r="F49" i="7"/>
  <c r="F48" i="7"/>
  <c r="F56" i="7"/>
  <c r="H3" i="27"/>
  <c r="H3" i="22"/>
  <c r="H3" i="20" l="1"/>
  <c r="M200" i="8"/>
  <c r="M166" i="8" l="1"/>
  <c r="M236" i="8" s="1"/>
  <c r="M131" i="8"/>
  <c r="H13" i="14"/>
  <c r="H11" i="15"/>
  <c r="F9" i="7"/>
  <c r="F36" i="7" s="1"/>
  <c r="F59" i="7"/>
  <c r="F58" i="7"/>
  <c r="F47" i="7"/>
  <c r="F46" i="7"/>
  <c r="F45" i="7"/>
  <c r="F44" i="7"/>
  <c r="B98" i="8"/>
  <c r="B97" i="8"/>
  <c r="B96" i="8"/>
  <c r="B110" i="8"/>
  <c r="B109" i="8"/>
  <c r="F35" i="7" l="1"/>
  <c r="J35" i="7" l="1"/>
  <c r="G35" i="7"/>
  <c r="L35" i="7"/>
  <c r="F31" i="7"/>
  <c r="F29" i="7"/>
  <c r="F27" i="7"/>
  <c r="F25" i="7"/>
  <c r="F23" i="7"/>
  <c r="F34" i="7"/>
  <c r="F33" i="7"/>
  <c r="F32" i="7" s="1"/>
  <c r="F21" i="7"/>
  <c r="F20" i="7"/>
  <c r="L9" i="7"/>
  <c r="F18" i="7"/>
  <c r="F17" i="7"/>
  <c r="F15" i="7"/>
  <c r="F14" i="7"/>
  <c r="F12" i="7"/>
  <c r="G9" i="7"/>
  <c r="F11" i="7"/>
  <c r="G11" i="7" l="1"/>
  <c r="J11" i="7"/>
  <c r="L11" i="7"/>
  <c r="G15" i="7"/>
  <c r="J15" i="7"/>
  <c r="L15" i="7"/>
  <c r="G20" i="7"/>
  <c r="L20" i="7"/>
  <c r="J20" i="7"/>
  <c r="G12" i="7"/>
  <c r="L12" i="7"/>
  <c r="J12" i="7"/>
  <c r="G17" i="7"/>
  <c r="J17" i="7"/>
  <c r="L17" i="7"/>
  <c r="G14" i="7"/>
  <c r="J14" i="7"/>
  <c r="L14" i="7"/>
  <c r="G18" i="7"/>
  <c r="L18" i="7"/>
  <c r="J18" i="7"/>
  <c r="G21" i="7"/>
  <c r="C98" i="8" s="1"/>
  <c r="J21" i="7"/>
  <c r="L21" i="7"/>
  <c r="J25" i="7"/>
  <c r="L25" i="7"/>
  <c r="J27" i="7"/>
  <c r="L27" i="7"/>
  <c r="J23" i="7"/>
  <c r="L23" i="7"/>
  <c r="G34" i="7"/>
  <c r="J34" i="7"/>
  <c r="L34" i="7"/>
  <c r="K33" i="7"/>
  <c r="J33" i="7"/>
  <c r="L33" i="7"/>
  <c r="F19" i="7"/>
  <c r="J19" i="7" s="1"/>
  <c r="L32" i="7"/>
  <c r="J32" i="7"/>
  <c r="G32" i="7"/>
  <c r="C109" i="8" s="1"/>
  <c r="K20" i="7"/>
  <c r="K21" i="7"/>
  <c r="L185" i="8"/>
  <c r="L200" i="8" s="1"/>
  <c r="K185" i="8"/>
  <c r="K200" i="8" s="1"/>
  <c r="J185" i="8"/>
  <c r="J200" i="8" s="1"/>
  <c r="F200" i="8"/>
  <c r="G200" i="8"/>
  <c r="H200" i="8"/>
  <c r="I200" i="8"/>
  <c r="E60" i="26"/>
  <c r="E62" i="26"/>
  <c r="C81" i="8"/>
  <c r="C80" i="8"/>
  <c r="C79" i="8"/>
  <c r="J33" i="26"/>
  <c r="C78" i="8" s="1"/>
  <c r="J28" i="26"/>
  <c r="C77" i="8" s="1"/>
  <c r="I60" i="26" l="1"/>
  <c r="AD59" i="26"/>
  <c r="AA59" i="26"/>
  <c r="AC59" i="26"/>
  <c r="AB59" i="26"/>
  <c r="I62" i="26"/>
  <c r="AD61" i="26"/>
  <c r="AB61" i="26"/>
  <c r="AA61" i="26"/>
  <c r="AC61" i="26"/>
  <c r="Q21" i="7"/>
  <c r="P21" i="7"/>
  <c r="O21" i="7"/>
  <c r="Q20" i="7"/>
  <c r="P20" i="7"/>
  <c r="O20" i="7"/>
  <c r="K62" i="26"/>
  <c r="L19" i="7"/>
  <c r="G19" i="7"/>
  <c r="C96" i="8" s="1"/>
  <c r="E61" i="26"/>
  <c r="J23" i="26"/>
  <c r="C76" i="8" s="1"/>
  <c r="J18" i="26"/>
  <c r="C75" i="8" s="1"/>
  <c r="B23" i="26"/>
  <c r="C73" i="8" s="1"/>
  <c r="B18" i="13"/>
  <c r="B18" i="26"/>
  <c r="AC39" i="26"/>
  <c r="AB39" i="26"/>
  <c r="AA39" i="26"/>
  <c r="E40" i="26"/>
  <c r="AD39" i="26" s="1"/>
  <c r="E52" i="26"/>
  <c r="E51" i="26"/>
  <c r="C82" i="8"/>
  <c r="H7" i="17"/>
  <c r="F7" i="17"/>
  <c r="E7" i="17"/>
  <c r="D7" i="17"/>
  <c r="H4" i="27"/>
  <c r="H2" i="27"/>
  <c r="H5" i="3"/>
  <c r="E70" i="26"/>
  <c r="E67" i="26"/>
  <c r="C186" i="8" s="1"/>
  <c r="E66" i="26"/>
  <c r="I66" i="26" s="1"/>
  <c r="E65" i="26"/>
  <c r="E64" i="26"/>
  <c r="I64" i="26" s="1"/>
  <c r="E58" i="26"/>
  <c r="E56" i="26"/>
  <c r="E54" i="26"/>
  <c r="E49" i="26"/>
  <c r="E48" i="26"/>
  <c r="E46" i="26"/>
  <c r="E45" i="26"/>
  <c r="E43" i="26"/>
  <c r="E42" i="26"/>
  <c r="F28" i="26"/>
  <c r="O13" i="26"/>
  <c r="J13" i="26"/>
  <c r="C74" i="8" s="1"/>
  <c r="B13" i="26"/>
  <c r="C71" i="8" s="1"/>
  <c r="O8" i="26"/>
  <c r="J8" i="26"/>
  <c r="B8" i="26"/>
  <c r="C70" i="8" s="1"/>
  <c r="S2" i="26"/>
  <c r="J28" i="13"/>
  <c r="C62" i="8" s="1"/>
  <c r="J23" i="1"/>
  <c r="C48" i="8" s="1"/>
  <c r="H6" i="16"/>
  <c r="H12" i="15"/>
  <c r="F68" i="7" s="1"/>
  <c r="H12" i="14"/>
  <c r="I51" i="26" l="1"/>
  <c r="AD50" i="26"/>
  <c r="AA50" i="26"/>
  <c r="AC50" i="26"/>
  <c r="AB50" i="26"/>
  <c r="AD51" i="26"/>
  <c r="AA51" i="26"/>
  <c r="AC51" i="26"/>
  <c r="AB51" i="26"/>
  <c r="I58" i="26"/>
  <c r="AD57" i="26"/>
  <c r="AC57" i="26"/>
  <c r="AA57" i="26"/>
  <c r="AB57" i="26"/>
  <c r="I43" i="26"/>
  <c r="AD42" i="26"/>
  <c r="AC42" i="26"/>
  <c r="AB42" i="26"/>
  <c r="AA42" i="26"/>
  <c r="AD41" i="26"/>
  <c r="AB41" i="26"/>
  <c r="AA41" i="26"/>
  <c r="AC41" i="26"/>
  <c r="AB55" i="26"/>
  <c r="AA55" i="26"/>
  <c r="AD55" i="26"/>
  <c r="AC55" i="26"/>
  <c r="AD53" i="26"/>
  <c r="AA53" i="26"/>
  <c r="AC53" i="26"/>
  <c r="AB53" i="26"/>
  <c r="AA70" i="26"/>
  <c r="K70" i="26"/>
  <c r="I70" i="26"/>
  <c r="AD44" i="26"/>
  <c r="AC44" i="26"/>
  <c r="AB44" i="26"/>
  <c r="AA44" i="26"/>
  <c r="I49" i="26"/>
  <c r="AD48" i="26"/>
  <c r="AC48" i="26"/>
  <c r="AB48" i="26"/>
  <c r="AA48" i="26"/>
  <c r="AD47" i="26"/>
  <c r="AC47" i="26"/>
  <c r="AB47" i="26"/>
  <c r="AA47" i="26"/>
  <c r="I46" i="26"/>
  <c r="AD45" i="26"/>
  <c r="AC45" i="26"/>
  <c r="AB45" i="26"/>
  <c r="AA45" i="26"/>
  <c r="I54" i="26"/>
  <c r="I52" i="26"/>
  <c r="I48" i="26"/>
  <c r="I56" i="26"/>
  <c r="I45" i="26"/>
  <c r="I42" i="26"/>
  <c r="K61" i="26"/>
  <c r="AC60" i="26"/>
  <c r="AA60" i="26"/>
  <c r="AB60" i="26"/>
  <c r="I61" i="26"/>
  <c r="AD60" i="26"/>
  <c r="AB63" i="26"/>
  <c r="K67" i="26"/>
  <c r="AB66" i="26" s="1"/>
  <c r="I40" i="26"/>
  <c r="E47" i="26"/>
  <c r="AB46" i="26" s="1"/>
  <c r="C72" i="8"/>
  <c r="C69" i="8" s="1"/>
  <c r="AD64" i="26"/>
  <c r="K65" i="26"/>
  <c r="F211" i="8" s="1"/>
  <c r="C212" i="8" s="1"/>
  <c r="I65" i="26"/>
  <c r="K52" i="26"/>
  <c r="E50" i="26"/>
  <c r="AC49" i="26" s="1"/>
  <c r="K51" i="26"/>
  <c r="E44" i="26"/>
  <c r="AB43" i="26" s="1"/>
  <c r="E59" i="26"/>
  <c r="AB58" i="26" s="1"/>
  <c r="E53" i="26"/>
  <c r="AB52" i="26" s="1"/>
  <c r="AD63" i="26"/>
  <c r="E41" i="26"/>
  <c r="AB40" i="26" s="1"/>
  <c r="K40" i="26"/>
  <c r="K43" i="26"/>
  <c r="K46" i="26"/>
  <c r="K49" i="26"/>
  <c r="K58" i="26"/>
  <c r="AC63" i="26"/>
  <c r="K66" i="26"/>
  <c r="F213" i="8" s="1"/>
  <c r="C214" i="8" s="1"/>
  <c r="AD66" i="26"/>
  <c r="E57" i="26"/>
  <c r="K42" i="26"/>
  <c r="K45" i="26"/>
  <c r="K48" i="26"/>
  <c r="K54" i="26"/>
  <c r="K60" i="26"/>
  <c r="AD65" i="26"/>
  <c r="I67" i="26"/>
  <c r="K56" i="26"/>
  <c r="K64" i="26"/>
  <c r="E55" i="26"/>
  <c r="E63" i="26"/>
  <c r="I63" i="26" s="1"/>
  <c r="AA63" i="26"/>
  <c r="H11" i="14"/>
  <c r="F5" i="19"/>
  <c r="E5" i="19"/>
  <c r="D5" i="19"/>
  <c r="B13" i="13"/>
  <c r="B8" i="13"/>
  <c r="B13" i="1"/>
  <c r="B8" i="1"/>
  <c r="K151" i="8"/>
  <c r="K166" i="8" s="1"/>
  <c r="K221" i="8" s="1"/>
  <c r="K236" i="8" s="1"/>
  <c r="K131" i="8"/>
  <c r="H4" i="15"/>
  <c r="F67" i="7" s="1"/>
  <c r="H4" i="14"/>
  <c r="C213" i="8" l="1"/>
  <c r="D214" i="8"/>
  <c r="D212" i="8"/>
  <c r="C211" i="8"/>
  <c r="AA66" i="26"/>
  <c r="AC66" i="26"/>
  <c r="B36" i="26"/>
  <c r="AD46" i="26"/>
  <c r="K47" i="26"/>
  <c r="AC46" i="26"/>
  <c r="AA46" i="26"/>
  <c r="I47" i="26"/>
  <c r="AC64" i="26"/>
  <c r="AA64" i="26"/>
  <c r="AB64" i="26"/>
  <c r="I59" i="26"/>
  <c r="AA58" i="26"/>
  <c r="K59" i="26"/>
  <c r="AD58" i="26"/>
  <c r="AC58" i="26"/>
  <c r="AA40" i="26"/>
  <c r="AD40" i="26"/>
  <c r="K41" i="26"/>
  <c r="I41" i="26"/>
  <c r="AC40" i="26"/>
  <c r="I50" i="26"/>
  <c r="K50" i="26"/>
  <c r="AD49" i="26"/>
  <c r="AB49" i="26"/>
  <c r="AA49" i="26"/>
  <c r="AA52" i="26"/>
  <c r="AC52" i="26"/>
  <c r="I53" i="26"/>
  <c r="K53" i="26"/>
  <c r="AD52" i="26"/>
  <c r="AC43" i="26"/>
  <c r="K44" i="26"/>
  <c r="I44" i="26"/>
  <c r="O186" i="8" s="1"/>
  <c r="O187" i="8" s="1"/>
  <c r="AD43" i="26"/>
  <c r="AA43" i="26"/>
  <c r="I55" i="26"/>
  <c r="M201" i="8" s="1"/>
  <c r="M202" i="8" s="1"/>
  <c r="AC54" i="26"/>
  <c r="AB54" i="26"/>
  <c r="AA54" i="26"/>
  <c r="K55" i="26"/>
  <c r="AD54" i="26"/>
  <c r="AC65" i="26"/>
  <c r="AB65" i="26"/>
  <c r="AA65" i="26"/>
  <c r="AD56" i="26"/>
  <c r="AC56" i="26"/>
  <c r="AA56" i="26"/>
  <c r="AB56" i="26"/>
  <c r="K57" i="26"/>
  <c r="I57" i="26"/>
  <c r="AD62" i="26"/>
  <c r="AC62" i="26"/>
  <c r="AB62" i="26"/>
  <c r="AA62" i="26"/>
  <c r="K63" i="26"/>
  <c r="C66" i="8"/>
  <c r="E57" i="13"/>
  <c r="K57" i="13" s="1"/>
  <c r="F23" i="13"/>
  <c r="L151" i="8"/>
  <c r="L166" i="8" s="1"/>
  <c r="L236" i="8" s="1"/>
  <c r="L131" i="8"/>
  <c r="C52" i="8"/>
  <c r="F18" i="1"/>
  <c r="H10" i="15"/>
  <c r="F65" i="7" s="1"/>
  <c r="H10" i="14"/>
  <c r="E47" i="1"/>
  <c r="I47" i="1" s="1"/>
  <c r="H5" i="23"/>
  <c r="H4" i="23"/>
  <c r="H3" i="23"/>
  <c r="H2" i="23"/>
  <c r="J151" i="8"/>
  <c r="F201" i="8" l="1"/>
  <c r="F202" i="8" s="1"/>
  <c r="C201" i="8" s="1"/>
  <c r="L201" i="8"/>
  <c r="L202" i="8" s="1"/>
  <c r="N201" i="8"/>
  <c r="J201" i="8"/>
  <c r="J202" i="8" s="1"/>
  <c r="K201" i="8"/>
  <c r="I201" i="8"/>
  <c r="I202" i="8" s="1"/>
  <c r="G201" i="8"/>
  <c r="G202" i="8" s="1"/>
  <c r="H201" i="8"/>
  <c r="H202" i="8" s="1"/>
  <c r="N186" i="8"/>
  <c r="N187" i="8" s="1"/>
  <c r="M186" i="8"/>
  <c r="M187" i="8" s="1"/>
  <c r="L186" i="8"/>
  <c r="L187" i="8" s="1"/>
  <c r="K186" i="8"/>
  <c r="J186" i="8"/>
  <c r="J187" i="8" s="1"/>
  <c r="H186" i="8"/>
  <c r="H187" i="8" s="1"/>
  <c r="F186" i="8"/>
  <c r="F187" i="8" s="1"/>
  <c r="C188" i="8" s="1"/>
  <c r="G186" i="8"/>
  <c r="G187" i="8" s="1"/>
  <c r="I186" i="8"/>
  <c r="I187" i="8" s="1"/>
  <c r="AC67" i="26"/>
  <c r="AA67" i="26"/>
  <c r="AB67" i="26"/>
  <c r="L221" i="8"/>
  <c r="C152" i="8"/>
  <c r="C117" i="8"/>
  <c r="AD57" i="13"/>
  <c r="AB57" i="13"/>
  <c r="AA57" i="13"/>
  <c r="AC57" i="13"/>
  <c r="I57" i="13"/>
  <c r="G36" i="7"/>
  <c r="C222" i="8" s="1"/>
  <c r="L36" i="7"/>
  <c r="K36" i="7"/>
  <c r="J36" i="7"/>
  <c r="AD47" i="1"/>
  <c r="AA47" i="1"/>
  <c r="AC47" i="1"/>
  <c r="AB47" i="1"/>
  <c r="K47" i="1"/>
  <c r="J221" i="8"/>
  <c r="J166" i="8"/>
  <c r="J236" i="8" s="1"/>
  <c r="C202" i="8" l="1"/>
  <c r="D202" i="8" s="1"/>
  <c r="C209" i="8"/>
  <c r="K202" i="8"/>
  <c r="C210" i="8"/>
  <c r="D210" i="8" s="1"/>
  <c r="N202" i="8"/>
  <c r="C216" i="8"/>
  <c r="C215" i="8" s="1"/>
  <c r="D201" i="8"/>
  <c r="C199" i="8"/>
  <c r="D199" i="8" s="1"/>
  <c r="C198" i="8"/>
  <c r="K187" i="8"/>
  <c r="C189" i="8"/>
  <c r="D189" i="8" s="1"/>
  <c r="D188" i="8"/>
  <c r="C113" i="8"/>
  <c r="R36" i="7" s="1"/>
  <c r="Q36" i="7"/>
  <c r="P36" i="7"/>
  <c r="O36" i="7"/>
  <c r="J131" i="8"/>
  <c r="H9" i="15"/>
  <c r="F64" i="7" s="1"/>
  <c r="H9" i="14"/>
  <c r="C203" i="8" l="1"/>
  <c r="D203" i="8" s="1"/>
  <c r="C190" i="8"/>
  <c r="D190" i="8" s="1"/>
  <c r="E37" i="13"/>
  <c r="I166" i="8"/>
  <c r="I236" i="8" s="1"/>
  <c r="I221" i="8"/>
  <c r="I131" i="8"/>
  <c r="H8" i="15"/>
  <c r="F63" i="7" s="1"/>
  <c r="H8" i="14"/>
  <c r="AD37" i="13" l="1"/>
  <c r="AC37" i="13"/>
  <c r="AB37" i="13"/>
  <c r="AA37" i="13"/>
  <c r="I37" i="13"/>
  <c r="C204" i="8"/>
  <c r="D204" i="8" s="1"/>
  <c r="C191" i="8"/>
  <c r="D191" i="8" s="1"/>
  <c r="L1" i="7"/>
  <c r="S2" i="13"/>
  <c r="S2" i="1"/>
  <c r="C205" i="8" l="1"/>
  <c r="D205" i="8" s="1"/>
  <c r="C192" i="8"/>
  <c r="D192" i="8" s="1"/>
  <c r="H4" i="22"/>
  <c r="H2" i="22"/>
  <c r="C206" i="8" l="1"/>
  <c r="C193" i="8"/>
  <c r="D193" i="8" s="1"/>
  <c r="H221" i="8"/>
  <c r="G221" i="8"/>
  <c r="F221" i="8"/>
  <c r="H166" i="8"/>
  <c r="H236" i="8" s="1"/>
  <c r="G166" i="8"/>
  <c r="G236" i="8" s="1"/>
  <c r="F166" i="8"/>
  <c r="F236" i="8" s="1"/>
  <c r="F131" i="8"/>
  <c r="G131" i="8"/>
  <c r="H131" i="8"/>
  <c r="D206" i="8" l="1"/>
  <c r="C207" i="8"/>
  <c r="C194" i="8"/>
  <c r="D194" i="8" s="1"/>
  <c r="J23" i="13"/>
  <c r="C61" i="8" s="1"/>
  <c r="J18" i="13"/>
  <c r="C60" i="8" s="1"/>
  <c r="J13" i="13"/>
  <c r="C59" i="8" s="1"/>
  <c r="J18" i="1"/>
  <c r="J13" i="1"/>
  <c r="D207" i="8" l="1"/>
  <c r="C208" i="8"/>
  <c r="C195" i="8"/>
  <c r="D195" i="8" s="1"/>
  <c r="C47" i="8"/>
  <c r="C46" i="8"/>
  <c r="J8" i="13"/>
  <c r="J8" i="1"/>
  <c r="C196" i="8" l="1"/>
  <c r="J31" i="7"/>
  <c r="F30" i="7"/>
  <c r="L31" i="7"/>
  <c r="L29" i="7"/>
  <c r="J29" i="7"/>
  <c r="F28" i="7"/>
  <c r="F13" i="7"/>
  <c r="F10" i="7"/>
  <c r="F16" i="7"/>
  <c r="D196" i="8" l="1"/>
  <c r="C197" i="8"/>
  <c r="O33" i="7"/>
  <c r="P33" i="7"/>
  <c r="Q33" i="7"/>
  <c r="K32" i="7"/>
  <c r="R32" i="7"/>
  <c r="R21" i="7"/>
  <c r="L28" i="7"/>
  <c r="J28" i="7"/>
  <c r="G28" i="7"/>
  <c r="G30" i="7"/>
  <c r="L30" i="7"/>
  <c r="J30" i="7"/>
  <c r="B112" i="8"/>
  <c r="B107" i="8"/>
  <c r="B108" i="8"/>
  <c r="B111" i="8"/>
  <c r="B103" i="8"/>
  <c r="B104" i="8"/>
  <c r="B105" i="8"/>
  <c r="B106" i="8"/>
  <c r="B100" i="8"/>
  <c r="B101" i="8"/>
  <c r="B102" i="8"/>
  <c r="B87" i="8"/>
  <c r="B88" i="8"/>
  <c r="B89" i="8"/>
  <c r="B90" i="8"/>
  <c r="B91" i="8"/>
  <c r="B92" i="8"/>
  <c r="B93" i="8"/>
  <c r="B94" i="8"/>
  <c r="B95" i="8"/>
  <c r="B99" i="8"/>
  <c r="B86" i="8"/>
  <c r="H3" i="19"/>
  <c r="H4" i="19"/>
  <c r="H5" i="19"/>
  <c r="H2" i="19"/>
  <c r="H3" i="17"/>
  <c r="H4" i="17"/>
  <c r="H5" i="17"/>
  <c r="H6" i="17"/>
  <c r="H2" i="17"/>
  <c r="H3" i="15"/>
  <c r="H5" i="15"/>
  <c r="F60" i="7" s="1"/>
  <c r="H6" i="15"/>
  <c r="F61" i="7" s="1"/>
  <c r="H7" i="15"/>
  <c r="F62" i="7" s="1"/>
  <c r="H2" i="15"/>
  <c r="H3" i="14"/>
  <c r="H5" i="14"/>
  <c r="H6" i="14"/>
  <c r="H7" i="14"/>
  <c r="H2" i="14"/>
  <c r="H3" i="16"/>
  <c r="H4" i="16"/>
  <c r="H5" i="16"/>
  <c r="H2" i="16"/>
  <c r="H3" i="18"/>
  <c r="H4" i="18"/>
  <c r="H5" i="18"/>
  <c r="H6" i="18"/>
  <c r="H7" i="18"/>
  <c r="H8" i="18"/>
  <c r="H2" i="18"/>
  <c r="H4" i="20"/>
  <c r="H2" i="20"/>
  <c r="H3" i="21"/>
  <c r="H4" i="21"/>
  <c r="H5" i="21"/>
  <c r="H2" i="21"/>
  <c r="H3" i="3"/>
  <c r="H4" i="3"/>
  <c r="H2" i="3"/>
  <c r="C65" i="8"/>
  <c r="C64" i="8"/>
  <c r="C63" i="8"/>
  <c r="O13" i="13"/>
  <c r="O8" i="13"/>
  <c r="C58" i="8"/>
  <c r="C57" i="8"/>
  <c r="E35" i="13"/>
  <c r="K35" i="13" s="1"/>
  <c r="B74" i="26" l="1"/>
  <c r="G25" i="7"/>
  <c r="G23" i="7"/>
  <c r="G33" i="7"/>
  <c r="G27" i="7"/>
  <c r="G29" i="7"/>
  <c r="R29" i="7" s="1"/>
  <c r="G31" i="7"/>
  <c r="O32" i="7"/>
  <c r="P32" i="7"/>
  <c r="Q32" i="7"/>
  <c r="K19" i="7"/>
  <c r="R19" i="7"/>
  <c r="R12" i="7"/>
  <c r="R11" i="7"/>
  <c r="R15" i="7"/>
  <c r="K35" i="7"/>
  <c r="J70" i="7" s="1"/>
  <c r="R35" i="7"/>
  <c r="K34" i="7"/>
  <c r="J69" i="7" s="1"/>
  <c r="R34" i="7"/>
  <c r="AA35" i="13"/>
  <c r="I35" i="13"/>
  <c r="AB35" i="13"/>
  <c r="AD35" i="13"/>
  <c r="AC35" i="13"/>
  <c r="K14" i="7"/>
  <c r="K11" i="7"/>
  <c r="K15" i="7"/>
  <c r="K12" i="7"/>
  <c r="L13" i="7"/>
  <c r="L10" i="7"/>
  <c r="E30" i="1"/>
  <c r="O13" i="1"/>
  <c r="O8" i="1"/>
  <c r="F5" i="17"/>
  <c r="F6" i="17" s="1"/>
  <c r="E5" i="17"/>
  <c r="E6" i="17" s="1"/>
  <c r="D5" i="17"/>
  <c r="D6" i="17" s="1"/>
  <c r="E60" i="13"/>
  <c r="E56" i="13"/>
  <c r="E55" i="13"/>
  <c r="E54" i="13"/>
  <c r="E53" i="13" s="1"/>
  <c r="E52" i="13"/>
  <c r="E50" i="13"/>
  <c r="E48" i="13"/>
  <c r="E46" i="13"/>
  <c r="E44" i="13"/>
  <c r="E43" i="13"/>
  <c r="E41" i="13"/>
  <c r="E40" i="13"/>
  <c r="E38" i="13"/>
  <c r="C56" i="8"/>
  <c r="C55" i="8" s="1"/>
  <c r="O12" i="7" l="1"/>
  <c r="Q12" i="7"/>
  <c r="P12" i="7"/>
  <c r="Q15" i="7"/>
  <c r="P15" i="7"/>
  <c r="O15" i="7"/>
  <c r="P11" i="7"/>
  <c r="O11" i="7"/>
  <c r="Q11" i="7"/>
  <c r="P14" i="7"/>
  <c r="Q14" i="7"/>
  <c r="O14" i="7"/>
  <c r="AD40" i="13"/>
  <c r="AC40" i="13"/>
  <c r="AB40" i="13"/>
  <c r="AA40" i="13"/>
  <c r="I40" i="13"/>
  <c r="AD41" i="13"/>
  <c r="AC41" i="13"/>
  <c r="AB41" i="13"/>
  <c r="AA41" i="13"/>
  <c r="I41" i="13"/>
  <c r="AD43" i="13"/>
  <c r="AC43" i="13"/>
  <c r="AB43" i="13"/>
  <c r="AA43" i="13"/>
  <c r="I43" i="13"/>
  <c r="AC44" i="13"/>
  <c r="AB44" i="13"/>
  <c r="AA44" i="13"/>
  <c r="I44" i="13"/>
  <c r="AD44" i="13"/>
  <c r="AD52" i="13"/>
  <c r="AC52" i="13"/>
  <c r="AA52" i="13"/>
  <c r="I52" i="13"/>
  <c r="AB52" i="13"/>
  <c r="I50" i="13"/>
  <c r="AC50" i="13"/>
  <c r="AB50" i="13"/>
  <c r="AA50" i="13"/>
  <c r="Z50" i="13"/>
  <c r="AC48" i="13"/>
  <c r="I48" i="13"/>
  <c r="Z48" i="13"/>
  <c r="AB48" i="13"/>
  <c r="AA48" i="13"/>
  <c r="AC46" i="13"/>
  <c r="AB46" i="13"/>
  <c r="I46" i="13"/>
  <c r="AA46" i="13"/>
  <c r="Z46" i="13"/>
  <c r="I38" i="13"/>
  <c r="AD38" i="13"/>
  <c r="AC38" i="13"/>
  <c r="AB38" i="13"/>
  <c r="AA38" i="13"/>
  <c r="F249" i="8"/>
  <c r="C250" i="8" s="1"/>
  <c r="C249" i="8" s="1"/>
  <c r="F247" i="8"/>
  <c r="Q34" i="7"/>
  <c r="P34" i="7"/>
  <c r="O34" i="7"/>
  <c r="O19" i="7"/>
  <c r="Q19" i="7"/>
  <c r="P19" i="7"/>
  <c r="AD54" i="13"/>
  <c r="AC54" i="13"/>
  <c r="AA54" i="13"/>
  <c r="I54" i="13"/>
  <c r="AB54" i="13"/>
  <c r="E36" i="13"/>
  <c r="E42" i="13"/>
  <c r="E39" i="13"/>
  <c r="C92" i="8"/>
  <c r="R25" i="7"/>
  <c r="R27" i="7"/>
  <c r="I60" i="13"/>
  <c r="AA60" i="13"/>
  <c r="K60" i="13"/>
  <c r="R14" i="7"/>
  <c r="C91" i="8" s="1"/>
  <c r="AB30" i="1"/>
  <c r="K30" i="1"/>
  <c r="AA30" i="1"/>
  <c r="AD30" i="1"/>
  <c r="I30" i="1"/>
  <c r="AC30" i="1"/>
  <c r="C88" i="8"/>
  <c r="C89" i="8"/>
  <c r="E51" i="13"/>
  <c r="K52" i="13"/>
  <c r="K54" i="13"/>
  <c r="G13" i="7"/>
  <c r="R13" i="7" s="1"/>
  <c r="J13" i="7"/>
  <c r="G10" i="7"/>
  <c r="R10" i="7" s="1"/>
  <c r="J10" i="7"/>
  <c r="I56" i="13"/>
  <c r="K56" i="13"/>
  <c r="F179" i="8" s="1"/>
  <c r="C180" i="8" s="1"/>
  <c r="AD56" i="13"/>
  <c r="AD55" i="13"/>
  <c r="I55" i="13"/>
  <c r="K55" i="13"/>
  <c r="F177" i="8" s="1"/>
  <c r="C178" i="8" s="1"/>
  <c r="C177" i="8" s="1"/>
  <c r="E49" i="13"/>
  <c r="K50" i="13"/>
  <c r="K48" i="13"/>
  <c r="E47" i="13"/>
  <c r="AA47" i="13" s="1"/>
  <c r="E45" i="13"/>
  <c r="K46" i="13"/>
  <c r="K43" i="13"/>
  <c r="K41" i="13"/>
  <c r="K40" i="13"/>
  <c r="K38" i="13"/>
  <c r="K44" i="13"/>
  <c r="K37" i="13"/>
  <c r="B31" i="13" l="1"/>
  <c r="D250" i="8"/>
  <c r="C248" i="8"/>
  <c r="D248" i="8" s="1"/>
  <c r="C179" i="8"/>
  <c r="D180" i="8"/>
  <c r="I53" i="13"/>
  <c r="AB53" i="13"/>
  <c r="AD53" i="13"/>
  <c r="AC53" i="13"/>
  <c r="AA53" i="13"/>
  <c r="D178" i="8"/>
  <c r="C90" i="8"/>
  <c r="C87" i="8"/>
  <c r="Z51" i="13"/>
  <c r="K51" i="13"/>
  <c r="AC51" i="13"/>
  <c r="AB51" i="13"/>
  <c r="AA51" i="13"/>
  <c r="I51" i="13"/>
  <c r="K53" i="13"/>
  <c r="AB56" i="13"/>
  <c r="AA56" i="13"/>
  <c r="AC56" i="13"/>
  <c r="AB55" i="13"/>
  <c r="AA55" i="13"/>
  <c r="AC55" i="13"/>
  <c r="I49" i="13"/>
  <c r="AB49" i="13"/>
  <c r="AA49" i="13"/>
  <c r="Z49" i="13"/>
  <c r="K49" i="13"/>
  <c r="AC49" i="13"/>
  <c r="I47" i="13"/>
  <c r="M167" i="8" s="1"/>
  <c r="M168" i="8" s="1"/>
  <c r="K47" i="13"/>
  <c r="AB47" i="13"/>
  <c r="Z47" i="13"/>
  <c r="AC47" i="13"/>
  <c r="I45" i="13"/>
  <c r="AC45" i="13"/>
  <c r="K45" i="13"/>
  <c r="AB45" i="13"/>
  <c r="AA45" i="13"/>
  <c r="AD45" i="13"/>
  <c r="AB39" i="13"/>
  <c r="K39" i="13"/>
  <c r="AA39" i="13"/>
  <c r="AD39" i="13"/>
  <c r="I39" i="13"/>
  <c r="AC39" i="13"/>
  <c r="AB42" i="13"/>
  <c r="AA42" i="13"/>
  <c r="K42" i="13"/>
  <c r="AD42" i="13"/>
  <c r="AC42" i="13"/>
  <c r="I42" i="13"/>
  <c r="AC36" i="13"/>
  <c r="AB36" i="13"/>
  <c r="K36" i="13"/>
  <c r="AA36" i="13"/>
  <c r="AD36" i="13"/>
  <c r="I36" i="13"/>
  <c r="E40" i="1"/>
  <c r="E36" i="1"/>
  <c r="E35" i="1"/>
  <c r="E50" i="1"/>
  <c r="I50" i="1" s="1"/>
  <c r="C51" i="8"/>
  <c r="F152" i="8" l="1"/>
  <c r="F153" i="8" s="1"/>
  <c r="C154" i="8" s="1"/>
  <c r="O152" i="8"/>
  <c r="O153" i="8" s="1"/>
  <c r="I36" i="1"/>
  <c r="AD36" i="1"/>
  <c r="AB36" i="1"/>
  <c r="AA36" i="1"/>
  <c r="AC36" i="1"/>
  <c r="I40" i="1"/>
  <c r="AD40" i="1"/>
  <c r="AC40" i="1"/>
  <c r="AB40" i="1"/>
  <c r="AA40" i="1"/>
  <c r="AC35" i="1"/>
  <c r="AB35" i="1"/>
  <c r="I35" i="1"/>
  <c r="AD35" i="1"/>
  <c r="AA35" i="1"/>
  <c r="N167" i="8"/>
  <c r="N168" i="8" s="1"/>
  <c r="C247" i="8"/>
  <c r="N152" i="8"/>
  <c r="N153" i="8" s="1"/>
  <c r="M152" i="8"/>
  <c r="M153" i="8" s="1"/>
  <c r="K152" i="8"/>
  <c r="L167" i="8"/>
  <c r="L168" i="8" s="1"/>
  <c r="K167" i="8"/>
  <c r="E34" i="1"/>
  <c r="L152" i="8"/>
  <c r="L153" i="8" s="1"/>
  <c r="J167" i="8"/>
  <c r="J168" i="8" s="1"/>
  <c r="J152" i="8"/>
  <c r="J153" i="8" s="1"/>
  <c r="I167" i="8"/>
  <c r="I168" i="8" s="1"/>
  <c r="I152" i="8"/>
  <c r="I153" i="8" s="1"/>
  <c r="G152" i="8"/>
  <c r="G153" i="8" s="1"/>
  <c r="H152" i="8"/>
  <c r="H153" i="8" s="1"/>
  <c r="G167" i="8"/>
  <c r="G168" i="8" s="1"/>
  <c r="F167" i="8"/>
  <c r="F168" i="8" s="1"/>
  <c r="C167" i="8" s="1"/>
  <c r="H167" i="8"/>
  <c r="H168" i="8" s="1"/>
  <c r="K36" i="1"/>
  <c r="AA58" i="13"/>
  <c r="AB58" i="13"/>
  <c r="AC58" i="13"/>
  <c r="E39" i="1"/>
  <c r="K40" i="1"/>
  <c r="K35" i="1"/>
  <c r="AA50" i="1"/>
  <c r="K50" i="1"/>
  <c r="C182" i="8" l="1"/>
  <c r="C181" i="8" s="1"/>
  <c r="K153" i="8"/>
  <c r="C164" i="8"/>
  <c r="C165" i="8"/>
  <c r="D165" i="8" s="1"/>
  <c r="K168" i="8"/>
  <c r="C176" i="8"/>
  <c r="D176" i="8" s="1"/>
  <c r="C175" i="8"/>
  <c r="AB39" i="1"/>
  <c r="I39" i="1"/>
  <c r="AD39" i="1"/>
  <c r="AA39" i="1"/>
  <c r="D167" i="8"/>
  <c r="D154" i="8"/>
  <c r="C155" i="8"/>
  <c r="D155" i="8" s="1"/>
  <c r="C168" i="8"/>
  <c r="D168" i="8" s="1"/>
  <c r="K39" i="1"/>
  <c r="AC39" i="1"/>
  <c r="I34" i="1"/>
  <c r="AC34" i="1"/>
  <c r="AD34" i="1"/>
  <c r="AB34" i="1"/>
  <c r="AA34" i="1"/>
  <c r="K34" i="1"/>
  <c r="C45" i="8"/>
  <c r="C44" i="8"/>
  <c r="C50" i="8"/>
  <c r="C49" i="8"/>
  <c r="C43" i="8" l="1"/>
  <c r="C156" i="8"/>
  <c r="C169" i="8"/>
  <c r="E46" i="1"/>
  <c r="E45" i="1"/>
  <c r="E44" i="1"/>
  <c r="E42" i="1"/>
  <c r="E38" i="1"/>
  <c r="E33" i="1"/>
  <c r="E32" i="1"/>
  <c r="I42" i="1" l="1"/>
  <c r="AB42" i="1"/>
  <c r="AD42" i="1"/>
  <c r="AA42" i="1"/>
  <c r="AC42" i="1"/>
  <c r="AD38" i="1"/>
  <c r="AC38" i="1"/>
  <c r="AA38" i="1"/>
  <c r="I38" i="1"/>
  <c r="AB38" i="1"/>
  <c r="AD33" i="1"/>
  <c r="I33" i="1"/>
  <c r="AC33" i="1"/>
  <c r="AB33" i="1"/>
  <c r="AA33" i="1"/>
  <c r="AD32" i="1"/>
  <c r="I32" i="1"/>
  <c r="AC32" i="1"/>
  <c r="AB32" i="1"/>
  <c r="AA32" i="1"/>
  <c r="C170" i="8"/>
  <c r="D170" i="8" s="1"/>
  <c r="D156" i="8"/>
  <c r="AA44" i="1"/>
  <c r="E43" i="1"/>
  <c r="I43" i="1" s="1"/>
  <c r="I44" i="1"/>
  <c r="AD44" i="1"/>
  <c r="AC44" i="1"/>
  <c r="AB44" i="1"/>
  <c r="E31" i="1"/>
  <c r="C157" i="8"/>
  <c r="D169" i="8"/>
  <c r="K44" i="1"/>
  <c r="E41" i="1"/>
  <c r="AA41" i="1" s="1"/>
  <c r="K42" i="1"/>
  <c r="E37" i="1"/>
  <c r="K38" i="1"/>
  <c r="K33" i="1"/>
  <c r="K32" i="1"/>
  <c r="I46" i="1"/>
  <c r="K46" i="1"/>
  <c r="F145" i="8" s="1"/>
  <c r="C146" i="8" s="1"/>
  <c r="AD46" i="1"/>
  <c r="K45" i="1"/>
  <c r="F143" i="8" s="1"/>
  <c r="C144" i="8" s="1"/>
  <c r="C143" i="8" s="1"/>
  <c r="I45" i="1"/>
  <c r="AD45" i="1"/>
  <c r="C171" i="8" l="1"/>
  <c r="D171" i="8" s="1"/>
  <c r="C145" i="8"/>
  <c r="D146" i="8"/>
  <c r="AB43" i="1"/>
  <c r="AA43" i="1"/>
  <c r="AD43" i="1"/>
  <c r="AC43" i="1"/>
  <c r="B26" i="1"/>
  <c r="I37" i="1"/>
  <c r="M132" i="8" s="1"/>
  <c r="M133" i="8" s="1"/>
  <c r="AA37" i="1"/>
  <c r="AD37" i="1"/>
  <c r="D157" i="8"/>
  <c r="C158" i="8"/>
  <c r="D144" i="8"/>
  <c r="K43" i="1"/>
  <c r="I41" i="1"/>
  <c r="N132" i="8" s="1"/>
  <c r="AD41" i="1"/>
  <c r="AC41" i="1"/>
  <c r="AB41" i="1"/>
  <c r="K41" i="1"/>
  <c r="AB37" i="1"/>
  <c r="K37" i="1"/>
  <c r="AC37" i="1"/>
  <c r="K31" i="1"/>
  <c r="AA31" i="1"/>
  <c r="AC31" i="1"/>
  <c r="AB31" i="1"/>
  <c r="AA46" i="1"/>
  <c r="AC46" i="1"/>
  <c r="AB46" i="1"/>
  <c r="AC45" i="1"/>
  <c r="AB45" i="1"/>
  <c r="AA45" i="1"/>
  <c r="AD31" i="1"/>
  <c r="I31" i="1"/>
  <c r="O117" i="8" l="1"/>
  <c r="O118" i="8" s="1"/>
  <c r="C172" i="8"/>
  <c r="D172" i="8" s="1"/>
  <c r="D158" i="8"/>
  <c r="N133" i="8"/>
  <c r="C148" i="8"/>
  <c r="C147" i="8" s="1"/>
  <c r="N117" i="8"/>
  <c r="N118" i="8" s="1"/>
  <c r="M117" i="8"/>
  <c r="M118" i="8" s="1"/>
  <c r="K132" i="8"/>
  <c r="C142" i="8" s="1"/>
  <c r="D142" i="8" s="1"/>
  <c r="L117" i="8"/>
  <c r="L118" i="8" s="1"/>
  <c r="K117" i="8"/>
  <c r="L132" i="8"/>
  <c r="L133" i="8" s="1"/>
  <c r="C159" i="8"/>
  <c r="J132" i="8"/>
  <c r="J133" i="8" s="1"/>
  <c r="I117" i="8"/>
  <c r="I118" i="8" s="1"/>
  <c r="J117" i="8"/>
  <c r="J118" i="8" s="1"/>
  <c r="I132" i="8"/>
  <c r="I133" i="8" s="1"/>
  <c r="F132" i="8"/>
  <c r="F133" i="8" s="1"/>
  <c r="C132" i="8" s="1"/>
  <c r="H132" i="8"/>
  <c r="H133" i="8" s="1"/>
  <c r="G132" i="8"/>
  <c r="G133" i="8" s="1"/>
  <c r="G117" i="8"/>
  <c r="G118" i="8" s="1"/>
  <c r="H117" i="8"/>
  <c r="H118" i="8" s="1"/>
  <c r="F117" i="8"/>
  <c r="F118" i="8" s="1"/>
  <c r="C173" i="8" l="1"/>
  <c r="D173" i="8" s="1"/>
  <c r="D159" i="8"/>
  <c r="C160" i="8"/>
  <c r="C141" i="8"/>
  <c r="K133" i="8"/>
  <c r="K118" i="8"/>
  <c r="C129" i="8"/>
  <c r="C130" i="8"/>
  <c r="D130" i="8" s="1"/>
  <c r="D132" i="8"/>
  <c r="C133" i="8"/>
  <c r="D133" i="8" s="1"/>
  <c r="C119" i="8"/>
  <c r="K23" i="7"/>
  <c r="R9" i="7"/>
  <c r="K31" i="7"/>
  <c r="K29" i="7"/>
  <c r="K25" i="7"/>
  <c r="K27" i="7"/>
  <c r="O9" i="7"/>
  <c r="K13" i="7"/>
  <c r="O13" i="7" s="1"/>
  <c r="J9" i="7"/>
  <c r="Q27" i="7" l="1"/>
  <c r="P27" i="7"/>
  <c r="O27" i="7"/>
  <c r="Q25" i="7"/>
  <c r="P25" i="7"/>
  <c r="O25" i="7"/>
  <c r="Q23" i="7"/>
  <c r="P23" i="7"/>
  <c r="O23" i="7"/>
  <c r="C174" i="8"/>
  <c r="R20" i="7"/>
  <c r="C97" i="8" s="1"/>
  <c r="R33" i="7"/>
  <c r="C110" i="8" s="1"/>
  <c r="R31" i="7"/>
  <c r="C220" i="8"/>
  <c r="C161" i="8"/>
  <c r="D161" i="8" s="1"/>
  <c r="D160" i="8"/>
  <c r="Q29" i="7"/>
  <c r="P29" i="7"/>
  <c r="O29" i="7"/>
  <c r="Q31" i="7"/>
  <c r="P31" i="7"/>
  <c r="O31" i="7"/>
  <c r="C134" i="8"/>
  <c r="C120" i="8"/>
  <c r="D119" i="8"/>
  <c r="Q13" i="7"/>
  <c r="P13" i="7"/>
  <c r="R17" i="7"/>
  <c r="K17" i="7"/>
  <c r="K18" i="7"/>
  <c r="C86" i="8"/>
  <c r="R23" i="7"/>
  <c r="F24" i="7"/>
  <c r="R18" i="7"/>
  <c r="F26" i="7"/>
  <c r="F22" i="7"/>
  <c r="L16" i="7"/>
  <c r="K10" i="7"/>
  <c r="K26" i="7"/>
  <c r="K28" i="7"/>
  <c r="K22" i="7"/>
  <c r="K24" i="7"/>
  <c r="P9" i="7"/>
  <c r="Q9" i="7"/>
  <c r="Q18" i="7" l="1"/>
  <c r="P18" i="7"/>
  <c r="O18" i="7"/>
  <c r="P17" i="7"/>
  <c r="Q17" i="7"/>
  <c r="O17" i="7"/>
  <c r="C162" i="8"/>
  <c r="D162" i="8" s="1"/>
  <c r="Q26" i="7"/>
  <c r="G26" i="7"/>
  <c r="R26" i="7" s="1"/>
  <c r="L26" i="7"/>
  <c r="J26" i="7"/>
  <c r="L22" i="7"/>
  <c r="J22" i="7"/>
  <c r="M237" i="8" s="1"/>
  <c r="M238" i="8" s="1"/>
  <c r="G22" i="7"/>
  <c r="R22" i="7" s="1"/>
  <c r="L24" i="7"/>
  <c r="J24" i="7"/>
  <c r="G24" i="7"/>
  <c r="R24" i="7" s="1"/>
  <c r="Q24" i="7"/>
  <c r="Q22" i="7"/>
  <c r="P28" i="7"/>
  <c r="O28" i="7"/>
  <c r="Q28" i="7"/>
  <c r="D120" i="8"/>
  <c r="C135" i="8"/>
  <c r="D135" i="8" s="1"/>
  <c r="P24" i="7"/>
  <c r="O24" i="7"/>
  <c r="P26" i="7"/>
  <c r="P22" i="7"/>
  <c r="O22" i="7"/>
  <c r="C106" i="8"/>
  <c r="C108" i="8"/>
  <c r="C102" i="8"/>
  <c r="D134" i="8"/>
  <c r="C121" i="8"/>
  <c r="C104" i="8"/>
  <c r="C94" i="8"/>
  <c r="C111" i="8"/>
  <c r="C112" i="8"/>
  <c r="C95" i="8"/>
  <c r="C100" i="8"/>
  <c r="Q10" i="7"/>
  <c r="P10" i="7"/>
  <c r="O10" i="7"/>
  <c r="O26" i="7"/>
  <c r="K16" i="7"/>
  <c r="G16" i="7"/>
  <c r="R16" i="7" s="1"/>
  <c r="J16" i="7"/>
  <c r="R30" i="7"/>
  <c r="R28" i="7"/>
  <c r="K30" i="7"/>
  <c r="J66" i="7" l="1"/>
  <c r="O222" i="8"/>
  <c r="O223" i="8" s="1"/>
  <c r="J56" i="7"/>
  <c r="C163" i="8"/>
  <c r="B64" i="13" s="1"/>
  <c r="J71" i="7"/>
  <c r="J68" i="7"/>
  <c r="J59" i="7"/>
  <c r="J58" i="7"/>
  <c r="J60" i="7"/>
  <c r="J61" i="7"/>
  <c r="J65" i="7"/>
  <c r="J62" i="7"/>
  <c r="J63" i="7"/>
  <c r="J64" i="7"/>
  <c r="J67" i="7"/>
  <c r="J57" i="7"/>
  <c r="J45" i="7"/>
  <c r="J46" i="7"/>
  <c r="J49" i="7"/>
  <c r="J53" i="7"/>
  <c r="J55" i="7"/>
  <c r="J47" i="7"/>
  <c r="J50" i="7"/>
  <c r="J51" i="7"/>
  <c r="J54" i="7"/>
  <c r="J48" i="7"/>
  <c r="J52" i="7"/>
  <c r="J44" i="7"/>
  <c r="N237" i="8"/>
  <c r="N238" i="8" s="1"/>
  <c r="L237" i="8"/>
  <c r="L238" i="8" s="1"/>
  <c r="K237" i="8"/>
  <c r="J237" i="8"/>
  <c r="J238" i="8" s="1"/>
  <c r="I237" i="8"/>
  <c r="I238" i="8" s="1"/>
  <c r="H237" i="8"/>
  <c r="G237" i="8"/>
  <c r="F237" i="8"/>
  <c r="J222" i="8"/>
  <c r="J223" i="8" s="1"/>
  <c r="I222" i="8"/>
  <c r="I223" i="8" s="1"/>
  <c r="L222" i="8"/>
  <c r="L223" i="8" s="1"/>
  <c r="H222" i="8"/>
  <c r="H223" i="8" s="1"/>
  <c r="G222" i="8"/>
  <c r="G223" i="8" s="1"/>
  <c r="F222" i="8"/>
  <c r="F223" i="8" s="1"/>
  <c r="C224" i="8" s="1"/>
  <c r="M222" i="8"/>
  <c r="M223" i="8" s="1"/>
  <c r="N222" i="8"/>
  <c r="N223" i="8" s="1"/>
  <c r="K222" i="8"/>
  <c r="Q30" i="7"/>
  <c r="P30" i="7"/>
  <c r="O30" i="7"/>
  <c r="C136" i="8"/>
  <c r="D136" i="8" s="1"/>
  <c r="H4" i="7"/>
  <c r="C122" i="8"/>
  <c r="D122" i="8" s="1"/>
  <c r="D121" i="8"/>
  <c r="C107" i="8"/>
  <c r="P35" i="7"/>
  <c r="Q35" i="7"/>
  <c r="O35" i="7"/>
  <c r="C103" i="8"/>
  <c r="C93" i="8"/>
  <c r="C105" i="8"/>
  <c r="C101" i="8"/>
  <c r="C99" i="8"/>
  <c r="P16" i="7"/>
  <c r="Q16" i="7"/>
  <c r="O16" i="7"/>
  <c r="C85" i="8" l="1"/>
  <c r="E4" i="7" s="1"/>
  <c r="C252" i="8"/>
  <c r="C251" i="8" s="1"/>
  <c r="K223" i="8"/>
  <c r="C235" i="8"/>
  <c r="D235" i="8" s="1"/>
  <c r="C234" i="8"/>
  <c r="K238" i="8"/>
  <c r="C246" i="8"/>
  <c r="D246" i="8" s="1"/>
  <c r="C245" i="8"/>
  <c r="C137" i="8"/>
  <c r="D137" i="8" s="1"/>
  <c r="C123" i="8"/>
  <c r="C124" i="8" s="1"/>
  <c r="D124" i="8" s="1"/>
  <c r="C225" i="8"/>
  <c r="D225" i="8" s="1"/>
  <c r="D224" i="8"/>
  <c r="G238" i="8"/>
  <c r="H238" i="8"/>
  <c r="F238" i="8"/>
  <c r="C237" i="8" s="1"/>
  <c r="C138" i="8" l="1"/>
  <c r="D138" i="8" s="1"/>
  <c r="C125" i="8"/>
  <c r="C126" i="8" s="1"/>
  <c r="D126" i="8" s="1"/>
  <c r="D123" i="8"/>
  <c r="C238" i="8"/>
  <c r="C226" i="8"/>
  <c r="D237" i="8"/>
  <c r="E5" i="7"/>
  <c r="C140" i="8" l="1"/>
  <c r="C127" i="8"/>
  <c r="D127" i="8" s="1"/>
  <c r="D125" i="8"/>
  <c r="D238" i="8"/>
  <c r="D226" i="8"/>
  <c r="C227" i="8"/>
  <c r="C239" i="8"/>
  <c r="C128" i="8" l="1"/>
  <c r="B54" i="1"/>
  <c r="C228" i="8"/>
  <c r="D228" i="8" s="1"/>
  <c r="D239" i="8"/>
  <c r="D227" i="8"/>
  <c r="C240" i="8"/>
  <c r="D240" i="8" s="1"/>
  <c r="C229" i="8" l="1"/>
  <c r="C230" i="8" s="1"/>
  <c r="D230" i="8" s="1"/>
  <c r="C241" i="8"/>
  <c r="D241" i="8" s="1"/>
  <c r="C231" i="8" l="1"/>
  <c r="D231" i="8" s="1"/>
  <c r="D229" i="8"/>
  <c r="C242" i="8"/>
  <c r="D242" i="8" s="1"/>
  <c r="C243" i="8" l="1"/>
  <c r="D243" i="8" s="1"/>
  <c r="C232" i="8"/>
  <c r="D232" i="8" s="1"/>
  <c r="C244" i="8" l="1"/>
  <c r="C233" i="8"/>
  <c r="C39" i="7" l="1"/>
</calcChain>
</file>

<file path=xl/sharedStrings.xml><?xml version="1.0" encoding="utf-8"?>
<sst xmlns="http://schemas.openxmlformats.org/spreadsheetml/2006/main" count="993" uniqueCount="397">
  <si>
    <r>
      <t xml:space="preserve">This file allows you to create </t>
    </r>
    <r>
      <rPr>
        <b/>
        <sz val="11"/>
        <color theme="1"/>
        <rFont val="Calibri"/>
        <family val="2"/>
        <scheme val="minor"/>
      </rPr>
      <t>custom</t>
    </r>
    <r>
      <rPr>
        <sz val="11"/>
        <color theme="1"/>
        <rFont val="Calibri"/>
        <family val="2"/>
        <scheme val="minor"/>
      </rPr>
      <t xml:space="preserve"> versions of the Aquilon C and Aquilon C+</t>
    </r>
  </si>
  <si>
    <t>There are 3  tabs :</t>
  </si>
  <si>
    <t xml:space="preserve">     - Aquilon C (4RU): use this tab to configure Aquilon C and get the corresponding ordering number</t>
  </si>
  <si>
    <r>
      <t>All the configurable items are highlighted in</t>
    </r>
    <r>
      <rPr>
        <b/>
        <sz val="11"/>
        <color theme="4"/>
        <rFont val="Calibri"/>
        <family val="2"/>
        <scheme val="minor"/>
      </rPr>
      <t xml:space="preserve"> light blue</t>
    </r>
    <r>
      <rPr>
        <sz val="11"/>
        <color theme="1"/>
        <rFont val="Calibri"/>
        <family val="2"/>
        <scheme val="minor"/>
      </rPr>
      <t>.</t>
    </r>
  </si>
  <si>
    <r>
      <t xml:space="preserve">Informative or Warning messages are in </t>
    </r>
    <r>
      <rPr>
        <b/>
        <sz val="11"/>
        <color theme="5"/>
        <rFont val="Calibri"/>
        <family val="2"/>
        <scheme val="minor"/>
      </rPr>
      <t>orange</t>
    </r>
    <r>
      <rPr>
        <sz val="11"/>
        <color theme="1"/>
        <rFont val="Calibri"/>
        <family val="2"/>
        <scheme val="minor"/>
      </rPr>
      <t xml:space="preserve"> or </t>
    </r>
    <r>
      <rPr>
        <b/>
        <sz val="11"/>
        <color rgb="FFFF0000"/>
        <rFont val="Calibri"/>
        <family val="2"/>
        <scheme val="minor"/>
      </rPr>
      <t>red.</t>
    </r>
  </si>
  <si>
    <t>CONFIGURATOR AQUILON C (4RU)</t>
  </si>
  <si>
    <t>SELECT INPUT CONNECTOR SLOT 1</t>
  </si>
  <si>
    <t>SELECT INPUT CONNECTOR SLOT 2</t>
  </si>
  <si>
    <t>SELECT OUTPUT CONNECTOR SLOT 1</t>
  </si>
  <si>
    <t>SELECT VIDEO PROCESSING CARD</t>
  </si>
  <si>
    <t>EMPTY SLOT (no input card)</t>
  </si>
  <si>
    <t>EMPTY SLOT (no output card)</t>
  </si>
  <si>
    <t>NO VIDEO PROCESSING CARD</t>
  </si>
  <si>
    <t>SELECT INPUT CONNECTOR SLOT 3</t>
  </si>
  <si>
    <t>SELECT INPUT CONNECTOR SLOT 4</t>
  </si>
  <si>
    <t>SELECT OUTPUT CONNECTOR SLOT 2</t>
  </si>
  <si>
    <t>SELECT IMAGE PROCESSING CARD</t>
  </si>
  <si>
    <t>USB / Sync</t>
  </si>
  <si>
    <t>FrameLock / LAN / MVW</t>
  </si>
  <si>
    <t>SELECT OUTPUT CONNECTOR SLOT 3</t>
  </si>
  <si>
    <t>Present by default</t>
  </si>
  <si>
    <t>DEFAULT MVW 2x HDMI OUTPUT CARD</t>
  </si>
  <si>
    <t>Power Supply</t>
  </si>
  <si>
    <t>DANTE / GPIO</t>
  </si>
  <si>
    <t>SELECT OUTPUT CONNECTOR SLOT 4</t>
  </si>
  <si>
    <t>SERVICES</t>
  </si>
  <si>
    <t>Quantity</t>
  </si>
  <si>
    <t>WARRANTY EXTENSION</t>
  </si>
  <si>
    <t>NO WARRANTY EXTENSION</t>
  </si>
  <si>
    <t>ORDERING NUMBER</t>
  </si>
  <si>
    <t>Configuration summary</t>
  </si>
  <si>
    <t>ITEM</t>
  </si>
  <si>
    <t>CONFIGURATION</t>
  </si>
  <si>
    <t>ORDER REF.</t>
  </si>
  <si>
    <t>QUANTITY</t>
  </si>
  <si>
    <t>€</t>
  </si>
  <si>
    <t>$</t>
  </si>
  <si>
    <t>£</t>
  </si>
  <si>
    <t>CODE</t>
  </si>
  <si>
    <t>Chassis</t>
  </si>
  <si>
    <t>Input Generic Card Slot 1-2</t>
  </si>
  <si>
    <t>Input Connector Card Slot 1</t>
  </si>
  <si>
    <t>Input Connector Card Slot 2</t>
  </si>
  <si>
    <t>Input Generic Card Slot 3-4</t>
  </si>
  <si>
    <t>Input Connector Card Slot 3</t>
  </si>
  <si>
    <t>Input Connector Card Slot 4</t>
  </si>
  <si>
    <t>Output Generic Card Slot 1</t>
  </si>
  <si>
    <t>Output Connector Card Slot 1</t>
  </si>
  <si>
    <t>Output Generic Card Slot 2</t>
  </si>
  <si>
    <t>Output Connector Card Slot 2</t>
  </si>
  <si>
    <t>Output Generic Card Slot 3</t>
  </si>
  <si>
    <t>Output Connector Card Slot 3</t>
  </si>
  <si>
    <t>Output Generic Card Slot 4</t>
  </si>
  <si>
    <t>Output Connector Card Slot 4</t>
  </si>
  <si>
    <t>Video Processing Unit Card</t>
  </si>
  <si>
    <t>Image Processing Unit Card</t>
  </si>
  <si>
    <t>Multiviewer Card</t>
  </si>
  <si>
    <t>Warranty Extension</t>
  </si>
  <si>
    <t>Attention: Warranty Extension can't be discounted !</t>
  </si>
  <si>
    <t>Long-form text description of the configuration</t>
  </si>
  <si>
    <t>CONFIGURATOR AQUILON C+ (5RU)</t>
  </si>
  <si>
    <t>SELECT INPUT INTERFACE SLOT 5</t>
  </si>
  <si>
    <t>SELECT INPUT CONNECTOR SLOT 6</t>
  </si>
  <si>
    <t>SELECT OUTPUT CONNECTOR SLOT 5</t>
  </si>
  <si>
    <t>Input Generic Card Slot 5-6</t>
  </si>
  <si>
    <t>Input Connector Card Slot 5</t>
  </si>
  <si>
    <t>Input Connector Card Slot 6</t>
  </si>
  <si>
    <t>Output Generic Card Slot 5</t>
  </si>
  <si>
    <t>Output Connector Card Slot 5</t>
  </si>
  <si>
    <t>VALID CONFIGURATION</t>
  </si>
  <si>
    <t>EXCALIBUR</t>
  </si>
  <si>
    <t>Analyse / Vérification Validité conf</t>
  </si>
  <si>
    <t>Input Processing Board Slot 1-2</t>
  </si>
  <si>
    <t>Input Card Slot 1</t>
  </si>
  <si>
    <t>Input Card Slot 2</t>
  </si>
  <si>
    <t>Input Processing Board Slot 3-4</t>
  </si>
  <si>
    <t>Input Card Slot 3</t>
  </si>
  <si>
    <t>Input Card Slot 4</t>
  </si>
  <si>
    <t>Input Processing Board Slot 5-6</t>
  </si>
  <si>
    <t>Input Card Slot 5</t>
  </si>
  <si>
    <t>Input Card Slot 6</t>
  </si>
  <si>
    <t>Output Processing Board Slot 1</t>
  </si>
  <si>
    <t>Output Card Slot 1</t>
  </si>
  <si>
    <t>Output Processing Board Slot 2</t>
  </si>
  <si>
    <t>Output Card Slot 2</t>
  </si>
  <si>
    <t>Output Processing Board Slot 3</t>
  </si>
  <si>
    <t>Output Card Slot 3</t>
  </si>
  <si>
    <t>Output Processing Board Slot 4</t>
  </si>
  <si>
    <t>Output Card Slot 4</t>
  </si>
  <si>
    <t>Output Processing Board Slot 5</t>
  </si>
  <si>
    <t>Output Card Slot 5</t>
  </si>
  <si>
    <t>Video Processing Unit</t>
  </si>
  <si>
    <t>Image Processing Unit</t>
  </si>
  <si>
    <t>Select Input Connector Card</t>
  </si>
  <si>
    <t>AQUILON C (4RU)</t>
  </si>
  <si>
    <t>Select Output Connector Slot</t>
  </si>
  <si>
    <t># 1</t>
  </si>
  <si>
    <t>Input #1</t>
  </si>
  <si>
    <t>Input #2</t>
  </si>
  <si>
    <t>Ouput #1</t>
  </si>
  <si>
    <t>#1</t>
  </si>
  <si>
    <t>INPUT CONNECTOR CARD 4x FIBER (HDMI)</t>
  </si>
  <si>
    <t>EMPTY OUTPUT</t>
  </si>
  <si>
    <t># 2</t>
  </si>
  <si>
    <t>Input #3</t>
  </si>
  <si>
    <t>Input #4</t>
  </si>
  <si>
    <t>Output #2</t>
  </si>
  <si>
    <t>#2</t>
  </si>
  <si>
    <t>EMPTY INPUT</t>
  </si>
  <si>
    <t># 3</t>
  </si>
  <si>
    <t>Control Card</t>
  </si>
  <si>
    <t>Output #3</t>
  </si>
  <si>
    <t>#3</t>
  </si>
  <si>
    <t># 4</t>
  </si>
  <si>
    <t>Dante/GPIO</t>
  </si>
  <si>
    <t>Output #4</t>
  </si>
  <si>
    <t>Select VPU</t>
  </si>
  <si>
    <t>Select IPU</t>
  </si>
  <si>
    <t>Select Control Card</t>
  </si>
  <si>
    <t>Select Warranty</t>
  </si>
  <si>
    <t>Ordering Number</t>
  </si>
  <si>
    <t>AQL-C-1200-0000-00</t>
  </si>
  <si>
    <t xml:space="preserve">INPUT CONNECTOR CARD 4x HDMI 2.0 </t>
  </si>
  <si>
    <t>INPUT CONNECTOR CARD 4x DP1.2</t>
  </si>
  <si>
    <t>INPUT CONNECTOR CARD 4x 12G-SDI</t>
  </si>
  <si>
    <t>INPUT CONNECTOR CARD 4x SFP</t>
  </si>
  <si>
    <t>INPUT CONNECTOR CARD 4x SDVoE</t>
  </si>
  <si>
    <t>WORDING</t>
  </si>
  <si>
    <t>INPUT PROCESSING BOARD EQUIPPED</t>
  </si>
  <si>
    <t>NO INPUT PROCESSING BOARD</t>
  </si>
  <si>
    <t xml:space="preserve">Current version   </t>
  </si>
  <si>
    <t>OUTPUT PROCESSING BOARD EQUIPPED</t>
  </si>
  <si>
    <t>NO OUTPUT PROCESSING BOARD</t>
  </si>
  <si>
    <t>INPUT SLOT 1 CAN'T BE EMPTY WHEN INPUT SLOT 2 IS POPULATED</t>
  </si>
  <si>
    <t>INPUT SLOT 2 CAN'T BE EMPTY WHEN INPUT SLOT 1 IS POPULATED</t>
  </si>
  <si>
    <t>INPUT SLOT 3 CAN'T BE EMPTY WHEN INPUT SLOT 4 IS POPULATED</t>
  </si>
  <si>
    <t>INPUT SLOT 4 CAN'T BE EMPTY WHEN INPUT SLOT 3 IS POPULATED</t>
  </si>
  <si>
    <t>INPUT SLOT 5 CAN'T BE EMPTY WHEN INPUT SLOT 6 IS POPULATED</t>
  </si>
  <si>
    <t>INPUT SLOT 6 CAN'T BE EMPTY WHEN INPUT SLOT 5 IS POPULATED</t>
  </si>
  <si>
    <t>INVALID GLOBAL CONFIGURATION</t>
  </si>
  <si>
    <t>SELECT INPUT CONNECTOR SLOT 5</t>
  </si>
  <si>
    <t>SELECT A VIDEO PROCESSOR UNIT</t>
  </si>
  <si>
    <t>SELECT AN IMAGE PROCESSOR UNIT</t>
  </si>
  <si>
    <t>DEFAULT HDMI MVW CARD</t>
  </si>
  <si>
    <t>OPTION DP MVW CARD</t>
  </si>
  <si>
    <t xml:space="preserve">WARNING: POPULATE INPUT SLOTS 1 &amp; 2 BEFORE </t>
  </si>
  <si>
    <t>WARNING: POPULATE INPUT SLOTS 3 &amp; 4 BEFORE</t>
  </si>
  <si>
    <t>WARNING: POPULATE OUTPUT SLOT 1 BEFORE</t>
  </si>
  <si>
    <t>WARNING: POPULATE OUTPUT SLOT 2 BEFORE</t>
  </si>
  <si>
    <t>WARNING: POPULATE OUTPUT SLOT 3 BEFORE</t>
  </si>
  <si>
    <t>WARNING: POPULATE OUTPUT SLOT 4 BEFORE</t>
  </si>
  <si>
    <t>WARNING: NOT ALLOWED TO HAVE 2 FILLER INPUT CARDS</t>
  </si>
  <si>
    <t>CHECK CONF 4RU</t>
  </si>
  <si>
    <t>GLOBAL CONFIGURATION</t>
  </si>
  <si>
    <t>VALID CONFIG INPUT SLOT 1-2</t>
  </si>
  <si>
    <t>VALID CONFIG INPUT SLOT 3-4</t>
  </si>
  <si>
    <t>VALID CONFIG OUTPUT SLOT 2</t>
  </si>
  <si>
    <t>VALID CONFIG OUTPUT SLOT 3</t>
  </si>
  <si>
    <t>VALID CONFIG OUTPUT SLOT 4</t>
  </si>
  <si>
    <t>VALID VPU</t>
  </si>
  <si>
    <t>VALID IPU</t>
  </si>
  <si>
    <t>VALID PSU</t>
  </si>
  <si>
    <t>VALID MVW</t>
  </si>
  <si>
    <t xml:space="preserve"> </t>
  </si>
  <si>
    <t>CHECK CONF 5RU</t>
  </si>
  <si>
    <t>VALID CONFIG INPUT SLOT 5-6</t>
  </si>
  <si>
    <t>VALID CONFIG OUTPUT SLOT 5</t>
  </si>
  <si>
    <t>DECODE</t>
  </si>
  <si>
    <t>GLOBAL DECODING</t>
  </si>
  <si>
    <t xml:space="preserve">Logique globale  mise dans le 'bon' sens </t>
  </si>
  <si>
    <t>Logique inversée pour toutes ces cellules.
Si FAUX, alors config OK.
Si VRAI, alors config NOK</t>
  </si>
  <si>
    <t>MVW card</t>
  </si>
  <si>
    <t>Tenders 4RU</t>
  </si>
  <si>
    <t>intro</t>
  </si>
  <si>
    <t xml:space="preserve">Aquilon C (4RU) 4K/8K presentation system </t>
  </si>
  <si>
    <t xml:space="preserve">with </t>
  </si>
  <si>
    <t>IN</t>
  </si>
  <si>
    <t>HDMI2.0</t>
  </si>
  <si>
    <t>DP 1.2</t>
  </si>
  <si>
    <t>12G-SDI</t>
  </si>
  <si>
    <t>SFP</t>
  </si>
  <si>
    <t>HDMI over Fiber</t>
  </si>
  <si>
    <t>Filler</t>
  </si>
  <si>
    <t>SDVoE</t>
  </si>
  <si>
    <t>MVW Card type</t>
  </si>
  <si>
    <t>cards</t>
  </si>
  <si>
    <t xml:space="preserve">, with </t>
  </si>
  <si>
    <t>ports</t>
  </si>
  <si>
    <t>nb HDMI in</t>
  </si>
  <si>
    <t>nb DP in</t>
  </si>
  <si>
    <t>nb SDI in</t>
  </si>
  <si>
    <t>nb SFP in</t>
  </si>
  <si>
    <t>nb OF in</t>
  </si>
  <si>
    <t>nb SDVoE in</t>
  </si>
  <si>
    <t>nb Filler in</t>
  </si>
  <si>
    <t>OUT</t>
  </si>
  <si>
    <t>nb HDMI out</t>
  </si>
  <si>
    <t>nb DP out</t>
  </si>
  <si>
    <t>nb SDI out</t>
  </si>
  <si>
    <t>nb SFP out</t>
  </si>
  <si>
    <t>nb OF out</t>
  </si>
  <si>
    <t>nb SDVoE out</t>
  </si>
  <si>
    <t>nb Filler out</t>
  </si>
  <si>
    <t>VPU</t>
  </si>
  <si>
    <t>nb VPU</t>
  </si>
  <si>
    <t>IPU</t>
  </si>
  <si>
    <t>nb IPU</t>
  </si>
  <si>
    <t>Tenders 5RU</t>
  </si>
  <si>
    <t xml:space="preserve">Aquilon C+ (5RU) 4K/8K presentation system </t>
  </si>
  <si>
    <t>MVW card type</t>
  </si>
  <si>
    <t>Decoder text</t>
  </si>
  <si>
    <t>chassis</t>
  </si>
  <si>
    <t>nb filler out</t>
  </si>
  <si>
    <t>NAME</t>
  </si>
  <si>
    <t>ORDERING REF.</t>
  </si>
  <si>
    <t>PRICE (€)</t>
  </si>
  <si>
    <t>PRICE ($)</t>
  </si>
  <si>
    <t>PRICE (£)</t>
  </si>
  <si>
    <t>EXCALIBUR CODE</t>
  </si>
  <si>
    <t>NOT AVAILABLE</t>
  </si>
  <si>
    <t>NA</t>
  </si>
  <si>
    <t>---NA---</t>
  </si>
  <si>
    <t>EMPTY MVW</t>
  </si>
  <si>
    <t>0</t>
  </si>
  <si>
    <t>1</t>
  </si>
  <si>
    <t>MVW 2x DP OUTPUT CARD</t>
  </si>
  <si>
    <t>2</t>
  </si>
  <si>
    <t>0001316</t>
  </si>
  <si>
    <t>AQUILON CUSTOM - BASE MODULE 4RU</t>
  </si>
  <si>
    <t>AQL-C</t>
  </si>
  <si>
    <t>0001204</t>
  </si>
  <si>
    <t>AQUILON CUSTOM - BASE MODULE 5RU</t>
  </si>
  <si>
    <t>AQL-C+</t>
  </si>
  <si>
    <t>0001205</t>
  </si>
  <si>
    <t>1 PSU (default conf)</t>
  </si>
  <si>
    <t>AQL-PSU</t>
  </si>
  <si>
    <t>2 PSU (1 PSU in option)</t>
  </si>
  <si>
    <t>OPT-AQL-PSU</t>
  </si>
  <si>
    <t>3 PSU (2 PSUs in option)</t>
  </si>
  <si>
    <t>3</t>
  </si>
  <si>
    <t>No Accessories</t>
  </si>
  <si>
    <t>ACC-AQL-IN-HDMI</t>
  </si>
  <si>
    <t>0001218</t>
  </si>
  <si>
    <t>ACC-AQL-IN-DP</t>
  </si>
  <si>
    <t>0001219</t>
  </si>
  <si>
    <t>ACC-AQL-IN-SDI</t>
  </si>
  <si>
    <t>0001220</t>
  </si>
  <si>
    <t>4</t>
  </si>
  <si>
    <t>ACC-AQL-OUT-HDMI</t>
  </si>
  <si>
    <t>0001221</t>
  </si>
  <si>
    <t>5</t>
  </si>
  <si>
    <t>ACC-AQL-OUT-DP</t>
  </si>
  <si>
    <t>0001222</t>
  </si>
  <si>
    <t>6</t>
  </si>
  <si>
    <t>ACC-AQL-OUT-SDI</t>
  </si>
  <si>
    <t>0001223</t>
  </si>
  <si>
    <t>NO GENERIC I/O BOARD</t>
  </si>
  <si>
    <t>8x 4K60p GENERIC INPUT BOARD</t>
  </si>
  <si>
    <t>OPT-AQL-IN</t>
  </si>
  <si>
    <t>0001210</t>
  </si>
  <si>
    <t>4x 4K60p GENERIC OUTPUT BOARD</t>
  </si>
  <si>
    <t>OPT-AQL-OUT</t>
  </si>
  <si>
    <t>0001211</t>
  </si>
  <si>
    <t>FILLER INPUT CARD (no connector)</t>
  </si>
  <si>
    <t>X</t>
  </si>
  <si>
    <t>OPT-AQL-IN-FILLER</t>
  </si>
  <si>
    <t>0001325</t>
  </si>
  <si>
    <t>OPT-AQL-IN-HDMI</t>
  </si>
  <si>
    <t>0001212</t>
  </si>
  <si>
    <t>OPT-AQL-IN-DP</t>
  </si>
  <si>
    <t>0001213</t>
  </si>
  <si>
    <t>OPT-AQL-IN-SDI</t>
  </si>
  <si>
    <t>0001214</t>
  </si>
  <si>
    <t>OPT-AQL-IN-SFP</t>
  </si>
  <si>
    <t>0001227</t>
  </si>
  <si>
    <t>OPT-AQL-IN-HDMI-FBR</t>
  </si>
  <si>
    <t>0001267</t>
  </si>
  <si>
    <t>OPT-AQL-IN-SDVOE</t>
  </si>
  <si>
    <t>0001276</t>
  </si>
  <si>
    <t>FILLER OUTPUT CARD (no connector)</t>
  </si>
  <si>
    <t>OPT-AQL-OUT-FILLER</t>
  </si>
  <si>
    <t>0001326</t>
  </si>
  <si>
    <t>OPT-AQL-OUT-HDMI</t>
  </si>
  <si>
    <t>0001215</t>
  </si>
  <si>
    <t>OPT-AQL-OUT-DP</t>
  </si>
  <si>
    <t>0001216</t>
  </si>
  <si>
    <t>OPT-AQL-OUT-SDI</t>
  </si>
  <si>
    <t>0001217</t>
  </si>
  <si>
    <t>OPT-AQL-OUT-SFP</t>
  </si>
  <si>
    <t>0001228</t>
  </si>
  <si>
    <t>OPT-AQL-OUT-HDMI-FBR</t>
  </si>
  <si>
    <t>0001268</t>
  </si>
  <si>
    <t>OPT-AQL-OUT-SDVOE</t>
  </si>
  <si>
    <t>0001277</t>
  </si>
  <si>
    <t>1 VIDEO PROCESSING CARD</t>
  </si>
  <si>
    <t>OPT-AQL-VPU</t>
  </si>
  <si>
    <t>0001208</t>
  </si>
  <si>
    <t>2 VIDEO PROCESSING CARDS</t>
  </si>
  <si>
    <t>3 VIDEO PROCESSING CARDS</t>
  </si>
  <si>
    <t>OPT-AQL-IPU</t>
  </si>
  <si>
    <t>0001209</t>
  </si>
  <si>
    <t>OPT-AQL-MVR-DP</t>
  </si>
  <si>
    <t xml:space="preserve">     - Aquilon C+ (5RU) : use this tab to configure Aquilon C+ and get the corresponding ordering number</t>
  </si>
  <si>
    <t xml:space="preserve">INPUT CARD 4x HDMI 2.0 </t>
  </si>
  <si>
    <t>INPUT CARD 4x DP1.2</t>
  </si>
  <si>
    <t>INPUT CARD 4x 12G-SDI</t>
  </si>
  <si>
    <t>INPUT CARD 4x SFP</t>
  </si>
  <si>
    <t>INPUT CARD 4x FIBER (HDMI)</t>
  </si>
  <si>
    <t>INPUT CARD 4x SDVoE</t>
  </si>
  <si>
    <t>INPUT CARD 1x 2.5 GbE + 4x 12G-SDI</t>
  </si>
  <si>
    <t>OPT-AQL-IN-IP-SDI</t>
  </si>
  <si>
    <t>7</t>
  </si>
  <si>
    <t xml:space="preserve">INPUT CARD 8x HDMI 1.4 </t>
  </si>
  <si>
    <t>OPT-AQL-IN-HDMI-1.4</t>
  </si>
  <si>
    <t xml:space="preserve">OUTPUT CARD 4x HDMI 2.0 </t>
  </si>
  <si>
    <t xml:space="preserve">OUTPUT CARD 4x DP1.2 </t>
  </si>
  <si>
    <t>OUTPUT CARD 4x 12G-SDI</t>
  </si>
  <si>
    <t>OUTPUT CARD 4x SFP</t>
  </si>
  <si>
    <t>OUTPUT CARD 4x FIBER (HDMI)</t>
  </si>
  <si>
    <t>OUTPUT CARD 4x SDVoE</t>
  </si>
  <si>
    <t>LINK CARD 6x QSFP+ 40G</t>
  </si>
  <si>
    <t>OPT-AQL-OUT-LINK-QSFP</t>
  </si>
  <si>
    <t>0001377</t>
  </si>
  <si>
    <t>OPT-AQL-LINK</t>
  </si>
  <si>
    <t>0001375</t>
  </si>
  <si>
    <t>0001338</t>
  </si>
  <si>
    <t>0001376</t>
  </si>
  <si>
    <t>GENERIC LINK/OUTPUT BOARD</t>
  </si>
  <si>
    <t>nb HDMI 1.4 in</t>
  </si>
  <si>
    <t>IP/SDI</t>
  </si>
  <si>
    <t>HDMI1.4</t>
  </si>
  <si>
    <t>nb IP/SDI in</t>
  </si>
  <si>
    <t>Link</t>
  </si>
  <si>
    <t>nb LINK</t>
  </si>
  <si>
    <t>LINK PROCESSING BOARD EQUIPPED</t>
  </si>
  <si>
    <t>NO STILL IMAGE PROCESSING CARD</t>
  </si>
  <si>
    <t>1 STLL IMAGE PROCESSING CARD</t>
  </si>
  <si>
    <t>2 STLL IMAGE PROCESSING CARDS</t>
  </si>
  <si>
    <t>8</t>
  </si>
  <si>
    <t>SELECT OUTPUT CONNECTOR SLOT 6</t>
  </si>
  <si>
    <t>CONFIGURATOR AQUILON C max (6RU)</t>
  </si>
  <si>
    <t>AQUILON CUSTOM - BASE MODULE 6RU</t>
  </si>
  <si>
    <t>AQL-CMAX</t>
  </si>
  <si>
    <t>4 VIDEO PROCESSING CARDS</t>
  </si>
  <si>
    <t>SELECT INPUT INTERFACE SLOT 7</t>
  </si>
  <si>
    <t>SELECT INPUT CONNECTOR SLOT 8</t>
  </si>
  <si>
    <t>CHECK CONF 6RU</t>
  </si>
  <si>
    <t>VALID CONFIG INPUT SLOT 7-8</t>
  </si>
  <si>
    <t>VALID CONFIG OUTPUT SLOT 6</t>
  </si>
  <si>
    <t>INPUT SLOT 7 CAN'T BE EMPTY WHEN INPUT SLOT 8 IS POPULATED</t>
  </si>
  <si>
    <t>INPUT SLOT 8 CAN'T BE EMPTY WHEN INPUT SLOT 7 IS POPULATED</t>
  </si>
  <si>
    <t>SELECT INPUT CONNECTOR SLOT 7</t>
  </si>
  <si>
    <t>WARNING: POPULATE INPUT SLOTS 5 &amp; 6 BEFORE</t>
  </si>
  <si>
    <t>WARNING: POPULATE OUTPUT SLOT 5 BEFORE</t>
  </si>
  <si>
    <t>Input Generic Card Slot 7-8</t>
  </si>
  <si>
    <t>Input Connector Card Slot 7</t>
  </si>
  <si>
    <t>Input Connector Card Slot 8</t>
  </si>
  <si>
    <t>Output Connector Card Slot 6</t>
  </si>
  <si>
    <t>Output Generic Card Slot 6</t>
  </si>
  <si>
    <t xml:space="preserve">Aquilon Cmax (6RU) 4K/8K presentation system </t>
  </si>
  <si>
    <t>Tenders 6RU</t>
  </si>
  <si>
    <t>0001274</t>
  </si>
  <si>
    <t xml:space="preserve">     - Aquilon C max (6RU) : use this tab to configure Aquilon C max and get the corresponding ordering number</t>
  </si>
  <si>
    <t xml:space="preserve">     - Decoder: use this tab to decode any Aquilon C or C+ or C max ordering number and get the corresponding configuration</t>
  </si>
  <si>
    <t>Input Processing Board Slot 7-8</t>
  </si>
  <si>
    <t>Input Card Slot 7</t>
  </si>
  <si>
    <t>Input Card Slot 8</t>
  </si>
  <si>
    <t>Output Processing Board Slot 6</t>
  </si>
  <si>
    <t>Output Card Slot 6</t>
  </si>
  <si>
    <t>DESCRIPTION</t>
  </si>
  <si>
    <t>VIDEO PROCESSING CARD</t>
  </si>
  <si>
    <t>STLL IMAGE PROCESSING CARD</t>
  </si>
  <si>
    <t>OPT-AQL-OUT-2110</t>
  </si>
  <si>
    <t>OUTPUT CARD 4x ST 2110</t>
  </si>
  <si>
    <t>0001407</t>
  </si>
  <si>
    <t>INPUT CARD 8x ST 2110</t>
  </si>
  <si>
    <t>OPT-AQL-IN-2110</t>
  </si>
  <si>
    <t>0001408</t>
  </si>
  <si>
    <t>A</t>
  </si>
  <si>
    <t>ST 2110</t>
  </si>
  <si>
    <t>nb ST 2110 in</t>
  </si>
  <si>
    <t>nb ST 2110 out</t>
  </si>
  <si>
    <t>version 1.18</t>
  </si>
  <si>
    <t>1-YEAR WARRANTY EXTENSION (4RU)</t>
  </si>
  <si>
    <t>2-YEAR WARRANTY EXTENSION (4RU)</t>
  </si>
  <si>
    <t>500231</t>
  </si>
  <si>
    <t>1-YEAR WARRANTY EXTENSION (5RU)</t>
  </si>
  <si>
    <t>2-YEAR WARRANTY EXTENSION (5RU)</t>
  </si>
  <si>
    <t>1-YEAR WARRANTY EXTENSION (6RU)</t>
  </si>
  <si>
    <t>2-YEAR WARRANTY EXTENSION (6RU)</t>
  </si>
  <si>
    <t>version 1.18:</t>
  </si>
  <si>
    <t>- Added ST 2110 I/O cards</t>
  </si>
  <si>
    <t>- Added 1y warranty ext.</t>
  </si>
  <si>
    <t>AQL-C+-881273-11137-32</t>
  </si>
  <si>
    <t>Étiquettes de lignes</t>
  </si>
  <si>
    <t>Total général</t>
  </si>
  <si>
    <t>Nombre de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</si>
</sst>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40C]_-;\-* #,##0.00\ [$€-40C]_-;_-* &quot;-&quot;??\ [$€-40C]_-;_-@_-"/>
    <numFmt numFmtId="165" formatCode="_-[$$-409]* #,##0.00_ ;_-[$$-409]* \-#,##0.00\ ;_-[$$-409]* &quot;-&quot;??_ ;_-@_ "/>
    <numFmt numFmtId="166" formatCode="_-[$£-809]* #,##0.00_-;\-[$£-809]* #,##0.00_-;_-[$£-809]* &quot;-&quot;_-;_-@_-"/>
    <numFmt numFmtId="167" formatCode="_-[$£-809]* #,##0.00_-;\-[$£-809]* #,##0.00_-;_-[$£-809]* &quot;-&quot;??_-;_-@_-"/>
    <numFmt numFmtId="168" formatCode="_-[$£-809]* #,##0_-;\-[$£-809]* #,##0_-;_-[$£-809]* &quot;-&quot;??_-;_-@_-"/>
  </numFmts>
  <fonts count="33" x14ac:knownFonts="1">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sz val="22"/>
      <color rgb="FFFF0000"/>
      <name val="Calibri"/>
      <family val="2"/>
      <scheme val="minor"/>
    </font>
    <font>
      <b/>
      <sz val="12"/>
      <color rgb="FFFF0000"/>
      <name val="Calibri"/>
      <family val="2"/>
      <scheme val="minor"/>
    </font>
    <font>
      <b/>
      <sz val="11"/>
      <color theme="5"/>
      <name val="Calibri"/>
      <family val="2"/>
      <scheme val="minor"/>
    </font>
    <font>
      <sz val="11"/>
      <color rgb="FFFF0000"/>
      <name val="Calibri"/>
      <family val="2"/>
      <scheme val="minor"/>
    </font>
    <font>
      <b/>
      <sz val="11"/>
      <color rgb="FFFF0000"/>
      <name val="Calibri"/>
      <family val="2"/>
      <scheme val="minor"/>
    </font>
    <font>
      <b/>
      <sz val="9"/>
      <color theme="0"/>
      <name val="Calibri"/>
      <family val="2"/>
      <scheme val="minor"/>
    </font>
    <font>
      <b/>
      <sz val="12"/>
      <color theme="4"/>
      <name val="Calibri"/>
      <family val="2"/>
      <scheme val="minor"/>
    </font>
    <font>
      <sz val="11"/>
      <name val="Calibri"/>
      <family val="2"/>
      <scheme val="minor"/>
    </font>
    <font>
      <b/>
      <sz val="11"/>
      <color theme="7"/>
      <name val="Calibri"/>
      <family val="2"/>
      <scheme val="minor"/>
    </font>
    <font>
      <b/>
      <sz val="18"/>
      <color theme="7"/>
      <name val="Calibri"/>
      <family val="2"/>
      <scheme val="minor"/>
    </font>
    <font>
      <sz val="11"/>
      <color theme="1"/>
      <name val="Calibri"/>
      <family val="2"/>
      <scheme val="minor"/>
    </font>
    <font>
      <b/>
      <sz val="11"/>
      <color theme="4"/>
      <name val="Calibri"/>
      <family val="2"/>
      <scheme val="minor"/>
    </font>
    <font>
      <b/>
      <sz val="9"/>
      <color theme="1"/>
      <name val="Calibri"/>
      <family val="2"/>
      <scheme val="minor"/>
    </font>
    <font>
      <sz val="11"/>
      <color theme="0"/>
      <name val="Calibri"/>
      <family val="2"/>
      <scheme val="minor"/>
    </font>
    <font>
      <i/>
      <sz val="11"/>
      <color theme="1"/>
      <name val="Calibri"/>
      <family val="2"/>
      <scheme val="minor"/>
    </font>
    <font>
      <b/>
      <i/>
      <sz val="11"/>
      <color theme="0"/>
      <name val="Calibri"/>
      <family val="2"/>
      <scheme val="minor"/>
    </font>
    <font>
      <b/>
      <i/>
      <sz val="11"/>
      <color theme="4"/>
      <name val="Calibri"/>
      <family val="2"/>
      <scheme val="minor"/>
    </font>
    <font>
      <sz val="9"/>
      <color theme="0"/>
      <name val="Calibri"/>
      <family val="2"/>
      <scheme val="minor"/>
    </font>
    <font>
      <sz val="9"/>
      <color theme="1"/>
      <name val="Calibri"/>
      <family val="2"/>
      <scheme val="minor"/>
    </font>
    <font>
      <sz val="11"/>
      <color theme="2" tint="-0.249977111117893"/>
      <name val="Calibri"/>
      <family val="2"/>
      <scheme val="minor"/>
    </font>
    <font>
      <b/>
      <sz val="12"/>
      <name val="Calibri"/>
      <family val="2"/>
      <scheme val="minor"/>
    </font>
    <font>
      <i/>
      <sz val="11"/>
      <color theme="4"/>
      <name val="Calibri"/>
      <family val="2"/>
      <scheme val="minor"/>
    </font>
    <font>
      <b/>
      <sz val="14"/>
      <color rgb="FFFF0000"/>
      <name val="Calibri"/>
      <family val="2"/>
      <scheme val="minor"/>
    </font>
    <font>
      <b/>
      <sz val="14"/>
      <color theme="9"/>
      <name val="Calibri"/>
      <family val="2"/>
      <scheme val="minor"/>
    </font>
    <font>
      <b/>
      <i/>
      <sz val="11"/>
      <color rgb="FFFF0000"/>
      <name val="Calibri"/>
      <family val="2"/>
      <scheme val="minor"/>
    </font>
    <font>
      <sz val="11"/>
      <color theme="4"/>
      <name val="Calibri"/>
      <family val="2"/>
      <scheme val="minor"/>
    </font>
    <font>
      <sz val="8"/>
      <name val="Calibri"/>
      <family val="2"/>
      <scheme val="minor"/>
    </font>
    <font>
      <b/>
      <sz val="10.5"/>
      <color theme="1"/>
      <name val="Calibri"/>
      <family val="2"/>
      <scheme val="minor"/>
    </font>
    <font>
      <b/>
      <i/>
      <sz val="11"/>
      <name val="Calibri"/>
      <family val="2"/>
      <scheme val="minor"/>
    </font>
  </fonts>
  <fills count="8">
    <fill>
      <patternFill patternType="none"/>
    </fill>
    <fill>
      <patternFill patternType="gray125"/>
    </fill>
    <fill>
      <patternFill patternType="solid">
        <fgColor theme="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9" fontId="14" fillId="0" borderId="0" applyFont="0" applyFill="0" applyBorder="0" applyAlignment="0" applyProtection="0"/>
  </cellStyleXfs>
  <cellXfs count="186">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right" vertical="center"/>
    </xf>
    <xf numFmtId="0" fontId="2" fillId="0" borderId="0" xfId="0" applyFont="1" applyAlignment="1">
      <alignment vertical="center"/>
    </xf>
    <xf numFmtId="0" fontId="3"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15" xfId="0" applyFont="1"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4" xfId="0" applyBorder="1" applyAlignment="1">
      <alignment horizontal="center" vertical="center"/>
    </xf>
    <xf numFmtId="0" fontId="0" fillId="0" borderId="23" xfId="0" applyBorder="1" applyAlignment="1">
      <alignment horizontal="center" vertical="center"/>
    </xf>
    <xf numFmtId="0" fontId="7" fillId="0" borderId="0" xfId="0" applyFont="1" applyAlignment="1">
      <alignment horizontal="center"/>
    </xf>
    <xf numFmtId="0" fontId="0" fillId="0" borderId="0" xfId="0" quotePrefix="1"/>
    <xf numFmtId="0" fontId="11" fillId="0" borderId="0" xfId="0" applyFont="1" applyAlignment="1">
      <alignment vertical="center" wrapText="1"/>
    </xf>
    <xf numFmtId="0" fontId="11" fillId="0" borderId="0" xfId="0" applyFont="1" applyAlignment="1">
      <alignment vertical="center"/>
    </xf>
    <xf numFmtId="9" fontId="7" fillId="0" borderId="0" xfId="0" applyNumberFormat="1" applyFont="1" applyAlignment="1">
      <alignment horizontal="center"/>
    </xf>
    <xf numFmtId="0" fontId="12" fillId="2" borderId="0" xfId="0" applyFont="1" applyFill="1" applyAlignment="1">
      <alignment horizontal="right" vertical="center"/>
    </xf>
    <xf numFmtId="49" fontId="0" fillId="0" borderId="0" xfId="0" applyNumberFormat="1" applyAlignment="1">
      <alignment horizontal="center"/>
    </xf>
    <xf numFmtId="49" fontId="0" fillId="0" borderId="0" xfId="0" quotePrefix="1" applyNumberFormat="1" applyAlignment="1">
      <alignment horizontal="center"/>
    </xf>
    <xf numFmtId="9" fontId="0" fillId="0" borderId="15" xfId="1" applyFont="1" applyBorder="1" applyAlignment="1">
      <alignment horizontal="center" vertical="center"/>
    </xf>
    <xf numFmtId="1" fontId="0" fillId="0" borderId="26" xfId="0" applyNumberFormat="1" applyBorder="1" applyAlignment="1">
      <alignment horizontal="center" vertical="center"/>
    </xf>
    <xf numFmtId="0" fontId="4" fillId="0" borderId="0" xfId="0" applyFont="1" applyAlignment="1">
      <alignment vertical="center"/>
    </xf>
    <xf numFmtId="0" fontId="0" fillId="0" borderId="0" xfId="0" applyAlignment="1">
      <alignment horizontal="left"/>
    </xf>
    <xf numFmtId="49" fontId="0" fillId="0" borderId="0" xfId="0" applyNumberFormat="1"/>
    <xf numFmtId="49" fontId="0" fillId="0" borderId="0" xfId="0" quotePrefix="1" applyNumberFormat="1"/>
    <xf numFmtId="0" fontId="0" fillId="0" borderId="0" xfId="0" quotePrefix="1" applyAlignment="1">
      <alignment horizontal="center"/>
    </xf>
    <xf numFmtId="2" fontId="0" fillId="0" borderId="23" xfId="0" applyNumberFormat="1" applyBorder="1" applyAlignment="1">
      <alignment horizontal="center" vertical="center"/>
    </xf>
    <xf numFmtId="2" fontId="0" fillId="0" borderId="29" xfId="0" applyNumberFormat="1" applyBorder="1" applyAlignment="1">
      <alignment horizontal="center" vertical="center"/>
    </xf>
    <xf numFmtId="2" fontId="0" fillId="0" borderId="14" xfId="0" applyNumberFormat="1" applyBorder="1" applyAlignment="1">
      <alignment horizontal="center" vertical="center"/>
    </xf>
    <xf numFmtId="0" fontId="18" fillId="0" borderId="0" xfId="0" applyFont="1"/>
    <xf numFmtId="0" fontId="0" fillId="0" borderId="0" xfId="0" applyAlignment="1">
      <alignment horizontal="left" vertical="center"/>
    </xf>
    <xf numFmtId="0" fontId="8" fillId="0" borderId="34" xfId="0" applyFont="1" applyBorder="1" applyAlignment="1">
      <alignment vertical="center"/>
    </xf>
    <xf numFmtId="0" fontId="17" fillId="0" borderId="0" xfId="0" applyFont="1"/>
    <xf numFmtId="0" fontId="17" fillId="0" borderId="0" xfId="0" applyFont="1" applyAlignment="1">
      <alignment vertical="center"/>
    </xf>
    <xf numFmtId="0" fontId="19" fillId="0" borderId="0" xfId="0" applyFont="1" applyAlignment="1">
      <alignment horizontal="center" vertical="center"/>
    </xf>
    <xf numFmtId="0" fontId="17" fillId="0" borderId="0" xfId="0" applyFont="1" applyAlignment="1">
      <alignment horizontal="center" vertical="center"/>
    </xf>
    <xf numFmtId="0" fontId="23" fillId="0" borderId="0" xfId="0" applyFont="1" applyAlignment="1">
      <alignment vertical="center"/>
    </xf>
    <xf numFmtId="0" fontId="25" fillId="0" borderId="0" xfId="0" applyFont="1" applyAlignment="1">
      <alignment horizontal="left" vertical="center"/>
    </xf>
    <xf numFmtId="167" fontId="21" fillId="0" borderId="0" xfId="0" applyNumberFormat="1" applyFont="1" applyAlignment="1">
      <alignment horizontal="center" vertical="center"/>
    </xf>
    <xf numFmtId="0" fontId="26" fillId="5" borderId="0" xfId="0" applyFont="1" applyFill="1" applyAlignment="1">
      <alignment vertical="center" shrinkToFit="1"/>
    </xf>
    <xf numFmtId="0" fontId="27" fillId="5" borderId="0" xfId="0" applyFont="1" applyFill="1" applyAlignment="1">
      <alignment vertical="center" shrinkToFit="1"/>
    </xf>
    <xf numFmtId="0" fontId="7" fillId="0" borderId="0" xfId="0" applyFont="1"/>
    <xf numFmtId="0" fontId="7" fillId="0" borderId="0" xfId="0" quotePrefix="1" applyFont="1" applyAlignment="1">
      <alignment horizontal="center"/>
    </xf>
    <xf numFmtId="49" fontId="7" fillId="0" borderId="0" xfId="0" quotePrefix="1" applyNumberFormat="1" applyFont="1" applyAlignment="1">
      <alignment horizontal="center"/>
    </xf>
    <xf numFmtId="0" fontId="2" fillId="0" borderId="0" xfId="0" quotePrefix="1" applyFont="1" applyAlignment="1">
      <alignment horizontal="center"/>
    </xf>
    <xf numFmtId="0" fontId="10" fillId="0" borderId="8" xfId="0" applyFont="1" applyBorder="1" applyAlignment="1">
      <alignment vertical="center"/>
    </xf>
    <xf numFmtId="9" fontId="0" fillId="0" borderId="0" xfId="0" applyNumberFormat="1" applyAlignment="1">
      <alignment horizontal="left"/>
    </xf>
    <xf numFmtId="0" fontId="28" fillId="0" borderId="0" xfId="0" applyFont="1" applyAlignment="1">
      <alignment horizontal="center" vertical="center"/>
    </xf>
    <xf numFmtId="0" fontId="7" fillId="0" borderId="0" xfId="0" applyFont="1" applyAlignment="1">
      <alignment vertical="center"/>
    </xf>
    <xf numFmtId="0" fontId="0" fillId="0" borderId="0" xfId="0" applyAlignment="1">
      <alignment horizontal="center" vertical="center"/>
    </xf>
    <xf numFmtId="0" fontId="0" fillId="6" borderId="15" xfId="0" applyFill="1" applyBorder="1" applyAlignment="1">
      <alignment vertical="center"/>
    </xf>
    <xf numFmtId="0" fontId="0" fillId="6" borderId="15" xfId="0" applyFill="1" applyBorder="1" applyAlignment="1">
      <alignment horizontal="center" vertical="center"/>
    </xf>
    <xf numFmtId="0" fontId="0" fillId="6" borderId="15" xfId="0" applyFill="1" applyBorder="1" applyAlignment="1">
      <alignment horizontal="right" vertical="center"/>
    </xf>
    <xf numFmtId="0" fontId="0" fillId="5" borderId="15" xfId="0" applyFill="1" applyBorder="1" applyAlignment="1">
      <alignment vertical="center"/>
    </xf>
    <xf numFmtId="0" fontId="0" fillId="5" borderId="15" xfId="0" applyFill="1" applyBorder="1" applyAlignment="1">
      <alignment horizontal="center" vertical="center"/>
    </xf>
    <xf numFmtId="0" fontId="0" fillId="5" borderId="15" xfId="0" applyFill="1" applyBorder="1" applyAlignment="1">
      <alignment horizontal="right" vertical="center"/>
    </xf>
    <xf numFmtId="0" fontId="29" fillId="0" borderId="0" xfId="0" applyFont="1"/>
    <xf numFmtId="0" fontId="7" fillId="0" borderId="0" xfId="0" applyFont="1" applyAlignment="1">
      <alignment horizontal="center" vertical="center"/>
    </xf>
    <xf numFmtId="2" fontId="0" fillId="0" borderId="0" xfId="0" applyNumberFormat="1"/>
    <xf numFmtId="0" fontId="0" fillId="0" borderId="0" xfId="0" applyAlignment="1">
      <alignment horizontal="right"/>
    </xf>
    <xf numFmtId="49" fontId="17" fillId="0" borderId="0" xfId="0" applyNumberFormat="1" applyFont="1" applyAlignment="1">
      <alignment horizontal="center" vertical="center"/>
    </xf>
    <xf numFmtId="164" fontId="9" fillId="0" borderId="0" xfId="0" applyNumberFormat="1" applyFont="1" applyAlignment="1">
      <alignment vertical="center"/>
    </xf>
    <xf numFmtId="165" fontId="9" fillId="0" borderId="0" xfId="0" applyNumberFormat="1" applyFont="1" applyAlignment="1">
      <alignment vertical="center"/>
    </xf>
    <xf numFmtId="166" fontId="9" fillId="0" borderId="0" xfId="0" applyNumberFormat="1" applyFont="1" applyAlignment="1">
      <alignment vertical="center"/>
    </xf>
    <xf numFmtId="0" fontId="1" fillId="2" borderId="1" xfId="0" applyFont="1" applyFill="1" applyBorder="1" applyAlignment="1">
      <alignment horizontal="center" vertical="center"/>
    </xf>
    <xf numFmtId="0" fontId="0" fillId="0" borderId="36" xfId="0" applyBorder="1" applyAlignment="1">
      <alignment horizontal="center"/>
    </xf>
    <xf numFmtId="0" fontId="1" fillId="2" borderId="35" xfId="0" applyFont="1" applyFill="1" applyBorder="1" applyAlignment="1">
      <alignment horizontal="center" vertical="center"/>
    </xf>
    <xf numFmtId="49" fontId="10" fillId="4" borderId="35" xfId="0" applyNumberFormat="1" applyFont="1" applyFill="1" applyBorder="1" applyAlignment="1">
      <alignment horizontal="center" vertical="center" wrapText="1"/>
    </xf>
    <xf numFmtId="0" fontId="8" fillId="0" borderId="0" xfId="0" applyFont="1" applyAlignment="1">
      <alignment horizontal="center"/>
    </xf>
    <xf numFmtId="0" fontId="18" fillId="3" borderId="37" xfId="0" applyFont="1" applyFill="1" applyBorder="1" applyAlignment="1">
      <alignment horizontal="center"/>
    </xf>
    <xf numFmtId="0" fontId="32" fillId="0" borderId="0" xfId="0" applyFont="1" applyAlignment="1">
      <alignment horizontal="center" vertical="center"/>
    </xf>
    <xf numFmtId="1" fontId="0" fillId="0" borderId="0" xfId="0" applyNumberFormat="1" applyAlignment="1">
      <alignment horizontal="center"/>
    </xf>
    <xf numFmtId="1" fontId="0" fillId="0" borderId="15" xfId="0" applyNumberFormat="1" applyBorder="1" applyAlignment="1">
      <alignment horizontal="center" vertical="center"/>
    </xf>
    <xf numFmtId="1" fontId="0" fillId="0" borderId="18" xfId="0" applyNumberFormat="1" applyBorder="1" applyAlignment="1">
      <alignment horizontal="center" vertical="center"/>
    </xf>
    <xf numFmtId="1" fontId="0" fillId="0" borderId="19" xfId="0" applyNumberFormat="1" applyBorder="1" applyAlignment="1">
      <alignment horizontal="center" vertical="center"/>
    </xf>
    <xf numFmtId="1" fontId="0" fillId="0" borderId="20" xfId="0" applyNumberFormat="1" applyBorder="1" applyAlignment="1">
      <alignment horizontal="center" vertical="center"/>
    </xf>
    <xf numFmtId="168" fontId="2" fillId="0" borderId="0" xfId="0" applyNumberFormat="1" applyFont="1" applyAlignment="1">
      <alignment horizontal="center"/>
    </xf>
    <xf numFmtId="0" fontId="3" fillId="7" borderId="0" xfId="0" applyFont="1" applyFill="1" applyAlignment="1">
      <alignment horizontal="center" vertical="center"/>
    </xf>
    <xf numFmtId="0" fontId="20" fillId="7" borderId="0" xfId="0" applyFont="1" applyFill="1" applyAlignment="1">
      <alignment horizontal="center" vertical="center"/>
    </xf>
    <xf numFmtId="0" fontId="25" fillId="7" borderId="0" xfId="0" applyFont="1" applyFill="1" applyAlignment="1">
      <alignment horizontal="left" vertical="center"/>
    </xf>
    <xf numFmtId="0" fontId="0" fillId="7" borderId="0" xfId="0" applyFill="1" applyAlignment="1">
      <alignment vertical="center"/>
    </xf>
    <xf numFmtId="166" fontId="21" fillId="7" borderId="0" xfId="0" applyNumberFormat="1" applyFont="1" applyFill="1" applyAlignment="1">
      <alignment vertical="center"/>
    </xf>
    <xf numFmtId="167" fontId="22" fillId="7" borderId="0" xfId="0" applyNumberFormat="1" applyFont="1" applyFill="1" applyAlignment="1">
      <alignment horizontal="center" vertical="center"/>
    </xf>
    <xf numFmtId="0" fontId="6" fillId="7" borderId="0" xfId="0" applyFont="1" applyFill="1" applyAlignment="1">
      <alignment vertical="center"/>
    </xf>
    <xf numFmtId="0" fontId="6" fillId="3" borderId="15" xfId="0" applyFont="1" applyFill="1" applyBorder="1" applyAlignment="1">
      <alignment vertical="center"/>
    </xf>
    <xf numFmtId="0" fontId="7" fillId="7" borderId="0" xfId="0" applyFont="1" applyFill="1" applyAlignment="1">
      <alignment vertical="center"/>
    </xf>
    <xf numFmtId="0" fontId="0" fillId="0" borderId="20" xfId="0" applyBorder="1" applyAlignment="1">
      <alignment vertical="center"/>
    </xf>
    <xf numFmtId="0" fontId="0" fillId="0" borderId="18" xfId="0" applyBorder="1" applyAlignment="1">
      <alignment vertical="center"/>
    </xf>
    <xf numFmtId="0" fontId="0" fillId="0" borderId="15" xfId="0" applyBorder="1" applyAlignment="1">
      <alignment vertical="center"/>
    </xf>
    <xf numFmtId="0" fontId="0" fillId="0" borderId="19" xfId="0" applyBorder="1" applyAlignment="1">
      <alignment vertical="center"/>
    </xf>
    <xf numFmtId="0" fontId="3" fillId="0" borderId="15" xfId="0" applyFont="1" applyBorder="1" applyAlignment="1">
      <alignment vertical="center"/>
    </xf>
    <xf numFmtId="0" fontId="0" fillId="0" borderId="0" xfId="0" pivotButton="1"/>
    <xf numFmtId="0" fontId="0" fillId="0" borderId="0" xfId="0" applyAlignment="1">
      <alignment horizontal="left"/>
    </xf>
    <xf numFmtId="0" fontId="0" fillId="0" borderId="15" xfId="0" applyBorder="1" applyAlignment="1">
      <alignment horizontal="left" vertical="top"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8" xfId="0"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3" fillId="2" borderId="0" xfId="0" applyFont="1" applyFill="1" applyAlignment="1">
      <alignment horizontal="center" vertical="center"/>
    </xf>
    <xf numFmtId="0" fontId="0" fillId="0" borderId="15" xfId="0"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9" xfId="0" applyBorder="1" applyAlignment="1">
      <alignment horizontal="center" vertical="center"/>
    </xf>
    <xf numFmtId="0" fontId="3" fillId="3"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0" xfId="0" applyFont="1" applyFill="1" applyAlignment="1">
      <alignment horizontal="center" vertical="center"/>
    </xf>
    <xf numFmtId="0" fontId="3" fillId="3" borderId="10"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1" xfId="0" applyFont="1" applyFill="1" applyBorder="1" applyAlignment="1">
      <alignment horizontal="center" vertical="center"/>
    </xf>
    <xf numFmtId="49" fontId="10" fillId="4" borderId="5" xfId="0" applyNumberFormat="1" applyFont="1" applyFill="1" applyBorder="1" applyAlignment="1">
      <alignment horizontal="center" vertical="center" wrapText="1"/>
    </xf>
    <xf numFmtId="49" fontId="10" fillId="4" borderId="4" xfId="0" applyNumberFormat="1" applyFont="1" applyFill="1" applyBorder="1" applyAlignment="1">
      <alignment horizontal="center" vertical="center" wrapText="1"/>
    </xf>
    <xf numFmtId="49" fontId="10" fillId="4" borderId="9"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0" xfId="0" applyNumberFormat="1" applyFont="1" applyFill="1" applyAlignment="1">
      <alignment horizontal="center" vertical="center" wrapText="1"/>
    </xf>
    <xf numFmtId="49" fontId="10" fillId="4" borderId="10"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center" wrapText="1"/>
    </xf>
    <xf numFmtId="49" fontId="10" fillId="4" borderId="8" xfId="0" applyNumberFormat="1" applyFont="1" applyFill="1" applyBorder="1" applyAlignment="1">
      <alignment horizontal="center" vertical="center" wrapText="1"/>
    </xf>
    <xf numFmtId="49" fontId="10" fillId="4" borderId="11" xfId="0" applyNumberFormat="1" applyFont="1" applyFill="1" applyBorder="1" applyAlignment="1">
      <alignment horizontal="center" vertical="center" wrapText="1"/>
    </xf>
    <xf numFmtId="0" fontId="10" fillId="4" borderId="5"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0" xfId="0" applyFont="1" applyFill="1" applyAlignment="1">
      <alignment horizontal="center" vertical="center"/>
    </xf>
    <xf numFmtId="0" fontId="10" fillId="4" borderId="10"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3" fillId="0" borderId="15" xfId="0" applyFont="1" applyBorder="1" applyAlignment="1">
      <alignment horizontal="center" vertical="center"/>
    </xf>
    <xf numFmtId="3" fontId="0" fillId="7" borderId="0" xfId="0" applyNumberFormat="1" applyFill="1" applyAlignment="1">
      <alignment horizontal="center" vertical="center"/>
    </xf>
    <xf numFmtId="0" fontId="1" fillId="2" borderId="31"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31" fillId="3" borderId="5" xfId="0" applyFont="1" applyFill="1" applyBorder="1" applyAlignment="1">
      <alignment horizontal="center" vertical="center"/>
    </xf>
    <xf numFmtId="0" fontId="31" fillId="3" borderId="9" xfId="0" applyFont="1" applyFill="1" applyBorder="1" applyAlignment="1">
      <alignment horizontal="center" vertical="center"/>
    </xf>
    <xf numFmtId="0" fontId="31" fillId="3" borderId="7" xfId="0" applyFont="1" applyFill="1" applyBorder="1" applyAlignment="1">
      <alignment horizontal="center" vertical="center"/>
    </xf>
    <xf numFmtId="0" fontId="31" fillId="3" borderId="11"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49" fontId="0" fillId="0" borderId="12" xfId="0" applyNumberFormat="1" applyBorder="1" applyAlignment="1">
      <alignment horizontal="center" vertical="center"/>
    </xf>
    <xf numFmtId="3" fontId="9" fillId="7" borderId="0" xfId="0" applyNumberFormat="1" applyFont="1" applyFill="1" applyAlignment="1">
      <alignment horizontal="center" vertical="center"/>
    </xf>
    <xf numFmtId="3" fontId="16" fillId="7" borderId="0" xfId="0" applyNumberFormat="1" applyFont="1" applyFill="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24" fillId="0" borderId="0" xfId="0" applyFont="1" applyAlignment="1">
      <alignment horizontal="center" vertical="center"/>
    </xf>
    <xf numFmtId="0" fontId="2" fillId="0" borderId="30" xfId="0" applyFont="1" applyBorder="1" applyAlignment="1">
      <alignment horizontal="center" vertical="center"/>
    </xf>
    <xf numFmtId="49" fontId="0" fillId="0" borderId="15" xfId="0" applyNumberForma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lef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7" fillId="0" borderId="0" xfId="0" applyFont="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colors>
    <mruColors>
      <color rgb="FFFFBDB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27385</xdr:colOff>
      <xdr:row>2</xdr:row>
      <xdr:rowOff>22621</xdr:rowOff>
    </xdr:from>
    <xdr:to>
      <xdr:col>2</xdr:col>
      <xdr:colOff>1970485</xdr:colOff>
      <xdr:row>2</xdr:row>
      <xdr:rowOff>585052</xdr:rowOff>
    </xdr:to>
    <xdr:pic>
      <xdr:nvPicPr>
        <xdr:cNvPr id="2" name="Image 1">
          <a:extLst>
            <a:ext uri="{FF2B5EF4-FFF2-40B4-BE49-F238E27FC236}">
              <a16:creationId xmlns:a16="http://schemas.microsoft.com/office/drawing/2014/main" id="{BFF52CE7-4623-48DB-9786-45FE1735C725}"/>
            </a:ext>
          </a:extLst>
        </xdr:cNvPr>
        <xdr:cNvPicPr>
          <a:picLocks noChangeAspect="1"/>
        </xdr:cNvPicPr>
      </xdr:nvPicPr>
      <xdr:blipFill>
        <a:blip xmlns:r="http://schemas.openxmlformats.org/officeDocument/2006/relationships" r:embed="rId1"/>
        <a:stretch>
          <a:fillRect/>
        </a:stretch>
      </xdr:blipFill>
      <xdr:spPr>
        <a:xfrm>
          <a:off x="3569494" y="427434"/>
          <a:ext cx="1943100" cy="5624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ent Gillet" refreshedDate="45791.694128587966" createdVersion="8" refreshedVersion="8" minRefreshableVersion="3" recordCount="28" xr:uid="{D03E368F-B911-4C46-BF24-B0E418F6AEA1}">
  <cacheSource type="worksheet">
    <worksheetSource ref="J8:L36" sheet="DECODER"/>
  </cacheSource>
  <cacheFields count="3">
    <cacheField name="ORDER REF." numFmtId="0">
      <sharedItems count="15">
        <s v="AQL-C+"/>
        <s v="OPT-AQL-IN"/>
        <s v="OPT-AQL-IN-HDMI-1.4"/>
        <s v="OPT-AQL-IN-HDMI"/>
        <s v="OPT-AQL-IN-DP"/>
        <s v="OPT-AQL-IN-IP-SDI"/>
        <s v="OPT-AQL-IN-SDI"/>
        <s v="---NA---"/>
        <s v="OPT-AQL-OUT"/>
        <s v="OPT-AQL-OUT-HDMI"/>
        <s v="OPT-AQL-OUT-SDI"/>
        <s v="OPT-AQL-LINK"/>
        <s v="OPT-AQL-OUT-LINK-QSFP"/>
        <s v="OPT-AQL-VPU"/>
        <s v="OPT-AQL-IPU"/>
      </sharedItems>
    </cacheField>
    <cacheField name="QUANTITY" numFmtId="1">
      <sharedItems containsMixedTypes="1" containsNumber="1" containsInteger="1" minValue="0" maxValue="1"/>
    </cacheField>
    <cacheField name="EXCALIBU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1"/>
    <s v="0001205"/>
  </r>
  <r>
    <x v="1"/>
    <n v="1"/>
    <s v="0001210"/>
  </r>
  <r>
    <x v="2"/>
    <n v="1"/>
    <s v="0001376"/>
  </r>
  <r>
    <x v="2"/>
    <n v="1"/>
    <s v="0001376"/>
  </r>
  <r>
    <x v="1"/>
    <n v="1"/>
    <s v="0001210"/>
  </r>
  <r>
    <x v="3"/>
    <n v="1"/>
    <s v="0001212"/>
  </r>
  <r>
    <x v="4"/>
    <n v="1"/>
    <s v="0001213"/>
  </r>
  <r>
    <x v="1"/>
    <n v="1"/>
    <s v="0001210"/>
  </r>
  <r>
    <x v="5"/>
    <n v="1"/>
    <s v="0001338"/>
  </r>
  <r>
    <x v="6"/>
    <n v="1"/>
    <s v="0001214"/>
  </r>
  <r>
    <x v="7"/>
    <n v="0"/>
    <s v="---NA---"/>
  </r>
  <r>
    <x v="7"/>
    <n v="0"/>
    <s v="---NA---"/>
  </r>
  <r>
    <x v="7"/>
    <n v="0"/>
    <s v="---NA---"/>
  </r>
  <r>
    <x v="8"/>
    <n v="1"/>
    <s v="0001211"/>
  </r>
  <r>
    <x v="9"/>
    <n v="1"/>
    <s v="0001215"/>
  </r>
  <r>
    <x v="8"/>
    <n v="1"/>
    <s v="0001211"/>
  </r>
  <r>
    <x v="9"/>
    <n v="1"/>
    <s v="0001215"/>
  </r>
  <r>
    <x v="8"/>
    <n v="1"/>
    <s v="0001211"/>
  </r>
  <r>
    <x v="9"/>
    <n v="1"/>
    <s v="0001215"/>
  </r>
  <r>
    <x v="8"/>
    <n v="1"/>
    <s v="0001211"/>
  </r>
  <r>
    <x v="10"/>
    <n v="1"/>
    <s v="0001217"/>
  </r>
  <r>
    <x v="11"/>
    <n v="1"/>
    <s v="0001375"/>
  </r>
  <r>
    <x v="12"/>
    <n v="1"/>
    <s v="0001377"/>
  </r>
  <r>
    <x v="7"/>
    <n v="0"/>
    <s v="---NA---"/>
  </r>
  <r>
    <x v="7"/>
    <n v="0"/>
    <s v="---NA---"/>
  </r>
  <r>
    <x v="13"/>
    <s v="3"/>
    <s v="0001208"/>
  </r>
  <r>
    <x v="14"/>
    <s v="2"/>
    <s v="0001209"/>
  </r>
  <r>
    <x v="7"/>
    <n v="1"/>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1C72B-A32C-4EDE-8C93-08296DBAA4A5}" name="Tableau croisé dynamique2" cacheId="28"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C75:D91" firstHeaderRow="1" firstDataRow="1" firstDataCol="1"/>
  <pivotFields count="3">
    <pivotField axis="axisRow" showAll="0">
      <items count="16">
        <item x="0"/>
        <item x="7"/>
        <item x="1"/>
        <item x="4"/>
        <item x="3"/>
        <item x="2"/>
        <item x="5"/>
        <item x="6"/>
        <item x="14"/>
        <item x="11"/>
        <item x="8"/>
        <item x="9"/>
        <item x="12"/>
        <item x="10"/>
        <item x="13"/>
        <item t="default"/>
      </items>
    </pivotField>
    <pivotField dataField="1"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ombre de QUANT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C587-3A80-4BCF-87BB-527F4AB3D03D}">
  <sheetPr codeName="Feuil1"/>
  <dimension ref="B2:E23"/>
  <sheetViews>
    <sheetView showGridLines="0" workbookViewId="0">
      <selection activeCell="C22" sqref="C21:C22"/>
    </sheetView>
  </sheetViews>
  <sheetFormatPr baseColWidth="10" defaultColWidth="11.42578125" defaultRowHeight="15" x14ac:dyDescent="0.25"/>
  <cols>
    <col min="2" max="2" width="68.42578125" customWidth="1"/>
    <col min="3" max="3" width="35.42578125" bestFit="1" customWidth="1"/>
    <col min="4" max="10" width="12.140625" customWidth="1"/>
  </cols>
  <sheetData>
    <row r="2" spans="2:5" x14ac:dyDescent="0.25">
      <c r="B2" s="96" t="s">
        <v>0</v>
      </c>
      <c r="C2" s="96"/>
      <c r="D2" s="96"/>
    </row>
    <row r="4" spans="2:5" x14ac:dyDescent="0.25">
      <c r="B4" s="2" t="s">
        <v>1</v>
      </c>
    </row>
    <row r="5" spans="2:5" x14ac:dyDescent="0.25">
      <c r="B5" s="16" t="s">
        <v>2</v>
      </c>
    </row>
    <row r="6" spans="2:5" x14ac:dyDescent="0.25">
      <c r="B6" t="s">
        <v>302</v>
      </c>
    </row>
    <row r="7" spans="2:5" x14ac:dyDescent="0.25">
      <c r="B7" t="s">
        <v>362</v>
      </c>
    </row>
    <row r="8" spans="2:5" x14ac:dyDescent="0.25">
      <c r="B8" s="16" t="s">
        <v>363</v>
      </c>
    </row>
    <row r="10" spans="2:5" x14ac:dyDescent="0.25">
      <c r="B10" t="s">
        <v>3</v>
      </c>
    </row>
    <row r="11" spans="2:5" x14ac:dyDescent="0.25">
      <c r="B11" t="s">
        <v>4</v>
      </c>
    </row>
    <row r="14" spans="2:5" x14ac:dyDescent="0.25">
      <c r="B14" t="s">
        <v>390</v>
      </c>
      <c r="D14" s="1"/>
    </row>
    <row r="15" spans="2:5" x14ac:dyDescent="0.25">
      <c r="B15" s="16" t="s">
        <v>391</v>
      </c>
      <c r="D15" s="16"/>
    </row>
    <row r="16" spans="2:5" x14ac:dyDescent="0.25">
      <c r="B16" s="16" t="s">
        <v>392</v>
      </c>
      <c r="E16" s="50"/>
    </row>
    <row r="17" spans="2:5" x14ac:dyDescent="0.25">
      <c r="B17" s="16"/>
    </row>
    <row r="18" spans="2:5" x14ac:dyDescent="0.25">
      <c r="B18" s="16"/>
    </row>
    <row r="19" spans="2:5" x14ac:dyDescent="0.25">
      <c r="E19" s="50"/>
    </row>
    <row r="23" spans="2:5" x14ac:dyDescent="0.25">
      <c r="B23" s="16"/>
    </row>
  </sheetData>
  <mergeCells count="1">
    <mergeCell ref="B2:D2"/>
  </mergeCells>
  <phoneticPr fontId="3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1F5-BB1A-412D-88D4-5BED02ED2A1F}">
  <sheetPr codeName="Feuil6"/>
  <dimension ref="A1:H5"/>
  <sheetViews>
    <sheetView workbookViewId="0">
      <selection activeCell="G3" sqref="G3"/>
    </sheetView>
  </sheetViews>
  <sheetFormatPr baseColWidth="10" defaultColWidth="11.42578125" defaultRowHeight="15" x14ac:dyDescent="0.25"/>
  <cols>
    <col min="1" max="1" width="34.5703125" customWidth="1"/>
    <col min="2" max="2" width="11.140625" style="1"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t="s">
        <v>219</v>
      </c>
      <c r="B2" s="1" t="s">
        <v>220</v>
      </c>
      <c r="C2" s="16" t="s">
        <v>221</v>
      </c>
      <c r="D2" s="15">
        <v>0</v>
      </c>
      <c r="E2" s="15">
        <v>0</v>
      </c>
      <c r="F2" s="15">
        <v>0</v>
      </c>
      <c r="G2" s="16" t="s">
        <v>221</v>
      </c>
      <c r="H2" t="str">
        <f>A2</f>
        <v>NOT AVAILABLE</v>
      </c>
    </row>
    <row r="3" spans="1:8" x14ac:dyDescent="0.25">
      <c r="A3" t="s">
        <v>228</v>
      </c>
      <c r="B3" s="1" t="s">
        <v>229</v>
      </c>
      <c r="C3" t="s">
        <v>229</v>
      </c>
      <c r="D3" s="15">
        <v>43550</v>
      </c>
      <c r="E3" s="15">
        <v>50900</v>
      </c>
      <c r="F3" s="15">
        <v>36300</v>
      </c>
      <c r="G3" s="46" t="s">
        <v>230</v>
      </c>
      <c r="H3" t="str">
        <f t="shared" ref="H3:H4" si="0">A3</f>
        <v>AQUILON CUSTOM - BASE MODULE 4RU</v>
      </c>
    </row>
    <row r="4" spans="1:8" x14ac:dyDescent="0.25">
      <c r="A4" t="s">
        <v>231</v>
      </c>
      <c r="B4" s="1" t="s">
        <v>232</v>
      </c>
      <c r="C4" t="s">
        <v>232</v>
      </c>
      <c r="D4" s="15">
        <v>49240</v>
      </c>
      <c r="E4" s="15">
        <v>57090</v>
      </c>
      <c r="F4" s="15">
        <v>41040</v>
      </c>
      <c r="G4" s="46" t="s">
        <v>233</v>
      </c>
      <c r="H4" t="str">
        <f t="shared" si="0"/>
        <v>AQUILON CUSTOM - BASE MODULE 5RU</v>
      </c>
    </row>
    <row r="5" spans="1:8" x14ac:dyDescent="0.25">
      <c r="A5" t="s">
        <v>341</v>
      </c>
      <c r="B5" s="1" t="s">
        <v>342</v>
      </c>
      <c r="C5" t="s">
        <v>342</v>
      </c>
      <c r="D5" s="15">
        <v>66500</v>
      </c>
      <c r="E5" s="15">
        <v>77800</v>
      </c>
      <c r="F5" s="15">
        <v>55420</v>
      </c>
      <c r="G5" s="46" t="s">
        <v>361</v>
      </c>
      <c r="H5" t="str">
        <f t="shared" ref="H5" si="1">A5</f>
        <v>AQUILON CUSTOM - BASE MODULE 6RU</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1025-49CD-4EED-B934-0FB4F51FBC42}">
  <sheetPr codeName="Feuil7"/>
  <dimension ref="A1:H9"/>
  <sheetViews>
    <sheetView workbookViewId="0">
      <selection activeCell="B2" sqref="B2:M2"/>
    </sheetView>
  </sheetViews>
  <sheetFormatPr baseColWidth="10" defaultColWidth="11.42578125" defaultRowHeight="15" x14ac:dyDescent="0.25"/>
  <cols>
    <col min="1" max="1" width="34.5703125" customWidth="1"/>
    <col min="2" max="2" width="11.140625"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s="26" t="s">
        <v>219</v>
      </c>
      <c r="B2" s="21" t="s">
        <v>223</v>
      </c>
      <c r="C2" s="16" t="s">
        <v>221</v>
      </c>
      <c r="D2" s="1">
        <v>0</v>
      </c>
      <c r="E2" s="1">
        <v>0</v>
      </c>
      <c r="F2" s="1">
        <v>0</v>
      </c>
      <c r="G2" s="29" t="s">
        <v>221</v>
      </c>
      <c r="H2" t="str">
        <f>A2</f>
        <v>NOT AVAILABLE</v>
      </c>
    </row>
    <row r="3" spans="1:8" x14ac:dyDescent="0.25">
      <c r="A3" t="s">
        <v>234</v>
      </c>
      <c r="B3" s="21" t="s">
        <v>224</v>
      </c>
      <c r="C3" t="s">
        <v>235</v>
      </c>
      <c r="D3" s="15"/>
      <c r="E3" s="15"/>
      <c r="F3" s="15"/>
      <c r="H3" t="str">
        <f t="shared" ref="H3:H5" si="0">A3</f>
        <v>1 PSU (default conf)</v>
      </c>
    </row>
    <row r="4" spans="1:8" x14ac:dyDescent="0.25">
      <c r="A4" t="s">
        <v>236</v>
      </c>
      <c r="B4" s="21" t="s">
        <v>226</v>
      </c>
      <c r="C4" t="s">
        <v>237</v>
      </c>
      <c r="D4" s="15"/>
      <c r="E4" s="15"/>
      <c r="F4" s="15"/>
      <c r="H4" t="str">
        <f t="shared" si="0"/>
        <v>2 PSU (1 PSU in option)</v>
      </c>
    </row>
    <row r="5" spans="1:8" x14ac:dyDescent="0.25">
      <c r="A5" t="s">
        <v>238</v>
      </c>
      <c r="B5" s="21" t="s">
        <v>239</v>
      </c>
      <c r="C5" t="s">
        <v>237</v>
      </c>
      <c r="D5" s="15"/>
      <c r="E5" s="15"/>
      <c r="F5" s="15"/>
      <c r="H5" t="str">
        <f t="shared" si="0"/>
        <v>3 PSU (2 PSUs in option)</v>
      </c>
    </row>
    <row r="6" spans="1:8" x14ac:dyDescent="0.25">
      <c r="B6" s="22"/>
    </row>
    <row r="7" spans="1:8" x14ac:dyDescent="0.25">
      <c r="B7" s="21"/>
    </row>
    <row r="8" spans="1:8" x14ac:dyDescent="0.25">
      <c r="B8" s="1"/>
    </row>
    <row r="9" spans="1:8" x14ac:dyDescent="0.25">
      <c r="B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34A1A-A882-4DA2-8700-16DF315DD26A}">
  <sheetPr codeName="Feuil8"/>
  <dimension ref="A1:H4"/>
  <sheetViews>
    <sheetView workbookViewId="0">
      <selection activeCell="A7" sqref="A7"/>
    </sheetView>
  </sheetViews>
  <sheetFormatPr baseColWidth="10" defaultColWidth="11.42578125" defaultRowHeight="15" x14ac:dyDescent="0.25"/>
  <cols>
    <col min="1" max="1" width="34.5703125" customWidth="1"/>
    <col min="2" max="2" width="11.140625" style="1" customWidth="1"/>
    <col min="3" max="3" width="21.7109375" style="1" customWidth="1"/>
    <col min="4" max="6" width="11.7109375" customWidth="1"/>
    <col min="7" max="8" width="34.7109375" customWidth="1"/>
  </cols>
  <sheetData>
    <row r="1" spans="1:8" x14ac:dyDescent="0.25">
      <c r="A1" s="6" t="s">
        <v>213</v>
      </c>
      <c r="B1" s="6" t="s">
        <v>38</v>
      </c>
      <c r="C1" s="6" t="s">
        <v>214</v>
      </c>
      <c r="D1" s="6" t="s">
        <v>215</v>
      </c>
      <c r="E1" s="6" t="s">
        <v>216</v>
      </c>
      <c r="F1" s="6" t="s">
        <v>217</v>
      </c>
      <c r="G1" s="6" t="s">
        <v>218</v>
      </c>
      <c r="H1" s="6" t="s">
        <v>167</v>
      </c>
    </row>
    <row r="2" spans="1:8" x14ac:dyDescent="0.25">
      <c r="A2" t="s">
        <v>28</v>
      </c>
      <c r="B2" s="21" t="s">
        <v>223</v>
      </c>
      <c r="C2" s="29" t="s">
        <v>221</v>
      </c>
      <c r="D2" s="15">
        <v>0</v>
      </c>
      <c r="E2" s="15">
        <v>0</v>
      </c>
      <c r="F2" s="15">
        <v>0</v>
      </c>
      <c r="G2" s="16" t="s">
        <v>221</v>
      </c>
      <c r="H2" t="str">
        <f>A2</f>
        <v>NO WARRANTY EXTENSION</v>
      </c>
    </row>
    <row r="3" spans="1:8" x14ac:dyDescent="0.25">
      <c r="A3" t="s">
        <v>383</v>
      </c>
      <c r="B3" s="21" t="s">
        <v>378</v>
      </c>
      <c r="C3" s="29"/>
      <c r="D3" s="19">
        <v>0.05</v>
      </c>
      <c r="E3" s="19">
        <v>0.05</v>
      </c>
      <c r="F3" s="19">
        <v>0.05</v>
      </c>
      <c r="G3" s="46" t="s">
        <v>385</v>
      </c>
      <c r="H3" t="str">
        <f>A3</f>
        <v>1-YEAR WARRANTY EXTENSION (4RU)</v>
      </c>
    </row>
    <row r="4" spans="1:8" x14ac:dyDescent="0.25">
      <c r="A4" t="s">
        <v>384</v>
      </c>
      <c r="B4" s="21" t="s">
        <v>224</v>
      </c>
      <c r="C4" s="29"/>
      <c r="D4" s="19">
        <v>0.1</v>
      </c>
      <c r="E4" s="19">
        <v>0.1</v>
      </c>
      <c r="F4" s="19">
        <v>0.1</v>
      </c>
      <c r="G4" s="46">
        <v>500171</v>
      </c>
      <c r="H4" t="str">
        <f>A4</f>
        <v>2-YEAR WARRANTY EXTENSION (4RU)</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48A0-E7B0-4337-B945-662A0509493D}">
  <sheetPr codeName="Feuil19"/>
  <dimension ref="A1:H4"/>
  <sheetViews>
    <sheetView workbookViewId="0">
      <selection activeCell="A7" sqref="A7"/>
    </sheetView>
  </sheetViews>
  <sheetFormatPr baseColWidth="10" defaultColWidth="11.42578125" defaultRowHeight="15" x14ac:dyDescent="0.25"/>
  <cols>
    <col min="1" max="1" width="34.5703125" customWidth="1"/>
    <col min="2" max="2" width="11.140625" style="1" customWidth="1"/>
    <col min="3" max="3" width="21.7109375" style="1" customWidth="1"/>
    <col min="4" max="6" width="11.7109375" customWidth="1"/>
    <col min="7" max="8" width="34.7109375" customWidth="1"/>
  </cols>
  <sheetData>
    <row r="1" spans="1:8" x14ac:dyDescent="0.25">
      <c r="A1" s="6" t="s">
        <v>213</v>
      </c>
      <c r="B1" s="6" t="s">
        <v>38</v>
      </c>
      <c r="C1" s="6" t="s">
        <v>214</v>
      </c>
      <c r="D1" s="6" t="s">
        <v>215</v>
      </c>
      <c r="E1" s="6" t="s">
        <v>216</v>
      </c>
      <c r="F1" s="6" t="s">
        <v>217</v>
      </c>
      <c r="G1" s="6" t="s">
        <v>218</v>
      </c>
      <c r="H1" s="6" t="s">
        <v>167</v>
      </c>
    </row>
    <row r="2" spans="1:8" x14ac:dyDescent="0.25">
      <c r="A2" t="s">
        <v>28</v>
      </c>
      <c r="B2" s="21" t="s">
        <v>223</v>
      </c>
      <c r="C2" s="29" t="s">
        <v>221</v>
      </c>
      <c r="D2" s="15">
        <v>0</v>
      </c>
      <c r="E2" s="15">
        <v>0</v>
      </c>
      <c r="F2" s="15">
        <v>0</v>
      </c>
      <c r="G2" s="16" t="s">
        <v>221</v>
      </c>
      <c r="H2" t="str">
        <f>A2</f>
        <v>NO WARRANTY EXTENSION</v>
      </c>
    </row>
    <row r="3" spans="1:8" x14ac:dyDescent="0.25">
      <c r="A3" t="s">
        <v>386</v>
      </c>
      <c r="B3" s="21" t="s">
        <v>378</v>
      </c>
      <c r="C3" s="29"/>
      <c r="D3" s="19">
        <v>0.05</v>
      </c>
      <c r="E3" s="19">
        <v>0.05</v>
      </c>
      <c r="F3" s="19">
        <v>0.05</v>
      </c>
      <c r="G3" s="46">
        <v>500230</v>
      </c>
      <c r="H3" t="str">
        <f>A3</f>
        <v>1-YEAR WARRANTY EXTENSION (5RU)</v>
      </c>
    </row>
    <row r="4" spans="1:8" x14ac:dyDescent="0.25">
      <c r="A4" t="s">
        <v>387</v>
      </c>
      <c r="B4" s="21" t="s">
        <v>224</v>
      </c>
      <c r="C4" s="29"/>
      <c r="D4" s="19">
        <v>0.1</v>
      </c>
      <c r="E4" s="19">
        <v>0.1</v>
      </c>
      <c r="F4" s="19">
        <v>0.1</v>
      </c>
      <c r="G4" s="46">
        <v>500172</v>
      </c>
      <c r="H4" t="str">
        <f>A4</f>
        <v>2-YEAR WARRANTY EXTENSION (5RU)</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8980-A830-4127-A08C-A3A0A8783E14}">
  <sheetPr codeName="Feuil20"/>
  <dimension ref="A1:H4"/>
  <sheetViews>
    <sheetView workbookViewId="0">
      <selection activeCell="A7" sqref="A7"/>
    </sheetView>
  </sheetViews>
  <sheetFormatPr baseColWidth="10" defaultColWidth="11.42578125" defaultRowHeight="15" x14ac:dyDescent="0.25"/>
  <cols>
    <col min="1" max="1" width="34.5703125" customWidth="1"/>
    <col min="2" max="2" width="11.140625" style="1" customWidth="1"/>
    <col min="3" max="3" width="21.7109375" style="1" customWidth="1"/>
    <col min="4" max="6" width="11.7109375" customWidth="1"/>
    <col min="7" max="8" width="34.7109375" customWidth="1"/>
  </cols>
  <sheetData>
    <row r="1" spans="1:8" x14ac:dyDescent="0.25">
      <c r="A1" s="6" t="s">
        <v>213</v>
      </c>
      <c r="B1" s="6" t="s">
        <v>38</v>
      </c>
      <c r="C1" s="6" t="s">
        <v>214</v>
      </c>
      <c r="D1" s="6" t="s">
        <v>215</v>
      </c>
      <c r="E1" s="6" t="s">
        <v>216</v>
      </c>
      <c r="F1" s="6" t="s">
        <v>217</v>
      </c>
      <c r="G1" s="6" t="s">
        <v>218</v>
      </c>
      <c r="H1" s="6" t="s">
        <v>167</v>
      </c>
    </row>
    <row r="2" spans="1:8" x14ac:dyDescent="0.25">
      <c r="A2" t="s">
        <v>28</v>
      </c>
      <c r="B2" s="21" t="s">
        <v>223</v>
      </c>
      <c r="C2" s="29" t="s">
        <v>221</v>
      </c>
      <c r="D2" s="15">
        <v>0</v>
      </c>
      <c r="E2" s="15">
        <v>0</v>
      </c>
      <c r="F2" s="15">
        <v>0</v>
      </c>
      <c r="G2" s="16" t="s">
        <v>221</v>
      </c>
      <c r="H2" t="str">
        <f>A2</f>
        <v>NO WARRANTY EXTENSION</v>
      </c>
    </row>
    <row r="3" spans="1:8" x14ac:dyDescent="0.25">
      <c r="A3" t="s">
        <v>388</v>
      </c>
      <c r="B3" s="21" t="s">
        <v>378</v>
      </c>
      <c r="C3" s="29"/>
      <c r="D3" s="19">
        <v>0.05</v>
      </c>
      <c r="E3" s="19">
        <v>0.05</v>
      </c>
      <c r="F3" s="19">
        <v>0.05</v>
      </c>
      <c r="G3" s="46">
        <v>500229</v>
      </c>
      <c r="H3" t="str">
        <f>A3</f>
        <v>1-YEAR WARRANTY EXTENSION (6RU)</v>
      </c>
    </row>
    <row r="4" spans="1:8" x14ac:dyDescent="0.25">
      <c r="A4" t="s">
        <v>389</v>
      </c>
      <c r="B4" s="21" t="s">
        <v>224</v>
      </c>
      <c r="C4" s="29"/>
      <c r="D4" s="19">
        <v>0.1</v>
      </c>
      <c r="E4" s="19">
        <v>0.1</v>
      </c>
      <c r="F4" s="19">
        <v>0.1</v>
      </c>
      <c r="G4" s="46">
        <v>500176</v>
      </c>
      <c r="H4" t="str">
        <f>A4</f>
        <v>2-YEAR WARRANTY EXTENSION (6RU)</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35AE-5BC0-4D58-A6F2-B1A5BFE0DF29}">
  <sheetPr codeName="Feuil10"/>
  <dimension ref="A1:H6"/>
  <sheetViews>
    <sheetView workbookViewId="0">
      <selection activeCell="B2" sqref="B2:M2"/>
    </sheetView>
  </sheetViews>
  <sheetFormatPr baseColWidth="10" defaultColWidth="11.42578125" defaultRowHeight="15" x14ac:dyDescent="0.25"/>
  <cols>
    <col min="1" max="1" width="34.5703125" customWidth="1"/>
    <col min="2" max="2" width="11.140625" style="1"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s="27" t="s">
        <v>219</v>
      </c>
      <c r="B2" s="21" t="s">
        <v>220</v>
      </c>
      <c r="C2" s="28" t="s">
        <v>221</v>
      </c>
      <c r="D2" s="1">
        <v>0</v>
      </c>
      <c r="E2" s="1">
        <v>0</v>
      </c>
      <c r="F2" s="1">
        <v>0</v>
      </c>
      <c r="G2" s="22" t="s">
        <v>221</v>
      </c>
      <c r="H2" s="27" t="str">
        <f>A2</f>
        <v>NOT AVAILABLE</v>
      </c>
    </row>
    <row r="3" spans="1:8" x14ac:dyDescent="0.25">
      <c r="A3" s="27" t="s">
        <v>256</v>
      </c>
      <c r="B3" s="21" t="s">
        <v>223</v>
      </c>
      <c r="C3" s="28" t="s">
        <v>221</v>
      </c>
      <c r="D3" s="15">
        <v>0</v>
      </c>
      <c r="E3" s="15">
        <v>0</v>
      </c>
      <c r="F3" s="15">
        <v>0</v>
      </c>
      <c r="G3" s="22" t="s">
        <v>221</v>
      </c>
      <c r="H3" s="27" t="str">
        <f t="shared" ref="H3:H5" si="0">A3</f>
        <v>NO GENERIC I/O BOARD</v>
      </c>
    </row>
    <row r="4" spans="1:8" x14ac:dyDescent="0.25">
      <c r="A4" s="27" t="s">
        <v>257</v>
      </c>
      <c r="B4" s="21" t="s">
        <v>224</v>
      </c>
      <c r="C4" s="27" t="s">
        <v>258</v>
      </c>
      <c r="D4" s="15">
        <v>6040</v>
      </c>
      <c r="E4" s="15">
        <v>7230</v>
      </c>
      <c r="F4" s="15">
        <v>5040</v>
      </c>
      <c r="G4" s="47" t="s">
        <v>259</v>
      </c>
      <c r="H4" s="27" t="str">
        <f t="shared" si="0"/>
        <v>8x 4K60p GENERIC INPUT BOARD</v>
      </c>
    </row>
    <row r="5" spans="1:8" x14ac:dyDescent="0.25">
      <c r="A5" s="27" t="s">
        <v>260</v>
      </c>
      <c r="B5" s="21" t="s">
        <v>226</v>
      </c>
      <c r="C5" s="27" t="s">
        <v>261</v>
      </c>
      <c r="D5" s="15">
        <v>4030</v>
      </c>
      <c r="E5" s="15">
        <v>4750</v>
      </c>
      <c r="F5" s="15">
        <v>3360</v>
      </c>
      <c r="G5" s="47" t="s">
        <v>262</v>
      </c>
      <c r="H5" s="27" t="str">
        <f t="shared" si="0"/>
        <v>4x 4K60p GENERIC OUTPUT BOARD</v>
      </c>
    </row>
    <row r="6" spans="1:8" x14ac:dyDescent="0.25">
      <c r="A6" s="27" t="s">
        <v>327</v>
      </c>
      <c r="B6" s="21" t="s">
        <v>239</v>
      </c>
      <c r="C6" s="27" t="s">
        <v>323</v>
      </c>
      <c r="D6" s="15">
        <v>4350</v>
      </c>
      <c r="E6" s="15">
        <v>5090</v>
      </c>
      <c r="F6" s="15">
        <v>3630</v>
      </c>
      <c r="G6" s="47" t="s">
        <v>324</v>
      </c>
      <c r="H6" s="27" t="str">
        <f t="shared" ref="H6" si="1">A6</f>
        <v>GENERIC LINK/OUTPUT BOARD</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A6E2-92B4-4FC0-8798-C855B579D26F}">
  <sheetPr codeName="Feuil11"/>
  <dimension ref="A1:H13"/>
  <sheetViews>
    <sheetView topLeftCell="A3" workbookViewId="0">
      <selection activeCell="B9" sqref="B9"/>
    </sheetView>
  </sheetViews>
  <sheetFormatPr baseColWidth="10" defaultColWidth="11.42578125" defaultRowHeight="15" x14ac:dyDescent="0.25"/>
  <cols>
    <col min="1" max="1" width="39" customWidth="1"/>
    <col min="2" max="2" width="11.140625" customWidth="1"/>
    <col min="3" max="3" width="21.7109375" customWidth="1"/>
    <col min="4" max="6" width="11.7109375" customWidth="1"/>
    <col min="7" max="7" width="34.7109375" customWidth="1"/>
    <col min="8" max="8" width="38.42578125" bestFit="1" customWidth="1"/>
  </cols>
  <sheetData>
    <row r="1" spans="1:8" x14ac:dyDescent="0.25">
      <c r="A1" s="6" t="s">
        <v>213</v>
      </c>
      <c r="B1" s="6" t="s">
        <v>38</v>
      </c>
      <c r="C1" s="7" t="s">
        <v>214</v>
      </c>
      <c r="D1" s="6" t="s">
        <v>215</v>
      </c>
      <c r="E1" s="6" t="s">
        <v>216</v>
      </c>
      <c r="F1" s="6" t="s">
        <v>217</v>
      </c>
      <c r="G1" s="6" t="s">
        <v>218</v>
      </c>
      <c r="H1" s="6" t="s">
        <v>167</v>
      </c>
    </row>
    <row r="2" spans="1:8" x14ac:dyDescent="0.25">
      <c r="A2" s="27" t="s">
        <v>219</v>
      </c>
      <c r="B2" s="1" t="s">
        <v>220</v>
      </c>
      <c r="C2" s="16" t="s">
        <v>221</v>
      </c>
      <c r="D2" s="1">
        <v>0</v>
      </c>
      <c r="E2" s="1">
        <v>0</v>
      </c>
      <c r="F2" s="1">
        <v>0</v>
      </c>
      <c r="G2" s="22" t="s">
        <v>221</v>
      </c>
      <c r="H2" s="27" t="str">
        <f>A2</f>
        <v>NOT AVAILABLE</v>
      </c>
    </row>
    <row r="3" spans="1:8" x14ac:dyDescent="0.25">
      <c r="A3" s="27" t="s">
        <v>10</v>
      </c>
      <c r="B3" s="21" t="s">
        <v>223</v>
      </c>
      <c r="C3" s="16" t="s">
        <v>221</v>
      </c>
      <c r="D3" s="15">
        <v>0</v>
      </c>
      <c r="E3" s="15">
        <v>0</v>
      </c>
      <c r="F3" s="15">
        <v>0</v>
      </c>
      <c r="G3" s="22" t="s">
        <v>221</v>
      </c>
      <c r="H3" s="27" t="str">
        <f t="shared" ref="H3:H10" si="0">A3</f>
        <v>EMPTY SLOT (no input card)</v>
      </c>
    </row>
    <row r="4" spans="1:8" x14ac:dyDescent="0.25">
      <c r="A4" s="27" t="s">
        <v>263</v>
      </c>
      <c r="B4" s="21" t="s">
        <v>264</v>
      </c>
      <c r="C4" t="s">
        <v>265</v>
      </c>
      <c r="D4" s="15">
        <v>450</v>
      </c>
      <c r="E4" s="15">
        <v>540</v>
      </c>
      <c r="F4" s="15">
        <v>380</v>
      </c>
      <c r="G4" s="46" t="s">
        <v>266</v>
      </c>
      <c r="H4" s="27" t="str">
        <f>A4</f>
        <v>FILLER INPUT CARD (no connector)</v>
      </c>
    </row>
    <row r="5" spans="1:8" x14ac:dyDescent="0.25">
      <c r="A5" s="27" t="s">
        <v>303</v>
      </c>
      <c r="B5" s="21" t="s">
        <v>224</v>
      </c>
      <c r="C5" t="s">
        <v>267</v>
      </c>
      <c r="D5" s="15">
        <v>1200</v>
      </c>
      <c r="E5" s="15">
        <v>1450</v>
      </c>
      <c r="F5" s="15">
        <v>1000</v>
      </c>
      <c r="G5" s="46" t="s">
        <v>268</v>
      </c>
      <c r="H5" s="27" t="str">
        <f t="shared" si="0"/>
        <v xml:space="preserve">INPUT CARD 4x HDMI 2.0 </v>
      </c>
    </row>
    <row r="6" spans="1:8" x14ac:dyDescent="0.25">
      <c r="A6" s="27" t="s">
        <v>304</v>
      </c>
      <c r="B6" s="22" t="s">
        <v>226</v>
      </c>
      <c r="C6" t="s">
        <v>269</v>
      </c>
      <c r="D6" s="15">
        <v>1200</v>
      </c>
      <c r="E6" s="15">
        <v>1450</v>
      </c>
      <c r="F6" s="15">
        <v>1000</v>
      </c>
      <c r="G6" s="46" t="s">
        <v>270</v>
      </c>
      <c r="H6" s="27" t="str">
        <f t="shared" si="0"/>
        <v>INPUT CARD 4x DP1.2</v>
      </c>
    </row>
    <row r="7" spans="1:8" x14ac:dyDescent="0.25">
      <c r="A7" s="27" t="s">
        <v>305</v>
      </c>
      <c r="B7" s="21" t="s">
        <v>239</v>
      </c>
      <c r="C7" t="s">
        <v>271</v>
      </c>
      <c r="D7" s="15">
        <v>1300</v>
      </c>
      <c r="E7" s="15">
        <v>1550</v>
      </c>
      <c r="F7" s="15">
        <v>1090</v>
      </c>
      <c r="G7" s="46" t="s">
        <v>272</v>
      </c>
      <c r="H7" s="27" t="str">
        <f t="shared" si="0"/>
        <v>INPUT CARD 4x 12G-SDI</v>
      </c>
    </row>
    <row r="8" spans="1:8" x14ac:dyDescent="0.25">
      <c r="A8" s="27" t="s">
        <v>306</v>
      </c>
      <c r="B8" s="21" t="s">
        <v>247</v>
      </c>
      <c r="C8" t="s">
        <v>273</v>
      </c>
      <c r="D8" s="15">
        <v>1280</v>
      </c>
      <c r="E8" s="15">
        <v>1535</v>
      </c>
      <c r="F8" s="15">
        <v>1070</v>
      </c>
      <c r="G8" s="46" t="s">
        <v>274</v>
      </c>
      <c r="H8" s="27" t="str">
        <f t="shared" si="0"/>
        <v>INPUT CARD 4x SFP</v>
      </c>
    </row>
    <row r="9" spans="1:8" x14ac:dyDescent="0.25">
      <c r="A9" s="27" t="s">
        <v>307</v>
      </c>
      <c r="B9" s="21" t="s">
        <v>250</v>
      </c>
      <c r="C9" t="s">
        <v>275</v>
      </c>
      <c r="D9" s="15">
        <v>4000</v>
      </c>
      <c r="E9" s="15">
        <v>4700</v>
      </c>
      <c r="F9" s="15">
        <v>3340</v>
      </c>
      <c r="G9" s="46" t="s">
        <v>276</v>
      </c>
      <c r="H9" s="27" t="str">
        <f t="shared" si="0"/>
        <v>INPUT CARD 4x FIBER (HDMI)</v>
      </c>
    </row>
    <row r="10" spans="1:8" x14ac:dyDescent="0.25">
      <c r="A10" s="27" t="s">
        <v>308</v>
      </c>
      <c r="B10" s="21" t="s">
        <v>253</v>
      </c>
      <c r="C10" t="s">
        <v>277</v>
      </c>
      <c r="D10" s="15">
        <v>4470</v>
      </c>
      <c r="E10" s="15">
        <v>5270</v>
      </c>
      <c r="F10" s="15">
        <v>3730</v>
      </c>
      <c r="G10" s="46" t="s">
        <v>278</v>
      </c>
      <c r="H10" s="27" t="str">
        <f t="shared" si="0"/>
        <v>INPUT CARD 4x SDVoE</v>
      </c>
    </row>
    <row r="11" spans="1:8" x14ac:dyDescent="0.25">
      <c r="A11" s="27" t="s">
        <v>309</v>
      </c>
      <c r="B11" s="21" t="s">
        <v>311</v>
      </c>
      <c r="C11" t="s">
        <v>310</v>
      </c>
      <c r="D11" s="15">
        <v>3900</v>
      </c>
      <c r="E11" s="15">
        <v>4550</v>
      </c>
      <c r="F11" s="15">
        <v>3250</v>
      </c>
      <c r="G11" s="46" t="s">
        <v>325</v>
      </c>
      <c r="H11" s="27" t="str">
        <f t="shared" ref="H11:H12" si="1">A11</f>
        <v>INPUT CARD 1x 2.5 GbE + 4x 12G-SDI</v>
      </c>
    </row>
    <row r="12" spans="1:8" x14ac:dyDescent="0.25">
      <c r="A12" s="27" t="s">
        <v>312</v>
      </c>
      <c r="B12" s="22" t="s">
        <v>338</v>
      </c>
      <c r="C12" t="s">
        <v>313</v>
      </c>
      <c r="D12" s="15">
        <v>2400</v>
      </c>
      <c r="E12" s="15">
        <v>2800</v>
      </c>
      <c r="F12" s="15">
        <v>2000</v>
      </c>
      <c r="G12" s="46" t="s">
        <v>326</v>
      </c>
      <c r="H12" s="27" t="str">
        <f t="shared" si="1"/>
        <v xml:space="preserve">INPUT CARD 8x HDMI 1.4 </v>
      </c>
    </row>
    <row r="13" spans="1:8" x14ac:dyDescent="0.25">
      <c r="A13" s="27" t="s">
        <v>375</v>
      </c>
      <c r="B13" s="22" t="s">
        <v>378</v>
      </c>
      <c r="C13" t="s">
        <v>376</v>
      </c>
      <c r="D13" s="15">
        <v>8990</v>
      </c>
      <c r="E13" s="15">
        <v>10250</v>
      </c>
      <c r="F13" s="15">
        <v>7500</v>
      </c>
      <c r="G13" s="46" t="s">
        <v>377</v>
      </c>
      <c r="H13" s="27" t="str">
        <f t="shared" ref="H13" si="2">A13</f>
        <v>INPUT CARD 8x ST 2110</v>
      </c>
    </row>
  </sheetData>
  <phoneticPr fontId="3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716B-028A-458A-8A02-E32894E578D0}">
  <sheetPr codeName="Feuil12"/>
  <dimension ref="A1:H12"/>
  <sheetViews>
    <sheetView workbookViewId="0">
      <selection activeCell="B9" sqref="B9"/>
    </sheetView>
  </sheetViews>
  <sheetFormatPr baseColWidth="10" defaultColWidth="11.42578125" defaultRowHeight="15" x14ac:dyDescent="0.25"/>
  <cols>
    <col min="1" max="1" width="39.42578125" bestFit="1" customWidth="1"/>
    <col min="2" max="2" width="11.140625" style="1" customWidth="1"/>
    <col min="3" max="3" width="23.140625" bestFit="1" customWidth="1"/>
    <col min="4" max="6" width="11.7109375" customWidth="1"/>
    <col min="7" max="7" width="34.7109375" customWidth="1"/>
    <col min="8" max="8" width="40.140625" bestFit="1" customWidth="1"/>
  </cols>
  <sheetData>
    <row r="1" spans="1:8" x14ac:dyDescent="0.25">
      <c r="A1" s="6" t="s">
        <v>213</v>
      </c>
      <c r="B1" s="6" t="s">
        <v>38</v>
      </c>
      <c r="C1" s="7" t="s">
        <v>214</v>
      </c>
      <c r="D1" s="6" t="s">
        <v>215</v>
      </c>
      <c r="E1" s="6" t="s">
        <v>216</v>
      </c>
      <c r="F1" s="6" t="s">
        <v>217</v>
      </c>
      <c r="G1" s="6" t="s">
        <v>218</v>
      </c>
      <c r="H1" s="6" t="s">
        <v>167</v>
      </c>
    </row>
    <row r="2" spans="1:8" x14ac:dyDescent="0.25">
      <c r="A2" t="s">
        <v>219</v>
      </c>
      <c r="B2" s="1" t="s">
        <v>220</v>
      </c>
      <c r="C2" s="16" t="s">
        <v>221</v>
      </c>
      <c r="D2" s="1">
        <v>0</v>
      </c>
      <c r="E2" s="1">
        <v>0</v>
      </c>
      <c r="F2" s="1">
        <v>0</v>
      </c>
      <c r="G2" s="22" t="s">
        <v>221</v>
      </c>
      <c r="H2" t="str">
        <f>A2</f>
        <v>NOT AVAILABLE</v>
      </c>
    </row>
    <row r="3" spans="1:8" x14ac:dyDescent="0.25">
      <c r="A3" t="s">
        <v>11</v>
      </c>
      <c r="B3" s="21" t="s">
        <v>223</v>
      </c>
      <c r="C3" s="16" t="s">
        <v>221</v>
      </c>
      <c r="D3" s="15">
        <v>0</v>
      </c>
      <c r="E3" s="15">
        <v>0</v>
      </c>
      <c r="F3" s="15">
        <v>0</v>
      </c>
      <c r="G3" s="22" t="s">
        <v>221</v>
      </c>
      <c r="H3" t="str">
        <f t="shared" ref="H3:H7" si="0">A3</f>
        <v>EMPTY SLOT (no output card)</v>
      </c>
    </row>
    <row r="4" spans="1:8" x14ac:dyDescent="0.25">
      <c r="A4" t="s">
        <v>279</v>
      </c>
      <c r="B4" s="21" t="s">
        <v>264</v>
      </c>
      <c r="C4" t="s">
        <v>280</v>
      </c>
      <c r="D4" s="15">
        <v>500</v>
      </c>
      <c r="E4" s="15">
        <v>600</v>
      </c>
      <c r="F4" s="15">
        <v>420</v>
      </c>
      <c r="G4" s="46" t="s">
        <v>281</v>
      </c>
      <c r="H4" t="str">
        <f t="shared" ref="H4" si="1">A4</f>
        <v>FILLER OUTPUT CARD (no connector)</v>
      </c>
    </row>
    <row r="5" spans="1:8" x14ac:dyDescent="0.25">
      <c r="A5" t="s">
        <v>314</v>
      </c>
      <c r="B5" s="21" t="s">
        <v>224</v>
      </c>
      <c r="C5" t="s">
        <v>282</v>
      </c>
      <c r="D5" s="15">
        <v>1530</v>
      </c>
      <c r="E5" s="15">
        <v>1850</v>
      </c>
      <c r="F5" s="15">
        <v>1280</v>
      </c>
      <c r="G5" s="46" t="s">
        <v>283</v>
      </c>
      <c r="H5" t="str">
        <f t="shared" si="0"/>
        <v xml:space="preserve">OUTPUT CARD 4x HDMI 2.0 </v>
      </c>
    </row>
    <row r="6" spans="1:8" x14ac:dyDescent="0.25">
      <c r="A6" t="s">
        <v>315</v>
      </c>
      <c r="B6" s="22" t="s">
        <v>226</v>
      </c>
      <c r="C6" t="s">
        <v>284</v>
      </c>
      <c r="D6" s="15">
        <v>1530</v>
      </c>
      <c r="E6" s="15">
        <v>1850</v>
      </c>
      <c r="F6" s="15">
        <v>1280</v>
      </c>
      <c r="G6" s="46" t="s">
        <v>285</v>
      </c>
      <c r="H6" t="str">
        <f t="shared" si="0"/>
        <v xml:space="preserve">OUTPUT CARD 4x DP1.2 </v>
      </c>
    </row>
    <row r="7" spans="1:8" x14ac:dyDescent="0.25">
      <c r="A7" t="s">
        <v>316</v>
      </c>
      <c r="B7" s="21" t="s">
        <v>239</v>
      </c>
      <c r="C7" t="s">
        <v>286</v>
      </c>
      <c r="D7" s="15">
        <v>2050</v>
      </c>
      <c r="E7" s="15">
        <v>2450</v>
      </c>
      <c r="F7" s="15">
        <v>1710</v>
      </c>
      <c r="G7" s="46" t="s">
        <v>287</v>
      </c>
      <c r="H7" t="str">
        <f t="shared" si="0"/>
        <v>OUTPUT CARD 4x 12G-SDI</v>
      </c>
    </row>
    <row r="8" spans="1:8" x14ac:dyDescent="0.25">
      <c r="A8" t="s">
        <v>317</v>
      </c>
      <c r="B8" s="21" t="s">
        <v>247</v>
      </c>
      <c r="C8" t="s">
        <v>288</v>
      </c>
      <c r="D8" s="15">
        <v>1780</v>
      </c>
      <c r="E8" s="15">
        <v>2120</v>
      </c>
      <c r="F8" s="15">
        <v>1490</v>
      </c>
      <c r="G8" s="46" t="s">
        <v>289</v>
      </c>
      <c r="H8" t="str">
        <f t="shared" ref="H8:H9" si="2">A8</f>
        <v>OUTPUT CARD 4x SFP</v>
      </c>
    </row>
    <row r="9" spans="1:8" x14ac:dyDescent="0.25">
      <c r="A9" t="s">
        <v>318</v>
      </c>
      <c r="B9" s="21" t="s">
        <v>250</v>
      </c>
      <c r="C9" t="s">
        <v>290</v>
      </c>
      <c r="D9" s="15">
        <v>4200</v>
      </c>
      <c r="E9" s="15">
        <v>4900</v>
      </c>
      <c r="F9" s="15">
        <v>3500</v>
      </c>
      <c r="G9" s="46" t="s">
        <v>291</v>
      </c>
      <c r="H9" t="str">
        <f t="shared" si="2"/>
        <v>OUTPUT CARD 4x FIBER (HDMI)</v>
      </c>
    </row>
    <row r="10" spans="1:8" x14ac:dyDescent="0.25">
      <c r="A10" t="s">
        <v>319</v>
      </c>
      <c r="B10" s="21" t="s">
        <v>253</v>
      </c>
      <c r="C10" t="s">
        <v>292</v>
      </c>
      <c r="D10" s="15">
        <v>4470</v>
      </c>
      <c r="E10" s="15">
        <v>5270</v>
      </c>
      <c r="F10" s="15">
        <v>3730</v>
      </c>
      <c r="G10" s="46" t="s">
        <v>293</v>
      </c>
      <c r="H10" t="str">
        <f t="shared" ref="H10" si="3">A10</f>
        <v>OUTPUT CARD 4x SDVoE</v>
      </c>
    </row>
    <row r="11" spans="1:8" x14ac:dyDescent="0.25">
      <c r="A11" t="s">
        <v>373</v>
      </c>
      <c r="B11" s="21" t="s">
        <v>378</v>
      </c>
      <c r="C11" t="s">
        <v>372</v>
      </c>
      <c r="D11" s="15">
        <v>8990</v>
      </c>
      <c r="E11" s="15">
        <v>10250</v>
      </c>
      <c r="F11" s="15">
        <v>7500</v>
      </c>
      <c r="G11" s="46" t="s">
        <v>374</v>
      </c>
      <c r="H11" t="str">
        <f>A11</f>
        <v>OUTPUT CARD 4x ST 2110</v>
      </c>
    </row>
    <row r="12" spans="1:8" x14ac:dyDescent="0.25">
      <c r="A12" t="s">
        <v>320</v>
      </c>
      <c r="B12" s="21" t="s">
        <v>311</v>
      </c>
      <c r="C12" t="s">
        <v>321</v>
      </c>
      <c r="D12" s="15">
        <v>2400</v>
      </c>
      <c r="E12" s="15">
        <v>2800</v>
      </c>
      <c r="F12" s="15">
        <v>2000</v>
      </c>
      <c r="G12" s="46" t="s">
        <v>322</v>
      </c>
      <c r="H12" t="str">
        <f t="shared" ref="H12" si="4">A12</f>
        <v>LINK CARD 6x QSFP+ 40G</v>
      </c>
    </row>
  </sheetData>
  <phoneticPr fontId="3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7234-8364-4DE0-A502-D96670664F48}">
  <sheetPr codeName="Feuil13"/>
  <dimension ref="A1:H7"/>
  <sheetViews>
    <sheetView workbookViewId="0">
      <selection activeCell="B2" sqref="B2:M2"/>
    </sheetView>
  </sheetViews>
  <sheetFormatPr baseColWidth="10" defaultColWidth="11.42578125" defaultRowHeight="15" x14ac:dyDescent="0.25"/>
  <cols>
    <col min="1" max="1" width="34.5703125" customWidth="1"/>
    <col min="2" max="2" width="11.140625"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t="s">
        <v>219</v>
      </c>
      <c r="B2" s="1" t="s">
        <v>220</v>
      </c>
      <c r="C2" s="16" t="s">
        <v>221</v>
      </c>
      <c r="D2" s="1">
        <v>0</v>
      </c>
      <c r="E2" s="1">
        <v>0</v>
      </c>
      <c r="F2" s="1">
        <v>0</v>
      </c>
      <c r="G2" s="22" t="s">
        <v>221</v>
      </c>
      <c r="H2" t="str">
        <f>A2</f>
        <v>NOT AVAILABLE</v>
      </c>
    </row>
    <row r="3" spans="1:8" x14ac:dyDescent="0.25">
      <c r="A3" t="s">
        <v>12</v>
      </c>
      <c r="B3" s="21" t="s">
        <v>223</v>
      </c>
      <c r="C3" s="16" t="s">
        <v>221</v>
      </c>
      <c r="D3" s="15">
        <v>0</v>
      </c>
      <c r="E3" s="15">
        <v>0</v>
      </c>
      <c r="F3" s="15">
        <v>0</v>
      </c>
      <c r="G3" s="22" t="s">
        <v>221</v>
      </c>
      <c r="H3" t="str">
        <f t="shared" ref="H3:H6" si="0">A3</f>
        <v>NO VIDEO PROCESSING CARD</v>
      </c>
    </row>
    <row r="4" spans="1:8" x14ac:dyDescent="0.25">
      <c r="A4" t="s">
        <v>294</v>
      </c>
      <c r="B4" s="21" t="s">
        <v>224</v>
      </c>
      <c r="C4" t="s">
        <v>295</v>
      </c>
      <c r="D4" s="15">
        <v>11210</v>
      </c>
      <c r="E4" s="15">
        <v>13110</v>
      </c>
      <c r="F4" s="15">
        <v>9350</v>
      </c>
      <c r="G4" s="46" t="s">
        <v>296</v>
      </c>
      <c r="H4" t="str">
        <f t="shared" si="0"/>
        <v>1 VIDEO PROCESSING CARD</v>
      </c>
    </row>
    <row r="5" spans="1:8" x14ac:dyDescent="0.25">
      <c r="A5" t="s">
        <v>297</v>
      </c>
      <c r="B5" s="21" t="s">
        <v>226</v>
      </c>
      <c r="C5" t="s">
        <v>295</v>
      </c>
      <c r="D5" s="15">
        <f t="shared" ref="D5:F7" si="1">D4</f>
        <v>11210</v>
      </c>
      <c r="E5" s="15">
        <f t="shared" si="1"/>
        <v>13110</v>
      </c>
      <c r="F5" s="15">
        <f t="shared" si="1"/>
        <v>9350</v>
      </c>
      <c r="G5" s="46" t="s">
        <v>296</v>
      </c>
      <c r="H5" t="str">
        <f t="shared" si="0"/>
        <v>2 VIDEO PROCESSING CARDS</v>
      </c>
    </row>
    <row r="6" spans="1:8" x14ac:dyDescent="0.25">
      <c r="A6" t="s">
        <v>298</v>
      </c>
      <c r="B6" s="21" t="s">
        <v>239</v>
      </c>
      <c r="C6" t="s">
        <v>295</v>
      </c>
      <c r="D6" s="15">
        <f t="shared" si="1"/>
        <v>11210</v>
      </c>
      <c r="E6" s="15">
        <f t="shared" si="1"/>
        <v>13110</v>
      </c>
      <c r="F6" s="15">
        <f t="shared" si="1"/>
        <v>9350</v>
      </c>
      <c r="G6" s="46" t="s">
        <v>296</v>
      </c>
      <c r="H6" t="str">
        <f t="shared" si="0"/>
        <v>3 VIDEO PROCESSING CARDS</v>
      </c>
    </row>
    <row r="7" spans="1:8" x14ac:dyDescent="0.25">
      <c r="A7" t="s">
        <v>343</v>
      </c>
      <c r="B7" s="21" t="s">
        <v>247</v>
      </c>
      <c r="C7" t="s">
        <v>295</v>
      </c>
      <c r="D7" s="15">
        <f t="shared" si="1"/>
        <v>11210</v>
      </c>
      <c r="E7" s="15">
        <f t="shared" si="1"/>
        <v>13110</v>
      </c>
      <c r="F7" s="15">
        <f t="shared" si="1"/>
        <v>9350</v>
      </c>
      <c r="G7" s="46" t="s">
        <v>296</v>
      </c>
      <c r="H7" t="str">
        <f t="shared" ref="H7" si="2">A7</f>
        <v>4 VIDEO PROCESSING CARDS</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E0FC-83D5-42D7-A1D7-81B7AE0AFD6D}">
  <sheetPr codeName="Feuil14"/>
  <dimension ref="A1:H6"/>
  <sheetViews>
    <sheetView workbookViewId="0">
      <selection activeCell="B2" sqref="B2:M2"/>
    </sheetView>
  </sheetViews>
  <sheetFormatPr baseColWidth="10" defaultColWidth="11.42578125" defaultRowHeight="15" x14ac:dyDescent="0.25"/>
  <cols>
    <col min="1" max="1" width="34.5703125" customWidth="1"/>
    <col min="2" max="2" width="11.140625"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t="s">
        <v>219</v>
      </c>
      <c r="B2" s="1" t="s">
        <v>220</v>
      </c>
      <c r="C2" s="16" t="s">
        <v>221</v>
      </c>
      <c r="D2" s="1">
        <v>0</v>
      </c>
      <c r="E2" s="1">
        <v>0</v>
      </c>
      <c r="F2" s="1">
        <v>0</v>
      </c>
      <c r="G2" s="22" t="s">
        <v>221</v>
      </c>
      <c r="H2" t="str">
        <f>A2</f>
        <v>NOT AVAILABLE</v>
      </c>
    </row>
    <row r="3" spans="1:8" x14ac:dyDescent="0.25">
      <c r="A3" t="s">
        <v>335</v>
      </c>
      <c r="B3" s="21" t="s">
        <v>223</v>
      </c>
      <c r="C3" s="16" t="s">
        <v>221</v>
      </c>
      <c r="D3" s="15">
        <v>0</v>
      </c>
      <c r="E3" s="15">
        <v>0</v>
      </c>
      <c r="F3" s="15">
        <v>0</v>
      </c>
      <c r="G3" s="22" t="s">
        <v>221</v>
      </c>
      <c r="H3" t="str">
        <f t="shared" ref="H3:H5" si="0">A3</f>
        <v>NO STILL IMAGE PROCESSING CARD</v>
      </c>
    </row>
    <row r="4" spans="1:8" x14ac:dyDescent="0.25">
      <c r="A4" t="s">
        <v>336</v>
      </c>
      <c r="B4" s="21" t="s">
        <v>224</v>
      </c>
      <c r="C4" t="s">
        <v>299</v>
      </c>
      <c r="D4" s="15">
        <v>6460</v>
      </c>
      <c r="E4" s="15">
        <v>7740</v>
      </c>
      <c r="F4" s="15">
        <v>5390</v>
      </c>
      <c r="G4" s="46" t="s">
        <v>300</v>
      </c>
      <c r="H4" t="str">
        <f t="shared" si="0"/>
        <v>1 STLL IMAGE PROCESSING CARD</v>
      </c>
    </row>
    <row r="5" spans="1:8" x14ac:dyDescent="0.25">
      <c r="A5" t="s">
        <v>337</v>
      </c>
      <c r="B5" s="21" t="s">
        <v>226</v>
      </c>
      <c r="C5" t="s">
        <v>299</v>
      </c>
      <c r="D5" s="15">
        <f>D4</f>
        <v>6460</v>
      </c>
      <c r="E5" s="15">
        <f>E4</f>
        <v>7740</v>
      </c>
      <c r="F5" s="15">
        <f>F4</f>
        <v>5390</v>
      </c>
      <c r="G5" s="46" t="s">
        <v>300</v>
      </c>
      <c r="H5" t="str">
        <f t="shared" si="0"/>
        <v>2 STLL IMAGE PROCESSING CARDS</v>
      </c>
    </row>
    <row r="6" spans="1:8" x14ac:dyDescent="0.25">
      <c r="B6" s="21"/>
      <c r="D6" s="15"/>
      <c r="E6" s="15"/>
      <c r="F6"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523A-2BEF-48E5-97F6-AFF54431AB6B}">
  <sheetPr codeName="Feuil2">
    <pageSetUpPr fitToPage="1"/>
  </sheetPr>
  <dimension ref="A1:AG60"/>
  <sheetViews>
    <sheetView showGridLines="0" showRowColHeaders="0" zoomScaleNormal="100" workbookViewId="0">
      <selection activeCell="B5" sqref="B5:E7"/>
    </sheetView>
  </sheetViews>
  <sheetFormatPr baseColWidth="10" defaultColWidth="11.5703125" defaultRowHeight="15" x14ac:dyDescent="0.25"/>
  <cols>
    <col min="1" max="1" width="9.7109375" style="2" customWidth="1"/>
    <col min="2" max="9" width="10.42578125" style="2" customWidth="1"/>
    <col min="10" max="10" width="12.5703125" style="2" customWidth="1"/>
    <col min="11" max="13" width="10.28515625" style="2" customWidth="1"/>
    <col min="14" max="14" width="4.28515625" style="2" customWidth="1"/>
    <col min="15" max="16" width="10.7109375" style="2" customWidth="1"/>
    <col min="17" max="18" width="12.7109375" style="2" customWidth="1"/>
    <col min="19" max="19" width="12.7109375" style="37" customWidth="1"/>
    <col min="20" max="16384" width="11.5703125" style="2"/>
  </cols>
  <sheetData>
    <row r="1" spans="1:19" ht="10.15" customHeight="1" x14ac:dyDescent="0.25"/>
    <row r="2" spans="1:19" ht="19.899999999999999" customHeight="1" x14ac:dyDescent="0.25">
      <c r="B2" s="119" t="s">
        <v>5</v>
      </c>
      <c r="C2" s="119"/>
      <c r="D2" s="119"/>
      <c r="E2" s="119"/>
      <c r="F2" s="119"/>
      <c r="G2" s="119"/>
      <c r="H2" s="119"/>
      <c r="I2" s="119"/>
      <c r="J2" s="119"/>
      <c r="K2" s="119"/>
      <c r="L2" s="119"/>
      <c r="M2" s="119"/>
      <c r="S2" s="20" t="str">
        <f>_WORK!G2</f>
        <v>version 1.18</v>
      </c>
    </row>
    <row r="3" spans="1:19" ht="10.15" customHeight="1" thickBot="1" x14ac:dyDescent="0.3"/>
    <row r="4" spans="1:19" ht="15" customHeight="1" thickBot="1" x14ac:dyDescent="0.3">
      <c r="A4" s="17"/>
      <c r="B4" s="108" t="s">
        <v>6</v>
      </c>
      <c r="C4" s="109"/>
      <c r="D4" s="109"/>
      <c r="E4" s="110"/>
      <c r="F4" s="108" t="s">
        <v>7</v>
      </c>
      <c r="G4" s="109"/>
      <c r="H4" s="109"/>
      <c r="I4" s="110"/>
      <c r="J4" s="108" t="s">
        <v>8</v>
      </c>
      <c r="K4" s="109"/>
      <c r="L4" s="109"/>
      <c r="M4" s="110"/>
      <c r="O4" s="108" t="s">
        <v>9</v>
      </c>
      <c r="P4" s="109"/>
      <c r="Q4" s="109"/>
      <c r="R4" s="109"/>
      <c r="S4" s="110"/>
    </row>
    <row r="5" spans="1:19" ht="10.15" customHeight="1" x14ac:dyDescent="0.25">
      <c r="A5" s="18"/>
      <c r="B5" s="135" t="s">
        <v>10</v>
      </c>
      <c r="C5" s="136"/>
      <c r="D5" s="136"/>
      <c r="E5" s="137"/>
      <c r="F5" s="135" t="s">
        <v>10</v>
      </c>
      <c r="G5" s="136"/>
      <c r="H5" s="136"/>
      <c r="I5" s="137"/>
      <c r="J5" s="144" t="s">
        <v>11</v>
      </c>
      <c r="K5" s="145"/>
      <c r="L5" s="145"/>
      <c r="M5" s="146"/>
      <c r="O5" s="147" t="s">
        <v>12</v>
      </c>
      <c r="P5" s="148"/>
      <c r="Q5" s="148"/>
      <c r="R5" s="148"/>
      <c r="S5" s="149"/>
    </row>
    <row r="6" spans="1:19" ht="10.15" customHeight="1" x14ac:dyDescent="0.25">
      <c r="A6" s="18"/>
      <c r="B6" s="138"/>
      <c r="C6" s="139"/>
      <c r="D6" s="139"/>
      <c r="E6" s="140"/>
      <c r="F6" s="138"/>
      <c r="G6" s="139"/>
      <c r="H6" s="139"/>
      <c r="I6" s="140"/>
      <c r="J6" s="147"/>
      <c r="K6" s="148"/>
      <c r="L6" s="148"/>
      <c r="M6" s="149"/>
      <c r="O6" s="147"/>
      <c r="P6" s="148"/>
      <c r="Q6" s="148"/>
      <c r="R6" s="148"/>
      <c r="S6" s="149"/>
    </row>
    <row r="7" spans="1:19" ht="10.15" customHeight="1" thickBot="1" x14ac:dyDescent="0.3">
      <c r="A7" s="18"/>
      <c r="B7" s="141"/>
      <c r="C7" s="142"/>
      <c r="D7" s="142"/>
      <c r="E7" s="143"/>
      <c r="F7" s="141"/>
      <c r="G7" s="142"/>
      <c r="H7" s="142"/>
      <c r="I7" s="143"/>
      <c r="J7" s="150"/>
      <c r="K7" s="151"/>
      <c r="L7" s="151"/>
      <c r="M7" s="152"/>
      <c r="O7" s="150"/>
      <c r="P7" s="151"/>
      <c r="Q7" s="151"/>
      <c r="R7" s="151"/>
      <c r="S7" s="152"/>
    </row>
    <row r="8" spans="1:19" ht="15" customHeight="1" thickBot="1" x14ac:dyDescent="0.3">
      <c r="A8" s="18"/>
      <c r="B8" s="111" t="str">
        <f>IF(B5="",_WORK!B15,IF(F5="",_WORK!B16,IF(AND(B5=_INPUT!A3,F5=_INPUT!A3),_WORK!B2,IF(AND(B5=_INPUT!A3,F5&lt;&gt;_INPUT!A3),_WORK!B6,IF(AND(B5&lt;&gt;_INPUT!A3,F5=_INPUT!A3),_WORK!B7,_WORK!B1)))))</f>
        <v>NO INPUT PROCESSING BOARD</v>
      </c>
      <c r="C8" s="112"/>
      <c r="D8" s="112"/>
      <c r="E8" s="112"/>
      <c r="F8" s="112"/>
      <c r="G8" s="112"/>
      <c r="H8" s="112"/>
      <c r="I8" s="113"/>
      <c r="J8" s="111" t="str">
        <f>IF(J5="",_WORK!B23,IF(J5=_OUTPUT!A$3,_WORK!B$5,_WORK!B$3))</f>
        <v>NO OUTPUT PROCESSING BOARD</v>
      </c>
      <c r="K8" s="112"/>
      <c r="L8" s="112"/>
      <c r="M8" s="113"/>
      <c r="O8" s="156" t="str">
        <f>IF(O5="",_WORK!B29,"")</f>
        <v/>
      </c>
      <c r="P8" s="157"/>
      <c r="Q8" s="157"/>
      <c r="R8" s="157"/>
      <c r="S8" s="158"/>
    </row>
    <row r="9" spans="1:19" ht="15" customHeight="1" thickBot="1" x14ac:dyDescent="0.3">
      <c r="A9" s="17"/>
      <c r="B9" s="108" t="s">
        <v>13</v>
      </c>
      <c r="C9" s="109"/>
      <c r="D9" s="109"/>
      <c r="E9" s="110"/>
      <c r="F9" s="108" t="s">
        <v>14</v>
      </c>
      <c r="G9" s="109"/>
      <c r="H9" s="109"/>
      <c r="I9" s="110"/>
      <c r="J9" s="108" t="s">
        <v>15</v>
      </c>
      <c r="K9" s="109"/>
      <c r="L9" s="109"/>
      <c r="M9" s="110"/>
      <c r="O9" s="108" t="s">
        <v>16</v>
      </c>
      <c r="P9" s="109"/>
      <c r="Q9" s="109"/>
      <c r="R9" s="109"/>
      <c r="S9" s="110"/>
    </row>
    <row r="10" spans="1:19" ht="10.15" customHeight="1" x14ac:dyDescent="0.25">
      <c r="A10" s="18"/>
      <c r="B10" s="135" t="s">
        <v>10</v>
      </c>
      <c r="C10" s="136"/>
      <c r="D10" s="136"/>
      <c r="E10" s="137"/>
      <c r="F10" s="135" t="s">
        <v>10</v>
      </c>
      <c r="G10" s="136"/>
      <c r="H10" s="136"/>
      <c r="I10" s="137"/>
      <c r="J10" s="144" t="s">
        <v>11</v>
      </c>
      <c r="K10" s="145"/>
      <c r="L10" s="145"/>
      <c r="M10" s="146"/>
      <c r="O10" s="144" t="s">
        <v>335</v>
      </c>
      <c r="P10" s="145"/>
      <c r="Q10" s="145"/>
      <c r="R10" s="145"/>
      <c r="S10" s="146"/>
    </row>
    <row r="11" spans="1:19" ht="10.15" customHeight="1" x14ac:dyDescent="0.25">
      <c r="A11" s="18"/>
      <c r="B11" s="138"/>
      <c r="C11" s="139"/>
      <c r="D11" s="139"/>
      <c r="E11" s="140"/>
      <c r="F11" s="138"/>
      <c r="G11" s="139"/>
      <c r="H11" s="139"/>
      <c r="I11" s="140"/>
      <c r="J11" s="147"/>
      <c r="K11" s="148"/>
      <c r="L11" s="148"/>
      <c r="M11" s="149"/>
      <c r="O11" s="147"/>
      <c r="P11" s="148"/>
      <c r="Q11" s="148"/>
      <c r="R11" s="148"/>
      <c r="S11" s="149"/>
    </row>
    <row r="12" spans="1:19" ht="10.15" customHeight="1" thickBot="1" x14ac:dyDescent="0.3">
      <c r="A12" s="18"/>
      <c r="B12" s="141"/>
      <c r="C12" s="142"/>
      <c r="D12" s="142"/>
      <c r="E12" s="143"/>
      <c r="F12" s="141"/>
      <c r="G12" s="142"/>
      <c r="H12" s="142"/>
      <c r="I12" s="143"/>
      <c r="J12" s="150"/>
      <c r="K12" s="151"/>
      <c r="L12" s="151"/>
      <c r="M12" s="152"/>
      <c r="O12" s="150"/>
      <c r="P12" s="151"/>
      <c r="Q12" s="151"/>
      <c r="R12" s="151"/>
      <c r="S12" s="152"/>
    </row>
    <row r="13" spans="1:19" ht="15" customHeight="1" thickBot="1" x14ac:dyDescent="0.3">
      <c r="A13" s="18"/>
      <c r="B13" s="111" t="str">
        <f>IF(B10="",_WORK!B17,IF(F10="",_WORK!B18,IF(AND(B10=_INPUT!A$3,F10=_INPUT!A$3),_WORK!B$2,IF(AND(B10=_INPUT!A$3,F10&lt;&gt;_INPUT!A$3),_WORK!B$8,IF(AND(B10&lt;&gt;_INPUT!A$3,F10=_INPUT!A$3),_WORK!B$9,IF(OR(B5=_INPUT!A3,F5=_INPUT!A3),_WORK!B33,_WORK!B$1))))))</f>
        <v>NO INPUT PROCESSING BOARD</v>
      </c>
      <c r="C13" s="112"/>
      <c r="D13" s="112"/>
      <c r="E13" s="112"/>
      <c r="F13" s="112"/>
      <c r="G13" s="112"/>
      <c r="H13" s="112"/>
      <c r="I13" s="113"/>
      <c r="J13" s="111" t="str">
        <f>IF(J10="",_WORK!B24,IF(J10=_OUTPUT!A$3,_WORK!B$5,IF(J5=_OUTPUT!A3,_WORK!B36,_WORK!B$3)))</f>
        <v>NO OUTPUT PROCESSING BOARD</v>
      </c>
      <c r="K13" s="112"/>
      <c r="L13" s="112"/>
      <c r="M13" s="113"/>
      <c r="O13" s="156" t="str">
        <f>IF(O10="",_WORK!B30,"")</f>
        <v/>
      </c>
      <c r="P13" s="157"/>
      <c r="Q13" s="157"/>
      <c r="R13" s="157"/>
      <c r="S13" s="158"/>
    </row>
    <row r="14" spans="1:19" ht="15" customHeight="1" thickBot="1" x14ac:dyDescent="0.3">
      <c r="B14" s="108" t="s">
        <v>17</v>
      </c>
      <c r="C14" s="109"/>
      <c r="D14" s="109"/>
      <c r="E14" s="110"/>
      <c r="F14" s="108" t="s">
        <v>18</v>
      </c>
      <c r="G14" s="109"/>
      <c r="H14" s="109"/>
      <c r="I14" s="110"/>
      <c r="J14" s="108" t="s">
        <v>19</v>
      </c>
      <c r="K14" s="109"/>
      <c r="L14" s="109"/>
      <c r="M14" s="110"/>
    </row>
    <row r="15" spans="1:19" ht="10.15" customHeight="1" x14ac:dyDescent="0.25">
      <c r="B15" s="126" t="s">
        <v>20</v>
      </c>
      <c r="C15" s="127"/>
      <c r="D15" s="127"/>
      <c r="E15" s="128"/>
      <c r="F15" s="135" t="s">
        <v>21</v>
      </c>
      <c r="G15" s="136"/>
      <c r="H15" s="136"/>
      <c r="I15" s="137"/>
      <c r="J15" s="144" t="s">
        <v>11</v>
      </c>
      <c r="K15" s="145"/>
      <c r="L15" s="145"/>
      <c r="M15" s="146"/>
    </row>
    <row r="16" spans="1:19" ht="10.15" customHeight="1" x14ac:dyDescent="0.25">
      <c r="B16" s="129"/>
      <c r="C16" s="130"/>
      <c r="D16" s="130"/>
      <c r="E16" s="131"/>
      <c r="F16" s="138"/>
      <c r="G16" s="139"/>
      <c r="H16" s="139"/>
      <c r="I16" s="140"/>
      <c r="J16" s="147"/>
      <c r="K16" s="148"/>
      <c r="L16" s="148"/>
      <c r="M16" s="149"/>
    </row>
    <row r="17" spans="2:33" ht="10.15" customHeight="1" thickBot="1" x14ac:dyDescent="0.3">
      <c r="B17" s="132"/>
      <c r="C17" s="133"/>
      <c r="D17" s="133"/>
      <c r="E17" s="134"/>
      <c r="F17" s="141"/>
      <c r="G17" s="142"/>
      <c r="H17" s="142"/>
      <c r="I17" s="143"/>
      <c r="J17" s="150"/>
      <c r="K17" s="151"/>
      <c r="L17" s="151"/>
      <c r="M17" s="152"/>
    </row>
    <row r="18" spans="2:33" ht="15" customHeight="1" thickBot="1" x14ac:dyDescent="0.3">
      <c r="B18" s="153"/>
      <c r="C18" s="154"/>
      <c r="D18" s="154"/>
      <c r="E18" s="155"/>
      <c r="F18" s="111" t="str">
        <f>IF(F15=_MVW!A4,_WORK!B31,_WORK!B32)</f>
        <v>DEFAULT HDMI MVW CARD</v>
      </c>
      <c r="G18" s="112"/>
      <c r="H18" s="112"/>
      <c r="I18" s="113"/>
      <c r="J18" s="111" t="str">
        <f>IF(J15="",_WORK!B$25,IF(J15=_OUTPUT!A$3,_WORK!B$5,IF(J5=_OUTPUT!A3,_WORK!B36,IF(J10=_OUTPUT!A3,_WORK!B37,_WORK!B$3))))</f>
        <v>NO OUTPUT PROCESSING BOARD</v>
      </c>
      <c r="K18" s="112"/>
      <c r="L18" s="112"/>
      <c r="M18" s="113"/>
    </row>
    <row r="19" spans="2:33" ht="15" customHeight="1" thickBot="1" x14ac:dyDescent="0.3">
      <c r="B19" s="108" t="s">
        <v>22</v>
      </c>
      <c r="C19" s="109"/>
      <c r="D19" s="109"/>
      <c r="E19" s="110"/>
      <c r="F19" s="108" t="s">
        <v>23</v>
      </c>
      <c r="G19" s="109"/>
      <c r="H19" s="109"/>
      <c r="I19" s="110"/>
      <c r="J19" s="108" t="s">
        <v>24</v>
      </c>
      <c r="K19" s="109"/>
      <c r="L19" s="109"/>
      <c r="M19" s="110"/>
      <c r="O19" s="121" t="s">
        <v>25</v>
      </c>
      <c r="P19" s="122"/>
      <c r="Q19" s="161" t="s">
        <v>26</v>
      </c>
      <c r="R19" s="162"/>
      <c r="S19" s="163"/>
    </row>
    <row r="20" spans="2:33" ht="10.15" customHeight="1" x14ac:dyDescent="0.25">
      <c r="B20" s="126" t="s">
        <v>20</v>
      </c>
      <c r="C20" s="127"/>
      <c r="D20" s="127"/>
      <c r="E20" s="128"/>
      <c r="F20" s="126" t="s">
        <v>20</v>
      </c>
      <c r="G20" s="127"/>
      <c r="H20" s="127"/>
      <c r="I20" s="128"/>
      <c r="J20" s="144" t="s">
        <v>11</v>
      </c>
      <c r="K20" s="145"/>
      <c r="L20" s="145"/>
      <c r="M20" s="146"/>
      <c r="O20" s="164" t="s">
        <v>27</v>
      </c>
      <c r="P20" s="165"/>
      <c r="Q20" s="144" t="s">
        <v>28</v>
      </c>
      <c r="R20" s="145"/>
      <c r="S20" s="146"/>
    </row>
    <row r="21" spans="2:33" ht="10.15" customHeight="1" thickBot="1" x14ac:dyDescent="0.3">
      <c r="B21" s="129"/>
      <c r="C21" s="130"/>
      <c r="D21" s="130"/>
      <c r="E21" s="131"/>
      <c r="F21" s="129"/>
      <c r="G21" s="130"/>
      <c r="H21" s="130"/>
      <c r="I21" s="131"/>
      <c r="J21" s="147"/>
      <c r="K21" s="148"/>
      <c r="L21" s="148"/>
      <c r="M21" s="149"/>
      <c r="O21" s="166"/>
      <c r="P21" s="167"/>
      <c r="Q21" s="150"/>
      <c r="R21" s="151"/>
      <c r="S21" s="152"/>
    </row>
    <row r="22" spans="2:33" ht="10.15" customHeight="1" thickBot="1" x14ac:dyDescent="0.3">
      <c r="B22" s="132"/>
      <c r="C22" s="133"/>
      <c r="D22" s="133"/>
      <c r="E22" s="134"/>
      <c r="F22" s="132"/>
      <c r="G22" s="133"/>
      <c r="H22" s="133"/>
      <c r="I22" s="134"/>
      <c r="J22" s="150"/>
      <c r="K22" s="151"/>
      <c r="L22" s="151"/>
      <c r="M22" s="152"/>
    </row>
    <row r="23" spans="2:33" ht="15" customHeight="1" thickBot="1" x14ac:dyDescent="0.3">
      <c r="B23" s="156"/>
      <c r="C23" s="157"/>
      <c r="D23" s="157"/>
      <c r="E23" s="158"/>
      <c r="F23" s="153"/>
      <c r="G23" s="154"/>
      <c r="H23" s="154"/>
      <c r="I23" s="155"/>
      <c r="J23" s="111" t="str">
        <f>IF(J20="",_WORK!B$26,IF(J20=_OUTPUT!A$3,_WORK!B$5,IF(J20=_OUTPUT!A$3,_WORK!B$5,IF(J20=_OUTPUT!A$12,_WORK!B4,IF(J5=_OUTPUT!A3,_WORK!B36,IF(J10=_OUTPUT!A3,_WORK!B37,(IF(J15=_OUTPUT!A3,_WORK!B38,_WORK!B$3))))))))</f>
        <v>NO OUTPUT PROCESSING BOARD</v>
      </c>
      <c r="K23" s="112"/>
      <c r="L23" s="112"/>
      <c r="M23" s="113"/>
      <c r="V23" s="52"/>
      <c r="W23" s="52"/>
      <c r="X23" s="52"/>
      <c r="Y23" s="52"/>
      <c r="Z23" s="52"/>
      <c r="AA23" s="52"/>
      <c r="AB23" s="52"/>
      <c r="AC23" s="52"/>
      <c r="AD23" s="52"/>
      <c r="AE23" s="52"/>
      <c r="AF23" s="52"/>
    </row>
    <row r="24" spans="2:33" x14ac:dyDescent="0.25">
      <c r="O24" s="5"/>
      <c r="V24" s="52"/>
      <c r="W24" s="52"/>
      <c r="X24" s="37"/>
      <c r="Y24" s="37"/>
      <c r="Z24" s="37"/>
      <c r="AA24" s="37"/>
      <c r="AB24" s="37"/>
      <c r="AC24" s="37"/>
      <c r="AD24" s="37"/>
      <c r="AE24" s="37"/>
      <c r="AF24" s="52"/>
    </row>
    <row r="25" spans="2:33" ht="16.5" thickBot="1" x14ac:dyDescent="0.3">
      <c r="B25" s="177" t="s">
        <v>29</v>
      </c>
      <c r="C25" s="177"/>
      <c r="D25" s="177"/>
      <c r="E25" s="177"/>
      <c r="F25" s="177"/>
      <c r="G25" s="177"/>
      <c r="H25" s="177"/>
      <c r="I25" s="177"/>
      <c r="J25" s="177"/>
      <c r="K25" s="177"/>
      <c r="L25" s="177"/>
      <c r="M25" s="177"/>
      <c r="O25" s="5"/>
      <c r="P25" s="5"/>
      <c r="Q25" s="51"/>
      <c r="R25" s="51"/>
      <c r="S25" s="52"/>
      <c r="T25" s="52"/>
      <c r="U25" s="52"/>
      <c r="V25" s="52"/>
      <c r="W25" s="52"/>
      <c r="X25" s="37"/>
      <c r="Y25" s="37"/>
      <c r="Z25" s="37"/>
      <c r="AA25" s="37"/>
      <c r="AB25" s="37"/>
      <c r="AC25" s="37"/>
      <c r="AD25" s="37"/>
      <c r="AE25" s="37"/>
      <c r="AF25" s="52"/>
    </row>
    <row r="26" spans="2:33" ht="28.9" customHeight="1" thickBot="1" x14ac:dyDescent="0.3">
      <c r="B26" s="174" t="str">
        <f>IF(_WORK!C43=TRUE,IF(E47=_MVW!A4,CONCATENATE(AD30,"-",AD32,AD33,AD35,AD36,"-",AD38,AD40,AD42,AD44,"-",AD45,AD46,),CONCATENATE(AD30,"-",AD32,AD33,AD35,AD36,"-",AD38,AD40,AD42,AD44,"-",AD45,AD46,"-",AD47)),_WORK!B14)</f>
        <v>AQL-C-0000-0000-00</v>
      </c>
      <c r="C26" s="175"/>
      <c r="D26" s="175"/>
      <c r="E26" s="175"/>
      <c r="F26" s="175"/>
      <c r="G26" s="175"/>
      <c r="H26" s="175"/>
      <c r="I26" s="175"/>
      <c r="J26" s="175"/>
      <c r="K26" s="175"/>
      <c r="L26" s="175"/>
      <c r="M26" s="176"/>
      <c r="Q26" s="52"/>
      <c r="R26" s="52"/>
      <c r="S26" s="52"/>
      <c r="T26" s="52"/>
      <c r="U26" s="52"/>
      <c r="V26" s="52"/>
      <c r="W26" s="52"/>
      <c r="X26" s="52"/>
      <c r="Y26" s="37"/>
      <c r="Z26" s="37"/>
      <c r="AA26" s="37"/>
      <c r="AB26" s="37"/>
      <c r="AC26" s="37"/>
      <c r="AD26" s="37"/>
      <c r="AE26" s="37"/>
      <c r="AF26" s="52"/>
      <c r="AG26" s="52"/>
    </row>
    <row r="27" spans="2:33" x14ac:dyDescent="0.25">
      <c r="Q27" s="37"/>
      <c r="R27" s="37"/>
      <c r="T27" s="37"/>
      <c r="U27" s="37"/>
      <c r="V27" s="52"/>
      <c r="W27" s="52"/>
      <c r="X27" s="52"/>
      <c r="Y27" s="37"/>
      <c r="Z27" s="37"/>
      <c r="AA27" s="37"/>
      <c r="AB27" s="37"/>
      <c r="AC27" s="37"/>
      <c r="AD27" s="37"/>
      <c r="AE27" s="37"/>
      <c r="AF27" s="52"/>
      <c r="AG27" s="52"/>
    </row>
    <row r="28" spans="2:33" x14ac:dyDescent="0.25">
      <c r="B28" s="4" t="s">
        <v>30</v>
      </c>
      <c r="Q28" s="52"/>
      <c r="R28" s="52"/>
      <c r="S28" s="52"/>
      <c r="T28" s="52"/>
      <c r="U28" s="52"/>
      <c r="V28" s="52"/>
      <c r="W28" s="52"/>
      <c r="X28" s="52"/>
      <c r="Y28" s="37"/>
      <c r="Z28" s="37"/>
      <c r="AA28" s="37"/>
      <c r="AB28" s="37"/>
      <c r="AC28" s="37"/>
      <c r="AD28" s="37"/>
      <c r="AE28" s="37"/>
      <c r="AF28" s="52"/>
      <c r="AG28" s="52"/>
    </row>
    <row r="29" spans="2:33" s="5" customFormat="1" x14ac:dyDescent="0.25">
      <c r="B29" s="159" t="s">
        <v>31</v>
      </c>
      <c r="C29" s="159"/>
      <c r="D29" s="159"/>
      <c r="E29" s="114" t="s">
        <v>32</v>
      </c>
      <c r="F29" s="115"/>
      <c r="G29" s="115"/>
      <c r="H29" s="116"/>
      <c r="I29" s="159" t="s">
        <v>33</v>
      </c>
      <c r="J29" s="159"/>
      <c r="K29" s="8" t="s">
        <v>34</v>
      </c>
      <c r="L29" s="81"/>
      <c r="M29" s="82"/>
      <c r="N29" s="83"/>
      <c r="Q29" s="51"/>
      <c r="R29" s="51"/>
      <c r="S29" s="51"/>
      <c r="T29" s="51"/>
      <c r="U29" s="51"/>
      <c r="V29" s="51"/>
      <c r="W29" s="51"/>
      <c r="X29" s="51"/>
      <c r="Y29" s="38"/>
      <c r="Z29" s="51"/>
      <c r="AA29" s="51" t="s">
        <v>35</v>
      </c>
      <c r="AB29" s="51" t="s">
        <v>36</v>
      </c>
      <c r="AC29" s="51" t="s">
        <v>37</v>
      </c>
      <c r="AD29" s="51" t="s">
        <v>38</v>
      </c>
      <c r="AE29" s="38"/>
      <c r="AF29" s="51"/>
      <c r="AG29" s="51"/>
    </row>
    <row r="30" spans="2:33" s="5" customFormat="1" x14ac:dyDescent="0.25">
      <c r="B30" s="98" t="s">
        <v>39</v>
      </c>
      <c r="C30" s="99"/>
      <c r="D30" s="100"/>
      <c r="E30" s="98" t="str">
        <f>_CHASSIS!A3</f>
        <v>AQUILON CUSTOM - BASE MODULE 4RU</v>
      </c>
      <c r="F30" s="99"/>
      <c r="G30" s="99"/>
      <c r="H30" s="99"/>
      <c r="I30" s="120" t="str">
        <f>VLOOKUP(E30,_CHASSIS!A2:G4,3,FALSE)</f>
        <v>AQL-C</v>
      </c>
      <c r="J30" s="120"/>
      <c r="K30" s="9">
        <f>IF(E30=_CHASSIS!B2,0,1)</f>
        <v>1</v>
      </c>
      <c r="L30" s="160"/>
      <c r="M30" s="160"/>
      <c r="N30" s="81"/>
      <c r="Q30" s="51"/>
      <c r="R30" s="51"/>
      <c r="S30" s="51"/>
      <c r="T30" s="51"/>
      <c r="U30" s="51"/>
      <c r="V30" s="51"/>
      <c r="W30" s="51"/>
      <c r="X30" s="51"/>
      <c r="Y30" s="38"/>
      <c r="Z30" s="51"/>
      <c r="AA30" s="61">
        <f>VLOOKUP(E30,_CHASSIS!A2:G4,4,FALSE)</f>
        <v>43550</v>
      </c>
      <c r="AB30" s="61">
        <f>VLOOKUP(E30,_CHASSIS!A2:G4,5,FALSE)</f>
        <v>50900</v>
      </c>
      <c r="AC30" s="61">
        <f>VLOOKUP(E30,_CHASSIS!A2:G4,6,FALSE)</f>
        <v>36300</v>
      </c>
      <c r="AD30" s="51" t="str">
        <f>VLOOKUP(E30,_CHASSIS!A2:G4,2,FALSE)</f>
        <v>AQL-C</v>
      </c>
      <c r="AE30" s="38"/>
      <c r="AF30" s="51"/>
      <c r="AG30" s="51"/>
    </row>
    <row r="31" spans="2:33" x14ac:dyDescent="0.25">
      <c r="B31" s="101" t="s">
        <v>40</v>
      </c>
      <c r="C31" s="102"/>
      <c r="D31" s="103"/>
      <c r="E31" s="101" t="str">
        <f>IF(OR(E32=_INPUT!A3,E33=_INPUT!A3,E32=0,E33=0,B8=_WORK!B41),_GENERIC!A3,_GENERIC!A4)</f>
        <v>NO GENERIC I/O BOARD</v>
      </c>
      <c r="F31" s="102"/>
      <c r="G31" s="102"/>
      <c r="H31" s="102"/>
      <c r="I31" s="107" t="str">
        <f>VLOOKUP(E31,_GENERIC!A2:G5,3,FALSE)</f>
        <v>---NA---</v>
      </c>
      <c r="J31" s="107"/>
      <c r="K31" s="9">
        <f>IF(OR(E31=_GENERIC!A2,E31=_GENERIC!A3),0,1)</f>
        <v>0</v>
      </c>
      <c r="L31" s="160"/>
      <c r="M31" s="160"/>
      <c r="N31" s="84"/>
      <c r="Q31" s="52"/>
      <c r="R31" s="52"/>
      <c r="S31" s="52"/>
      <c r="T31" s="52"/>
      <c r="U31" s="52"/>
      <c r="V31" s="52"/>
      <c r="W31" s="52"/>
      <c r="X31" s="52"/>
      <c r="Y31" s="52"/>
      <c r="Z31" s="52"/>
      <c r="AA31" s="61">
        <f>VLOOKUP(E31,_GENERIC!A2:G5,4,FALSE)</f>
        <v>0</v>
      </c>
      <c r="AB31" s="61">
        <f>VLOOKUP(E31,_GENERIC!A2:G5,5,FALSE)</f>
        <v>0</v>
      </c>
      <c r="AC31" s="61">
        <f>VLOOKUP(E31,_GENERIC!A2:G5,6,FALSE)</f>
        <v>0</v>
      </c>
      <c r="AD31" s="51" t="str">
        <f>VLOOKUP(E31,_GENERIC!A2:G5,2,FALSE)</f>
        <v>0</v>
      </c>
      <c r="AE31" s="37"/>
      <c r="AF31" s="52"/>
      <c r="AG31" s="52"/>
    </row>
    <row r="32" spans="2:33" x14ac:dyDescent="0.25">
      <c r="B32" s="104" t="s">
        <v>41</v>
      </c>
      <c r="C32" s="105"/>
      <c r="D32" s="106"/>
      <c r="E32" s="104" t="str">
        <f>B5</f>
        <v>EMPTY SLOT (no input card)</v>
      </c>
      <c r="F32" s="105"/>
      <c r="G32" s="105"/>
      <c r="H32" s="105"/>
      <c r="I32" s="123" t="str">
        <f>VLOOKUP(E32,_INPUT!A1:G13,3,FALSE)</f>
        <v>---NA---</v>
      </c>
      <c r="J32" s="123"/>
      <c r="K32" s="9">
        <f>IF(E32=_INPUT!A3,0,1)</f>
        <v>0</v>
      </c>
      <c r="L32" s="160"/>
      <c r="M32" s="160"/>
      <c r="N32" s="84"/>
      <c r="Q32" s="52"/>
      <c r="R32" s="52"/>
      <c r="S32" s="52"/>
      <c r="T32" s="52"/>
      <c r="U32" s="52"/>
      <c r="V32" s="52"/>
      <c r="W32" s="52"/>
      <c r="X32" s="52"/>
      <c r="Y32" s="52"/>
      <c r="Z32" s="52"/>
      <c r="AA32" s="61">
        <f>VLOOKUP(E32,_INPUT!A1:G13,4,FALSE)</f>
        <v>0</v>
      </c>
      <c r="AB32" s="61">
        <f>VLOOKUP(E32,_INPUT!A1:G13,5,FALSE)</f>
        <v>0</v>
      </c>
      <c r="AC32" s="61">
        <f>VLOOKUP(E32,_INPUT!A1:G13,6,FALSE)</f>
        <v>0</v>
      </c>
      <c r="AD32" s="51" t="str">
        <f>VLOOKUP(E32,_INPUT!A1:G13,2,FALSE)</f>
        <v>0</v>
      </c>
      <c r="AE32" s="37"/>
      <c r="AF32" s="52"/>
      <c r="AG32" s="52"/>
    </row>
    <row r="33" spans="2:33" x14ac:dyDescent="0.25">
      <c r="B33" s="117" t="s">
        <v>42</v>
      </c>
      <c r="C33" s="118"/>
      <c r="D33" s="125"/>
      <c r="E33" s="117" t="str">
        <f>F5</f>
        <v>EMPTY SLOT (no input card)</v>
      </c>
      <c r="F33" s="118"/>
      <c r="G33" s="118"/>
      <c r="H33" s="118"/>
      <c r="I33" s="124" t="str">
        <f>VLOOKUP(E33,_INPUT!A1:G13,3,FALSE)</f>
        <v>---NA---</v>
      </c>
      <c r="J33" s="124"/>
      <c r="K33" s="9">
        <f>IF(E33=_INPUT!A3,0,1)</f>
        <v>0</v>
      </c>
      <c r="L33" s="160"/>
      <c r="M33" s="160"/>
      <c r="N33" s="84"/>
      <c r="Q33" s="52"/>
      <c r="R33" s="52"/>
      <c r="S33" s="52"/>
      <c r="T33" s="52"/>
      <c r="U33" s="52"/>
      <c r="V33" s="52"/>
      <c r="W33" s="52"/>
      <c r="X33" s="52"/>
      <c r="Y33" s="52"/>
      <c r="Z33" s="52"/>
      <c r="AA33" s="61">
        <f>VLOOKUP(E33,_INPUT!A1:G13,4,FALSE)</f>
        <v>0</v>
      </c>
      <c r="AB33" s="61">
        <f>VLOOKUP(E33,_INPUT!A1:G13,5,FALSE)</f>
        <v>0</v>
      </c>
      <c r="AC33" s="61">
        <f>VLOOKUP(E33,_INPUT!A1:G13,6,FALSE)</f>
        <v>0</v>
      </c>
      <c r="AD33" s="51" t="str">
        <f>VLOOKUP(E33,_INPUT!A1:G13,2,FALSE)</f>
        <v>0</v>
      </c>
      <c r="AE33" s="37"/>
      <c r="AF33" s="52"/>
      <c r="AG33" s="52"/>
    </row>
    <row r="34" spans="2:33" x14ac:dyDescent="0.25">
      <c r="B34" s="101" t="s">
        <v>43</v>
      </c>
      <c r="C34" s="102"/>
      <c r="D34" s="103"/>
      <c r="E34" s="101" t="str">
        <f>IF(OR(E35=_INPUT!A3,E36=_INPUT!A3,E35=0,E36=0,B13=_WORK!B41),_GENERIC!A3,_GENERIC!A4)</f>
        <v>NO GENERIC I/O BOARD</v>
      </c>
      <c r="F34" s="102"/>
      <c r="G34" s="102"/>
      <c r="H34" s="102"/>
      <c r="I34" s="107" t="str">
        <f>VLOOKUP(E34,_GENERIC!A2:G5,3,FALSE)</f>
        <v>---NA---</v>
      </c>
      <c r="J34" s="107"/>
      <c r="K34" s="9">
        <f>IF(OR(E34=_GENERIC!A2,E34=_GENERIC!A3),0,1)</f>
        <v>0</v>
      </c>
      <c r="L34" s="160"/>
      <c r="M34" s="160"/>
      <c r="N34" s="84"/>
      <c r="Q34" s="52"/>
      <c r="R34" s="52"/>
      <c r="S34" s="52"/>
      <c r="T34" s="52"/>
      <c r="U34" s="52"/>
      <c r="V34" s="52"/>
      <c r="W34" s="52"/>
      <c r="X34" s="52"/>
      <c r="Y34" s="52"/>
      <c r="Z34" s="52"/>
      <c r="AA34" s="61">
        <f>VLOOKUP(E34,_GENERIC!A2:G5,4,FALSE)</f>
        <v>0</v>
      </c>
      <c r="AB34" s="61">
        <f>VLOOKUP(E34,_GENERIC!A2:G5,5,FALSE)</f>
        <v>0</v>
      </c>
      <c r="AC34" s="61">
        <f>VLOOKUP(E34,_GENERIC!A2:G5,6,FALSE)</f>
        <v>0</v>
      </c>
      <c r="AD34" s="51" t="str">
        <f>VLOOKUP(E34,_GENERIC!A2:G5,2,FALSE)</f>
        <v>0</v>
      </c>
      <c r="AE34" s="37"/>
      <c r="AF34" s="52"/>
      <c r="AG34" s="52"/>
    </row>
    <row r="35" spans="2:33" x14ac:dyDescent="0.25">
      <c r="B35" s="104" t="s">
        <v>44</v>
      </c>
      <c r="C35" s="105"/>
      <c r="D35" s="106"/>
      <c r="E35" s="104" t="str">
        <f>B10</f>
        <v>EMPTY SLOT (no input card)</v>
      </c>
      <c r="F35" s="105"/>
      <c r="G35" s="105"/>
      <c r="H35" s="105"/>
      <c r="I35" s="123" t="str">
        <f>VLOOKUP(E35,_INPUT!A1:G13,3,FALSE)</f>
        <v>---NA---</v>
      </c>
      <c r="J35" s="123"/>
      <c r="K35" s="9">
        <f>IF(E35=_INPUT!A3,0,1)</f>
        <v>0</v>
      </c>
      <c r="L35" s="160"/>
      <c r="M35" s="160"/>
      <c r="N35" s="84"/>
      <c r="Q35" s="52"/>
      <c r="R35" s="52"/>
      <c r="S35" s="52"/>
      <c r="T35" s="52"/>
      <c r="U35" s="52"/>
      <c r="V35" s="52"/>
      <c r="W35" s="52"/>
      <c r="X35" s="52"/>
      <c r="Y35" s="52"/>
      <c r="Z35" s="52"/>
      <c r="AA35" s="61">
        <f>VLOOKUP(E35,_INPUT!A1:G13,4,FALSE)</f>
        <v>0</v>
      </c>
      <c r="AB35" s="61">
        <f>VLOOKUP(E35,_INPUT!A1:G13,5,FALSE)</f>
        <v>0</v>
      </c>
      <c r="AC35" s="61">
        <f>VLOOKUP(E35,_INPUT!A1:G13,6,FALSE)</f>
        <v>0</v>
      </c>
      <c r="AD35" s="51" t="str">
        <f>VLOOKUP(E35,_INPUT!A1:G13,2,FALSE)</f>
        <v>0</v>
      </c>
      <c r="AE35" s="37"/>
      <c r="AF35" s="52"/>
      <c r="AG35" s="52"/>
    </row>
    <row r="36" spans="2:33" x14ac:dyDescent="0.25">
      <c r="B36" s="117" t="s">
        <v>45</v>
      </c>
      <c r="C36" s="118"/>
      <c r="D36" s="125"/>
      <c r="E36" s="117" t="str">
        <f>F10</f>
        <v>EMPTY SLOT (no input card)</v>
      </c>
      <c r="F36" s="118"/>
      <c r="G36" s="118"/>
      <c r="H36" s="118"/>
      <c r="I36" s="124" t="str">
        <f>VLOOKUP(E36,_INPUT!A1:G13,3,FALSE)</f>
        <v>---NA---</v>
      </c>
      <c r="J36" s="124"/>
      <c r="K36" s="9">
        <f>IF(E36=_INPUT!A3,0,1)</f>
        <v>0</v>
      </c>
      <c r="L36" s="160"/>
      <c r="M36" s="160"/>
      <c r="N36" s="84"/>
      <c r="Q36" s="52"/>
      <c r="R36" s="52"/>
      <c r="S36" s="52"/>
      <c r="T36" s="52"/>
      <c r="U36" s="52"/>
      <c r="V36" s="52"/>
      <c r="W36" s="52"/>
      <c r="X36" s="52"/>
      <c r="Y36" s="52"/>
      <c r="Z36" s="52"/>
      <c r="AA36" s="61">
        <f>VLOOKUP(E36,_INPUT!A1:G13,4,FALSE)</f>
        <v>0</v>
      </c>
      <c r="AB36" s="61">
        <f>VLOOKUP(E36,_INPUT!A1:G13,5,FALSE)</f>
        <v>0</v>
      </c>
      <c r="AC36" s="61">
        <f>VLOOKUP(E36,_INPUT!A1:G13,6,FALSE)</f>
        <v>0</v>
      </c>
      <c r="AD36" s="51" t="str">
        <f>VLOOKUP(E36,_INPUT!A1:G13,2,FALSE)</f>
        <v>0</v>
      </c>
      <c r="AE36" s="37"/>
      <c r="AF36" s="52"/>
      <c r="AG36" s="52"/>
    </row>
    <row r="37" spans="2:33" x14ac:dyDescent="0.25">
      <c r="B37" s="101" t="s">
        <v>46</v>
      </c>
      <c r="C37" s="102"/>
      <c r="D37" s="103"/>
      <c r="E37" s="101" t="str">
        <f>IF(OR(E38=_OUTPUT!A3,E38=0),_GENERIC!A3,_GENERIC!A5)</f>
        <v>NO GENERIC I/O BOARD</v>
      </c>
      <c r="F37" s="102"/>
      <c r="G37" s="102"/>
      <c r="H37" s="102"/>
      <c r="I37" s="107" t="str">
        <f>VLOOKUP(E37,_GENERIC!A2:G5,3,FALSE)</f>
        <v>---NA---</v>
      </c>
      <c r="J37" s="107"/>
      <c r="K37" s="9">
        <f>IF(E37=_GENERIC!A3,0,1)</f>
        <v>0</v>
      </c>
      <c r="L37" s="160"/>
      <c r="M37" s="160"/>
      <c r="N37" s="84"/>
      <c r="Q37" s="52"/>
      <c r="R37" s="52"/>
      <c r="S37" s="52"/>
      <c r="T37" s="52"/>
      <c r="U37" s="52"/>
      <c r="V37" s="52"/>
      <c r="W37" s="52"/>
      <c r="X37" s="52"/>
      <c r="Y37" s="52"/>
      <c r="Z37" s="52"/>
      <c r="AA37" s="61">
        <f>VLOOKUP(E37,_GENERIC!A2:G5,4,FALSE)</f>
        <v>0</v>
      </c>
      <c r="AB37" s="61">
        <f>VLOOKUP(E37,_GENERIC!A2:G5,5,FALSE)</f>
        <v>0</v>
      </c>
      <c r="AC37" s="61">
        <f>VLOOKUP(E37,_GENERIC!A2:G5,6,FALSE)</f>
        <v>0</v>
      </c>
      <c r="AD37" s="51" t="str">
        <f>VLOOKUP(E37,_GENERIC!A2:G5,2,FALSE)</f>
        <v>0</v>
      </c>
      <c r="AE37" s="37"/>
      <c r="AF37" s="52"/>
      <c r="AG37" s="52"/>
    </row>
    <row r="38" spans="2:33" x14ac:dyDescent="0.25">
      <c r="B38" s="117" t="s">
        <v>47</v>
      </c>
      <c r="C38" s="118"/>
      <c r="D38" s="125"/>
      <c r="E38" s="117" t="str">
        <f>J5</f>
        <v>EMPTY SLOT (no output card)</v>
      </c>
      <c r="F38" s="118"/>
      <c r="G38" s="118"/>
      <c r="H38" s="118"/>
      <c r="I38" s="124" t="str">
        <f>VLOOKUP(E38,_OUTPUT!A2:G11,3,FALSE)</f>
        <v>---NA---</v>
      </c>
      <c r="J38" s="124"/>
      <c r="K38" s="9">
        <f>IF(E38=_OUTPUT!A3,0,1)</f>
        <v>0</v>
      </c>
      <c r="L38" s="160"/>
      <c r="M38" s="160"/>
      <c r="N38" s="84"/>
      <c r="Q38" s="52"/>
      <c r="R38" s="52"/>
      <c r="S38" s="52"/>
      <c r="T38" s="52"/>
      <c r="U38" s="52"/>
      <c r="V38" s="52"/>
      <c r="W38" s="52"/>
      <c r="X38" s="52"/>
      <c r="Y38" s="52"/>
      <c r="Z38" s="52"/>
      <c r="AA38" s="61">
        <f>VLOOKUP(E38,_OUTPUT!A2:G11,4,FALSE)</f>
        <v>0</v>
      </c>
      <c r="AB38" s="61">
        <f>VLOOKUP(E38,_OUTPUT!A2:G11,5,FALSE)</f>
        <v>0</v>
      </c>
      <c r="AC38" s="61">
        <f>VLOOKUP(E38,_OUTPUT!A2:G11,6,FALSE)</f>
        <v>0</v>
      </c>
      <c r="AD38" s="51" t="str">
        <f>VLOOKUP(E38,_OUTPUT!A2:G11,2,FALSE)</f>
        <v>0</v>
      </c>
      <c r="AE38" s="37"/>
      <c r="AF38" s="52"/>
      <c r="AG38" s="52"/>
    </row>
    <row r="39" spans="2:33" x14ac:dyDescent="0.25">
      <c r="B39" s="101" t="s">
        <v>48</v>
      </c>
      <c r="C39" s="102"/>
      <c r="D39" s="103"/>
      <c r="E39" s="101" t="str">
        <f>IF(OR(E40=_OUTPUT!A3,E40=0),_GENERIC!A3,_GENERIC!A5)</f>
        <v>NO GENERIC I/O BOARD</v>
      </c>
      <c r="F39" s="102"/>
      <c r="G39" s="102"/>
      <c r="H39" s="102"/>
      <c r="I39" s="107" t="str">
        <f>VLOOKUP(E39,_GENERIC!A2:G5,3,FALSE)</f>
        <v>---NA---</v>
      </c>
      <c r="J39" s="107"/>
      <c r="K39" s="9">
        <f>IF(E39=_GENERIC!A3,0,1)</f>
        <v>0</v>
      </c>
      <c r="L39" s="160"/>
      <c r="M39" s="160"/>
      <c r="N39" s="84"/>
      <c r="Q39" s="52"/>
      <c r="R39" s="52"/>
      <c r="S39" s="52"/>
      <c r="T39" s="52"/>
      <c r="U39" s="52"/>
      <c r="V39" s="52"/>
      <c r="W39" s="52"/>
      <c r="X39" s="52"/>
      <c r="Y39" s="52"/>
      <c r="Z39" s="52"/>
      <c r="AA39" s="61">
        <f>VLOOKUP(E39,_GENERIC!A2:G9,4,FALSE)</f>
        <v>0</v>
      </c>
      <c r="AB39" s="61">
        <f>VLOOKUP(E39,_GENERIC!A2:G5,5,FALSE)</f>
        <v>0</v>
      </c>
      <c r="AC39" s="61">
        <f>VLOOKUP(E39,_GENERIC!A2:G5,6,FALSE)</f>
        <v>0</v>
      </c>
      <c r="AD39" s="51" t="str">
        <f>VLOOKUP(E39,_GENERIC!A2:G5,2,FALSE)</f>
        <v>0</v>
      </c>
      <c r="AE39" s="37"/>
      <c r="AF39" s="52"/>
      <c r="AG39" s="52"/>
    </row>
    <row r="40" spans="2:33" x14ac:dyDescent="0.25">
      <c r="B40" s="117" t="s">
        <v>49</v>
      </c>
      <c r="C40" s="118"/>
      <c r="D40" s="125"/>
      <c r="E40" s="117" t="str">
        <f>J10</f>
        <v>EMPTY SLOT (no output card)</v>
      </c>
      <c r="F40" s="118"/>
      <c r="G40" s="118"/>
      <c r="H40" s="118"/>
      <c r="I40" s="124" t="str">
        <f>VLOOKUP(E40,_OUTPUT!A2:G11,3,FALSE)</f>
        <v>---NA---</v>
      </c>
      <c r="J40" s="124"/>
      <c r="K40" s="9">
        <f>IF(E40=_OUTPUT!A3,0,1)</f>
        <v>0</v>
      </c>
      <c r="L40" s="160"/>
      <c r="M40" s="160"/>
      <c r="N40" s="84"/>
      <c r="Q40" s="52"/>
      <c r="R40" s="52"/>
      <c r="S40" s="52"/>
      <c r="T40" s="52"/>
      <c r="U40" s="52"/>
      <c r="V40" s="52"/>
      <c r="W40" s="52"/>
      <c r="X40" s="52"/>
      <c r="Y40" s="52"/>
      <c r="Z40" s="52"/>
      <c r="AA40" s="61">
        <f>VLOOKUP(E40,_OUTPUT!A2:G11,4,FALSE)</f>
        <v>0</v>
      </c>
      <c r="AB40" s="61">
        <f>VLOOKUP(E40,_OUTPUT!A2:G11,5,FALSE)</f>
        <v>0</v>
      </c>
      <c r="AC40" s="61">
        <f>VLOOKUP(E40,_OUTPUT!A2:G11,6,FALSE)</f>
        <v>0</v>
      </c>
      <c r="AD40" s="51" t="str">
        <f>VLOOKUP(E40,_OUTPUT!A2:G11,2,FALSE)</f>
        <v>0</v>
      </c>
      <c r="AE40" s="37"/>
      <c r="AF40" s="52"/>
      <c r="AG40" s="52"/>
    </row>
    <row r="41" spans="2:33" x14ac:dyDescent="0.25">
      <c r="B41" s="101" t="s">
        <v>50</v>
      </c>
      <c r="C41" s="102"/>
      <c r="D41" s="103"/>
      <c r="E41" s="101" t="str">
        <f>IF(OR(E42=_OUTPUT!A3,E42=0),_GENERIC!A3,_GENERIC!A5)</f>
        <v>NO GENERIC I/O BOARD</v>
      </c>
      <c r="F41" s="102"/>
      <c r="G41" s="102"/>
      <c r="H41" s="102"/>
      <c r="I41" s="107" t="str">
        <f>VLOOKUP(E41,_GENERIC!A2:G5,3,FALSE)</f>
        <v>---NA---</v>
      </c>
      <c r="J41" s="107"/>
      <c r="K41" s="9">
        <f>IF(E41=_GENERIC!A3,0,1)</f>
        <v>0</v>
      </c>
      <c r="L41" s="160"/>
      <c r="M41" s="160"/>
      <c r="N41" s="84"/>
      <c r="Q41" s="52"/>
      <c r="R41" s="52"/>
      <c r="S41" s="52"/>
      <c r="T41" s="52"/>
      <c r="U41" s="52"/>
      <c r="V41" s="52"/>
      <c r="W41" s="52"/>
      <c r="X41" s="52"/>
      <c r="Y41" s="52"/>
      <c r="Z41" s="52"/>
      <c r="AA41" s="61">
        <f>VLOOKUP(E41,_GENERIC!A2:G5,4,FALSE)</f>
        <v>0</v>
      </c>
      <c r="AB41" s="61">
        <f>VLOOKUP(E41,_GENERIC!A2:G5,5,FALSE)</f>
        <v>0</v>
      </c>
      <c r="AC41" s="61">
        <f>VLOOKUP(E41,_GENERIC!A2:G5,6,FALSE)</f>
        <v>0</v>
      </c>
      <c r="AD41" s="51" t="str">
        <f>VLOOKUP(E41,_GENERIC!A2:G5,2,FALSE)</f>
        <v>0</v>
      </c>
      <c r="AE41" s="37"/>
      <c r="AF41" s="52"/>
      <c r="AG41" s="52"/>
    </row>
    <row r="42" spans="2:33" x14ac:dyDescent="0.25">
      <c r="B42" s="117" t="s">
        <v>51</v>
      </c>
      <c r="C42" s="118"/>
      <c r="D42" s="125"/>
      <c r="E42" s="117" t="str">
        <f>J15</f>
        <v>EMPTY SLOT (no output card)</v>
      </c>
      <c r="F42" s="118"/>
      <c r="G42" s="118"/>
      <c r="H42" s="118"/>
      <c r="I42" s="124" t="str">
        <f>VLOOKUP(E42,_OUTPUT!A2:G11,3,FALSE)</f>
        <v>---NA---</v>
      </c>
      <c r="J42" s="124"/>
      <c r="K42" s="9">
        <f>IF(E42=_OUTPUT!A3,0,1)</f>
        <v>0</v>
      </c>
      <c r="L42" s="160"/>
      <c r="M42" s="160"/>
      <c r="N42" s="84"/>
      <c r="Q42" s="52"/>
      <c r="R42" s="52"/>
      <c r="S42" s="52"/>
      <c r="T42" s="52"/>
      <c r="U42" s="52"/>
      <c r="V42" s="52"/>
      <c r="W42" s="52"/>
      <c r="X42" s="52"/>
      <c r="Y42" s="52"/>
      <c r="Z42" s="52"/>
      <c r="AA42" s="61">
        <f>VLOOKUP(E42,_OUTPUT!A2:G11,4,FALSE)</f>
        <v>0</v>
      </c>
      <c r="AB42" s="61">
        <f>VLOOKUP(E42,_OUTPUT!A2:G11,5,FALSE)</f>
        <v>0</v>
      </c>
      <c r="AC42" s="61">
        <f>VLOOKUP(E42,_OUTPUT!A2:G11,6,FALSE)</f>
        <v>0</v>
      </c>
      <c r="AD42" s="51" t="str">
        <f>VLOOKUP(E42,_OUTPUT!A2:G11,2,FALSE)</f>
        <v>0</v>
      </c>
      <c r="AE42" s="37"/>
      <c r="AF42" s="52"/>
      <c r="AG42" s="52"/>
    </row>
    <row r="43" spans="2:33" x14ac:dyDescent="0.25">
      <c r="B43" s="101" t="s">
        <v>52</v>
      </c>
      <c r="C43" s="102"/>
      <c r="D43" s="103"/>
      <c r="E43" s="101" t="str">
        <f>IF(OR(E44=_OUTPUT!A3,E44=0),_GENERIC!A3,IF(E44=_OUTPUT!A12,_GENERIC!A6,_GENERIC!A5))</f>
        <v>NO GENERIC I/O BOARD</v>
      </c>
      <c r="F43" s="102"/>
      <c r="G43" s="102"/>
      <c r="H43" s="102"/>
      <c r="I43" s="107" t="str">
        <f>VLOOKUP(E43,_GENERIC!A2:G6,3,FALSE)</f>
        <v>---NA---</v>
      </c>
      <c r="J43" s="107"/>
      <c r="K43" s="9">
        <f>IF(E43=_GENERIC!A3,0,1)</f>
        <v>0</v>
      </c>
      <c r="L43" s="160"/>
      <c r="M43" s="160"/>
      <c r="N43" s="84"/>
      <c r="Q43" s="52"/>
      <c r="R43" s="52"/>
      <c r="S43" s="52"/>
      <c r="T43" s="52"/>
      <c r="U43" s="52"/>
      <c r="V43" s="52"/>
      <c r="W43" s="52"/>
      <c r="X43" s="52"/>
      <c r="Y43" s="52"/>
      <c r="Z43" s="52"/>
      <c r="AA43" s="61">
        <f>VLOOKUP(E43,_GENERIC!A2:G6,4,FALSE)</f>
        <v>0</v>
      </c>
      <c r="AB43" s="61">
        <f>VLOOKUP(E43,_GENERIC!A2:G6,5,FALSE)</f>
        <v>0</v>
      </c>
      <c r="AC43" s="61">
        <f>VLOOKUP(E43,_GENERIC!A2:G6,6,FALSE)</f>
        <v>0</v>
      </c>
      <c r="AD43" s="51" t="str">
        <f>VLOOKUP(E43,_GENERIC!A2:G6,2,FALSE)</f>
        <v>0</v>
      </c>
      <c r="AE43" s="37"/>
      <c r="AF43" s="52"/>
      <c r="AG43" s="52"/>
    </row>
    <row r="44" spans="2:33" x14ac:dyDescent="0.25">
      <c r="B44" s="117" t="s">
        <v>53</v>
      </c>
      <c r="C44" s="118"/>
      <c r="D44" s="125"/>
      <c r="E44" s="117" t="str">
        <f>J20</f>
        <v>EMPTY SLOT (no output card)</v>
      </c>
      <c r="F44" s="118"/>
      <c r="G44" s="118"/>
      <c r="H44" s="118"/>
      <c r="I44" s="124" t="str">
        <f>VLOOKUP(E44,_OUTPUT!A2:G12,3,FALSE)</f>
        <v>---NA---</v>
      </c>
      <c r="J44" s="124"/>
      <c r="K44" s="9">
        <f>IF(E44=_OUTPUT!A3,0,1)</f>
        <v>0</v>
      </c>
      <c r="L44" s="160"/>
      <c r="M44" s="160"/>
      <c r="N44" s="84"/>
      <c r="Q44" s="52"/>
      <c r="R44" s="52"/>
      <c r="S44" s="52"/>
      <c r="T44" s="52"/>
      <c r="U44" s="52"/>
      <c r="V44" s="52"/>
      <c r="W44" s="52"/>
      <c r="X44" s="52"/>
      <c r="Y44" s="52"/>
      <c r="Z44" s="52"/>
      <c r="AA44" s="61">
        <f>VLOOKUP(E44,_OUTPUT!A2:G12,4,FALSE)</f>
        <v>0</v>
      </c>
      <c r="AB44" s="61">
        <f>VLOOKUP(E44,_OUTPUT!A2:G12,5,FALSE)</f>
        <v>0</v>
      </c>
      <c r="AC44" s="61">
        <f>VLOOKUP(E44,_OUTPUT!A2:G12,6,FALSE)</f>
        <v>0</v>
      </c>
      <c r="AD44" s="51" t="str">
        <f>VLOOKUP(E44,_OUTPUT!A2:G12,2,FALSE)</f>
        <v>0</v>
      </c>
      <c r="AE44" s="37"/>
      <c r="AF44" s="52"/>
      <c r="AG44" s="52"/>
    </row>
    <row r="45" spans="2:33" x14ac:dyDescent="0.25">
      <c r="B45" s="98" t="s">
        <v>54</v>
      </c>
      <c r="C45" s="99"/>
      <c r="D45" s="100"/>
      <c r="E45" s="98" t="str">
        <f>O5</f>
        <v>NO VIDEO PROCESSING CARD</v>
      </c>
      <c r="F45" s="99"/>
      <c r="G45" s="99"/>
      <c r="H45" s="99"/>
      <c r="I45" s="120" t="str">
        <f>VLOOKUP(E45,_VIDEO!A2:G6,3,FALSE)</f>
        <v>---NA---</v>
      </c>
      <c r="J45" s="120"/>
      <c r="K45" s="9">
        <f>IF(E45=_VIDEO!A4,1,IF(E45=_VIDEO!A5,2,IF(E45=_VIDEO!A6,3,0)))</f>
        <v>0</v>
      </c>
      <c r="L45" s="160"/>
      <c r="M45" s="160"/>
      <c r="N45" s="84"/>
      <c r="Q45" s="52"/>
      <c r="R45" s="52"/>
      <c r="S45" s="52"/>
      <c r="T45" s="52"/>
      <c r="U45" s="52"/>
      <c r="V45" s="52"/>
      <c r="W45" s="52"/>
      <c r="X45" s="52"/>
      <c r="Y45" s="52"/>
      <c r="Z45" s="52"/>
      <c r="AA45" s="61">
        <f>$K$45*VLOOKUP(E45,_VIDEO!A2:G6,4,FALSE)</f>
        <v>0</v>
      </c>
      <c r="AB45" s="61">
        <f>$K$45*VLOOKUP(E45,_VIDEO!A2:G6,5,FALSE)</f>
        <v>0</v>
      </c>
      <c r="AC45" s="61">
        <f>$K$45*VLOOKUP(E45,_VIDEO!A2:G6,6,FALSE)</f>
        <v>0</v>
      </c>
      <c r="AD45" s="51" t="str">
        <f>VLOOKUP(E45,_VIDEO!A2:G6,2,FALSE)</f>
        <v>0</v>
      </c>
      <c r="AE45" s="37"/>
      <c r="AF45" s="52"/>
      <c r="AG45" s="52"/>
    </row>
    <row r="46" spans="2:33" x14ac:dyDescent="0.25">
      <c r="B46" s="98" t="s">
        <v>55</v>
      </c>
      <c r="C46" s="99"/>
      <c r="D46" s="100"/>
      <c r="E46" s="98" t="str">
        <f>O10</f>
        <v>NO STILL IMAGE PROCESSING CARD</v>
      </c>
      <c r="F46" s="99"/>
      <c r="G46" s="99"/>
      <c r="H46" s="99"/>
      <c r="I46" s="120" t="str">
        <f>VLOOKUP(E46,_IMAGES!A2:G5,3,FALSE)</f>
        <v>---NA---</v>
      </c>
      <c r="J46" s="120"/>
      <c r="K46" s="9">
        <f>IF(E46=_IMAGES!A4,1,IF(E46=_IMAGES!A5,2,0))</f>
        <v>0</v>
      </c>
      <c r="L46" s="160"/>
      <c r="M46" s="160"/>
      <c r="N46" s="84"/>
      <c r="Q46" s="52"/>
      <c r="R46" s="52"/>
      <c r="S46" s="52"/>
      <c r="T46" s="52"/>
      <c r="U46" s="52"/>
      <c r="V46" s="52"/>
      <c r="W46" s="52"/>
      <c r="X46" s="52"/>
      <c r="Y46" s="52"/>
      <c r="Z46" s="52"/>
      <c r="AA46" s="61">
        <f>$K$46*VLOOKUP(E46,_IMAGES!A2:G5,4,FALSE)</f>
        <v>0</v>
      </c>
      <c r="AB46" s="61">
        <f>$K$46*VLOOKUP(E46,_IMAGES!A2:G5,5,FALSE)</f>
        <v>0</v>
      </c>
      <c r="AC46" s="61">
        <f>$K$46*VLOOKUP(E46,_IMAGES!A2:G5,6,FALSE)</f>
        <v>0</v>
      </c>
      <c r="AD46" s="51" t="str">
        <f>VLOOKUP(E46,_IMAGES!A2:G5,2,FALSE)</f>
        <v>0</v>
      </c>
      <c r="AE46" s="37"/>
      <c r="AF46" s="52"/>
      <c r="AG46" s="52"/>
    </row>
    <row r="47" spans="2:33" x14ac:dyDescent="0.25">
      <c r="B47" s="98" t="s">
        <v>56</v>
      </c>
      <c r="C47" s="99"/>
      <c r="D47" s="100"/>
      <c r="E47" s="171" t="str">
        <f>F15</f>
        <v>DEFAULT MVW 2x HDMI OUTPUT CARD</v>
      </c>
      <c r="F47" s="99"/>
      <c r="G47" s="99"/>
      <c r="H47" s="99"/>
      <c r="I47" s="120" t="str">
        <f>VLOOKUP(E47,_MVW!A2:G5,3,FALSE)</f>
        <v>---NA---</v>
      </c>
      <c r="J47" s="120"/>
      <c r="K47" s="9">
        <f>IF(E47=_MVW!A3,0,1)</f>
        <v>1</v>
      </c>
      <c r="L47" s="160"/>
      <c r="M47" s="160"/>
      <c r="N47" s="84"/>
      <c r="Q47" s="52"/>
      <c r="R47" s="52"/>
      <c r="S47" s="52"/>
      <c r="T47" s="52"/>
      <c r="U47" s="52"/>
      <c r="V47" s="52"/>
      <c r="W47" s="52"/>
      <c r="X47" s="52"/>
      <c r="Y47" s="52"/>
      <c r="Z47" s="52"/>
      <c r="AA47" s="61">
        <f>VLOOKUP(E47,_MVW!A2:G5,4,FALSE)</f>
        <v>0</v>
      </c>
      <c r="AB47" s="61">
        <f>VLOOKUP(E47,_MVW!A2:G5,5,FALSE)</f>
        <v>0</v>
      </c>
      <c r="AC47" s="61">
        <f>VLOOKUP(E47,_MVW!A2:G5,6,FALSE)</f>
        <v>0</v>
      </c>
      <c r="AD47" s="51" t="str">
        <f>VLOOKUP(E47,_MVW!A2:G5,2,FALSE)</f>
        <v>1</v>
      </c>
      <c r="AE47" s="37"/>
      <c r="AF47" s="52"/>
      <c r="AG47" s="52"/>
    </row>
    <row r="48" spans="2:33" x14ac:dyDescent="0.25">
      <c r="J48" s="178"/>
      <c r="K48" s="178"/>
      <c r="L48" s="172"/>
      <c r="M48" s="172"/>
      <c r="N48" s="85"/>
      <c r="P48" s="52"/>
      <c r="Q48" s="52"/>
      <c r="R48" s="52"/>
      <c r="S48" s="52"/>
      <c r="T48" s="52"/>
      <c r="U48" s="52"/>
      <c r="V48" s="52"/>
      <c r="W48" s="52"/>
      <c r="X48" s="52"/>
      <c r="Y48" s="37"/>
      <c r="Z48" s="52"/>
      <c r="AA48" s="52"/>
      <c r="AB48" s="52"/>
      <c r="AC48" s="52"/>
      <c r="AD48" s="52"/>
      <c r="AE48" s="37"/>
      <c r="AF48" s="52"/>
      <c r="AG48" s="52"/>
    </row>
    <row r="49" spans="2:32" x14ac:dyDescent="0.25">
      <c r="L49" s="84"/>
      <c r="M49" s="84"/>
      <c r="N49" s="84"/>
      <c r="P49" s="37"/>
      <c r="Q49" s="52"/>
      <c r="R49" s="52"/>
      <c r="S49" s="52"/>
      <c r="T49" s="52"/>
      <c r="U49" s="52"/>
      <c r="V49" s="52"/>
      <c r="W49" s="52"/>
      <c r="X49" s="37"/>
      <c r="Y49" s="37"/>
      <c r="Z49" s="52"/>
      <c r="AA49" s="52"/>
      <c r="AB49" s="52"/>
      <c r="AC49" s="52"/>
      <c r="AD49" s="52"/>
      <c r="AE49" s="37"/>
      <c r="AF49" s="52"/>
    </row>
    <row r="50" spans="2:32" x14ac:dyDescent="0.25">
      <c r="B50" s="120" t="s">
        <v>57</v>
      </c>
      <c r="C50" s="120"/>
      <c r="D50" s="120"/>
      <c r="E50" s="98" t="str">
        <f>Q20</f>
        <v>NO WARRANTY EXTENSION</v>
      </c>
      <c r="F50" s="99"/>
      <c r="G50" s="99"/>
      <c r="H50" s="100"/>
      <c r="I50" s="120" t="str">
        <f>VLOOKUP($E50,_WARRANTY_4RU!A2:G4,7,FALSE)</f>
        <v>---NA---</v>
      </c>
      <c r="J50" s="120"/>
      <c r="K50" s="23">
        <f>VLOOKUP($E50,_WARRANTY_4RU!A2:G4,4,FALSE)</f>
        <v>0</v>
      </c>
      <c r="L50" s="173"/>
      <c r="M50" s="173"/>
      <c r="N50" s="86"/>
      <c r="P50" s="37"/>
      <c r="Q50" s="52"/>
      <c r="R50" s="52"/>
      <c r="S50" s="52"/>
      <c r="T50" s="52"/>
      <c r="U50" s="52"/>
      <c r="V50" s="52"/>
      <c r="W50" s="52"/>
      <c r="X50" s="37"/>
      <c r="Y50" s="37"/>
      <c r="Z50" s="52"/>
      <c r="AA50" s="51" t="str">
        <f>VLOOKUP(E50,_WARRANTY_4RU!A2:G4,2,FALSE)</f>
        <v>0</v>
      </c>
      <c r="AB50" s="52"/>
      <c r="AC50" s="52"/>
      <c r="AD50" s="52"/>
      <c r="AE50" s="37"/>
      <c r="AF50" s="52"/>
    </row>
    <row r="51" spans="2:32" x14ac:dyDescent="0.25">
      <c r="B51" s="168" t="s">
        <v>58</v>
      </c>
      <c r="C51" s="169"/>
      <c r="D51" s="169"/>
      <c r="E51" s="169"/>
      <c r="F51" s="169"/>
      <c r="G51" s="169"/>
      <c r="H51" s="169"/>
      <c r="I51" s="169"/>
      <c r="J51" s="169"/>
      <c r="K51" s="170"/>
      <c r="L51" s="87"/>
      <c r="M51" s="87"/>
      <c r="N51" s="84"/>
      <c r="P51" s="40"/>
      <c r="Q51" s="52"/>
      <c r="R51" s="52"/>
      <c r="S51" s="52"/>
      <c r="T51" s="52"/>
      <c r="U51" s="52"/>
      <c r="V51" s="52"/>
      <c r="W51" s="52"/>
      <c r="X51" s="37"/>
      <c r="Y51" s="37"/>
      <c r="Z51" s="52"/>
      <c r="AA51" s="52"/>
      <c r="AB51" s="52"/>
      <c r="AC51" s="52"/>
      <c r="AD51" s="52"/>
      <c r="AE51" s="37"/>
      <c r="AF51" s="52"/>
    </row>
    <row r="52" spans="2:32" x14ac:dyDescent="0.25">
      <c r="P52" s="40"/>
      <c r="Q52" s="40"/>
      <c r="R52" s="40"/>
      <c r="S52" s="40"/>
      <c r="Y52" s="18"/>
      <c r="Z52" s="52"/>
      <c r="AA52" s="52"/>
      <c r="AB52" s="52"/>
      <c r="AC52" s="52"/>
      <c r="AD52" s="52"/>
      <c r="AE52" s="37"/>
    </row>
    <row r="53" spans="2:32" x14ac:dyDescent="0.25">
      <c r="B53" s="4" t="s">
        <v>59</v>
      </c>
      <c r="D53" s="3"/>
      <c r="S53" s="39"/>
      <c r="Y53" s="18"/>
      <c r="Z53" s="18"/>
      <c r="AA53" s="37"/>
      <c r="AB53" s="37"/>
      <c r="AC53" s="37"/>
      <c r="AD53" s="37"/>
      <c r="AE53" s="37"/>
    </row>
    <row r="54" spans="2:32" ht="60" customHeight="1" x14ac:dyDescent="0.25">
      <c r="B54" s="97" t="str">
        <f>IF(B26=_WORK!B14,_WORK!B14,CONCATENATE(_WORK!C115,_WORK!C116,_WORK!C117,_WORK!C118,_WORK!C119,_WORK!D119,_WORK!C120,_WORK!D120,_WORK!C121,_WORK!D121,_WORK!C122,_WORK!D122,_WORK!C123,_WORK!D123,_WORK!C124,_WORK!D124,_WORK!C125,_WORK!D125,_WORK!C126,_WORK!D126,_WORK!C127,_WORK!D127,_WORK!C128,_WORK!C129,_WORK!C130,_WORK!D130,_WORK!C131,_WORK!C132,_WORK!D132,_WORK!C133,_WORK!D133,_WORK!C134,_WORK!D134,_WORK!C135,_WORK!D135,_WORK!C136,_WORK!D136,_WORK!C137,_WORK!D137,_WORK!C138,_WORK!D138,_WORK!C140,_WORK!C141,_WORK!C142,_WORK!D142,_WORK!C143,_WORK!C144,_WORK!D144,_WORK!C145,_WORK!C146,_WORK!D146,_WORK!C147))</f>
        <v>Aquilon C (4RU) 4K/8K presentation system with the default dual HDMI 2.0 MVW card, with no input connectors card, with no output connectors card, with no video processing card, with no still image processing card and with no Link card.</v>
      </c>
      <c r="C54" s="97"/>
      <c r="D54" s="97"/>
      <c r="E54" s="97"/>
      <c r="F54" s="97"/>
      <c r="G54" s="97"/>
      <c r="H54" s="97"/>
      <c r="I54" s="97"/>
      <c r="J54" s="97"/>
      <c r="K54" s="97"/>
      <c r="L54" s="97"/>
      <c r="M54" s="97"/>
      <c r="N54" s="97"/>
      <c r="O54" s="97"/>
      <c r="P54" s="97"/>
      <c r="Q54" s="97"/>
      <c r="R54" s="97"/>
      <c r="S54" s="97"/>
      <c r="Y54" s="18"/>
      <c r="Z54" s="18"/>
      <c r="AA54" s="18"/>
      <c r="AB54" s="18"/>
      <c r="AC54" s="18"/>
      <c r="AD54" s="18"/>
      <c r="AE54" s="18"/>
    </row>
    <row r="55" spans="2:32" x14ac:dyDescent="0.25">
      <c r="D55" s="3"/>
      <c r="S55" s="39"/>
      <c r="Y55" s="18"/>
      <c r="Z55" s="18"/>
      <c r="AA55" s="18"/>
      <c r="AB55" s="18"/>
      <c r="AC55" s="18"/>
      <c r="AD55" s="18"/>
      <c r="AE55" s="18"/>
    </row>
    <row r="56" spans="2:32" x14ac:dyDescent="0.25">
      <c r="S56" s="39"/>
      <c r="Y56" s="18"/>
      <c r="Z56" s="18"/>
      <c r="AA56" s="18"/>
      <c r="AB56" s="18"/>
      <c r="AC56" s="18"/>
      <c r="AD56" s="18"/>
      <c r="AE56" s="18"/>
    </row>
    <row r="57" spans="2:32" x14ac:dyDescent="0.25">
      <c r="S57" s="39"/>
    </row>
    <row r="58" spans="2:32" x14ac:dyDescent="0.25">
      <c r="P58" s="53"/>
      <c r="Q58" s="53"/>
      <c r="R58" s="53"/>
      <c r="S58" s="39"/>
    </row>
    <row r="59" spans="2:32" x14ac:dyDescent="0.25">
      <c r="P59" s="53"/>
      <c r="Q59" s="53"/>
      <c r="R59" s="53"/>
      <c r="S59" s="39"/>
    </row>
    <row r="60" spans="2:32" x14ac:dyDescent="0.25">
      <c r="P60" s="53"/>
      <c r="Q60" s="53"/>
      <c r="R60" s="53"/>
      <c r="S60" s="39"/>
    </row>
  </sheetData>
  <sheetProtection algorithmName="SHA-512" hashValue="a+TV4x8byOzSAzR9Q3luntIBYYXgBqpGKpnQagFV5eGCgF6l2EkMbFMp5JNpLpEVxIWxn3cPJ9OKQYUkAQaJ6Q==" saltValue="Dv1RdRHByUMiirZrUwO6CQ==" spinCount="100000" sheet="1" objects="1" scenarios="1"/>
  <protectedRanges>
    <protectedRange sqref="B5 O5 O10 Q20 M29 J5 F15 F5 B10 F10 J10 J15 J20" name="Plage1"/>
  </protectedRanges>
  <mergeCells count="130">
    <mergeCell ref="B51:K51"/>
    <mergeCell ref="B47:D47"/>
    <mergeCell ref="E47:H47"/>
    <mergeCell ref="I47:J47"/>
    <mergeCell ref="L47:M47"/>
    <mergeCell ref="L48:M48"/>
    <mergeCell ref="L50:M50"/>
    <mergeCell ref="B26:M26"/>
    <mergeCell ref="B25:M25"/>
    <mergeCell ref="J48:K48"/>
    <mergeCell ref="I29:J29"/>
    <mergeCell ref="I30:J30"/>
    <mergeCell ref="I33:J33"/>
    <mergeCell ref="B44:D44"/>
    <mergeCell ref="B45:D45"/>
    <mergeCell ref="B46:D46"/>
    <mergeCell ref="I46:J46"/>
    <mergeCell ref="I45:J45"/>
    <mergeCell ref="I44:J44"/>
    <mergeCell ref="I43:J43"/>
    <mergeCell ref="I42:J42"/>
    <mergeCell ref="I41:J41"/>
    <mergeCell ref="E44:H44"/>
    <mergeCell ref="E45:H45"/>
    <mergeCell ref="E46:H46"/>
    <mergeCell ref="L42:M42"/>
    <mergeCell ref="L41:M41"/>
    <mergeCell ref="L40:M40"/>
    <mergeCell ref="L39:M39"/>
    <mergeCell ref="L38:M38"/>
    <mergeCell ref="L37:M37"/>
    <mergeCell ref="L46:M46"/>
    <mergeCell ref="L45:M45"/>
    <mergeCell ref="L44:M44"/>
    <mergeCell ref="L43:M43"/>
    <mergeCell ref="E42:H42"/>
    <mergeCell ref="E43:H43"/>
    <mergeCell ref="I39:J39"/>
    <mergeCell ref="O4:S4"/>
    <mergeCell ref="O8:S8"/>
    <mergeCell ref="O9:S9"/>
    <mergeCell ref="O13:S13"/>
    <mergeCell ref="L30:M30"/>
    <mergeCell ref="L31:M31"/>
    <mergeCell ref="L36:M36"/>
    <mergeCell ref="L35:M35"/>
    <mergeCell ref="L34:M34"/>
    <mergeCell ref="L33:M33"/>
    <mergeCell ref="L32:M32"/>
    <mergeCell ref="Q19:S19"/>
    <mergeCell ref="J20:M22"/>
    <mergeCell ref="J19:M19"/>
    <mergeCell ref="J8:M8"/>
    <mergeCell ref="O20:P21"/>
    <mergeCell ref="Q20:S21"/>
    <mergeCell ref="J23:M23"/>
    <mergeCell ref="O5:S7"/>
    <mergeCell ref="O10:S12"/>
    <mergeCell ref="B42:D42"/>
    <mergeCell ref="B43:D43"/>
    <mergeCell ref="F5:I7"/>
    <mergeCell ref="J18:M18"/>
    <mergeCell ref="J5:M7"/>
    <mergeCell ref="J10:M12"/>
    <mergeCell ref="J15:M17"/>
    <mergeCell ref="B10:E12"/>
    <mergeCell ref="F10:I12"/>
    <mergeCell ref="B9:E9"/>
    <mergeCell ref="F18:I18"/>
    <mergeCell ref="B18:E18"/>
    <mergeCell ref="J14:M14"/>
    <mergeCell ref="B38:D38"/>
    <mergeCell ref="B40:D40"/>
    <mergeCell ref="B34:D34"/>
    <mergeCell ref="B35:D35"/>
    <mergeCell ref="B37:D37"/>
    <mergeCell ref="B23:E23"/>
    <mergeCell ref="F23:I23"/>
    <mergeCell ref="B29:D29"/>
    <mergeCell ref="I38:J38"/>
    <mergeCell ref="F20:I22"/>
    <mergeCell ref="I40:J40"/>
    <mergeCell ref="B2:M2"/>
    <mergeCell ref="B50:D50"/>
    <mergeCell ref="O19:P19"/>
    <mergeCell ref="B4:E4"/>
    <mergeCell ref="F4:I4"/>
    <mergeCell ref="I32:J32"/>
    <mergeCell ref="I31:J31"/>
    <mergeCell ref="I36:J36"/>
    <mergeCell ref="I35:J35"/>
    <mergeCell ref="I34:J34"/>
    <mergeCell ref="B39:D39"/>
    <mergeCell ref="B36:D36"/>
    <mergeCell ref="B33:D33"/>
    <mergeCell ref="B15:E17"/>
    <mergeCell ref="F15:I17"/>
    <mergeCell ref="B20:E22"/>
    <mergeCell ref="J4:M4"/>
    <mergeCell ref="I50:J50"/>
    <mergeCell ref="F14:I14"/>
    <mergeCell ref="B19:E19"/>
    <mergeCell ref="E50:H50"/>
    <mergeCell ref="F19:I19"/>
    <mergeCell ref="F9:I9"/>
    <mergeCell ref="B5:E7"/>
    <mergeCell ref="B54:S54"/>
    <mergeCell ref="B30:D30"/>
    <mergeCell ref="B31:D31"/>
    <mergeCell ref="B32:D32"/>
    <mergeCell ref="I37:J37"/>
    <mergeCell ref="J9:M9"/>
    <mergeCell ref="B8:I8"/>
    <mergeCell ref="B13:I13"/>
    <mergeCell ref="B14:E14"/>
    <mergeCell ref="E29:H29"/>
    <mergeCell ref="E30:H30"/>
    <mergeCell ref="E31:H31"/>
    <mergeCell ref="E32:H32"/>
    <mergeCell ref="E33:H33"/>
    <mergeCell ref="E34:H34"/>
    <mergeCell ref="E35:H35"/>
    <mergeCell ref="E36:H36"/>
    <mergeCell ref="E37:H37"/>
    <mergeCell ref="E38:H38"/>
    <mergeCell ref="E39:H39"/>
    <mergeCell ref="E40:H40"/>
    <mergeCell ref="E41:H41"/>
    <mergeCell ref="J13:M13"/>
    <mergeCell ref="B41:D41"/>
  </mergeCells>
  <dataValidations count="1">
    <dataValidation type="list" allowBlank="1" showInputMessage="1" showErrorMessage="1" sqref="M29" xr:uid="{0063647C-DA56-4399-9090-FF6E21A77CEE}">
      <formula1>$AA$29:$AC$29</formula1>
    </dataValidation>
  </dataValidations>
  <printOptions horizontalCentered="1" verticalCentered="1"/>
  <pageMargins left="0.23622047244094491" right="0.23622047244094491" top="0.74803149606299213" bottom="0.74803149606299213" header="0.31496062992125984" footer="0.31496062992125984"/>
  <pageSetup paperSize="9" scale="61" orientation="landscape" r:id="rId1"/>
  <ignoredErrors>
    <ignoredError sqref="E38 E42 E40 I34:J34 K34:K43 I41 AA34:AD34 AA37:AD37 AA39:AD39 AA41:AD41 I37:J37 J35 J36 I39:J39 J38 J40"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4CA96E5A-CC73-4596-9306-2611BB92DE3A}">
          <x14:formula1>
            <xm:f>_WARRANTY_4RU!$A$2:$A$4</xm:f>
          </x14:formula1>
          <xm:sqref>Q20:S21</xm:sqref>
        </x14:dataValidation>
        <x14:dataValidation type="list" allowBlank="1" showInputMessage="1" showErrorMessage="1" xr:uid="{694EA331-FCAE-4E86-94D5-62F1330ABC4E}">
          <x14:formula1>
            <xm:f>_VIDEO!$A$3:$A$5</xm:f>
          </x14:formula1>
          <xm:sqref>O5</xm:sqref>
        </x14:dataValidation>
        <x14:dataValidation type="list" allowBlank="1" showInputMessage="1" showErrorMessage="1" xr:uid="{0ED5522E-C77D-4E9D-BEDA-9AB067CD92C5}">
          <x14:formula1>
            <xm:f>_IMAGES!$A$3:$A$4</xm:f>
          </x14:formula1>
          <xm:sqref>O10</xm:sqref>
        </x14:dataValidation>
        <x14:dataValidation type="list" allowBlank="1" showInputMessage="1" showErrorMessage="1" xr:uid="{8C975C13-E43E-4EA4-808D-F689150C1444}">
          <x14:formula1>
            <xm:f>_MVW!$A$4:$A$5</xm:f>
          </x14:formula1>
          <xm:sqref>F15:I17</xm:sqref>
        </x14:dataValidation>
        <x14:dataValidation type="list" allowBlank="1" showInputMessage="1" showErrorMessage="1" xr:uid="{7D3729D2-C650-47DF-B601-7D0DDE3123A4}">
          <x14:formula1>
            <xm:f>_INPUT!$A$3:$A$13</xm:f>
          </x14:formula1>
          <xm:sqref>B5:I7 B10:I12</xm:sqref>
        </x14:dataValidation>
        <x14:dataValidation type="list" allowBlank="1" showInputMessage="1" showErrorMessage="1" xr:uid="{BFD8EDA3-C81D-41D0-A96C-C244B05932C3}">
          <x14:formula1>
            <xm:f>_OUTPUT!$A$3:$A$11</xm:f>
          </x14:formula1>
          <xm:sqref>J15:M17 J5:M7 J10:M12</xm:sqref>
        </x14:dataValidation>
        <x14:dataValidation type="list" allowBlank="1" showInputMessage="1" showErrorMessage="1" xr:uid="{E4CEDDF3-E324-48F3-984F-288B1F0B0E07}">
          <x14:formula1>
            <xm:f>_OUTPUT!$A$3:$A$12</xm:f>
          </x14:formula1>
          <xm:sqref>J20:M22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0BBE-571C-4CB5-9FDD-7F15DEB830FD}">
  <sheetPr codeName="Feuil9"/>
  <dimension ref="A1:H8"/>
  <sheetViews>
    <sheetView workbookViewId="0">
      <selection activeCell="C34" sqref="C34:M36"/>
    </sheetView>
  </sheetViews>
  <sheetFormatPr baseColWidth="10" defaultColWidth="11.42578125" defaultRowHeight="15" x14ac:dyDescent="0.25"/>
  <cols>
    <col min="1" max="1" width="34.5703125" customWidth="1"/>
    <col min="2" max="2" width="11.140625" style="1"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t="s">
        <v>240</v>
      </c>
      <c r="B2" s="1" t="s">
        <v>220</v>
      </c>
      <c r="C2" s="16" t="s">
        <v>221</v>
      </c>
      <c r="D2" s="1">
        <v>0</v>
      </c>
      <c r="E2" s="1">
        <v>0</v>
      </c>
      <c r="F2" s="1">
        <v>0</v>
      </c>
      <c r="G2" s="48" t="s">
        <v>221</v>
      </c>
      <c r="H2" t="str">
        <f>A2</f>
        <v>No Accessories</v>
      </c>
    </row>
    <row r="3" spans="1:8" x14ac:dyDescent="0.25">
      <c r="B3" s="21" t="s">
        <v>224</v>
      </c>
      <c r="C3" s="16" t="s">
        <v>241</v>
      </c>
      <c r="D3" s="15">
        <v>1150</v>
      </c>
      <c r="E3" s="15">
        <v>1380</v>
      </c>
      <c r="F3" s="15">
        <v>960</v>
      </c>
      <c r="G3" s="46" t="s">
        <v>242</v>
      </c>
      <c r="H3">
        <f t="shared" ref="H3:H8" si="0">A3</f>
        <v>0</v>
      </c>
    </row>
    <row r="4" spans="1:8" x14ac:dyDescent="0.25">
      <c r="B4" s="21" t="s">
        <v>226</v>
      </c>
      <c r="C4" t="s">
        <v>243</v>
      </c>
      <c r="D4" s="15">
        <v>1150</v>
      </c>
      <c r="E4" s="15">
        <v>1380</v>
      </c>
      <c r="F4" s="15">
        <v>960</v>
      </c>
      <c r="G4" s="46" t="s">
        <v>244</v>
      </c>
      <c r="H4">
        <f t="shared" si="0"/>
        <v>0</v>
      </c>
    </row>
    <row r="5" spans="1:8" x14ac:dyDescent="0.25">
      <c r="B5" s="21" t="s">
        <v>239</v>
      </c>
      <c r="C5" t="s">
        <v>245</v>
      </c>
      <c r="D5" s="15">
        <v>1150</v>
      </c>
      <c r="E5" s="15">
        <v>1380</v>
      </c>
      <c r="F5" s="15">
        <v>960</v>
      </c>
      <c r="G5" s="46" t="s">
        <v>246</v>
      </c>
      <c r="H5">
        <f t="shared" si="0"/>
        <v>0</v>
      </c>
    </row>
    <row r="6" spans="1:8" x14ac:dyDescent="0.25">
      <c r="B6" s="21" t="s">
        <v>247</v>
      </c>
      <c r="C6" t="s">
        <v>248</v>
      </c>
      <c r="D6" s="15">
        <v>1420</v>
      </c>
      <c r="E6" s="15">
        <v>1700</v>
      </c>
      <c r="F6" s="15">
        <v>1190</v>
      </c>
      <c r="G6" s="46" t="s">
        <v>249</v>
      </c>
      <c r="H6">
        <f t="shared" si="0"/>
        <v>0</v>
      </c>
    </row>
    <row r="7" spans="1:8" x14ac:dyDescent="0.25">
      <c r="B7" s="21" t="s">
        <v>250</v>
      </c>
      <c r="C7" t="s">
        <v>251</v>
      </c>
      <c r="D7" s="15">
        <v>1420</v>
      </c>
      <c r="E7" s="15">
        <v>1700</v>
      </c>
      <c r="F7" s="15">
        <v>1190</v>
      </c>
      <c r="G7" s="46" t="s">
        <v>252</v>
      </c>
      <c r="H7">
        <f t="shared" si="0"/>
        <v>0</v>
      </c>
    </row>
    <row r="8" spans="1:8" x14ac:dyDescent="0.25">
      <c r="B8" s="21" t="s">
        <v>253</v>
      </c>
      <c r="C8" t="s">
        <v>254</v>
      </c>
      <c r="D8" s="15">
        <v>1420</v>
      </c>
      <c r="E8" s="15">
        <v>1700</v>
      </c>
      <c r="F8" s="15">
        <v>1190</v>
      </c>
      <c r="G8" s="46" t="s">
        <v>255</v>
      </c>
      <c r="H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7DC3D-5710-4CAD-8C12-52CFC14CAC9D}">
  <sheetPr codeName="Feuil3">
    <pageSetUpPr fitToPage="1"/>
  </sheetPr>
  <dimension ref="A1:AO65"/>
  <sheetViews>
    <sheetView showGridLines="0" showRowColHeaders="0" zoomScaleNormal="100" workbookViewId="0">
      <selection activeCell="F5" sqref="F5:I7"/>
    </sheetView>
  </sheetViews>
  <sheetFormatPr baseColWidth="10" defaultColWidth="11.5703125" defaultRowHeight="15" x14ac:dyDescent="0.25"/>
  <cols>
    <col min="1" max="1" width="9.7109375" style="2" customWidth="1"/>
    <col min="2" max="9" width="10.42578125" style="2" customWidth="1"/>
    <col min="10" max="10" width="12.5703125" style="2" customWidth="1"/>
    <col min="11" max="13" width="10.28515625" style="2" customWidth="1"/>
    <col min="14" max="14" width="4.28515625" style="2" customWidth="1"/>
    <col min="15" max="16" width="10.7109375" style="2" customWidth="1"/>
    <col min="17" max="18" width="12.7109375" style="2" customWidth="1"/>
    <col min="19" max="19" width="12.7109375" style="37" customWidth="1"/>
    <col min="20" max="21" width="11.5703125" style="2"/>
    <col min="22" max="26" width="3.5703125" style="2" customWidth="1"/>
    <col min="27" max="16384" width="11.5703125" style="2"/>
  </cols>
  <sheetData>
    <row r="1" spans="1:19" ht="10.15" customHeight="1" x14ac:dyDescent="0.25"/>
    <row r="2" spans="1:19" ht="19.899999999999999" customHeight="1" x14ac:dyDescent="0.25">
      <c r="B2" s="119" t="s">
        <v>60</v>
      </c>
      <c r="C2" s="119"/>
      <c r="D2" s="119"/>
      <c r="E2" s="119"/>
      <c r="F2" s="119"/>
      <c r="G2" s="119"/>
      <c r="H2" s="119"/>
      <c r="I2" s="119"/>
      <c r="J2" s="119"/>
      <c r="K2" s="119"/>
      <c r="L2" s="119"/>
      <c r="M2" s="119"/>
      <c r="S2" s="20" t="str">
        <f>_WORK!G2</f>
        <v>version 1.18</v>
      </c>
    </row>
    <row r="3" spans="1:19" ht="10.15" customHeight="1" thickBot="1" x14ac:dyDescent="0.3"/>
    <row r="4" spans="1:19" ht="15" customHeight="1" thickBot="1" x14ac:dyDescent="0.3">
      <c r="A4" s="17"/>
      <c r="B4" s="108" t="s">
        <v>6</v>
      </c>
      <c r="C4" s="109"/>
      <c r="D4" s="109"/>
      <c r="E4" s="110"/>
      <c r="F4" s="108" t="s">
        <v>7</v>
      </c>
      <c r="G4" s="109"/>
      <c r="H4" s="109"/>
      <c r="I4" s="110"/>
      <c r="J4" s="108" t="s">
        <v>8</v>
      </c>
      <c r="K4" s="109"/>
      <c r="L4" s="109"/>
      <c r="M4" s="110"/>
      <c r="O4" s="108" t="s">
        <v>9</v>
      </c>
      <c r="P4" s="109"/>
      <c r="Q4" s="109"/>
      <c r="R4" s="109"/>
      <c r="S4" s="110"/>
    </row>
    <row r="5" spans="1:19" ht="10.15" customHeight="1" x14ac:dyDescent="0.25">
      <c r="A5" s="18"/>
      <c r="B5" s="144" t="s">
        <v>10</v>
      </c>
      <c r="C5" s="145"/>
      <c r="D5" s="145"/>
      <c r="E5" s="146"/>
      <c r="F5" s="144" t="s">
        <v>10</v>
      </c>
      <c r="G5" s="145"/>
      <c r="H5" s="145"/>
      <c r="I5" s="146"/>
      <c r="J5" s="144" t="s">
        <v>11</v>
      </c>
      <c r="K5" s="145"/>
      <c r="L5" s="145"/>
      <c r="M5" s="146"/>
      <c r="O5" s="144" t="s">
        <v>12</v>
      </c>
      <c r="P5" s="145"/>
      <c r="Q5" s="145"/>
      <c r="R5" s="145"/>
      <c r="S5" s="146"/>
    </row>
    <row r="6" spans="1:19" ht="10.15" customHeight="1" x14ac:dyDescent="0.25">
      <c r="A6" s="18"/>
      <c r="B6" s="147"/>
      <c r="C6" s="148"/>
      <c r="D6" s="148"/>
      <c r="E6" s="149"/>
      <c r="F6" s="147"/>
      <c r="G6" s="148"/>
      <c r="H6" s="148"/>
      <c r="I6" s="149"/>
      <c r="J6" s="147"/>
      <c r="K6" s="148"/>
      <c r="L6" s="148"/>
      <c r="M6" s="149"/>
      <c r="O6" s="147"/>
      <c r="P6" s="148"/>
      <c r="Q6" s="148"/>
      <c r="R6" s="148"/>
      <c r="S6" s="149"/>
    </row>
    <row r="7" spans="1:19" ht="10.15" customHeight="1" thickBot="1" x14ac:dyDescent="0.3">
      <c r="A7" s="18"/>
      <c r="B7" s="150"/>
      <c r="C7" s="151"/>
      <c r="D7" s="151"/>
      <c r="E7" s="152"/>
      <c r="F7" s="150"/>
      <c r="G7" s="151"/>
      <c r="H7" s="151"/>
      <c r="I7" s="152"/>
      <c r="J7" s="150"/>
      <c r="K7" s="151"/>
      <c r="L7" s="151"/>
      <c r="M7" s="152"/>
      <c r="O7" s="150"/>
      <c r="P7" s="151"/>
      <c r="Q7" s="151"/>
      <c r="R7" s="151"/>
      <c r="S7" s="152"/>
    </row>
    <row r="8" spans="1:19" ht="15" customHeight="1" thickBot="1" x14ac:dyDescent="0.3">
      <c r="A8" s="18"/>
      <c r="B8" s="111" t="str">
        <f>IF(B5="",_WORK!B15,IF(F5="",_WORK!B16,IF(AND(B5=_INPUT!A3,F5=_INPUT!A3),_WORK!B2,IF(AND(B5=_INPUT!A3,F5&lt;&gt;_INPUT!A3),_WORK!B6,IF(AND(B5&lt;&gt;_INPUT!A3,F5=_INPUT!A3),_WORK!B7,_WORK!B1)))))</f>
        <v>NO INPUT PROCESSING BOARD</v>
      </c>
      <c r="C8" s="112"/>
      <c r="D8" s="112"/>
      <c r="E8" s="112"/>
      <c r="F8" s="112"/>
      <c r="G8" s="112"/>
      <c r="H8" s="112"/>
      <c r="I8" s="113"/>
      <c r="J8" s="111" t="str">
        <f>IF(J5="",_WORK!B23,IF(J5=_OUTPUT!A3,_WORK!B5,_WORK!B3))</f>
        <v>NO OUTPUT PROCESSING BOARD</v>
      </c>
      <c r="K8" s="112"/>
      <c r="L8" s="112"/>
      <c r="M8" s="113"/>
      <c r="O8" s="156" t="str">
        <f>IF(O5="",_WORK!B29,"")</f>
        <v/>
      </c>
      <c r="P8" s="157"/>
      <c r="Q8" s="157"/>
      <c r="R8" s="157"/>
      <c r="S8" s="158"/>
    </row>
    <row r="9" spans="1:19" ht="15" customHeight="1" thickBot="1" x14ac:dyDescent="0.3">
      <c r="A9" s="17"/>
      <c r="B9" s="108" t="s">
        <v>13</v>
      </c>
      <c r="C9" s="109"/>
      <c r="D9" s="109"/>
      <c r="E9" s="110"/>
      <c r="F9" s="108" t="s">
        <v>14</v>
      </c>
      <c r="G9" s="109"/>
      <c r="H9" s="109"/>
      <c r="I9" s="110"/>
      <c r="J9" s="108" t="s">
        <v>15</v>
      </c>
      <c r="K9" s="109"/>
      <c r="L9" s="109"/>
      <c r="M9" s="110"/>
      <c r="O9" s="108" t="s">
        <v>16</v>
      </c>
      <c r="P9" s="109"/>
      <c r="Q9" s="109"/>
      <c r="R9" s="109"/>
      <c r="S9" s="110"/>
    </row>
    <row r="10" spans="1:19" ht="10.15" customHeight="1" x14ac:dyDescent="0.25">
      <c r="A10" s="18"/>
      <c r="B10" s="144" t="s">
        <v>10</v>
      </c>
      <c r="C10" s="145"/>
      <c r="D10" s="145"/>
      <c r="E10" s="146"/>
      <c r="F10" s="144" t="s">
        <v>10</v>
      </c>
      <c r="G10" s="145"/>
      <c r="H10" s="145"/>
      <c r="I10" s="146"/>
      <c r="J10" s="144" t="s">
        <v>11</v>
      </c>
      <c r="K10" s="145"/>
      <c r="L10" s="145"/>
      <c r="M10" s="146"/>
      <c r="O10" s="144" t="s">
        <v>335</v>
      </c>
      <c r="P10" s="145"/>
      <c r="Q10" s="145"/>
      <c r="R10" s="145"/>
      <c r="S10" s="146"/>
    </row>
    <row r="11" spans="1:19" ht="10.15" customHeight="1" x14ac:dyDescent="0.25">
      <c r="A11" s="18"/>
      <c r="B11" s="147"/>
      <c r="C11" s="148"/>
      <c r="D11" s="148"/>
      <c r="E11" s="149"/>
      <c r="F11" s="147"/>
      <c r="G11" s="148"/>
      <c r="H11" s="148"/>
      <c r="I11" s="149"/>
      <c r="J11" s="147"/>
      <c r="K11" s="148"/>
      <c r="L11" s="148"/>
      <c r="M11" s="149"/>
      <c r="O11" s="147"/>
      <c r="P11" s="148"/>
      <c r="Q11" s="148"/>
      <c r="R11" s="148"/>
      <c r="S11" s="149"/>
    </row>
    <row r="12" spans="1:19" ht="10.15" customHeight="1" thickBot="1" x14ac:dyDescent="0.3">
      <c r="A12" s="18"/>
      <c r="B12" s="150"/>
      <c r="C12" s="151"/>
      <c r="D12" s="151"/>
      <c r="E12" s="152"/>
      <c r="F12" s="150"/>
      <c r="G12" s="151"/>
      <c r="H12" s="151"/>
      <c r="I12" s="152"/>
      <c r="J12" s="150"/>
      <c r="K12" s="151"/>
      <c r="L12" s="151"/>
      <c r="M12" s="152"/>
      <c r="O12" s="150"/>
      <c r="P12" s="151"/>
      <c r="Q12" s="151"/>
      <c r="R12" s="151"/>
      <c r="S12" s="152"/>
    </row>
    <row r="13" spans="1:19" ht="15" customHeight="1" thickBot="1" x14ac:dyDescent="0.3">
      <c r="A13" s="18"/>
      <c r="B13" s="111" t="str">
        <f>IF(B10="",_WORK!B17,IF(F10="",_WORK!B18,IF(AND(B10=_INPUT!A3,F10=_INPUT!A3),_WORK!B2,IF(AND(B10=_INPUT!A3,F10&lt;&gt;_INPUT!A3),_WORK!B8,IF(AND(B10&lt;&gt;_INPUT!A3,F10=_INPUT!A3),_WORK!B9,IF(OR(B5=_INPUT!A3,F5=_INPUT!A3),_WORK!B33,_WORK!B1))))))</f>
        <v>NO INPUT PROCESSING BOARD</v>
      </c>
      <c r="C13" s="112"/>
      <c r="D13" s="112"/>
      <c r="E13" s="112"/>
      <c r="F13" s="112"/>
      <c r="G13" s="112"/>
      <c r="H13" s="112"/>
      <c r="I13" s="113"/>
      <c r="J13" s="111" t="str">
        <f>IF(J10="",_WORK!B24,IF(J10=_OUTPUT!A3,_WORK!B5,IF(J5=_OUTPUT!A3,_WORK!B36,_WORK!B3)))</f>
        <v>NO OUTPUT PROCESSING BOARD</v>
      </c>
      <c r="K13" s="112"/>
      <c r="L13" s="112"/>
      <c r="M13" s="113"/>
      <c r="O13" s="156" t="str">
        <f>IF(O10="",_WORK!B30,"")</f>
        <v/>
      </c>
      <c r="P13" s="157"/>
      <c r="Q13" s="157"/>
      <c r="R13" s="157"/>
      <c r="S13" s="158"/>
    </row>
    <row r="14" spans="1:19" ht="15" customHeight="1" thickBot="1" x14ac:dyDescent="0.3">
      <c r="B14" s="108" t="s">
        <v>61</v>
      </c>
      <c r="C14" s="109"/>
      <c r="D14" s="109"/>
      <c r="E14" s="110"/>
      <c r="F14" s="108" t="s">
        <v>62</v>
      </c>
      <c r="G14" s="109"/>
      <c r="H14" s="109"/>
      <c r="I14" s="110"/>
      <c r="J14" s="108" t="s">
        <v>19</v>
      </c>
      <c r="K14" s="109"/>
      <c r="L14" s="109"/>
      <c r="M14" s="110"/>
    </row>
    <row r="15" spans="1:19" ht="10.15" customHeight="1" x14ac:dyDescent="0.25">
      <c r="B15" s="144" t="s">
        <v>10</v>
      </c>
      <c r="C15" s="145"/>
      <c r="D15" s="145"/>
      <c r="E15" s="146"/>
      <c r="F15" s="144" t="s">
        <v>10</v>
      </c>
      <c r="G15" s="145"/>
      <c r="H15" s="145"/>
      <c r="I15" s="146"/>
      <c r="J15" s="144" t="s">
        <v>11</v>
      </c>
      <c r="K15" s="145"/>
      <c r="L15" s="145"/>
      <c r="M15" s="146"/>
    </row>
    <row r="16" spans="1:19" ht="10.15" customHeight="1" x14ac:dyDescent="0.25">
      <c r="B16" s="147"/>
      <c r="C16" s="148"/>
      <c r="D16" s="148"/>
      <c r="E16" s="149"/>
      <c r="F16" s="147"/>
      <c r="G16" s="148"/>
      <c r="H16" s="148"/>
      <c r="I16" s="149"/>
      <c r="J16" s="147"/>
      <c r="K16" s="148"/>
      <c r="L16" s="148"/>
      <c r="M16" s="149"/>
    </row>
    <row r="17" spans="2:41" ht="10.15" customHeight="1" thickBot="1" x14ac:dyDescent="0.3">
      <c r="B17" s="150"/>
      <c r="C17" s="151"/>
      <c r="D17" s="151"/>
      <c r="E17" s="152"/>
      <c r="F17" s="150"/>
      <c r="G17" s="151"/>
      <c r="H17" s="151"/>
      <c r="I17" s="152"/>
      <c r="J17" s="150"/>
      <c r="K17" s="151"/>
      <c r="L17" s="151"/>
      <c r="M17" s="152"/>
    </row>
    <row r="18" spans="2:41" ht="15" customHeight="1" thickBot="1" x14ac:dyDescent="0.3">
      <c r="B18" s="111" t="str">
        <f>IF(B15="",_WORK!B19,IF(F15="",_WORK!B20,IF(AND(B15=_INPUT!A3,F15=_INPUT!A3),_WORK!B2,IF(AND(B15=_INPUT!A3,F15&lt;&gt;_INPUT!A3),_WORK!B10,IF(AND(B15&lt;&gt;_INPUT!A3,F15=_INPUT!A3),_WORK!B11,IF(OR(B5=_INPUT!A3,F5=_INPUT!A3),_WORK!B33,IF(OR(B10=_INPUT!A3,F10=_INPUT!A3),_WORK!B34,_WORK!B1)))))))</f>
        <v>NO INPUT PROCESSING BOARD</v>
      </c>
      <c r="C18" s="112"/>
      <c r="D18" s="112"/>
      <c r="E18" s="112"/>
      <c r="F18" s="112"/>
      <c r="G18" s="112"/>
      <c r="H18" s="112"/>
      <c r="I18" s="113"/>
      <c r="J18" s="111" t="str">
        <f>IF(J15="",_WORK!B25,IF(J15=_OUTPUT!A3,_WORK!B5,IF(J5=_OUTPUT!A3,_WORK!B36,IF(J10=_OUTPUT!A3,_WORK!B37,_WORK!B3))))</f>
        <v>NO OUTPUT PROCESSING BOARD</v>
      </c>
      <c r="K18" s="112"/>
      <c r="L18" s="112"/>
      <c r="M18" s="113"/>
    </row>
    <row r="19" spans="2:41" ht="15" customHeight="1" thickBot="1" x14ac:dyDescent="0.3">
      <c r="B19" s="108" t="s">
        <v>17</v>
      </c>
      <c r="C19" s="109"/>
      <c r="D19" s="109"/>
      <c r="E19" s="110"/>
      <c r="F19" s="108" t="s">
        <v>18</v>
      </c>
      <c r="G19" s="109"/>
      <c r="H19" s="109"/>
      <c r="I19" s="110"/>
      <c r="J19" s="108" t="s">
        <v>24</v>
      </c>
      <c r="K19" s="109"/>
      <c r="L19" s="109"/>
      <c r="M19" s="110"/>
    </row>
    <row r="20" spans="2:41" ht="10.15" customHeight="1" x14ac:dyDescent="0.25">
      <c r="B20" s="126" t="s">
        <v>20</v>
      </c>
      <c r="C20" s="127"/>
      <c r="D20" s="127"/>
      <c r="E20" s="128"/>
      <c r="F20" s="135" t="s">
        <v>21</v>
      </c>
      <c r="G20" s="136"/>
      <c r="H20" s="136"/>
      <c r="I20" s="137"/>
      <c r="J20" s="144" t="s">
        <v>11</v>
      </c>
      <c r="K20" s="145"/>
      <c r="L20" s="145"/>
      <c r="M20" s="146"/>
    </row>
    <row r="21" spans="2:41" ht="10.15" customHeight="1" x14ac:dyDescent="0.25">
      <c r="B21" s="129"/>
      <c r="C21" s="130"/>
      <c r="D21" s="130"/>
      <c r="E21" s="131"/>
      <c r="F21" s="138"/>
      <c r="G21" s="139"/>
      <c r="H21" s="139"/>
      <c r="I21" s="140"/>
      <c r="J21" s="147"/>
      <c r="K21" s="148"/>
      <c r="L21" s="148"/>
      <c r="M21" s="149"/>
    </row>
    <row r="22" spans="2:41" ht="10.15" customHeight="1" thickBot="1" x14ac:dyDescent="0.3">
      <c r="B22" s="132"/>
      <c r="C22" s="133"/>
      <c r="D22" s="133"/>
      <c r="E22" s="134"/>
      <c r="F22" s="141"/>
      <c r="G22" s="142"/>
      <c r="H22" s="142"/>
      <c r="I22" s="143"/>
      <c r="J22" s="150"/>
      <c r="K22" s="151"/>
      <c r="L22" s="151"/>
      <c r="M22" s="152"/>
    </row>
    <row r="23" spans="2:41" ht="15" customHeight="1" thickBot="1" x14ac:dyDescent="0.3">
      <c r="B23" s="153"/>
      <c r="C23" s="154"/>
      <c r="D23" s="154"/>
      <c r="E23" s="155"/>
      <c r="F23" s="111" t="str">
        <f>IF(F20=_MVW!A4,_WORK!B31,_WORK!B32)</f>
        <v>DEFAULT HDMI MVW CARD</v>
      </c>
      <c r="G23" s="112"/>
      <c r="H23" s="112"/>
      <c r="I23" s="113"/>
      <c r="J23" s="111" t="str">
        <f>IF(J20="",_WORK!B26,IF(J20=_OUTPUT!A3,_WORK!B5,IF(J5=_OUTPUT!A3,_WORK!B36,IF(J10=_OUTPUT!A3,_WORK!B37,IF(J15=_OUTPUT!A3,_WORK!B38,_WORK!B3)))))</f>
        <v>NO OUTPUT PROCESSING BOARD</v>
      </c>
      <c r="K23" s="112"/>
      <c r="L23" s="112"/>
      <c r="M23" s="113"/>
    </row>
    <row r="24" spans="2:41" ht="15" customHeight="1" thickBot="1" x14ac:dyDescent="0.3">
      <c r="B24" s="108" t="s">
        <v>22</v>
      </c>
      <c r="C24" s="109"/>
      <c r="D24" s="109"/>
      <c r="E24" s="110"/>
      <c r="F24" s="108" t="s">
        <v>23</v>
      </c>
      <c r="G24" s="109"/>
      <c r="H24" s="109"/>
      <c r="I24" s="110"/>
      <c r="J24" s="108" t="s">
        <v>63</v>
      </c>
      <c r="K24" s="109"/>
      <c r="L24" s="109"/>
      <c r="M24" s="110"/>
      <c r="O24" s="121" t="s">
        <v>25</v>
      </c>
      <c r="P24" s="122"/>
      <c r="Q24" s="161" t="s">
        <v>26</v>
      </c>
      <c r="R24" s="162"/>
      <c r="S24" s="163"/>
    </row>
    <row r="25" spans="2:41" ht="10.15" customHeight="1" x14ac:dyDescent="0.25">
      <c r="B25" s="126" t="s">
        <v>20</v>
      </c>
      <c r="C25" s="127"/>
      <c r="D25" s="127"/>
      <c r="E25" s="128"/>
      <c r="F25" s="126" t="s">
        <v>20</v>
      </c>
      <c r="G25" s="127"/>
      <c r="H25" s="127"/>
      <c r="I25" s="128"/>
      <c r="J25" s="144" t="s">
        <v>11</v>
      </c>
      <c r="K25" s="145"/>
      <c r="L25" s="145"/>
      <c r="M25" s="146"/>
      <c r="O25" s="164" t="s">
        <v>27</v>
      </c>
      <c r="P25" s="165"/>
      <c r="Q25" s="144" t="s">
        <v>28</v>
      </c>
      <c r="R25" s="145"/>
      <c r="S25" s="146"/>
    </row>
    <row r="26" spans="2:41" ht="10.15" customHeight="1" thickBot="1" x14ac:dyDescent="0.3">
      <c r="B26" s="129"/>
      <c r="C26" s="130"/>
      <c r="D26" s="130"/>
      <c r="E26" s="131"/>
      <c r="F26" s="129"/>
      <c r="G26" s="130"/>
      <c r="H26" s="130"/>
      <c r="I26" s="131"/>
      <c r="J26" s="147"/>
      <c r="K26" s="148"/>
      <c r="L26" s="148"/>
      <c r="M26" s="149"/>
      <c r="O26" s="166"/>
      <c r="P26" s="167"/>
      <c r="Q26" s="150"/>
      <c r="R26" s="151"/>
      <c r="S26" s="152"/>
    </row>
    <row r="27" spans="2:41" ht="10.15" customHeight="1" thickBot="1" x14ac:dyDescent="0.3">
      <c r="B27" s="132"/>
      <c r="C27" s="133"/>
      <c r="D27" s="133"/>
      <c r="E27" s="134"/>
      <c r="F27" s="132"/>
      <c r="G27" s="133"/>
      <c r="H27" s="133"/>
      <c r="I27" s="134"/>
      <c r="J27" s="150"/>
      <c r="K27" s="151"/>
      <c r="L27" s="151"/>
      <c r="M27" s="152"/>
    </row>
    <row r="28" spans="2:41" ht="15" customHeight="1" thickBot="1" x14ac:dyDescent="0.3">
      <c r="B28" s="156"/>
      <c r="C28" s="157"/>
      <c r="D28" s="157"/>
      <c r="E28" s="158"/>
      <c r="F28" s="153"/>
      <c r="G28" s="154"/>
      <c r="H28" s="154"/>
      <c r="I28" s="155"/>
      <c r="J28" s="111" t="str">
        <f>IF(J25="",_WORK!B27,IF(J25=_OUTPUT!A3,_WORK!B5,IF(J25=_OUTPUT!A$12,_WORK!B4,IF(J5=_OUTPUT!A3,_WORK!B36,IF(J10=_OUTPUT!A3,_WORK!B37,IF(J15=_OUTPUT!A3,_WORK!B38,IF(J20=_OUTPUT!A3,_WORK!B39,_WORK!B3)))))))</f>
        <v>NO OUTPUT PROCESSING BOARD</v>
      </c>
      <c r="K28" s="112"/>
      <c r="L28" s="112"/>
      <c r="M28" s="113"/>
    </row>
    <row r="29" spans="2:41" x14ac:dyDescent="0.25">
      <c r="X29" s="52"/>
      <c r="Y29" s="52"/>
      <c r="Z29" s="52"/>
      <c r="AA29" s="52"/>
      <c r="AB29" s="52"/>
      <c r="AC29" s="52"/>
      <c r="AD29" s="52"/>
      <c r="AE29" s="52"/>
    </row>
    <row r="30" spans="2:41" ht="16.5" thickBot="1" x14ac:dyDescent="0.3">
      <c r="B30" s="180" t="s">
        <v>29</v>
      </c>
      <c r="C30" s="180"/>
      <c r="D30" s="180"/>
      <c r="E30" s="180"/>
      <c r="F30" s="180"/>
      <c r="G30" s="180"/>
      <c r="H30" s="180"/>
      <c r="I30" s="180"/>
      <c r="J30" s="180"/>
      <c r="K30" s="180"/>
      <c r="L30" s="180"/>
      <c r="M30" s="180"/>
      <c r="O30" s="5"/>
      <c r="P30" s="5"/>
      <c r="Q30" s="5"/>
      <c r="R30" s="5"/>
      <c r="X30" s="52"/>
      <c r="Y30" s="37"/>
      <c r="Z30" s="37"/>
      <c r="AA30" s="37"/>
      <c r="AB30" s="37"/>
      <c r="AC30" s="37"/>
      <c r="AD30" s="37"/>
      <c r="AE30" s="37"/>
    </row>
    <row r="31" spans="2:41" ht="28.9" customHeight="1" thickBot="1" x14ac:dyDescent="0.3">
      <c r="B31" s="174" t="str">
        <f>IF(_WORK!C55=TRUE,IF(E57=_MVW!A4,CONCATENATE(AD35,"-",AD37,AD38,AD40,AD41,AD43,AD44,"-",AC46,AC48,AC50,AD52,AD54,"-",AD55,AD56),CONCATENATE(AD35,"-",AD37,AD38,AD40,AD41,AD43,AD44,"-",AC46,AC48,AC50,AD52,AD54,"-",AD55,AD56,"-",AD57)),_WORK!B14)</f>
        <v>AQL-C+-000000-00000-00</v>
      </c>
      <c r="C31" s="175"/>
      <c r="D31" s="175"/>
      <c r="E31" s="175"/>
      <c r="F31" s="175"/>
      <c r="G31" s="175"/>
      <c r="H31" s="175"/>
      <c r="I31" s="175"/>
      <c r="J31" s="175"/>
      <c r="K31" s="175"/>
      <c r="L31" s="175"/>
      <c r="M31" s="176"/>
      <c r="Q31" s="37"/>
      <c r="R31" s="37"/>
      <c r="S31" s="52"/>
      <c r="T31" s="52"/>
      <c r="U31" s="52"/>
      <c r="V31" s="52"/>
      <c r="W31" s="52"/>
      <c r="X31" s="37"/>
      <c r="Y31" s="37"/>
      <c r="Z31" s="37"/>
      <c r="AA31" s="37"/>
      <c r="AB31" s="37"/>
      <c r="AC31" s="37"/>
      <c r="AD31" s="37"/>
      <c r="AE31" s="37"/>
      <c r="AF31" s="37"/>
      <c r="AG31" s="37"/>
      <c r="AH31" s="37"/>
      <c r="AI31" s="37"/>
      <c r="AJ31" s="37"/>
      <c r="AK31" s="37"/>
      <c r="AL31" s="37"/>
      <c r="AM31" s="37"/>
      <c r="AN31" s="37"/>
      <c r="AO31" s="37"/>
    </row>
    <row r="32" spans="2:41" x14ac:dyDescent="0.25">
      <c r="Q32" s="37"/>
      <c r="R32" s="37"/>
      <c r="S32" s="52"/>
      <c r="T32" s="18"/>
      <c r="U32" s="18"/>
      <c r="V32" s="18"/>
      <c r="W32" s="18"/>
      <c r="X32" s="18"/>
      <c r="Y32" s="37"/>
      <c r="Z32" s="37"/>
      <c r="AA32" s="37"/>
      <c r="AB32" s="37"/>
      <c r="AC32" s="37"/>
      <c r="AD32" s="37"/>
      <c r="AE32" s="37"/>
      <c r="AF32" s="18"/>
      <c r="AG32" s="37"/>
      <c r="AH32" s="37"/>
      <c r="AI32" s="37"/>
      <c r="AJ32" s="37"/>
      <c r="AK32" s="37"/>
      <c r="AL32" s="37"/>
      <c r="AM32" s="37"/>
      <c r="AN32" s="37"/>
      <c r="AO32" s="37"/>
    </row>
    <row r="33" spans="2:41" x14ac:dyDescent="0.25">
      <c r="B33" s="4" t="s">
        <v>30</v>
      </c>
      <c r="Q33" s="37"/>
      <c r="R33" s="37"/>
      <c r="S33" s="52"/>
      <c r="T33" s="18"/>
      <c r="U33" s="52"/>
      <c r="V33" s="52"/>
      <c r="W33" s="52"/>
      <c r="X33" s="52"/>
      <c r="Y33" s="52"/>
      <c r="Z33" s="52"/>
      <c r="AA33" s="52"/>
      <c r="AB33" s="52"/>
      <c r="AC33" s="52"/>
      <c r="AD33" s="52"/>
      <c r="AE33" s="52"/>
      <c r="AF33" s="52"/>
      <c r="AG33" s="52"/>
      <c r="AH33" s="37"/>
      <c r="AI33" s="37"/>
      <c r="AJ33" s="37"/>
      <c r="AK33" s="37"/>
      <c r="AL33" s="37"/>
      <c r="AM33" s="37"/>
      <c r="AN33" s="37"/>
      <c r="AO33" s="37"/>
    </row>
    <row r="34" spans="2:41" s="5" customFormat="1" x14ac:dyDescent="0.25">
      <c r="B34" s="159" t="s">
        <v>31</v>
      </c>
      <c r="C34" s="159"/>
      <c r="D34" s="159"/>
      <c r="E34" s="159" t="s">
        <v>32</v>
      </c>
      <c r="F34" s="159"/>
      <c r="G34" s="159"/>
      <c r="H34" s="159"/>
      <c r="I34" s="159" t="s">
        <v>33</v>
      </c>
      <c r="J34" s="159"/>
      <c r="K34" s="8" t="s">
        <v>34</v>
      </c>
      <c r="L34" s="81"/>
      <c r="M34" s="82"/>
      <c r="N34" s="41"/>
      <c r="O34" s="2"/>
      <c r="Q34" s="38"/>
      <c r="R34" s="38"/>
      <c r="S34" s="51"/>
      <c r="T34" s="74"/>
      <c r="U34" s="51"/>
      <c r="V34" s="51"/>
      <c r="W34" s="51"/>
      <c r="X34" s="51"/>
      <c r="Y34" s="51"/>
      <c r="Z34" s="51"/>
      <c r="AA34" s="38" t="s">
        <v>35</v>
      </c>
      <c r="AB34" s="38" t="s">
        <v>36</v>
      </c>
      <c r="AC34" s="38" t="s">
        <v>37</v>
      </c>
      <c r="AD34" s="38" t="s">
        <v>38</v>
      </c>
      <c r="AE34" s="38"/>
      <c r="AF34" s="51"/>
      <c r="AG34" s="51"/>
      <c r="AH34" s="38"/>
      <c r="AI34" s="38"/>
      <c r="AJ34" s="38"/>
      <c r="AK34" s="38"/>
      <c r="AL34" s="38"/>
      <c r="AM34" s="38"/>
      <c r="AN34" s="38"/>
      <c r="AO34" s="38"/>
    </row>
    <row r="35" spans="2:41" s="5" customFormat="1" x14ac:dyDescent="0.25">
      <c r="B35" s="98" t="s">
        <v>39</v>
      </c>
      <c r="C35" s="99"/>
      <c r="D35" s="100"/>
      <c r="E35" s="120" t="str">
        <f>_CHASSIS!A4</f>
        <v>AQUILON CUSTOM - BASE MODULE 5RU</v>
      </c>
      <c r="F35" s="120"/>
      <c r="G35" s="120"/>
      <c r="H35" s="120"/>
      <c r="I35" s="120" t="str">
        <f>VLOOKUP(E35,_CHASSIS!A2:G4,3,FALSE)</f>
        <v>AQL-C+</v>
      </c>
      <c r="J35" s="120"/>
      <c r="K35" s="9">
        <f>IF(E35=_CHASSIS!B2,0,1)</f>
        <v>1</v>
      </c>
      <c r="L35" s="160"/>
      <c r="M35" s="160"/>
      <c r="O35" s="2"/>
      <c r="P35" s="51"/>
      <c r="Q35" s="38"/>
      <c r="R35" s="38"/>
      <c r="S35" s="51"/>
      <c r="T35" s="74"/>
      <c r="U35" s="51"/>
      <c r="V35" s="51"/>
      <c r="W35" s="51"/>
      <c r="X35" s="51"/>
      <c r="Y35" s="51"/>
      <c r="Z35" s="51"/>
      <c r="AA35" s="39">
        <f>VLOOKUP(E35,_CHASSIS!A2:G4,4,FALSE)</f>
        <v>49240</v>
      </c>
      <c r="AB35" s="39">
        <f>VLOOKUP(E35,_CHASSIS!A2:G4,5,FALSE)</f>
        <v>57090</v>
      </c>
      <c r="AC35" s="39">
        <f>VLOOKUP(E35,_CHASSIS!A2:G4,6,FALSE)</f>
        <v>41040</v>
      </c>
      <c r="AD35" s="38" t="str">
        <f>VLOOKUP(E35,_CHASSIS!A2:G4,2,FALSE)</f>
        <v>AQL-C+</v>
      </c>
      <c r="AE35" s="38"/>
      <c r="AF35" s="51"/>
      <c r="AG35" s="51"/>
      <c r="AH35" s="51"/>
      <c r="AI35" s="38"/>
      <c r="AJ35" s="38"/>
      <c r="AK35" s="38"/>
      <c r="AL35" s="38"/>
      <c r="AM35" s="38"/>
      <c r="AN35" s="38"/>
      <c r="AO35" s="38"/>
    </row>
    <row r="36" spans="2:41" x14ac:dyDescent="0.25">
      <c r="B36" s="101" t="s">
        <v>40</v>
      </c>
      <c r="C36" s="102"/>
      <c r="D36" s="103"/>
      <c r="E36" s="107" t="str">
        <f>IF(OR(E37=_INPUT!A3,E38=_INPUT!A3,E37=0,E38=0),_GENERIC!A3,_GENERIC!A4)</f>
        <v>NO GENERIC I/O BOARD</v>
      </c>
      <c r="F36" s="107"/>
      <c r="G36" s="107"/>
      <c r="H36" s="107"/>
      <c r="I36" s="107" t="str">
        <f>VLOOKUP($E36,_GENERIC!A2:G5,3,FALSE)</f>
        <v>---NA---</v>
      </c>
      <c r="J36" s="107"/>
      <c r="K36" s="9">
        <f>IF(E36=_GENERIC!A3,0,1)</f>
        <v>0</v>
      </c>
      <c r="L36" s="160"/>
      <c r="M36" s="160"/>
      <c r="P36" s="52"/>
      <c r="Q36" s="37"/>
      <c r="R36" s="37"/>
      <c r="S36" s="52"/>
      <c r="T36" s="18"/>
      <c r="U36" s="52"/>
      <c r="V36" s="52"/>
      <c r="W36" s="52"/>
      <c r="X36" s="52"/>
      <c r="Y36" s="52"/>
      <c r="Z36" s="52"/>
      <c r="AA36" s="39">
        <f>VLOOKUP($E36,_GENERIC!A2:G5,4,FALSE)</f>
        <v>0</v>
      </c>
      <c r="AB36" s="39">
        <f>VLOOKUP($E36,_GENERIC!A2:G5,5,FALSE)</f>
        <v>0</v>
      </c>
      <c r="AC36" s="39">
        <f>VLOOKUP($E36,_GENERIC!A2:G5,6,FALSE)</f>
        <v>0</v>
      </c>
      <c r="AD36" s="38" t="str">
        <f>VLOOKUP($E36,_GENERIC!A2:G5,2,FALSE)</f>
        <v>0</v>
      </c>
      <c r="AE36" s="37"/>
      <c r="AF36" s="52"/>
      <c r="AG36" s="52"/>
      <c r="AH36" s="52"/>
      <c r="AI36" s="37"/>
      <c r="AJ36" s="37"/>
      <c r="AK36" s="37"/>
      <c r="AL36" s="37"/>
      <c r="AM36" s="37"/>
      <c r="AN36" s="37"/>
      <c r="AO36" s="37"/>
    </row>
    <row r="37" spans="2:41" x14ac:dyDescent="0.25">
      <c r="B37" s="104" t="s">
        <v>41</v>
      </c>
      <c r="C37" s="105"/>
      <c r="D37" s="106"/>
      <c r="E37" s="123" t="str">
        <f>B5</f>
        <v>EMPTY SLOT (no input card)</v>
      </c>
      <c r="F37" s="123"/>
      <c r="G37" s="123"/>
      <c r="H37" s="123"/>
      <c r="I37" s="123" t="str">
        <f>VLOOKUP($E37,_INPUT!A2:G13,3,FALSE)</f>
        <v>---NA---</v>
      </c>
      <c r="J37" s="123"/>
      <c r="K37" s="9">
        <f>IF(E37=_INPUT!A3,0,1)</f>
        <v>0</v>
      </c>
      <c r="L37" s="160"/>
      <c r="M37" s="160"/>
      <c r="P37" s="52"/>
      <c r="Q37" s="37"/>
      <c r="R37" s="37"/>
      <c r="S37" s="52"/>
      <c r="T37" s="18"/>
      <c r="U37" s="52"/>
      <c r="V37" s="52"/>
      <c r="W37" s="52"/>
      <c r="X37" s="52"/>
      <c r="Y37" s="52"/>
      <c r="Z37" s="52"/>
      <c r="AA37" s="39">
        <f>VLOOKUP($E37,_INPUT!A2:G13,4,FALSE)</f>
        <v>0</v>
      </c>
      <c r="AB37" s="39">
        <f>VLOOKUP($E37,_INPUT!A2:G13,5,FALSE)</f>
        <v>0</v>
      </c>
      <c r="AC37" s="39">
        <f>VLOOKUP($E37,_INPUT!A2:G13,6,FALSE)</f>
        <v>0</v>
      </c>
      <c r="AD37" s="38" t="str">
        <f>VLOOKUP($E37,_INPUT!A2:G13,2,FALSE)</f>
        <v>0</v>
      </c>
      <c r="AE37" s="37"/>
      <c r="AF37" s="52"/>
      <c r="AG37" s="52"/>
      <c r="AH37" s="52"/>
      <c r="AI37" s="37"/>
      <c r="AJ37" s="37"/>
      <c r="AK37" s="37"/>
      <c r="AL37" s="37"/>
      <c r="AM37" s="37"/>
      <c r="AN37" s="37"/>
      <c r="AO37" s="37"/>
    </row>
    <row r="38" spans="2:41" x14ac:dyDescent="0.25">
      <c r="B38" s="117" t="s">
        <v>42</v>
      </c>
      <c r="C38" s="118"/>
      <c r="D38" s="125"/>
      <c r="E38" s="124" t="str">
        <f>F5</f>
        <v>EMPTY SLOT (no input card)</v>
      </c>
      <c r="F38" s="124"/>
      <c r="G38" s="124"/>
      <c r="H38" s="124"/>
      <c r="I38" s="124" t="str">
        <f>VLOOKUP($E38,_INPUT!A2:G13,3,FALSE)</f>
        <v>---NA---</v>
      </c>
      <c r="J38" s="124"/>
      <c r="K38" s="9">
        <f>IF(E38=_INPUT!A3,0,1)</f>
        <v>0</v>
      </c>
      <c r="L38" s="160"/>
      <c r="M38" s="160"/>
      <c r="P38" s="52"/>
      <c r="Q38" s="37"/>
      <c r="R38" s="37"/>
      <c r="S38" s="52"/>
      <c r="T38" s="18"/>
      <c r="U38" s="52"/>
      <c r="V38" s="52"/>
      <c r="W38" s="52"/>
      <c r="X38" s="52"/>
      <c r="Y38" s="52"/>
      <c r="Z38" s="52"/>
      <c r="AA38" s="39">
        <f>VLOOKUP($E38,_INPUT!A2:G13,4,FALSE)</f>
        <v>0</v>
      </c>
      <c r="AB38" s="39">
        <f>VLOOKUP($E38,_INPUT!A2:G13,5,FALSE)</f>
        <v>0</v>
      </c>
      <c r="AC38" s="39">
        <f>VLOOKUP($E38,_INPUT!A2:G13,6,FALSE)</f>
        <v>0</v>
      </c>
      <c r="AD38" s="38" t="str">
        <f>VLOOKUP($E38,_INPUT!A2:G13,2,FALSE)</f>
        <v>0</v>
      </c>
      <c r="AE38" s="37"/>
      <c r="AF38" s="52"/>
      <c r="AG38" s="52"/>
      <c r="AH38" s="52"/>
      <c r="AI38" s="37"/>
      <c r="AJ38" s="37"/>
      <c r="AK38" s="37"/>
      <c r="AL38" s="37"/>
      <c r="AM38" s="37"/>
      <c r="AN38" s="37"/>
      <c r="AO38" s="37"/>
    </row>
    <row r="39" spans="2:41" x14ac:dyDescent="0.25">
      <c r="B39" s="101" t="s">
        <v>43</v>
      </c>
      <c r="C39" s="102"/>
      <c r="D39" s="103"/>
      <c r="E39" s="107" t="str">
        <f>IF(OR(E40=_INPUT!A3,E40=_INPUT!A3,E40=0,E41=0,B13=_WORK!B41),_GENERIC!A3,_GENERIC!A4)</f>
        <v>NO GENERIC I/O BOARD</v>
      </c>
      <c r="F39" s="107"/>
      <c r="G39" s="107"/>
      <c r="H39" s="107"/>
      <c r="I39" s="107" t="str">
        <f>VLOOKUP($E39,_GENERIC!A2:G5,3,FALSE)</f>
        <v>---NA---</v>
      </c>
      <c r="J39" s="107"/>
      <c r="K39" s="9">
        <f>IF(E39=_GENERIC!A3,0,1)</f>
        <v>0</v>
      </c>
      <c r="L39" s="160"/>
      <c r="M39" s="160"/>
      <c r="P39" s="52"/>
      <c r="Q39" s="37"/>
      <c r="R39" s="37"/>
      <c r="S39" s="52"/>
      <c r="T39" s="18"/>
      <c r="U39" s="52"/>
      <c r="V39" s="52"/>
      <c r="W39" s="52"/>
      <c r="X39" s="52"/>
      <c r="Y39" s="52"/>
      <c r="Z39" s="52"/>
      <c r="AA39" s="39">
        <f>VLOOKUP($E39,_GENERIC!A2:G5,4,FALSE)</f>
        <v>0</v>
      </c>
      <c r="AB39" s="39">
        <f>VLOOKUP($E39,_GENERIC!A2:G5,5,FALSE)</f>
        <v>0</v>
      </c>
      <c r="AC39" s="39">
        <f>VLOOKUP($E39,_GENERIC!A2:G5,6,FALSE)</f>
        <v>0</v>
      </c>
      <c r="AD39" s="38" t="str">
        <f>VLOOKUP($E39,_GENERIC!A2:G5,2,FALSE)</f>
        <v>0</v>
      </c>
      <c r="AE39" s="37"/>
      <c r="AF39" s="52"/>
      <c r="AG39" s="52"/>
      <c r="AH39" s="52"/>
      <c r="AI39" s="37"/>
      <c r="AJ39" s="37"/>
      <c r="AK39" s="37"/>
      <c r="AL39" s="37"/>
      <c r="AM39" s="37"/>
      <c r="AN39" s="37"/>
      <c r="AO39" s="37"/>
    </row>
    <row r="40" spans="2:41" x14ac:dyDescent="0.25">
      <c r="B40" s="104" t="s">
        <v>44</v>
      </c>
      <c r="C40" s="105"/>
      <c r="D40" s="106"/>
      <c r="E40" s="123" t="str">
        <f>B10</f>
        <v>EMPTY SLOT (no input card)</v>
      </c>
      <c r="F40" s="123"/>
      <c r="G40" s="123"/>
      <c r="H40" s="123"/>
      <c r="I40" s="123" t="str">
        <f>VLOOKUP($E40,_INPUT!A2:G13,3,FALSE)</f>
        <v>---NA---</v>
      </c>
      <c r="J40" s="123"/>
      <c r="K40" s="9">
        <f>IF(E40=_INPUT!A3,0,1)</f>
        <v>0</v>
      </c>
      <c r="L40" s="160"/>
      <c r="M40" s="160"/>
      <c r="P40" s="52"/>
      <c r="Q40" s="37"/>
      <c r="R40" s="37"/>
      <c r="S40" s="52"/>
      <c r="T40" s="18"/>
      <c r="U40" s="52"/>
      <c r="V40" s="52"/>
      <c r="W40" s="52"/>
      <c r="X40" s="52"/>
      <c r="Y40" s="52"/>
      <c r="Z40" s="52"/>
      <c r="AA40" s="39">
        <f>VLOOKUP($E40,_INPUT!A2:G13,4,FALSE)</f>
        <v>0</v>
      </c>
      <c r="AB40" s="39">
        <f>VLOOKUP($E40,_INPUT!A2:G13,5,FALSE)</f>
        <v>0</v>
      </c>
      <c r="AC40" s="39">
        <f>VLOOKUP($E40,_INPUT!A2:G13,6,FALSE)</f>
        <v>0</v>
      </c>
      <c r="AD40" s="38" t="str">
        <f>VLOOKUP($E40,_INPUT!A2:G13,2,FALSE)</f>
        <v>0</v>
      </c>
      <c r="AE40" s="37"/>
      <c r="AF40" s="52"/>
      <c r="AG40" s="52"/>
      <c r="AH40" s="52"/>
      <c r="AI40" s="37"/>
      <c r="AJ40" s="37"/>
      <c r="AK40" s="37"/>
      <c r="AL40" s="37"/>
      <c r="AM40" s="37"/>
      <c r="AN40" s="37"/>
      <c r="AO40" s="37"/>
    </row>
    <row r="41" spans="2:41" x14ac:dyDescent="0.25">
      <c r="B41" s="117" t="s">
        <v>45</v>
      </c>
      <c r="C41" s="118"/>
      <c r="D41" s="125"/>
      <c r="E41" s="124" t="str">
        <f>F10</f>
        <v>EMPTY SLOT (no input card)</v>
      </c>
      <c r="F41" s="124"/>
      <c r="G41" s="124"/>
      <c r="H41" s="124"/>
      <c r="I41" s="124" t="str">
        <f>VLOOKUP($E41,_INPUT!A2:G13,3,FALSE)</f>
        <v>---NA---</v>
      </c>
      <c r="J41" s="124"/>
      <c r="K41" s="9">
        <f>IF(E41=_INPUT!A3,0,1)</f>
        <v>0</v>
      </c>
      <c r="L41" s="160"/>
      <c r="M41" s="160"/>
      <c r="P41" s="52"/>
      <c r="Q41" s="37"/>
      <c r="R41" s="37"/>
      <c r="S41" s="52"/>
      <c r="T41" s="18"/>
      <c r="U41" s="52"/>
      <c r="V41" s="52"/>
      <c r="W41" s="52"/>
      <c r="X41" s="52"/>
      <c r="Y41" s="52"/>
      <c r="Z41" s="52"/>
      <c r="AA41" s="39">
        <f>VLOOKUP($E41,_INPUT!A2:G13,4,FALSE)</f>
        <v>0</v>
      </c>
      <c r="AB41" s="39">
        <f>VLOOKUP($E41,_INPUT!A2:G13,5,FALSE)</f>
        <v>0</v>
      </c>
      <c r="AC41" s="39">
        <f>VLOOKUP($E41,_INPUT!A2:G13,6,FALSE)</f>
        <v>0</v>
      </c>
      <c r="AD41" s="38" t="str">
        <f>VLOOKUP($E41,_INPUT!A2:G13,2,FALSE)</f>
        <v>0</v>
      </c>
      <c r="AE41" s="37"/>
      <c r="AF41" s="52"/>
      <c r="AG41" s="52"/>
      <c r="AH41" s="52"/>
      <c r="AI41" s="37"/>
      <c r="AJ41" s="37"/>
      <c r="AK41" s="37"/>
      <c r="AL41" s="37"/>
      <c r="AM41" s="37"/>
      <c r="AN41" s="37"/>
      <c r="AO41" s="37"/>
    </row>
    <row r="42" spans="2:41" x14ac:dyDescent="0.25">
      <c r="B42" s="101" t="s">
        <v>64</v>
      </c>
      <c r="C42" s="102"/>
      <c r="D42" s="103"/>
      <c r="E42" s="107" t="str">
        <f>IF(OR(E43=_INPUT!A3,E44=_INPUT!A3,E43=0,E44=0,B18=_WORK!B41),_GENERIC!A3,_GENERIC!A4)</f>
        <v>NO GENERIC I/O BOARD</v>
      </c>
      <c r="F42" s="107"/>
      <c r="G42" s="107"/>
      <c r="H42" s="107"/>
      <c r="I42" s="107" t="str">
        <f>VLOOKUP($E42,_GENERIC!A2:G5,3,FALSE)</f>
        <v>---NA---</v>
      </c>
      <c r="J42" s="107"/>
      <c r="K42" s="9">
        <f>IF(E42=_GENERIC!A3,0,1)</f>
        <v>0</v>
      </c>
      <c r="L42" s="160"/>
      <c r="M42" s="160"/>
      <c r="P42" s="52"/>
      <c r="Q42" s="37"/>
      <c r="R42" s="37"/>
      <c r="S42" s="52"/>
      <c r="T42" s="18"/>
      <c r="U42" s="52"/>
      <c r="V42" s="52"/>
      <c r="W42" s="52"/>
      <c r="X42" s="52"/>
      <c r="Y42" s="52"/>
      <c r="Z42" s="52"/>
      <c r="AA42" s="39">
        <f>VLOOKUP($E42,_GENERIC!A2:G5,4,FALSE)</f>
        <v>0</v>
      </c>
      <c r="AB42" s="39">
        <f>VLOOKUP($E42,_GENERIC!A2:G5,5,FALSE)</f>
        <v>0</v>
      </c>
      <c r="AC42" s="39">
        <f>VLOOKUP($E42,_GENERIC!A2:G5,6,FALSE)</f>
        <v>0</v>
      </c>
      <c r="AD42" s="38" t="str">
        <f>VLOOKUP($E42,_GENERIC!A2:G5,2,FALSE)</f>
        <v>0</v>
      </c>
      <c r="AE42" s="37"/>
      <c r="AF42" s="52"/>
      <c r="AG42" s="52"/>
      <c r="AH42" s="52"/>
      <c r="AI42" s="37"/>
      <c r="AJ42" s="37"/>
      <c r="AK42" s="37"/>
      <c r="AL42" s="37"/>
      <c r="AM42" s="37"/>
      <c r="AN42" s="37"/>
      <c r="AO42" s="37"/>
    </row>
    <row r="43" spans="2:41" x14ac:dyDescent="0.25">
      <c r="B43" s="104" t="s">
        <v>65</v>
      </c>
      <c r="C43" s="105"/>
      <c r="D43" s="106"/>
      <c r="E43" s="123" t="str">
        <f>B15</f>
        <v>EMPTY SLOT (no input card)</v>
      </c>
      <c r="F43" s="123"/>
      <c r="G43" s="123"/>
      <c r="H43" s="123"/>
      <c r="I43" s="123" t="str">
        <f>VLOOKUP($E43,_INPUT!A2:G13,3,FALSE)</f>
        <v>---NA---</v>
      </c>
      <c r="J43" s="123"/>
      <c r="K43" s="9">
        <f>IF(E43=_INPUT!A3,0,1)</f>
        <v>0</v>
      </c>
      <c r="L43" s="160"/>
      <c r="M43" s="160"/>
      <c r="P43" s="52"/>
      <c r="Q43" s="37"/>
      <c r="R43" s="37"/>
      <c r="S43" s="52"/>
      <c r="T43" s="18"/>
      <c r="U43" s="52"/>
      <c r="V43" s="52"/>
      <c r="W43" s="52"/>
      <c r="X43" s="52"/>
      <c r="Y43" s="52"/>
      <c r="Z43" s="52"/>
      <c r="AA43" s="39">
        <f>VLOOKUP($E43,_INPUT!A2:G13,4,FALSE)</f>
        <v>0</v>
      </c>
      <c r="AB43" s="39">
        <f>VLOOKUP($E43,_INPUT!A2:G13,5,FALSE)</f>
        <v>0</v>
      </c>
      <c r="AC43" s="39">
        <f>VLOOKUP($E43,_INPUT!A2:G13,6,FALSE)</f>
        <v>0</v>
      </c>
      <c r="AD43" s="38" t="str">
        <f>VLOOKUP($E43,_INPUT!A2:G13,2,FALSE)</f>
        <v>0</v>
      </c>
      <c r="AE43" s="37"/>
      <c r="AF43" s="52"/>
      <c r="AG43" s="52"/>
      <c r="AH43" s="52"/>
      <c r="AI43" s="37"/>
      <c r="AJ43" s="37"/>
      <c r="AK43" s="37"/>
      <c r="AL43" s="37"/>
      <c r="AM43" s="37"/>
      <c r="AN43" s="37"/>
      <c r="AO43" s="37"/>
    </row>
    <row r="44" spans="2:41" x14ac:dyDescent="0.25">
      <c r="B44" s="117" t="s">
        <v>66</v>
      </c>
      <c r="C44" s="118"/>
      <c r="D44" s="125"/>
      <c r="E44" s="124" t="str">
        <f>F15</f>
        <v>EMPTY SLOT (no input card)</v>
      </c>
      <c r="F44" s="124"/>
      <c r="G44" s="124"/>
      <c r="H44" s="124"/>
      <c r="I44" s="124" t="str">
        <f>VLOOKUP($E44,_INPUT!A2:G13,3,FALSE)</f>
        <v>---NA---</v>
      </c>
      <c r="J44" s="124"/>
      <c r="K44" s="9">
        <f>IF(E44=_INPUT!A3,0,1)</f>
        <v>0</v>
      </c>
      <c r="L44" s="160"/>
      <c r="M44" s="160"/>
      <c r="P44" s="52"/>
      <c r="Q44" s="37"/>
      <c r="R44" s="37"/>
      <c r="S44" s="52"/>
      <c r="T44" s="18"/>
      <c r="U44" s="52"/>
      <c r="V44" s="52"/>
      <c r="W44" s="52"/>
      <c r="X44" s="52"/>
      <c r="Y44" s="52"/>
      <c r="Z44" s="52"/>
      <c r="AA44" s="39">
        <f>VLOOKUP($E44,_INPUT!A2:G13,4,FALSE)</f>
        <v>0</v>
      </c>
      <c r="AB44" s="39">
        <f>VLOOKUP($E44,_INPUT!A2:G13,5,FALSE)</f>
        <v>0</v>
      </c>
      <c r="AC44" s="39">
        <f>VLOOKUP($E44,_INPUT!A2:G13,6,FALSE)</f>
        <v>0</v>
      </c>
      <c r="AD44" s="38" t="str">
        <f>VLOOKUP($E44,_INPUT!A2:G13,2,FALSE)</f>
        <v>0</v>
      </c>
      <c r="AE44" s="37"/>
      <c r="AF44" s="52"/>
      <c r="AG44" s="52"/>
      <c r="AH44" s="52"/>
      <c r="AI44" s="37"/>
      <c r="AJ44" s="37"/>
      <c r="AK44" s="37"/>
      <c r="AL44" s="37"/>
      <c r="AM44" s="37"/>
      <c r="AN44" s="37"/>
      <c r="AO44" s="37"/>
    </row>
    <row r="45" spans="2:41" x14ac:dyDescent="0.25">
      <c r="B45" s="101" t="s">
        <v>46</v>
      </c>
      <c r="C45" s="102"/>
      <c r="D45" s="103"/>
      <c r="E45" s="107" t="str">
        <f>IF(OR(E46=_OUTPUT!A3,E46=0),_GENERIC!A3,_GENERIC!A5)</f>
        <v>NO GENERIC I/O BOARD</v>
      </c>
      <c r="F45" s="107"/>
      <c r="G45" s="107"/>
      <c r="H45" s="107"/>
      <c r="I45" s="107" t="str">
        <f>VLOOKUP($E45,_GENERIC!A2:G5,3,FALSE)</f>
        <v>---NA---</v>
      </c>
      <c r="J45" s="107"/>
      <c r="K45" s="9">
        <f>IF(E45=_GENERIC!A3,0,1)</f>
        <v>0</v>
      </c>
      <c r="L45" s="160"/>
      <c r="M45" s="160"/>
      <c r="P45" s="52"/>
      <c r="Q45" s="37"/>
      <c r="R45" s="37"/>
      <c r="S45" s="52"/>
      <c r="T45" s="18"/>
      <c r="U45" s="52"/>
      <c r="V45" s="52"/>
      <c r="W45" s="52"/>
      <c r="X45" s="52"/>
      <c r="Y45" s="52"/>
      <c r="Z45" s="52"/>
      <c r="AA45" s="39">
        <f>VLOOKUP($E45,_GENERIC!A2:G5,4,FALSE)</f>
        <v>0</v>
      </c>
      <c r="AB45" s="39">
        <f>VLOOKUP($E45,_GENERIC!A2:G5,5,FALSE)</f>
        <v>0</v>
      </c>
      <c r="AC45" s="39">
        <f>VLOOKUP($E45,_GENERIC!A2:G5,6,FALSE)</f>
        <v>0</v>
      </c>
      <c r="AD45" s="38" t="str">
        <f>VLOOKUP($E45,_GENERIC!A2:G5,2,FALSE)</f>
        <v>0</v>
      </c>
      <c r="AE45" s="37"/>
      <c r="AF45" s="52"/>
      <c r="AG45" s="52"/>
      <c r="AH45" s="52"/>
      <c r="AI45" s="37"/>
      <c r="AJ45" s="37"/>
      <c r="AK45" s="37"/>
      <c r="AL45" s="37"/>
      <c r="AM45" s="37"/>
      <c r="AN45" s="37"/>
      <c r="AO45" s="37"/>
    </row>
    <row r="46" spans="2:41" x14ac:dyDescent="0.25">
      <c r="B46" s="117" t="s">
        <v>47</v>
      </c>
      <c r="C46" s="118"/>
      <c r="D46" s="125"/>
      <c r="E46" s="124" t="str">
        <f>J5</f>
        <v>EMPTY SLOT (no output card)</v>
      </c>
      <c r="F46" s="124"/>
      <c r="G46" s="124"/>
      <c r="H46" s="124"/>
      <c r="I46" s="124" t="str">
        <f>VLOOKUP($E46,_OUTPUT!A2:G11,3,FALSE)</f>
        <v>---NA---</v>
      </c>
      <c r="J46" s="124"/>
      <c r="K46" s="9">
        <f>IF(E46=_OUTPUT!A3,0,1)</f>
        <v>0</v>
      </c>
      <c r="L46" s="160"/>
      <c r="M46" s="160"/>
      <c r="P46" s="52"/>
      <c r="Q46" s="37"/>
      <c r="R46" s="37"/>
      <c r="S46" s="52"/>
      <c r="T46" s="18"/>
      <c r="U46" s="52"/>
      <c r="V46" s="52"/>
      <c r="W46" s="52"/>
      <c r="X46" s="52"/>
      <c r="Y46" s="52"/>
      <c r="Z46" s="39">
        <f>VLOOKUP($E46,_OUTPUT!A2:G11,4,FALSE)</f>
        <v>0</v>
      </c>
      <c r="AA46" s="39">
        <f>VLOOKUP($E46,_OUTPUT!A2:G11,5,FALSE)</f>
        <v>0</v>
      </c>
      <c r="AB46" s="39">
        <f>VLOOKUP($E46,_OUTPUT!A2:G11,6,FALSE)</f>
        <v>0</v>
      </c>
      <c r="AC46" s="38" t="str">
        <f>VLOOKUP($E46,_OUTPUT!A2:G11,2,FALSE)</f>
        <v>0</v>
      </c>
      <c r="AE46" s="37"/>
      <c r="AF46" s="52"/>
      <c r="AG46" s="52"/>
      <c r="AH46" s="52"/>
      <c r="AI46" s="37"/>
      <c r="AJ46" s="37"/>
      <c r="AK46" s="37"/>
      <c r="AL46" s="37"/>
      <c r="AM46" s="37"/>
      <c r="AN46" s="37"/>
      <c r="AO46" s="37"/>
    </row>
    <row r="47" spans="2:41" x14ac:dyDescent="0.25">
      <c r="B47" s="101" t="s">
        <v>48</v>
      </c>
      <c r="C47" s="102"/>
      <c r="D47" s="103"/>
      <c r="E47" s="107" t="str">
        <f>IF(OR(E48=_OUTPUT!A3,E48=0),_GENERIC!A3,_GENERIC!A5)</f>
        <v>NO GENERIC I/O BOARD</v>
      </c>
      <c r="F47" s="107"/>
      <c r="G47" s="107"/>
      <c r="H47" s="107"/>
      <c r="I47" s="107" t="str">
        <f>VLOOKUP($E47,_GENERIC!A2:G5,3,FALSE)</f>
        <v>---NA---</v>
      </c>
      <c r="J47" s="107"/>
      <c r="K47" s="9">
        <f>IF(E47=_GENERIC!A3,0,1)</f>
        <v>0</v>
      </c>
      <c r="L47" s="160"/>
      <c r="M47" s="160"/>
      <c r="O47" s="52"/>
      <c r="P47" s="52"/>
      <c r="Q47" s="37"/>
      <c r="R47" s="37"/>
      <c r="S47" s="52"/>
      <c r="T47" s="18"/>
      <c r="U47" s="52"/>
      <c r="V47" s="52"/>
      <c r="W47" s="52"/>
      <c r="X47" s="52"/>
      <c r="Y47" s="52"/>
      <c r="Z47" s="39">
        <f>VLOOKUP($E47,_GENERIC!A2:G5,4,FALSE)</f>
        <v>0</v>
      </c>
      <c r="AA47" s="39">
        <f>VLOOKUP($E47,_GENERIC!A2:G9,5,FALSE)</f>
        <v>0</v>
      </c>
      <c r="AB47" s="39">
        <f>VLOOKUP($E47,_GENERIC!A2:G5,6,FALSE)</f>
        <v>0</v>
      </c>
      <c r="AC47" s="38" t="str">
        <f>VLOOKUP($E47,_GENERIC!A2:G5,2,FALSE)</f>
        <v>0</v>
      </c>
      <c r="AE47" s="37"/>
      <c r="AF47" s="52"/>
      <c r="AG47" s="52"/>
      <c r="AH47" s="52"/>
      <c r="AI47" s="37"/>
      <c r="AJ47" s="37"/>
      <c r="AK47" s="37"/>
      <c r="AL47" s="37"/>
      <c r="AM47" s="37"/>
      <c r="AN47" s="37"/>
      <c r="AO47" s="37"/>
    </row>
    <row r="48" spans="2:41" x14ac:dyDescent="0.25">
      <c r="B48" s="117" t="s">
        <v>49</v>
      </c>
      <c r="C48" s="118"/>
      <c r="D48" s="125"/>
      <c r="E48" s="124" t="str">
        <f>J10</f>
        <v>EMPTY SLOT (no output card)</v>
      </c>
      <c r="F48" s="124"/>
      <c r="G48" s="124"/>
      <c r="H48" s="124"/>
      <c r="I48" s="124" t="str">
        <f>VLOOKUP($E48,_OUTPUT!A2:G11,3,FALSE)</f>
        <v>---NA---</v>
      </c>
      <c r="J48" s="124"/>
      <c r="K48" s="9">
        <f>IF(E48=_OUTPUT!A3,0,1)</f>
        <v>0</v>
      </c>
      <c r="L48" s="160"/>
      <c r="M48" s="160"/>
      <c r="O48" s="52"/>
      <c r="P48" s="52"/>
      <c r="Q48" s="37"/>
      <c r="R48" s="37"/>
      <c r="S48" s="52"/>
      <c r="T48" s="18"/>
      <c r="U48" s="52"/>
      <c r="V48" s="52"/>
      <c r="W48" s="52"/>
      <c r="X48" s="52"/>
      <c r="Y48" s="52"/>
      <c r="Z48" s="39">
        <f>VLOOKUP($E48,_OUTPUT!A2:G11,4,FALSE)</f>
        <v>0</v>
      </c>
      <c r="AA48" s="39">
        <f>VLOOKUP($E48,_OUTPUT!A2:G11,5,FALSE)</f>
        <v>0</v>
      </c>
      <c r="AB48" s="39">
        <f>VLOOKUP($E48,_OUTPUT!A2:G11,6,FALSE)</f>
        <v>0</v>
      </c>
      <c r="AC48" s="38" t="str">
        <f>VLOOKUP($E48,_OUTPUT!A2:G11,2,FALSE)</f>
        <v>0</v>
      </c>
      <c r="AE48" s="37"/>
      <c r="AF48" s="52"/>
      <c r="AG48" s="52"/>
      <c r="AH48" s="52"/>
      <c r="AI48" s="37"/>
      <c r="AJ48" s="37"/>
      <c r="AK48" s="37"/>
      <c r="AL48" s="37"/>
      <c r="AM48" s="37"/>
      <c r="AN48" s="37"/>
      <c r="AO48" s="37"/>
    </row>
    <row r="49" spans="2:41" x14ac:dyDescent="0.25">
      <c r="B49" s="101" t="s">
        <v>50</v>
      </c>
      <c r="C49" s="102"/>
      <c r="D49" s="103"/>
      <c r="E49" s="107" t="str">
        <f>IF(OR(E50=_OUTPUT!A3,E50=0),_GENERIC!A3,_GENERIC!A5)</f>
        <v>NO GENERIC I/O BOARD</v>
      </c>
      <c r="F49" s="107"/>
      <c r="G49" s="107"/>
      <c r="H49" s="107"/>
      <c r="I49" s="107" t="str">
        <f>VLOOKUP($E49,_GENERIC!A2:G5,3,FALSE)</f>
        <v>---NA---</v>
      </c>
      <c r="J49" s="107"/>
      <c r="K49" s="9">
        <f>IF(E49=_GENERIC!A3,0,1)</f>
        <v>0</v>
      </c>
      <c r="L49" s="160"/>
      <c r="M49" s="160"/>
      <c r="O49" s="52"/>
      <c r="P49" s="52"/>
      <c r="Q49" s="37"/>
      <c r="R49" s="37"/>
      <c r="S49" s="52"/>
      <c r="T49" s="18"/>
      <c r="U49" s="52"/>
      <c r="V49" s="52"/>
      <c r="W49" s="52"/>
      <c r="X49" s="52"/>
      <c r="Y49" s="52"/>
      <c r="Z49" s="39">
        <f>VLOOKUP($E49,_GENERIC!A2:G5,4,FALSE)</f>
        <v>0</v>
      </c>
      <c r="AA49" s="39">
        <f>VLOOKUP($E49,_GENERIC!A2:G5,5,FALSE)</f>
        <v>0</v>
      </c>
      <c r="AB49" s="39">
        <f>VLOOKUP($E49,_GENERIC!A2:G5,6,FALSE)</f>
        <v>0</v>
      </c>
      <c r="AC49" s="38" t="str">
        <f>VLOOKUP($E49,_GENERIC!A2:G5,2,FALSE)</f>
        <v>0</v>
      </c>
      <c r="AE49" s="37"/>
      <c r="AF49" s="52"/>
      <c r="AG49" s="52"/>
      <c r="AH49" s="52"/>
      <c r="AI49" s="37"/>
      <c r="AJ49" s="37"/>
      <c r="AK49" s="37"/>
      <c r="AL49" s="37"/>
      <c r="AM49" s="37"/>
      <c r="AN49" s="37"/>
      <c r="AO49" s="37"/>
    </row>
    <row r="50" spans="2:41" x14ac:dyDescent="0.25">
      <c r="B50" s="117" t="s">
        <v>51</v>
      </c>
      <c r="C50" s="118"/>
      <c r="D50" s="125"/>
      <c r="E50" s="124" t="str">
        <f>J15</f>
        <v>EMPTY SLOT (no output card)</v>
      </c>
      <c r="F50" s="124"/>
      <c r="G50" s="124"/>
      <c r="H50" s="124"/>
      <c r="I50" s="124" t="str">
        <f>VLOOKUP($E50,_OUTPUT!A2:G11,3,FALSE)</f>
        <v>---NA---</v>
      </c>
      <c r="J50" s="124"/>
      <c r="K50" s="9">
        <f>IF(E50=_OUTPUT!A3,0,1)</f>
        <v>0</v>
      </c>
      <c r="L50" s="160"/>
      <c r="M50" s="160"/>
      <c r="O50" s="52"/>
      <c r="P50" s="52"/>
      <c r="Q50" s="37"/>
      <c r="R50" s="37"/>
      <c r="S50" s="52"/>
      <c r="T50" s="18"/>
      <c r="U50" s="52"/>
      <c r="V50" s="52"/>
      <c r="W50" s="52"/>
      <c r="X50" s="52"/>
      <c r="Y50" s="52"/>
      <c r="Z50" s="39">
        <f>VLOOKUP($E50,_OUTPUT!A2:G11,4,FALSE)</f>
        <v>0</v>
      </c>
      <c r="AA50" s="39">
        <f>VLOOKUP($E50,_OUTPUT!A2:G11,5,FALSE)</f>
        <v>0</v>
      </c>
      <c r="AB50" s="39">
        <f>VLOOKUP($E50,_OUTPUT!A2:G11,6,FALSE)</f>
        <v>0</v>
      </c>
      <c r="AC50" s="38" t="str">
        <f>VLOOKUP($E50,_OUTPUT!A2:G11,2,FALSE)</f>
        <v>0</v>
      </c>
      <c r="AE50" s="37"/>
      <c r="AF50" s="52"/>
      <c r="AG50" s="52"/>
      <c r="AH50" s="52"/>
      <c r="AI50" s="37"/>
      <c r="AJ50" s="37"/>
      <c r="AK50" s="37"/>
      <c r="AL50" s="37"/>
      <c r="AM50" s="37"/>
      <c r="AN50" s="37"/>
      <c r="AO50" s="37"/>
    </row>
    <row r="51" spans="2:41" x14ac:dyDescent="0.25">
      <c r="B51" s="101" t="s">
        <v>52</v>
      </c>
      <c r="C51" s="102"/>
      <c r="D51" s="103"/>
      <c r="E51" s="107" t="str">
        <f>IF(OR(E52=_OUTPUT!A3,E52=0),_GENERIC!A3,_GENERIC!A5)</f>
        <v>NO GENERIC I/O BOARD</v>
      </c>
      <c r="F51" s="107"/>
      <c r="G51" s="107"/>
      <c r="H51" s="107"/>
      <c r="I51" s="107" t="str">
        <f>VLOOKUP($E51,_GENERIC!A2:G5,3,FALSE)</f>
        <v>---NA---</v>
      </c>
      <c r="J51" s="107"/>
      <c r="K51" s="9">
        <f>IF(E51=_GENERIC!A3,0,1)</f>
        <v>0</v>
      </c>
      <c r="L51" s="160"/>
      <c r="M51" s="160"/>
      <c r="O51" s="52"/>
      <c r="P51" s="52"/>
      <c r="Q51" s="37"/>
      <c r="R51" s="37"/>
      <c r="S51" s="52"/>
      <c r="T51" s="18"/>
      <c r="U51" s="52"/>
      <c r="V51" s="52"/>
      <c r="W51" s="52"/>
      <c r="X51" s="52"/>
      <c r="Y51" s="52"/>
      <c r="Z51" s="39">
        <f>VLOOKUP($E51,_GENERIC!A2:G5,4,FALSE)</f>
        <v>0</v>
      </c>
      <c r="AA51" s="39">
        <f>VLOOKUP($E51,_GENERIC!A2:G5,5,FALSE)</f>
        <v>0</v>
      </c>
      <c r="AB51" s="39">
        <f>VLOOKUP($E51,_GENERIC!A2:G5,6,FALSE)</f>
        <v>0</v>
      </c>
      <c r="AC51" s="38" t="str">
        <f>VLOOKUP($E51,_GENERIC!A2:G5,2,FALSE)</f>
        <v>0</v>
      </c>
      <c r="AE51" s="37"/>
      <c r="AF51" s="52"/>
      <c r="AG51" s="52"/>
      <c r="AH51" s="52"/>
      <c r="AI51" s="37"/>
      <c r="AJ51" s="37"/>
      <c r="AK51" s="37"/>
      <c r="AL51" s="37"/>
      <c r="AM51" s="37"/>
      <c r="AN51" s="37"/>
      <c r="AO51" s="37"/>
    </row>
    <row r="52" spans="2:41" x14ac:dyDescent="0.25">
      <c r="B52" s="117" t="s">
        <v>53</v>
      </c>
      <c r="C52" s="118"/>
      <c r="D52" s="125"/>
      <c r="E52" s="124" t="str">
        <f>J20</f>
        <v>EMPTY SLOT (no output card)</v>
      </c>
      <c r="F52" s="124"/>
      <c r="G52" s="124"/>
      <c r="H52" s="124"/>
      <c r="I52" s="124" t="str">
        <f>VLOOKUP($E52,_OUTPUT!A2:G11,3,FALSE)</f>
        <v>---NA---</v>
      </c>
      <c r="J52" s="124"/>
      <c r="K52" s="9">
        <f>IF(E52=_OUTPUT!A3,0,1)</f>
        <v>0</v>
      </c>
      <c r="L52" s="160"/>
      <c r="M52" s="160"/>
      <c r="O52" s="52"/>
      <c r="P52" s="52"/>
      <c r="Q52" s="37"/>
      <c r="R52" s="37"/>
      <c r="S52" s="52"/>
      <c r="T52" s="18"/>
      <c r="U52" s="52"/>
      <c r="V52" s="52"/>
      <c r="W52" s="52"/>
      <c r="X52" s="52"/>
      <c r="Y52" s="52"/>
      <c r="Z52" s="52"/>
      <c r="AA52" s="39">
        <f>VLOOKUP($E52,_OUTPUT!A2:G11,4,FALSE)</f>
        <v>0</v>
      </c>
      <c r="AB52" s="39">
        <f>VLOOKUP($E52,_OUTPUT!A2:G11,5,FALSE)</f>
        <v>0</v>
      </c>
      <c r="AC52" s="39">
        <f>VLOOKUP($E52,_OUTPUT!A2:G11,6,FALSE)</f>
        <v>0</v>
      </c>
      <c r="AD52" s="38" t="str">
        <f>VLOOKUP($E52,_OUTPUT!A2:G11,2,FALSE)</f>
        <v>0</v>
      </c>
      <c r="AE52" s="37"/>
      <c r="AF52" s="52"/>
      <c r="AG52" s="52"/>
      <c r="AH52" s="52"/>
      <c r="AI52" s="37"/>
      <c r="AJ52" s="37"/>
      <c r="AK52" s="37"/>
      <c r="AL52" s="37"/>
      <c r="AM52" s="37"/>
      <c r="AN52" s="37"/>
      <c r="AO52" s="37"/>
    </row>
    <row r="53" spans="2:41" x14ac:dyDescent="0.25">
      <c r="B53" s="101" t="s">
        <v>67</v>
      </c>
      <c r="C53" s="102"/>
      <c r="D53" s="103"/>
      <c r="E53" s="107" t="str">
        <f>IF(OR(E54=_OUTPUT!A3,E54=0),_GENERIC!A3,IF(E54=_OUTPUT!A12,_GENERIC!A6,_GENERIC!A5))</f>
        <v>NO GENERIC I/O BOARD</v>
      </c>
      <c r="F53" s="107"/>
      <c r="G53" s="107"/>
      <c r="H53" s="107"/>
      <c r="I53" s="107" t="str">
        <f>VLOOKUP($E53,_GENERIC!A2:G6,3,FALSE)</f>
        <v>---NA---</v>
      </c>
      <c r="J53" s="107"/>
      <c r="K53" s="9">
        <f>IF(E53=_GENERIC!A3,0,1)</f>
        <v>0</v>
      </c>
      <c r="L53" s="160"/>
      <c r="M53" s="160"/>
      <c r="O53" s="52"/>
      <c r="P53" s="52"/>
      <c r="Q53" s="37"/>
      <c r="R53" s="37"/>
      <c r="S53" s="52"/>
      <c r="T53" s="18"/>
      <c r="U53" s="52"/>
      <c r="V53" s="52"/>
      <c r="W53" s="52"/>
      <c r="X53" s="52"/>
      <c r="Y53" s="52"/>
      <c r="Z53" s="52"/>
      <c r="AA53" s="39">
        <f>VLOOKUP($E53,_GENERIC!A2:G6,4,FALSE)</f>
        <v>0</v>
      </c>
      <c r="AB53" s="39">
        <f>VLOOKUP($E53,_GENERIC!A2:G6,5,FALSE)</f>
        <v>0</v>
      </c>
      <c r="AC53" s="39">
        <f>VLOOKUP($E53,_GENERIC!A2:G6,6,FALSE)</f>
        <v>0</v>
      </c>
      <c r="AD53" s="38" t="str">
        <f>VLOOKUP($E53,_GENERIC!A2:G6,2,FALSE)</f>
        <v>0</v>
      </c>
      <c r="AE53" s="37"/>
      <c r="AF53" s="52"/>
      <c r="AG53" s="52"/>
      <c r="AH53" s="52"/>
      <c r="AI53" s="37"/>
      <c r="AJ53" s="37"/>
      <c r="AK53" s="37"/>
      <c r="AL53" s="37"/>
      <c r="AM53" s="37"/>
      <c r="AN53" s="37"/>
      <c r="AO53" s="37"/>
    </row>
    <row r="54" spans="2:41" x14ac:dyDescent="0.25">
      <c r="B54" s="117" t="s">
        <v>68</v>
      </c>
      <c r="C54" s="118"/>
      <c r="D54" s="125"/>
      <c r="E54" s="124" t="str">
        <f>J25</f>
        <v>EMPTY SLOT (no output card)</v>
      </c>
      <c r="F54" s="124"/>
      <c r="G54" s="124"/>
      <c r="H54" s="124"/>
      <c r="I54" s="124" t="str">
        <f>VLOOKUP($E54,_OUTPUT!A2:G12,3,FALSE)</f>
        <v>---NA---</v>
      </c>
      <c r="J54" s="124"/>
      <c r="K54" s="9">
        <f>IF(E54=_OUTPUT!A3,0,1)</f>
        <v>0</v>
      </c>
      <c r="L54" s="160"/>
      <c r="M54" s="160"/>
      <c r="O54" s="52"/>
      <c r="P54" s="52"/>
      <c r="Q54" s="37"/>
      <c r="R54" s="37"/>
      <c r="S54" s="52"/>
      <c r="T54" s="18"/>
      <c r="U54" s="52"/>
      <c r="V54" s="52"/>
      <c r="W54" s="52"/>
      <c r="X54" s="52"/>
      <c r="Y54" s="52"/>
      <c r="Z54" s="52"/>
      <c r="AA54" s="39">
        <f>VLOOKUP($E54,_OUTPUT!A2:G12,4,FALSE)</f>
        <v>0</v>
      </c>
      <c r="AB54" s="39">
        <f>VLOOKUP($E54,_OUTPUT!A2:G12,5,FALSE)</f>
        <v>0</v>
      </c>
      <c r="AC54" s="39">
        <f>VLOOKUP($E54,_OUTPUT!A2:G12,6,FALSE)</f>
        <v>0</v>
      </c>
      <c r="AD54" s="38" t="str">
        <f>VLOOKUP($E54,_OUTPUT!A2:G12,2,FALSE)</f>
        <v>0</v>
      </c>
      <c r="AE54" s="37"/>
      <c r="AF54" s="52"/>
      <c r="AG54" s="52"/>
      <c r="AH54" s="52"/>
      <c r="AI54" s="37"/>
      <c r="AJ54" s="37"/>
      <c r="AK54" s="37"/>
      <c r="AL54" s="37"/>
      <c r="AM54" s="37"/>
      <c r="AN54" s="37"/>
      <c r="AO54" s="37"/>
    </row>
    <row r="55" spans="2:41" x14ac:dyDescent="0.25">
      <c r="B55" s="98" t="s">
        <v>54</v>
      </c>
      <c r="C55" s="99"/>
      <c r="D55" s="100"/>
      <c r="E55" s="120" t="str">
        <f>O5</f>
        <v>NO VIDEO PROCESSING CARD</v>
      </c>
      <c r="F55" s="120"/>
      <c r="G55" s="120"/>
      <c r="H55" s="120"/>
      <c r="I55" s="120" t="str">
        <f>VLOOKUP($E55,_VIDEO!A2:G6,3,FALSE)</f>
        <v>---NA---</v>
      </c>
      <c r="J55" s="120"/>
      <c r="K55" s="9">
        <f>IF(E55=_VIDEO!A4,1,IF(E55=_VIDEO!A5,2,IF(E55=_VIDEO!A6,3,0)))</f>
        <v>0</v>
      </c>
      <c r="L55" s="160"/>
      <c r="M55" s="160"/>
      <c r="O55" s="52"/>
      <c r="P55" s="52"/>
      <c r="Q55" s="37"/>
      <c r="R55" s="37"/>
      <c r="S55" s="52"/>
      <c r="T55" s="18"/>
      <c r="U55" s="52"/>
      <c r="V55" s="52"/>
      <c r="W55" s="52"/>
      <c r="X55" s="52"/>
      <c r="Y55" s="52"/>
      <c r="Z55" s="52"/>
      <c r="AA55" s="39">
        <f>$K$55*VLOOKUP($E55,_VIDEO!A2:G6,4,FALSE)</f>
        <v>0</v>
      </c>
      <c r="AB55" s="39">
        <f>$K$55*VLOOKUP($E55,_VIDEO!A2:G6,5,FALSE)</f>
        <v>0</v>
      </c>
      <c r="AC55" s="39">
        <f>$K$55*VLOOKUP($E55,_VIDEO!A2:G6,6,FALSE)</f>
        <v>0</v>
      </c>
      <c r="AD55" s="38" t="str">
        <f>VLOOKUP($E55,_VIDEO!A2:G6,2,FALSE)</f>
        <v>0</v>
      </c>
      <c r="AE55" s="37"/>
      <c r="AF55" s="52"/>
      <c r="AG55" s="52"/>
      <c r="AH55" s="52"/>
      <c r="AI55" s="37"/>
      <c r="AJ55" s="37"/>
      <c r="AK55" s="37"/>
      <c r="AL55" s="37"/>
      <c r="AM55" s="37"/>
      <c r="AN55" s="37"/>
      <c r="AO55" s="37"/>
    </row>
    <row r="56" spans="2:41" x14ac:dyDescent="0.25">
      <c r="B56" s="98" t="s">
        <v>55</v>
      </c>
      <c r="C56" s="99"/>
      <c r="D56" s="100"/>
      <c r="E56" s="120" t="str">
        <f>O10</f>
        <v>NO STILL IMAGE PROCESSING CARD</v>
      </c>
      <c r="F56" s="120"/>
      <c r="G56" s="120"/>
      <c r="H56" s="120"/>
      <c r="I56" s="120" t="str">
        <f>VLOOKUP($E56,_IMAGES!A2:G5,3,FALSE)</f>
        <v>---NA---</v>
      </c>
      <c r="J56" s="120"/>
      <c r="K56" s="9">
        <f>IF(E56=_IMAGES!A4,1,IF(E56=_IMAGES!A5,2,0))</f>
        <v>0</v>
      </c>
      <c r="L56" s="160"/>
      <c r="M56" s="160"/>
      <c r="O56" s="52"/>
      <c r="P56" s="52"/>
      <c r="Q56" s="37"/>
      <c r="R56" s="37"/>
      <c r="S56" s="52"/>
      <c r="T56" s="18"/>
      <c r="U56" s="52"/>
      <c r="V56" s="52"/>
      <c r="W56" s="52"/>
      <c r="X56" s="52"/>
      <c r="Y56" s="52"/>
      <c r="Z56" s="52"/>
      <c r="AA56" s="39">
        <f>$K$56*VLOOKUP($E56,_IMAGES!A2:G5,4,FALSE)</f>
        <v>0</v>
      </c>
      <c r="AB56" s="39">
        <f>$K$56*VLOOKUP($E56,_IMAGES!A2:G5,5,FALSE)</f>
        <v>0</v>
      </c>
      <c r="AC56" s="39">
        <f>$K$56*VLOOKUP($E56,_IMAGES!A2:G5,6,FALSE)</f>
        <v>0</v>
      </c>
      <c r="AD56" s="38" t="str">
        <f>VLOOKUP($E56,_IMAGES!A2:G5,2,FALSE)</f>
        <v>0</v>
      </c>
      <c r="AE56" s="37"/>
      <c r="AF56" s="52"/>
      <c r="AG56" s="52"/>
      <c r="AH56" s="52"/>
      <c r="AI56" s="37"/>
      <c r="AJ56" s="37"/>
      <c r="AK56" s="37"/>
      <c r="AL56" s="37"/>
      <c r="AM56" s="37"/>
      <c r="AN56" s="37"/>
      <c r="AO56" s="37"/>
    </row>
    <row r="57" spans="2:41" x14ac:dyDescent="0.25">
      <c r="B57" s="98" t="s">
        <v>56</v>
      </c>
      <c r="C57" s="99"/>
      <c r="D57" s="100"/>
      <c r="E57" s="179" t="str">
        <f>F20</f>
        <v>DEFAULT MVW 2x HDMI OUTPUT CARD</v>
      </c>
      <c r="F57" s="120"/>
      <c r="G57" s="120"/>
      <c r="H57" s="120"/>
      <c r="I57" s="120" t="str">
        <f>VLOOKUP(E57,_MVW!A2:G5,3,FALSE)</f>
        <v>---NA---</v>
      </c>
      <c r="J57" s="120"/>
      <c r="K57" s="9">
        <f>IF(E57=_MVW!A3,0,1)</f>
        <v>1</v>
      </c>
      <c r="L57" s="160"/>
      <c r="M57" s="160"/>
      <c r="O57" s="52"/>
      <c r="P57" s="52"/>
      <c r="Q57" s="37"/>
      <c r="R57" s="37"/>
      <c r="S57" s="52"/>
      <c r="T57" s="18"/>
      <c r="U57" s="52"/>
      <c r="V57" s="52"/>
      <c r="W57" s="52"/>
      <c r="X57" s="52"/>
      <c r="Y57" s="52"/>
      <c r="Z57" s="52"/>
      <c r="AA57" s="64">
        <f>$K$57*VLOOKUP($E57,_MVW!A3:G5,4,FALSE)</f>
        <v>0</v>
      </c>
      <c r="AB57" s="64">
        <f>$K$57*VLOOKUP($E57,_MVW!A3:G5,5,FALSE)</f>
        <v>0</v>
      </c>
      <c r="AC57" s="64">
        <f>$K$57*VLOOKUP($E57,_MVW!A3:G5,6,FALSE)</f>
        <v>0</v>
      </c>
      <c r="AD57" s="38" t="str">
        <f>VLOOKUP($E57,_MVW!A3:G5,2,FALSE)</f>
        <v>1</v>
      </c>
      <c r="AE57" s="37"/>
      <c r="AF57" s="52"/>
      <c r="AG57" s="52"/>
      <c r="AH57" s="52"/>
      <c r="AI57" s="37"/>
      <c r="AJ57" s="37"/>
      <c r="AK57" s="37"/>
      <c r="AL57" s="37"/>
      <c r="AM57" s="37"/>
      <c r="AN57" s="37"/>
      <c r="AO57" s="37"/>
    </row>
    <row r="58" spans="2:41" x14ac:dyDescent="0.25">
      <c r="J58" s="178"/>
      <c r="K58" s="178"/>
      <c r="L58" s="172"/>
      <c r="M58" s="172"/>
      <c r="O58" s="52"/>
      <c r="P58" s="52"/>
      <c r="Q58" s="37"/>
      <c r="R58" s="37"/>
      <c r="S58" s="52"/>
      <c r="T58" s="18"/>
      <c r="U58" s="52"/>
      <c r="V58" s="52"/>
      <c r="W58" s="52"/>
      <c r="X58" s="52"/>
      <c r="Y58" s="52"/>
      <c r="Z58" s="52"/>
      <c r="AA58" s="65">
        <f>SUM(AA35:AA56)</f>
        <v>49240</v>
      </c>
      <c r="AB58" s="66">
        <f>SUM(AB35:AB56)</f>
        <v>57090</v>
      </c>
      <c r="AC58" s="67">
        <f>SUM(AC35:AC56)</f>
        <v>41040</v>
      </c>
      <c r="AD58" s="37"/>
      <c r="AE58" s="37"/>
      <c r="AF58" s="52"/>
      <c r="AG58" s="52"/>
      <c r="AH58" s="52"/>
      <c r="AI58" s="37"/>
      <c r="AJ58" s="37"/>
      <c r="AK58" s="37"/>
      <c r="AL58" s="37"/>
      <c r="AM58" s="37"/>
      <c r="AN58" s="37"/>
      <c r="AO58" s="37"/>
    </row>
    <row r="59" spans="2:41" x14ac:dyDescent="0.25">
      <c r="O59" s="52"/>
      <c r="P59" s="52"/>
      <c r="Q59" s="37"/>
      <c r="R59" s="37"/>
      <c r="S59" s="52"/>
      <c r="T59" s="52"/>
      <c r="U59" s="52"/>
      <c r="V59" s="52"/>
      <c r="W59" s="52"/>
      <c r="X59" s="52"/>
      <c r="Y59" s="52"/>
      <c r="Z59" s="52"/>
      <c r="AA59" s="37"/>
      <c r="AB59" s="37"/>
      <c r="AC59" s="37"/>
      <c r="AD59" s="37"/>
      <c r="AE59" s="37"/>
      <c r="AF59" s="52"/>
      <c r="AG59" s="52"/>
      <c r="AH59" s="52"/>
      <c r="AI59" s="37"/>
      <c r="AJ59" s="37"/>
      <c r="AK59" s="37"/>
      <c r="AL59" s="37"/>
      <c r="AM59" s="37"/>
      <c r="AN59" s="37"/>
      <c r="AO59" s="37"/>
    </row>
    <row r="60" spans="2:41" x14ac:dyDescent="0.25">
      <c r="B60" s="120" t="s">
        <v>27</v>
      </c>
      <c r="C60" s="120"/>
      <c r="D60" s="120"/>
      <c r="E60" s="120" t="str">
        <f>Q25</f>
        <v>NO WARRANTY EXTENSION</v>
      </c>
      <c r="F60" s="120"/>
      <c r="G60" s="120"/>
      <c r="H60" s="120"/>
      <c r="I60" s="120" t="str">
        <f>VLOOKUP($E60,_WARRANTY_5RU!A2:G4,7,FALSE)</f>
        <v>---NA---</v>
      </c>
      <c r="J60" s="120"/>
      <c r="K60" s="23">
        <f>VLOOKUP($E60,_WARRANTY_5RU!A2:G4,4,FALSE)</f>
        <v>0</v>
      </c>
      <c r="L60" s="173"/>
      <c r="M60" s="173"/>
      <c r="N60" s="42"/>
      <c r="O60" s="52"/>
      <c r="P60" s="52"/>
      <c r="Q60" s="37"/>
      <c r="R60" s="37"/>
      <c r="S60" s="52"/>
      <c r="T60" s="52"/>
      <c r="U60" s="52"/>
      <c r="V60" s="52"/>
      <c r="W60" s="52"/>
      <c r="X60" s="52"/>
      <c r="Y60" s="52"/>
      <c r="Z60" s="52"/>
      <c r="AA60" s="38" t="str">
        <f>VLOOKUP($E60,_WARRANTY_5RU!A2:G4,2,FALSE)</f>
        <v>0</v>
      </c>
      <c r="AB60" s="37"/>
      <c r="AC60" s="37"/>
      <c r="AD60" s="37"/>
      <c r="AE60" s="52"/>
      <c r="AF60" s="52"/>
      <c r="AG60" s="52"/>
      <c r="AH60" s="52"/>
      <c r="AI60" s="37"/>
      <c r="AJ60" s="37"/>
      <c r="AK60" s="37"/>
      <c r="AL60" s="37"/>
      <c r="AM60" s="37"/>
      <c r="AN60" s="37"/>
      <c r="AO60" s="37"/>
    </row>
    <row r="61" spans="2:41" x14ac:dyDescent="0.25">
      <c r="B61" s="168" t="s">
        <v>58</v>
      </c>
      <c r="C61" s="169"/>
      <c r="D61" s="169"/>
      <c r="E61" s="169"/>
      <c r="F61" s="169"/>
      <c r="G61" s="169"/>
      <c r="H61" s="169"/>
      <c r="I61" s="169"/>
      <c r="J61" s="169"/>
      <c r="K61" s="170"/>
      <c r="L61" s="87"/>
      <c r="M61" s="87"/>
      <c r="O61" s="52"/>
      <c r="P61" s="52"/>
      <c r="Q61" s="37"/>
      <c r="R61" s="37"/>
      <c r="S61" s="52"/>
      <c r="T61" s="52"/>
      <c r="U61" s="52"/>
      <c r="V61" s="52"/>
      <c r="W61" s="52"/>
      <c r="X61" s="37"/>
      <c r="Y61" s="37"/>
      <c r="Z61" s="37"/>
      <c r="AA61" s="37"/>
      <c r="AB61" s="37"/>
      <c r="AC61" s="37"/>
      <c r="AD61" s="37"/>
      <c r="AE61" s="37"/>
      <c r="AF61" s="37"/>
      <c r="AG61" s="37"/>
      <c r="AH61" s="37"/>
      <c r="AI61" s="37"/>
      <c r="AJ61" s="37"/>
      <c r="AK61" s="37"/>
      <c r="AL61" s="37"/>
      <c r="AM61" s="37"/>
      <c r="AN61" s="37"/>
      <c r="AO61" s="37"/>
    </row>
    <row r="62" spans="2:41" x14ac:dyDescent="0.25">
      <c r="O62" s="52"/>
      <c r="P62" s="52"/>
      <c r="Q62" s="52"/>
      <c r="R62" s="52"/>
      <c r="S62" s="52"/>
      <c r="T62" s="52"/>
      <c r="U62" s="52"/>
      <c r="V62" s="52"/>
      <c r="W62" s="52"/>
      <c r="X62" s="52"/>
      <c r="Y62" s="52"/>
      <c r="Z62" s="52"/>
      <c r="AA62" s="52"/>
      <c r="AB62" s="52"/>
      <c r="AC62" s="52"/>
      <c r="AD62" s="52"/>
      <c r="AE62" s="52"/>
      <c r="AF62" s="52"/>
      <c r="AG62" s="52"/>
      <c r="AH62" s="52"/>
      <c r="AI62" s="52"/>
    </row>
    <row r="63" spans="2:41" x14ac:dyDescent="0.25">
      <c r="B63" s="4" t="s">
        <v>59</v>
      </c>
      <c r="D63" s="3"/>
      <c r="O63" s="52"/>
      <c r="P63" s="52"/>
      <c r="Q63" s="52"/>
      <c r="R63" s="52"/>
      <c r="S63" s="61"/>
      <c r="T63" s="52"/>
      <c r="U63" s="52"/>
      <c r="V63" s="52"/>
      <c r="X63" s="52"/>
      <c r="Y63" s="52"/>
      <c r="Z63" s="52"/>
      <c r="AA63" s="52"/>
      <c r="AB63" s="52"/>
      <c r="AC63" s="52"/>
      <c r="AD63" s="52"/>
      <c r="AE63" s="52"/>
    </row>
    <row r="64" spans="2:41" ht="43.15" customHeight="1" x14ac:dyDescent="0.25">
      <c r="B64" s="97" t="str">
        <f>IF(B31=_WORK!B14,_WORK!B14,CONCATENATE(_WORK!C150,_WORK!C151,_WORK!C152,_WORK!C153,_WORK!C154,_WORK!D154,_WORK!C155,_WORK!D155,_WORK!C156,_WORK!D156,_WORK!C157,_WORK!D157,_WORK!C158,_WORK!D158,_WORK!C159,_WORK!D159,_WORK!C160,_WORK!D160,_WORK!C161,_WORK!D161,_WORK!C162,_WORK!D162,_WORK!C163,_WORK!D163,_WORK!C164,_WORK!C165,_WORK!D165,_WORK!C166,_WORK!C167,_WORK!D167,_WORK!C168,_WORK!D168,_WORK!C169,_WORK!D169,_WORK!C170,_WORK!D170,_WORK!C171,_WORK!D171,_WORK!C172,_WORK!D172,_WORK!C173,_WORK!D173,_WORK!C174,_WORK!C175,_WORK!C176,_WORK!D176,_WORK!C177,_WORK!C178,_WORK!D178,_WORK!C179,_WORK!C180,_WORK!D180,_WORK!C181))</f>
        <v>Aquilon C+ (5RU) 4K/8K presentation system with the default dual HDMI 2.0 MVW card, with no input card, with no output card, with no video processing card, with no still image processing card and with no Link card.</v>
      </c>
      <c r="C64" s="97"/>
      <c r="D64" s="97"/>
      <c r="E64" s="97"/>
      <c r="F64" s="97"/>
      <c r="G64" s="97"/>
      <c r="H64" s="97"/>
      <c r="I64" s="97"/>
      <c r="J64" s="97"/>
      <c r="K64" s="97"/>
      <c r="L64" s="97"/>
      <c r="M64" s="97"/>
      <c r="N64" s="97"/>
      <c r="O64" s="97"/>
      <c r="P64" s="97"/>
      <c r="Q64" s="97"/>
      <c r="R64" s="97"/>
      <c r="S64" s="97"/>
      <c r="Z64" s="52"/>
      <c r="AA64" s="52"/>
      <c r="AB64" s="52"/>
      <c r="AC64" s="52"/>
      <c r="AD64" s="52"/>
      <c r="AE64" s="52"/>
    </row>
    <row r="65" spans="4:31" x14ac:dyDescent="0.25">
      <c r="D65" s="3"/>
      <c r="Z65" s="52"/>
      <c r="AA65" s="52"/>
      <c r="AB65" s="52"/>
      <c r="AC65" s="52"/>
      <c r="AD65" s="52"/>
      <c r="AE65" s="52"/>
    </row>
  </sheetData>
  <sheetProtection algorithmName="SHA-512" hashValue="ZMggmiiJfpqvNOHnQAitri4KT8Sfyvbk6g+AepTeCxTXP3XTO+fImeVE2LBuOEB4LkTWSYtxFwiHGzun0M8U6w==" saltValue="wvCw55WbfB7VUIPzA0MThA==" spinCount="100000" sheet="1" objects="1" scenarios="1"/>
  <protectedRanges>
    <protectedRange sqref="O5 O10 Q25 M34 F20 J10 B5 F5 B10 F10 B15 F15 J5 J15 J20 J25" name="Plage1"/>
  </protectedRanges>
  <mergeCells count="158">
    <mergeCell ref="B61:K61"/>
    <mergeCell ref="L37:M37"/>
    <mergeCell ref="L58:M58"/>
    <mergeCell ref="L41:M41"/>
    <mergeCell ref="L40:M40"/>
    <mergeCell ref="L39:M39"/>
    <mergeCell ref="L38:M38"/>
    <mergeCell ref="L48:M48"/>
    <mergeCell ref="L47:M47"/>
    <mergeCell ref="L46:M46"/>
    <mergeCell ref="L45:M45"/>
    <mergeCell ref="L44:M44"/>
    <mergeCell ref="L43:M43"/>
    <mergeCell ref="L42:M42"/>
    <mergeCell ref="L54:M54"/>
    <mergeCell ref="L53:M53"/>
    <mergeCell ref="L52:M52"/>
    <mergeCell ref="L51:M51"/>
    <mergeCell ref="L50:M50"/>
    <mergeCell ref="L49:M49"/>
    <mergeCell ref="L56:M56"/>
    <mergeCell ref="L55:M55"/>
    <mergeCell ref="L57:M57"/>
    <mergeCell ref="B41:D41"/>
    <mergeCell ref="B2:M2"/>
    <mergeCell ref="B4:E4"/>
    <mergeCell ref="F4:I4"/>
    <mergeCell ref="J4:M4"/>
    <mergeCell ref="B5:E7"/>
    <mergeCell ref="F5:I7"/>
    <mergeCell ref="J5:M7"/>
    <mergeCell ref="O4:S4"/>
    <mergeCell ref="O5:S7"/>
    <mergeCell ref="O8:S8"/>
    <mergeCell ref="O9:S9"/>
    <mergeCell ref="O10:S12"/>
    <mergeCell ref="O13:S13"/>
    <mergeCell ref="B18:I18"/>
    <mergeCell ref="J18:M18"/>
    <mergeCell ref="B19:E19"/>
    <mergeCell ref="F19:I19"/>
    <mergeCell ref="J19:M19"/>
    <mergeCell ref="B10:E12"/>
    <mergeCell ref="F10:I12"/>
    <mergeCell ref="J10:M12"/>
    <mergeCell ref="B13:I13"/>
    <mergeCell ref="J13:M13"/>
    <mergeCell ref="B8:I8"/>
    <mergeCell ref="J8:M8"/>
    <mergeCell ref="B9:E9"/>
    <mergeCell ref="F9:I9"/>
    <mergeCell ref="J9:M9"/>
    <mergeCell ref="B20:E22"/>
    <mergeCell ref="F20:I22"/>
    <mergeCell ref="J20:M22"/>
    <mergeCell ref="B14:E14"/>
    <mergeCell ref="F14:I14"/>
    <mergeCell ref="J14:M14"/>
    <mergeCell ref="B15:E17"/>
    <mergeCell ref="F15:I17"/>
    <mergeCell ref="J15:M17"/>
    <mergeCell ref="B23:E23"/>
    <mergeCell ref="F23:I23"/>
    <mergeCell ref="J23:M23"/>
    <mergeCell ref="O24:P24"/>
    <mergeCell ref="Q24:S24"/>
    <mergeCell ref="B24:E24"/>
    <mergeCell ref="F24:I24"/>
    <mergeCell ref="J24:M24"/>
    <mergeCell ref="O25:P26"/>
    <mergeCell ref="Q25:S26"/>
    <mergeCell ref="B36:D36"/>
    <mergeCell ref="I36:J36"/>
    <mergeCell ref="B34:D34"/>
    <mergeCell ref="I34:J34"/>
    <mergeCell ref="B35:D35"/>
    <mergeCell ref="I35:J35"/>
    <mergeCell ref="B25:E27"/>
    <mergeCell ref="F25:I27"/>
    <mergeCell ref="J25:M27"/>
    <mergeCell ref="B28:E28"/>
    <mergeCell ref="F28:I28"/>
    <mergeCell ref="J28:M28"/>
    <mergeCell ref="L35:M35"/>
    <mergeCell ref="B30:M30"/>
    <mergeCell ref="B31:M31"/>
    <mergeCell ref="L36:M36"/>
    <mergeCell ref="I41:J41"/>
    <mergeCell ref="B42:D42"/>
    <mergeCell ref="I42:J42"/>
    <mergeCell ref="B39:D39"/>
    <mergeCell ref="I39:J39"/>
    <mergeCell ref="B40:D40"/>
    <mergeCell ref="I40:J40"/>
    <mergeCell ref="B37:D37"/>
    <mergeCell ref="I37:J37"/>
    <mergeCell ref="B38:D38"/>
    <mergeCell ref="I38:J38"/>
    <mergeCell ref="B47:D47"/>
    <mergeCell ref="I47:J47"/>
    <mergeCell ref="B48:D48"/>
    <mergeCell ref="I48:J48"/>
    <mergeCell ref="B45:D45"/>
    <mergeCell ref="I45:J45"/>
    <mergeCell ref="B46:D46"/>
    <mergeCell ref="I46:J46"/>
    <mergeCell ref="B43:D43"/>
    <mergeCell ref="I43:J43"/>
    <mergeCell ref="B44:D44"/>
    <mergeCell ref="I44:J44"/>
    <mergeCell ref="B53:D53"/>
    <mergeCell ref="I53:J53"/>
    <mergeCell ref="B54:D54"/>
    <mergeCell ref="I54:J54"/>
    <mergeCell ref="B51:D51"/>
    <mergeCell ref="I51:J51"/>
    <mergeCell ref="B52:D52"/>
    <mergeCell ref="I52:J52"/>
    <mergeCell ref="B49:D49"/>
    <mergeCell ref="I49:J49"/>
    <mergeCell ref="B50:D50"/>
    <mergeCell ref="I50:J50"/>
    <mergeCell ref="B60:D60"/>
    <mergeCell ref="I60:J60"/>
    <mergeCell ref="B55:D55"/>
    <mergeCell ref="I55:J55"/>
    <mergeCell ref="B56:D56"/>
    <mergeCell ref="I56:J56"/>
    <mergeCell ref="E55:H55"/>
    <mergeCell ref="E56:H56"/>
    <mergeCell ref="E60:H60"/>
    <mergeCell ref="B57:D57"/>
    <mergeCell ref="E57:H57"/>
    <mergeCell ref="I57:J57"/>
    <mergeCell ref="B64:S64"/>
    <mergeCell ref="L60:M60"/>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49:H49"/>
    <mergeCell ref="E50:H50"/>
    <mergeCell ref="E51:H51"/>
    <mergeCell ref="E52:H52"/>
    <mergeCell ref="E53:H53"/>
    <mergeCell ref="E54:H54"/>
    <mergeCell ref="J58:K58"/>
  </mergeCells>
  <dataValidations count="1">
    <dataValidation type="list" allowBlank="1" showInputMessage="1" showErrorMessage="1" sqref="M34" xr:uid="{CBCD12C4-FEAF-4CE6-B516-6E544E564DE9}">
      <formula1>$AA$34:$AC$34</formula1>
    </dataValidation>
  </dataValidations>
  <printOptions horizontalCentered="1" verticalCentered="1"/>
  <pageMargins left="0.25" right="0.25" top="0.75" bottom="0.75" header="0.3" footer="0.3"/>
  <pageSetup paperSize="9" scale="53" orientation="landscape" r:id="rId1"/>
  <ignoredErrors>
    <ignoredError sqref="E46 E48 E50 E52 AA39:AD39 AA42:AD42 AA45:AD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9826605D-36E6-44A7-A0D3-ACC4320321AA}">
          <x14:formula1>
            <xm:f>_WARRANTY_5RU!$A$2:$A$4</xm:f>
          </x14:formula1>
          <xm:sqref>Q25:S26</xm:sqref>
        </x14:dataValidation>
        <x14:dataValidation type="list" allowBlank="1" showInputMessage="1" showErrorMessage="1" xr:uid="{B4B86D47-AD45-443F-8B01-F437AE689365}">
          <x14:formula1>
            <xm:f>_VIDEO!$A$3:$A$6</xm:f>
          </x14:formula1>
          <xm:sqref>O5</xm:sqref>
        </x14:dataValidation>
        <x14:dataValidation type="list" allowBlank="1" showInputMessage="1" showErrorMessage="1" xr:uid="{E81E26D3-BC09-441D-B092-65E46BB90DD4}">
          <x14:formula1>
            <xm:f>_IMAGES!$A$3:$A$5</xm:f>
          </x14:formula1>
          <xm:sqref>O10</xm:sqref>
        </x14:dataValidation>
        <x14:dataValidation type="list" allowBlank="1" showInputMessage="1" showErrorMessage="1" xr:uid="{224FABDF-35E4-4D2F-BCE6-94E210DC2382}">
          <x14:formula1>
            <xm:f>_MVW!$A$4:$A$5</xm:f>
          </x14:formula1>
          <xm:sqref>F20:I22</xm:sqref>
        </x14:dataValidation>
        <x14:dataValidation type="list" allowBlank="1" showInputMessage="1" showErrorMessage="1" xr:uid="{B6A317AE-1DF5-406F-AF44-B35FC7922EDF}">
          <x14:formula1>
            <xm:f>_INPUT!$A$3:$A$13</xm:f>
          </x14:formula1>
          <xm:sqref>B5:I7 B10:I12 B15:I17</xm:sqref>
        </x14:dataValidation>
        <x14:dataValidation type="list" allowBlank="1" showInputMessage="1" showErrorMessage="1" xr:uid="{F2432B9F-2492-4B65-BB03-F1F9CE92C0B7}">
          <x14:formula1>
            <xm:f>_OUTPUT!$A$3:$A$11</xm:f>
          </x14:formula1>
          <xm:sqref>J20:M22 J5:M7 J10:M12 J15:M17</xm:sqref>
        </x14:dataValidation>
        <x14:dataValidation type="list" allowBlank="1" showInputMessage="1" showErrorMessage="1" xr:uid="{63D2CA83-45DE-4796-A8DF-EA2F1A0FC0F8}">
          <x14:formula1>
            <xm:f>_OUTPUT!$A$3:$A$12</xm:f>
          </x14:formula1>
          <xm:sqref>J25:M27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6330-275A-4662-83D7-58098F6C3911}">
  <sheetPr codeName="Feuil15">
    <pageSetUpPr fitToPage="1"/>
  </sheetPr>
  <dimension ref="A1:AO75"/>
  <sheetViews>
    <sheetView showGridLines="0" showRowColHeaders="0" zoomScaleNormal="100" workbookViewId="0">
      <selection activeCell="F5" sqref="F5:I7"/>
    </sheetView>
  </sheetViews>
  <sheetFormatPr baseColWidth="10" defaultColWidth="11.5703125" defaultRowHeight="15" x14ac:dyDescent="0.25"/>
  <cols>
    <col min="1" max="1" width="9.7109375" style="2" customWidth="1"/>
    <col min="2" max="9" width="10.42578125" style="2" customWidth="1"/>
    <col min="10" max="10" width="12.5703125" style="2" customWidth="1"/>
    <col min="11" max="13" width="10.28515625" style="2" customWidth="1"/>
    <col min="14" max="14" width="4.28515625" style="2" customWidth="1"/>
    <col min="15" max="16" width="10.7109375" style="2" customWidth="1"/>
    <col min="17" max="18" width="12.7109375" style="2" customWidth="1"/>
    <col min="19" max="19" width="12.7109375" style="37" customWidth="1"/>
    <col min="20" max="21" width="11.5703125" style="2"/>
    <col min="22" max="26" width="3.5703125" style="2" customWidth="1"/>
    <col min="27" max="16384" width="11.5703125" style="2"/>
  </cols>
  <sheetData>
    <row r="1" spans="1:19" ht="10.15" customHeight="1" x14ac:dyDescent="0.25"/>
    <row r="2" spans="1:19" ht="19.899999999999999" customHeight="1" x14ac:dyDescent="0.25">
      <c r="B2" s="119" t="s">
        <v>340</v>
      </c>
      <c r="C2" s="119"/>
      <c r="D2" s="119"/>
      <c r="E2" s="119"/>
      <c r="F2" s="119"/>
      <c r="G2" s="119"/>
      <c r="H2" s="119"/>
      <c r="I2" s="119"/>
      <c r="J2" s="119"/>
      <c r="K2" s="119"/>
      <c r="L2" s="119"/>
      <c r="M2" s="119"/>
      <c r="S2" s="20" t="str">
        <f>_WORK!G2</f>
        <v>version 1.18</v>
      </c>
    </row>
    <row r="3" spans="1:19" ht="10.15" customHeight="1" thickBot="1" x14ac:dyDescent="0.3"/>
    <row r="4" spans="1:19" ht="15" customHeight="1" thickBot="1" x14ac:dyDescent="0.3">
      <c r="A4" s="17"/>
      <c r="B4" s="108" t="s">
        <v>6</v>
      </c>
      <c r="C4" s="109"/>
      <c r="D4" s="109"/>
      <c r="E4" s="110"/>
      <c r="F4" s="108" t="s">
        <v>7</v>
      </c>
      <c r="G4" s="109"/>
      <c r="H4" s="109"/>
      <c r="I4" s="110"/>
      <c r="J4" s="108" t="s">
        <v>8</v>
      </c>
      <c r="K4" s="109"/>
      <c r="L4" s="109"/>
      <c r="M4" s="110"/>
      <c r="O4" s="108" t="s">
        <v>9</v>
      </c>
      <c r="P4" s="109"/>
      <c r="Q4" s="109"/>
      <c r="R4" s="109"/>
      <c r="S4" s="110"/>
    </row>
    <row r="5" spans="1:19" ht="10.15" customHeight="1" x14ac:dyDescent="0.25">
      <c r="A5" s="18"/>
      <c r="B5" s="144" t="s">
        <v>10</v>
      </c>
      <c r="C5" s="145"/>
      <c r="D5" s="145"/>
      <c r="E5" s="146"/>
      <c r="F5" s="144" t="s">
        <v>10</v>
      </c>
      <c r="G5" s="145"/>
      <c r="H5" s="145"/>
      <c r="I5" s="146"/>
      <c r="J5" s="144" t="s">
        <v>11</v>
      </c>
      <c r="K5" s="145"/>
      <c r="L5" s="145"/>
      <c r="M5" s="146"/>
      <c r="O5" s="144" t="s">
        <v>12</v>
      </c>
      <c r="P5" s="145"/>
      <c r="Q5" s="145"/>
      <c r="R5" s="145"/>
      <c r="S5" s="146"/>
    </row>
    <row r="6" spans="1:19" ht="10.15" customHeight="1" x14ac:dyDescent="0.25">
      <c r="A6" s="18"/>
      <c r="B6" s="147"/>
      <c r="C6" s="148"/>
      <c r="D6" s="148"/>
      <c r="E6" s="149"/>
      <c r="F6" s="147"/>
      <c r="G6" s="148"/>
      <c r="H6" s="148"/>
      <c r="I6" s="149"/>
      <c r="J6" s="147"/>
      <c r="K6" s="148"/>
      <c r="L6" s="148"/>
      <c r="M6" s="149"/>
      <c r="O6" s="147"/>
      <c r="P6" s="148"/>
      <c r="Q6" s="148"/>
      <c r="R6" s="148"/>
      <c r="S6" s="149"/>
    </row>
    <row r="7" spans="1:19" ht="10.15" customHeight="1" thickBot="1" x14ac:dyDescent="0.3">
      <c r="A7" s="18"/>
      <c r="B7" s="150"/>
      <c r="C7" s="151"/>
      <c r="D7" s="151"/>
      <c r="E7" s="152"/>
      <c r="F7" s="150"/>
      <c r="G7" s="151"/>
      <c r="H7" s="151"/>
      <c r="I7" s="152"/>
      <c r="J7" s="150"/>
      <c r="K7" s="151"/>
      <c r="L7" s="151"/>
      <c r="M7" s="152"/>
      <c r="O7" s="150"/>
      <c r="P7" s="151"/>
      <c r="Q7" s="151"/>
      <c r="R7" s="151"/>
      <c r="S7" s="152"/>
    </row>
    <row r="8" spans="1:19" ht="15" customHeight="1" thickBot="1" x14ac:dyDescent="0.3">
      <c r="A8" s="18"/>
      <c r="B8" s="111" t="str">
        <f>IF(B5="",_WORK!B15,IF(F5="",_WORK!B16,IF(AND(B5=_INPUT!A3,F5=_INPUT!A3),_WORK!B2,IF(AND(B5=_INPUT!A3,F5&lt;&gt;_INPUT!A3),_WORK!B6,IF(AND(B5&lt;&gt;_INPUT!A3,F5=_INPUT!A3),_WORK!B7,_WORK!B1)))))</f>
        <v>NO INPUT PROCESSING BOARD</v>
      </c>
      <c r="C8" s="112"/>
      <c r="D8" s="112"/>
      <c r="E8" s="112"/>
      <c r="F8" s="112"/>
      <c r="G8" s="112"/>
      <c r="H8" s="112"/>
      <c r="I8" s="113"/>
      <c r="J8" s="111" t="str">
        <f>IF(J5="",_WORK!B23,IF(J5=_OUTPUT!A3,_WORK!B5,_WORK!B3))</f>
        <v>NO OUTPUT PROCESSING BOARD</v>
      </c>
      <c r="K8" s="112"/>
      <c r="L8" s="112"/>
      <c r="M8" s="113"/>
      <c r="O8" s="156" t="str">
        <f>IF(O5="",_WORK!B29,"")</f>
        <v/>
      </c>
      <c r="P8" s="157"/>
      <c r="Q8" s="157"/>
      <c r="R8" s="157"/>
      <c r="S8" s="158"/>
    </row>
    <row r="9" spans="1:19" ht="15" customHeight="1" thickBot="1" x14ac:dyDescent="0.3">
      <c r="A9" s="17"/>
      <c r="B9" s="108" t="s">
        <v>13</v>
      </c>
      <c r="C9" s="109"/>
      <c r="D9" s="109"/>
      <c r="E9" s="110"/>
      <c r="F9" s="108" t="s">
        <v>14</v>
      </c>
      <c r="G9" s="109"/>
      <c r="H9" s="109"/>
      <c r="I9" s="110"/>
      <c r="J9" s="108" t="s">
        <v>15</v>
      </c>
      <c r="K9" s="109"/>
      <c r="L9" s="109"/>
      <c r="M9" s="110"/>
      <c r="O9" s="108" t="s">
        <v>16</v>
      </c>
      <c r="P9" s="109"/>
      <c r="Q9" s="109"/>
      <c r="R9" s="109"/>
      <c r="S9" s="110"/>
    </row>
    <row r="10" spans="1:19" ht="10.15" customHeight="1" x14ac:dyDescent="0.25">
      <c r="A10" s="18"/>
      <c r="B10" s="144" t="s">
        <v>10</v>
      </c>
      <c r="C10" s="145"/>
      <c r="D10" s="145"/>
      <c r="E10" s="146"/>
      <c r="F10" s="144" t="s">
        <v>10</v>
      </c>
      <c r="G10" s="145"/>
      <c r="H10" s="145"/>
      <c r="I10" s="146"/>
      <c r="J10" s="144" t="s">
        <v>11</v>
      </c>
      <c r="K10" s="145"/>
      <c r="L10" s="145"/>
      <c r="M10" s="146"/>
      <c r="O10" s="144" t="s">
        <v>335</v>
      </c>
      <c r="P10" s="145"/>
      <c r="Q10" s="145"/>
      <c r="R10" s="145"/>
      <c r="S10" s="146"/>
    </row>
    <row r="11" spans="1:19" ht="10.15" customHeight="1" x14ac:dyDescent="0.25">
      <c r="A11" s="18"/>
      <c r="B11" s="147"/>
      <c r="C11" s="148"/>
      <c r="D11" s="148"/>
      <c r="E11" s="149"/>
      <c r="F11" s="147"/>
      <c r="G11" s="148"/>
      <c r="H11" s="148"/>
      <c r="I11" s="149"/>
      <c r="J11" s="147"/>
      <c r="K11" s="148"/>
      <c r="L11" s="148"/>
      <c r="M11" s="149"/>
      <c r="O11" s="147"/>
      <c r="P11" s="148"/>
      <c r="Q11" s="148"/>
      <c r="R11" s="148"/>
      <c r="S11" s="149"/>
    </row>
    <row r="12" spans="1:19" ht="10.15" customHeight="1" thickBot="1" x14ac:dyDescent="0.3">
      <c r="A12" s="18"/>
      <c r="B12" s="150"/>
      <c r="C12" s="151"/>
      <c r="D12" s="151"/>
      <c r="E12" s="152"/>
      <c r="F12" s="150"/>
      <c r="G12" s="151"/>
      <c r="H12" s="151"/>
      <c r="I12" s="152"/>
      <c r="J12" s="150"/>
      <c r="K12" s="151"/>
      <c r="L12" s="151"/>
      <c r="M12" s="152"/>
      <c r="O12" s="150"/>
      <c r="P12" s="151"/>
      <c r="Q12" s="151"/>
      <c r="R12" s="151"/>
      <c r="S12" s="152"/>
    </row>
    <row r="13" spans="1:19" ht="15" customHeight="1" thickBot="1" x14ac:dyDescent="0.3">
      <c r="A13" s="18"/>
      <c r="B13" s="111" t="str">
        <f>IF(B10="",_WORK!B17,IF(F10="",_WORK!B18,IF(AND(B10=_INPUT!A3,F10=_INPUT!A3),_WORK!B2,IF(AND(B10=_INPUT!A3,F10&lt;&gt;_INPUT!A3),_WORK!B8,IF(AND(B10&lt;&gt;_INPUT!A3,F10=_INPUT!A3),_WORK!B9,IF(OR(B5=_INPUT!A3,F5=_INPUT!A3),_WORK!B33,_WORK!B1))))))</f>
        <v>NO INPUT PROCESSING BOARD</v>
      </c>
      <c r="C13" s="112"/>
      <c r="D13" s="112"/>
      <c r="E13" s="112"/>
      <c r="F13" s="112"/>
      <c r="G13" s="112"/>
      <c r="H13" s="112"/>
      <c r="I13" s="113"/>
      <c r="J13" s="111" t="str">
        <f>IF(J10="",_WORK!B24,IF(J10=_OUTPUT!A3,_WORK!B5,IF(J5=_OUTPUT!A3,_WORK!B36,_WORK!B3)))</f>
        <v>NO OUTPUT PROCESSING BOARD</v>
      </c>
      <c r="K13" s="112"/>
      <c r="L13" s="112"/>
      <c r="M13" s="113"/>
      <c r="O13" s="156" t="str">
        <f>IF(O10="",_WORK!B30,"")</f>
        <v/>
      </c>
      <c r="P13" s="157"/>
      <c r="Q13" s="157"/>
      <c r="R13" s="157"/>
      <c r="S13" s="158"/>
    </row>
    <row r="14" spans="1:19" ht="15" customHeight="1" thickBot="1" x14ac:dyDescent="0.3">
      <c r="B14" s="108" t="s">
        <v>61</v>
      </c>
      <c r="C14" s="109"/>
      <c r="D14" s="109"/>
      <c r="E14" s="110"/>
      <c r="F14" s="108" t="s">
        <v>62</v>
      </c>
      <c r="G14" s="109"/>
      <c r="H14" s="109"/>
      <c r="I14" s="110"/>
      <c r="J14" s="108" t="s">
        <v>19</v>
      </c>
      <c r="K14" s="109"/>
      <c r="L14" s="109"/>
      <c r="M14" s="110"/>
    </row>
    <row r="15" spans="1:19" ht="10.15" customHeight="1" x14ac:dyDescent="0.25">
      <c r="B15" s="144" t="s">
        <v>10</v>
      </c>
      <c r="C15" s="145"/>
      <c r="D15" s="145"/>
      <c r="E15" s="146"/>
      <c r="F15" s="144" t="s">
        <v>10</v>
      </c>
      <c r="G15" s="145"/>
      <c r="H15" s="145"/>
      <c r="I15" s="146"/>
      <c r="J15" s="144" t="s">
        <v>11</v>
      </c>
      <c r="K15" s="145"/>
      <c r="L15" s="145"/>
      <c r="M15" s="146"/>
    </row>
    <row r="16" spans="1:19" ht="10.15" customHeight="1" x14ac:dyDescent="0.25">
      <c r="B16" s="147"/>
      <c r="C16" s="148"/>
      <c r="D16" s="148"/>
      <c r="E16" s="149"/>
      <c r="F16" s="147"/>
      <c r="G16" s="148"/>
      <c r="H16" s="148"/>
      <c r="I16" s="149"/>
      <c r="J16" s="147"/>
      <c r="K16" s="148"/>
      <c r="L16" s="148"/>
      <c r="M16" s="149"/>
    </row>
    <row r="17" spans="1:19" ht="10.15" customHeight="1" thickBot="1" x14ac:dyDescent="0.3">
      <c r="B17" s="150"/>
      <c r="C17" s="151"/>
      <c r="D17" s="151"/>
      <c r="E17" s="152"/>
      <c r="F17" s="150"/>
      <c r="G17" s="151"/>
      <c r="H17" s="151"/>
      <c r="I17" s="152"/>
      <c r="J17" s="150"/>
      <c r="K17" s="151"/>
      <c r="L17" s="151"/>
      <c r="M17" s="152"/>
    </row>
    <row r="18" spans="1:19" ht="15" customHeight="1" thickBot="1" x14ac:dyDescent="0.3">
      <c r="A18" s="18"/>
      <c r="B18" s="111" t="str">
        <f>IF(B15="",_WORK!B19,IF(F15="",_WORK!B20,IF(AND(B15=_INPUT!A3,F15=_INPUT!A3),_WORK!B2,IF(AND(B15=_INPUT!A3,F5&lt;&gt;_INPUT!A3),_WORK!B10,IF(AND(B15&lt;&gt;_INPUT!A3,F15=_INPUT!A3),_WORK!B11,IF(OR(B5=_INPUT!A3,F5=_INPUT!A3),_WORK!B33,IF(OR(B10=_INPUT!A3,F10=_INPUT!A3),_WORK!B34,_WORK!B1)))))))</f>
        <v>NO INPUT PROCESSING BOARD</v>
      </c>
      <c r="C18" s="112"/>
      <c r="D18" s="112"/>
      <c r="E18" s="112"/>
      <c r="F18" s="112"/>
      <c r="G18" s="112"/>
      <c r="H18" s="112"/>
      <c r="I18" s="113"/>
      <c r="J18" s="111" t="str">
        <f>IF(J15="",_WORK!B25,IF(J15=_OUTPUT!A3,_WORK!B5,IF(J5=_OUTPUT!A3,_WORK!B36,IF(J10=_OUTPUT!A3,_WORK!B37,_WORK!B3))))</f>
        <v>NO OUTPUT PROCESSING BOARD</v>
      </c>
      <c r="K18" s="112"/>
      <c r="L18" s="112"/>
      <c r="M18" s="113"/>
      <c r="S18" s="2"/>
    </row>
    <row r="19" spans="1:19" ht="15" customHeight="1" thickBot="1" x14ac:dyDescent="0.3">
      <c r="B19" s="108" t="s">
        <v>344</v>
      </c>
      <c r="C19" s="109"/>
      <c r="D19" s="109"/>
      <c r="E19" s="110"/>
      <c r="F19" s="108" t="s">
        <v>345</v>
      </c>
      <c r="G19" s="109"/>
      <c r="H19" s="109"/>
      <c r="I19" s="110"/>
      <c r="J19" s="108" t="s">
        <v>24</v>
      </c>
      <c r="K19" s="109"/>
      <c r="L19" s="109"/>
      <c r="M19" s="110"/>
    </row>
    <row r="20" spans="1:19" ht="10.15" customHeight="1" x14ac:dyDescent="0.25">
      <c r="B20" s="144" t="s">
        <v>10</v>
      </c>
      <c r="C20" s="145"/>
      <c r="D20" s="145"/>
      <c r="E20" s="146"/>
      <c r="F20" s="144" t="s">
        <v>10</v>
      </c>
      <c r="G20" s="145"/>
      <c r="H20" s="145"/>
      <c r="I20" s="146"/>
      <c r="J20" s="144" t="s">
        <v>11</v>
      </c>
      <c r="K20" s="145"/>
      <c r="L20" s="145"/>
      <c r="M20" s="146"/>
    </row>
    <row r="21" spans="1:19" ht="10.15" customHeight="1" x14ac:dyDescent="0.25">
      <c r="B21" s="147"/>
      <c r="C21" s="148"/>
      <c r="D21" s="148"/>
      <c r="E21" s="149"/>
      <c r="F21" s="147"/>
      <c r="G21" s="148"/>
      <c r="H21" s="148"/>
      <c r="I21" s="149"/>
      <c r="J21" s="147"/>
      <c r="K21" s="148"/>
      <c r="L21" s="148"/>
      <c r="M21" s="149"/>
    </row>
    <row r="22" spans="1:19" ht="10.15" customHeight="1" thickBot="1" x14ac:dyDescent="0.3">
      <c r="B22" s="150"/>
      <c r="C22" s="151"/>
      <c r="D22" s="151"/>
      <c r="E22" s="152"/>
      <c r="F22" s="150"/>
      <c r="G22" s="151"/>
      <c r="H22" s="151"/>
      <c r="I22" s="152"/>
      <c r="J22" s="150"/>
      <c r="K22" s="151"/>
      <c r="L22" s="151"/>
      <c r="M22" s="152"/>
    </row>
    <row r="23" spans="1:19" ht="15" customHeight="1" thickBot="1" x14ac:dyDescent="0.3">
      <c r="B23" s="111" t="str">
        <f>IF(B20="",_WORK!B21,IF(F20="",_WORK!B22,IF(AND(B20=_INPUT!A3,F20=_INPUT!A3),_WORK!B2,IF(AND(B20=_INPUT!A3,F20&lt;&gt;_INPUT!A3),_WORK!B12,IF(AND(B20&lt;&gt;_INPUT!A3,F20=_INPUT!A3),_WORK!B13,IF(OR(B5=_INPUT!A3,F5=_INPUT!A3),_WORK!B33,IF(OR(B10=_INPUT!A3,F10=_INPUT!A3),_WORK!B34,IF(OR(B15=_INPUT!A3,F15=_INPUT!A3),_WORK!B35,_WORK!B1))))))))</f>
        <v>NO INPUT PROCESSING BOARD</v>
      </c>
      <c r="C23" s="112"/>
      <c r="D23" s="112"/>
      <c r="E23" s="112"/>
      <c r="F23" s="112"/>
      <c r="G23" s="112"/>
      <c r="H23" s="112"/>
      <c r="I23" s="113"/>
      <c r="J23" s="111" t="str">
        <f>IF(J20="",_WORK!B26,IF(J20=_OUTPUT!A3,_WORK!B5,IF(J5=_OUTPUT!A3,_WORK!B36,IF(J10=_OUTPUT!A3,_WORK!B37,IF(J15=_OUTPUT!A3,_WORK!B38,_WORK!B3)))))</f>
        <v>NO OUTPUT PROCESSING BOARD</v>
      </c>
      <c r="K23" s="112"/>
      <c r="L23" s="112"/>
      <c r="M23" s="113"/>
    </row>
    <row r="24" spans="1:19" ht="15" customHeight="1" thickBot="1" x14ac:dyDescent="0.3">
      <c r="B24" s="108" t="s">
        <v>17</v>
      </c>
      <c r="C24" s="109"/>
      <c r="D24" s="109"/>
      <c r="E24" s="110"/>
      <c r="F24" s="108" t="s">
        <v>18</v>
      </c>
      <c r="G24" s="109"/>
      <c r="H24" s="109"/>
      <c r="I24" s="110"/>
      <c r="J24" s="108" t="s">
        <v>63</v>
      </c>
      <c r="K24" s="109"/>
      <c r="L24" s="109"/>
      <c r="M24" s="110"/>
    </row>
    <row r="25" spans="1:19" ht="10.15" customHeight="1" x14ac:dyDescent="0.25">
      <c r="B25" s="126" t="s">
        <v>20</v>
      </c>
      <c r="C25" s="127"/>
      <c r="D25" s="127"/>
      <c r="E25" s="128"/>
      <c r="F25" s="135" t="s">
        <v>21</v>
      </c>
      <c r="G25" s="136"/>
      <c r="H25" s="136"/>
      <c r="I25" s="137"/>
      <c r="J25" s="144" t="s">
        <v>11</v>
      </c>
      <c r="K25" s="145"/>
      <c r="L25" s="145"/>
      <c r="M25" s="146"/>
    </row>
    <row r="26" spans="1:19" ht="10.15" customHeight="1" x14ac:dyDescent="0.25">
      <c r="B26" s="129"/>
      <c r="C26" s="130"/>
      <c r="D26" s="130"/>
      <c r="E26" s="131"/>
      <c r="F26" s="138"/>
      <c r="G26" s="139"/>
      <c r="H26" s="139"/>
      <c r="I26" s="140"/>
      <c r="J26" s="147"/>
      <c r="K26" s="148"/>
      <c r="L26" s="148"/>
      <c r="M26" s="149"/>
    </row>
    <row r="27" spans="1:19" ht="10.15" customHeight="1" thickBot="1" x14ac:dyDescent="0.3">
      <c r="B27" s="132"/>
      <c r="C27" s="133"/>
      <c r="D27" s="133"/>
      <c r="E27" s="134"/>
      <c r="F27" s="141"/>
      <c r="G27" s="142"/>
      <c r="H27" s="142"/>
      <c r="I27" s="143"/>
      <c r="J27" s="150"/>
      <c r="K27" s="151"/>
      <c r="L27" s="151"/>
      <c r="M27" s="152"/>
    </row>
    <row r="28" spans="1:19" ht="15" customHeight="1" thickBot="1" x14ac:dyDescent="0.3">
      <c r="B28" s="153"/>
      <c r="C28" s="154"/>
      <c r="D28" s="154"/>
      <c r="E28" s="155"/>
      <c r="F28" s="111" t="str">
        <f>IF(F25=_MVW!A4,_WORK!B31,_WORK!B32)</f>
        <v>DEFAULT HDMI MVW CARD</v>
      </c>
      <c r="G28" s="112"/>
      <c r="H28" s="112"/>
      <c r="I28" s="113"/>
      <c r="J28" s="111" t="str">
        <f>IF(J25="",_WORK!B27,IF(J25=_OUTPUT!A3,_WORK!B5,IF(J5=_OUTPUT!A3,_WORK!B36,IF(J10=_OUTPUT!A3,_WORK!B37,IF(J15=_OUTPUT!A3,_WORK!B38,IF(J20=_OUTPUT!A3,_WORK!B39,_WORK!B3))))))</f>
        <v>NO OUTPUT PROCESSING BOARD</v>
      </c>
      <c r="K28" s="112"/>
      <c r="L28" s="112"/>
      <c r="M28" s="113"/>
    </row>
    <row r="29" spans="1:19" ht="15" customHeight="1" thickBot="1" x14ac:dyDescent="0.3">
      <c r="B29" s="108" t="s">
        <v>22</v>
      </c>
      <c r="C29" s="109"/>
      <c r="D29" s="109"/>
      <c r="E29" s="110"/>
      <c r="F29" s="108" t="s">
        <v>23</v>
      </c>
      <c r="G29" s="109"/>
      <c r="H29" s="109"/>
      <c r="I29" s="110"/>
      <c r="J29" s="108" t="s">
        <v>339</v>
      </c>
      <c r="K29" s="109"/>
      <c r="L29" s="109"/>
      <c r="M29" s="110"/>
      <c r="O29" s="121" t="s">
        <v>25</v>
      </c>
      <c r="P29" s="122"/>
      <c r="Q29" s="161" t="s">
        <v>26</v>
      </c>
      <c r="R29" s="162"/>
      <c r="S29" s="163"/>
    </row>
    <row r="30" spans="1:19" ht="10.15" customHeight="1" x14ac:dyDescent="0.25">
      <c r="B30" s="126" t="s">
        <v>20</v>
      </c>
      <c r="C30" s="127"/>
      <c r="D30" s="127"/>
      <c r="E30" s="128"/>
      <c r="F30" s="126" t="s">
        <v>20</v>
      </c>
      <c r="G30" s="127"/>
      <c r="H30" s="127"/>
      <c r="I30" s="128"/>
      <c r="J30" s="144" t="s">
        <v>11</v>
      </c>
      <c r="K30" s="145"/>
      <c r="L30" s="145"/>
      <c r="M30" s="146"/>
      <c r="O30" s="164" t="s">
        <v>27</v>
      </c>
      <c r="P30" s="165"/>
      <c r="Q30" s="144" t="s">
        <v>28</v>
      </c>
      <c r="R30" s="145"/>
      <c r="S30" s="146"/>
    </row>
    <row r="31" spans="1:19" ht="10.15" customHeight="1" thickBot="1" x14ac:dyDescent="0.3">
      <c r="B31" s="129"/>
      <c r="C31" s="130"/>
      <c r="D31" s="130"/>
      <c r="E31" s="131"/>
      <c r="F31" s="129"/>
      <c r="G31" s="130"/>
      <c r="H31" s="130"/>
      <c r="I31" s="131"/>
      <c r="J31" s="147"/>
      <c r="K31" s="148"/>
      <c r="L31" s="148"/>
      <c r="M31" s="149"/>
      <c r="O31" s="166"/>
      <c r="P31" s="167"/>
      <c r="Q31" s="150"/>
      <c r="R31" s="151"/>
      <c r="S31" s="152"/>
    </row>
    <row r="32" spans="1:19" ht="10.15" customHeight="1" thickBot="1" x14ac:dyDescent="0.3">
      <c r="B32" s="132"/>
      <c r="C32" s="133"/>
      <c r="D32" s="133"/>
      <c r="E32" s="134"/>
      <c r="F32" s="132"/>
      <c r="G32" s="133"/>
      <c r="H32" s="133"/>
      <c r="I32" s="134"/>
      <c r="J32" s="150"/>
      <c r="K32" s="151"/>
      <c r="L32" s="151"/>
      <c r="M32" s="152"/>
    </row>
    <row r="33" spans="2:41" ht="15" customHeight="1" thickBot="1" x14ac:dyDescent="0.3">
      <c r="B33" s="156"/>
      <c r="C33" s="157"/>
      <c r="D33" s="157"/>
      <c r="E33" s="158"/>
      <c r="F33" s="153"/>
      <c r="G33" s="154"/>
      <c r="H33" s="154"/>
      <c r="I33" s="155"/>
      <c r="J33" s="111" t="str">
        <f>IF(J30="",_WORK!B28,IF(J30=_OUTPUT!A3,_WORK!B5,IF(J30=_OUTPUT!A$12,_WORK!B4,IF(J5=_OUTPUT!A3,_WORK!B36,IF(J10=_OUTPUT!A3,_WORK!B37,IF(J15=_OUTPUT!A3,_WORK!B38,IF(J20=_OUTPUT!A3,_WORK!B39,IF(J25=_OUTPUT!A3,_WORK!B40,_WORK!B3))))))))</f>
        <v>NO OUTPUT PROCESSING BOARD</v>
      </c>
      <c r="K33" s="112"/>
      <c r="L33" s="112"/>
      <c r="M33" s="113"/>
    </row>
    <row r="34" spans="2:41" x14ac:dyDescent="0.25">
      <c r="X34" s="52"/>
      <c r="Y34" s="52"/>
      <c r="Z34" s="52"/>
      <c r="AA34" s="52"/>
      <c r="AB34" s="52"/>
      <c r="AC34" s="52"/>
      <c r="AD34" s="52"/>
      <c r="AE34" s="52"/>
    </row>
    <row r="35" spans="2:41" ht="16.5" thickBot="1" x14ac:dyDescent="0.3">
      <c r="B35" s="180" t="s">
        <v>29</v>
      </c>
      <c r="C35" s="180"/>
      <c r="D35" s="180"/>
      <c r="E35" s="180"/>
      <c r="F35" s="180"/>
      <c r="G35" s="180"/>
      <c r="H35" s="180"/>
      <c r="I35" s="180"/>
      <c r="J35" s="180"/>
      <c r="K35" s="180"/>
      <c r="L35" s="180"/>
      <c r="M35" s="180"/>
      <c r="O35" s="5"/>
      <c r="P35" s="5"/>
      <c r="Q35" s="5"/>
      <c r="R35" s="5"/>
      <c r="X35" s="52"/>
      <c r="Y35" s="37"/>
      <c r="Z35" s="37"/>
      <c r="AA35" s="37"/>
      <c r="AB35" s="37"/>
      <c r="AC35" s="37"/>
      <c r="AD35" s="37"/>
      <c r="AE35" s="37"/>
    </row>
    <row r="36" spans="2:41" ht="28.9" customHeight="1" thickBot="1" x14ac:dyDescent="0.3">
      <c r="B36" s="174" t="str">
        <f>IF(_WORK!C69=TRUE,IF(E67=_MVW!A4,CONCATENATE(AD39,"-",AD41,AD42,AD44,AD45,AD47,AD48,AD50,AD51,"-",AD53,AD55,AD57,AD59,AD61,AD63,"-",AD64,AD65),CONCATENATE(AD39,"-",AD41,AD42,AD44,AD45,AD47,AD48,AD50,AD51,"-",AD53,AD55,AD57,AD59,AD61, AD63,"-",AD64,AD65,"-",AD66)),_WORK!B14)</f>
        <v>AQL-CMAX-00000000-000000-00</v>
      </c>
      <c r="C36" s="175"/>
      <c r="D36" s="175"/>
      <c r="E36" s="175"/>
      <c r="F36" s="175"/>
      <c r="G36" s="175"/>
      <c r="H36" s="175"/>
      <c r="I36" s="175"/>
      <c r="J36" s="175"/>
      <c r="K36" s="175"/>
      <c r="L36" s="175"/>
      <c r="M36" s="176"/>
      <c r="Q36" s="37"/>
      <c r="R36" s="37"/>
      <c r="S36" s="52"/>
      <c r="T36" s="52"/>
      <c r="U36" s="52"/>
      <c r="V36" s="52"/>
      <c r="W36" s="52"/>
      <c r="X36" s="37"/>
      <c r="Y36" s="37"/>
      <c r="Z36" s="37"/>
      <c r="AA36" s="37"/>
      <c r="AB36" s="37"/>
      <c r="AC36" s="37"/>
      <c r="AD36" s="37"/>
      <c r="AE36" s="37"/>
      <c r="AF36" s="37"/>
      <c r="AG36" s="37"/>
      <c r="AH36" s="37"/>
      <c r="AI36" s="37"/>
      <c r="AJ36" s="37"/>
      <c r="AK36" s="37"/>
      <c r="AL36" s="37"/>
      <c r="AM36" s="37"/>
      <c r="AN36" s="37"/>
      <c r="AO36" s="37"/>
    </row>
    <row r="37" spans="2:41" x14ac:dyDescent="0.25">
      <c r="Q37" s="37"/>
      <c r="R37" s="37"/>
      <c r="S37" s="52"/>
      <c r="T37" s="18"/>
      <c r="U37" s="18"/>
      <c r="V37" s="18"/>
      <c r="W37" s="18"/>
      <c r="X37" s="18"/>
      <c r="Y37" s="37"/>
      <c r="Z37" s="37"/>
      <c r="AA37" s="37"/>
      <c r="AB37" s="37"/>
      <c r="AC37" s="37"/>
      <c r="AD37" s="37"/>
      <c r="AE37" s="37"/>
      <c r="AF37" s="18"/>
      <c r="AG37" s="37"/>
      <c r="AH37" s="37"/>
      <c r="AI37" s="37"/>
      <c r="AJ37" s="37"/>
      <c r="AK37" s="37"/>
      <c r="AL37" s="37"/>
      <c r="AM37" s="37"/>
      <c r="AN37" s="37"/>
      <c r="AO37" s="37"/>
    </row>
    <row r="38" spans="2:41" x14ac:dyDescent="0.25">
      <c r="B38" s="4" t="s">
        <v>30</v>
      </c>
      <c r="Q38" s="37"/>
      <c r="R38" s="51"/>
      <c r="S38" s="51"/>
      <c r="T38" s="51"/>
      <c r="U38" s="51"/>
      <c r="V38" s="51"/>
      <c r="W38" s="51"/>
      <c r="X38" s="51"/>
      <c r="Y38" s="51"/>
      <c r="Z38" s="38"/>
      <c r="AA38" s="38" t="s">
        <v>35</v>
      </c>
      <c r="AB38" s="38" t="s">
        <v>36</v>
      </c>
      <c r="AC38" s="38" t="s">
        <v>37</v>
      </c>
      <c r="AD38" s="38" t="s">
        <v>38</v>
      </c>
      <c r="AE38" s="38"/>
      <c r="AF38" s="51"/>
      <c r="AG38" s="51"/>
      <c r="AH38" s="37"/>
      <c r="AI38" s="37"/>
      <c r="AJ38" s="37"/>
      <c r="AK38" s="37"/>
      <c r="AL38" s="37"/>
      <c r="AM38" s="37"/>
      <c r="AN38" s="37"/>
      <c r="AO38" s="37"/>
    </row>
    <row r="39" spans="2:41" s="5" customFormat="1" x14ac:dyDescent="0.25">
      <c r="B39" s="159" t="s">
        <v>31</v>
      </c>
      <c r="C39" s="159"/>
      <c r="D39" s="159"/>
      <c r="E39" s="159" t="s">
        <v>32</v>
      </c>
      <c r="F39" s="159"/>
      <c r="G39" s="159"/>
      <c r="H39" s="159"/>
      <c r="I39" s="159" t="s">
        <v>33</v>
      </c>
      <c r="J39" s="159"/>
      <c r="K39" s="8" t="s">
        <v>34</v>
      </c>
      <c r="L39" s="81"/>
      <c r="M39" s="82"/>
      <c r="N39" s="83"/>
      <c r="O39" s="84"/>
      <c r="Q39" s="38"/>
      <c r="R39" s="51"/>
      <c r="S39" s="51"/>
      <c r="T39" s="51"/>
      <c r="U39" s="51"/>
      <c r="V39" s="51"/>
      <c r="W39" s="51"/>
      <c r="X39" s="51"/>
      <c r="Y39" s="51"/>
      <c r="Z39" s="38"/>
      <c r="AA39" s="39">
        <f>VLOOKUP(E40,_CHASSIS!A2:G5,4,FALSE)</f>
        <v>66500</v>
      </c>
      <c r="AB39" s="39">
        <f>VLOOKUP(E40,_CHASSIS!A2:G5,5,FALSE)</f>
        <v>77800</v>
      </c>
      <c r="AC39" s="39">
        <f>VLOOKUP(E40,_CHASSIS!A2:G5,6,FALSE)</f>
        <v>55420</v>
      </c>
      <c r="AD39" s="38" t="str">
        <f>VLOOKUP(E40,_CHASSIS!A2:G5,2,FALSE)</f>
        <v>AQL-CMAX</v>
      </c>
      <c r="AE39" s="38"/>
      <c r="AF39" s="51"/>
      <c r="AG39" s="51"/>
      <c r="AH39" s="38"/>
      <c r="AI39" s="38"/>
      <c r="AJ39" s="38"/>
      <c r="AK39" s="38"/>
      <c r="AL39" s="38"/>
      <c r="AM39" s="38"/>
      <c r="AN39" s="38"/>
      <c r="AO39" s="38"/>
    </row>
    <row r="40" spans="2:41" s="5" customFormat="1" x14ac:dyDescent="0.25">
      <c r="B40" s="98" t="s">
        <v>39</v>
      </c>
      <c r="C40" s="99"/>
      <c r="D40" s="100"/>
      <c r="E40" s="120" t="str">
        <f>_CHASSIS!A5</f>
        <v>AQUILON CUSTOM - BASE MODULE 6RU</v>
      </c>
      <c r="F40" s="120"/>
      <c r="G40" s="120"/>
      <c r="H40" s="120"/>
      <c r="I40" s="120" t="str">
        <f>VLOOKUP(E40,_CHASSIS!A2:G5,3,FALSE)</f>
        <v>AQL-CMAX</v>
      </c>
      <c r="J40" s="120"/>
      <c r="K40" s="9">
        <f>IF(E40=_CHASSIS!B2,0,1)</f>
        <v>1</v>
      </c>
      <c r="L40" s="160"/>
      <c r="M40" s="160"/>
      <c r="N40" s="81"/>
      <c r="O40" s="84"/>
      <c r="P40" s="51"/>
      <c r="Q40" s="38"/>
      <c r="R40" s="52"/>
      <c r="S40" s="52"/>
      <c r="T40" s="52"/>
      <c r="U40" s="52"/>
      <c r="V40" s="52"/>
      <c r="W40" s="52"/>
      <c r="X40" s="52"/>
      <c r="Y40" s="52"/>
      <c r="Z40" s="37"/>
      <c r="AA40" s="39">
        <f>VLOOKUP($E41,_GENERIC!A2:G5,4,FALSE)</f>
        <v>0</v>
      </c>
      <c r="AB40" s="39">
        <f>VLOOKUP($E41,_GENERIC!A2:G5,5,FALSE)</f>
        <v>0</v>
      </c>
      <c r="AC40" s="39">
        <f>VLOOKUP($E41,_GENERIC!A2:G5,6,FALSE)</f>
        <v>0</v>
      </c>
      <c r="AD40" s="38" t="str">
        <f>VLOOKUP($E41,_GENERIC!A2:G5,2,FALSE)</f>
        <v>0</v>
      </c>
      <c r="AE40" s="37"/>
      <c r="AF40" s="52"/>
      <c r="AG40" s="52"/>
      <c r="AH40" s="51"/>
      <c r="AI40" s="38"/>
      <c r="AJ40" s="38"/>
      <c r="AK40" s="38"/>
      <c r="AL40" s="38"/>
      <c r="AM40" s="38"/>
      <c r="AN40" s="38"/>
      <c r="AO40" s="38"/>
    </row>
    <row r="41" spans="2:41" x14ac:dyDescent="0.25">
      <c r="B41" s="101" t="s">
        <v>40</v>
      </c>
      <c r="C41" s="102"/>
      <c r="D41" s="103"/>
      <c r="E41" s="107" t="str">
        <f>IF(OR(E42=_INPUT!A3,E43=_INPUT!A3,E42=0,E43=0),_GENERIC!A3,_GENERIC!A4)</f>
        <v>NO GENERIC I/O BOARD</v>
      </c>
      <c r="F41" s="107"/>
      <c r="G41" s="107"/>
      <c r="H41" s="107"/>
      <c r="I41" s="107" t="str">
        <f>VLOOKUP($E41,_GENERIC!A2:G5,3,FALSE)</f>
        <v>---NA---</v>
      </c>
      <c r="J41" s="107"/>
      <c r="K41" s="9">
        <f>IF(E41=_GENERIC!A3,0,1)</f>
        <v>0</v>
      </c>
      <c r="L41" s="160"/>
      <c r="M41" s="160"/>
      <c r="N41" s="84"/>
      <c r="O41" s="84"/>
      <c r="P41" s="52"/>
      <c r="Q41" s="37"/>
      <c r="R41" s="52"/>
      <c r="S41" s="52"/>
      <c r="T41" s="52"/>
      <c r="U41" s="52"/>
      <c r="V41" s="52"/>
      <c r="W41" s="52"/>
      <c r="X41" s="52"/>
      <c r="Y41" s="52"/>
      <c r="Z41" s="37"/>
      <c r="AA41" s="39">
        <f>VLOOKUP($E42,_INPUT!A2:G13,4,FALSE)</f>
        <v>0</v>
      </c>
      <c r="AB41" s="39">
        <f>VLOOKUP($E42,_INPUT!A2:G13,5,FALSE)</f>
        <v>0</v>
      </c>
      <c r="AC41" s="39">
        <f>VLOOKUP($E42,_INPUT!A2:G13,6,FALSE)</f>
        <v>0</v>
      </c>
      <c r="AD41" s="38" t="str">
        <f>VLOOKUP($E42,_INPUT!A2:G13,2,FALSE)</f>
        <v>0</v>
      </c>
      <c r="AE41" s="37"/>
      <c r="AF41" s="52"/>
      <c r="AG41" s="52"/>
      <c r="AH41" s="52"/>
      <c r="AI41" s="37"/>
      <c r="AJ41" s="37"/>
      <c r="AK41" s="37"/>
      <c r="AL41" s="37"/>
      <c r="AM41" s="37"/>
      <c r="AN41" s="37"/>
      <c r="AO41" s="37"/>
    </row>
    <row r="42" spans="2:41" x14ac:dyDescent="0.25">
      <c r="B42" s="104" t="s">
        <v>41</v>
      </c>
      <c r="C42" s="105"/>
      <c r="D42" s="106"/>
      <c r="E42" s="123" t="str">
        <f>B5</f>
        <v>EMPTY SLOT (no input card)</v>
      </c>
      <c r="F42" s="123"/>
      <c r="G42" s="123"/>
      <c r="H42" s="123"/>
      <c r="I42" s="123" t="str">
        <f>VLOOKUP($E42,_INPUT!A2:G13,3,FALSE)</f>
        <v>---NA---</v>
      </c>
      <c r="J42" s="123"/>
      <c r="K42" s="9">
        <f>IF(E42=_INPUT!A3,0,1)</f>
        <v>0</v>
      </c>
      <c r="L42" s="160"/>
      <c r="M42" s="160"/>
      <c r="N42" s="84"/>
      <c r="O42" s="84"/>
      <c r="P42" s="52"/>
      <c r="Q42" s="37"/>
      <c r="R42" s="52"/>
      <c r="S42" s="52"/>
      <c r="T42" s="52"/>
      <c r="U42" s="52"/>
      <c r="V42" s="52"/>
      <c r="W42" s="52"/>
      <c r="X42" s="52"/>
      <c r="Y42" s="52"/>
      <c r="Z42" s="37"/>
      <c r="AA42" s="39">
        <f>VLOOKUP($E43,_INPUT!A2:G13,4,FALSE)</f>
        <v>0</v>
      </c>
      <c r="AB42" s="39">
        <f>VLOOKUP($E43,_INPUT!A2:G13,5,FALSE)</f>
        <v>0</v>
      </c>
      <c r="AC42" s="39">
        <f>VLOOKUP($E43,_INPUT!A2:G13,6,FALSE)</f>
        <v>0</v>
      </c>
      <c r="AD42" s="38" t="str">
        <f>VLOOKUP($E43,_INPUT!A2:G13,2,FALSE)</f>
        <v>0</v>
      </c>
      <c r="AE42" s="37"/>
      <c r="AF42" s="52"/>
      <c r="AG42" s="52"/>
      <c r="AH42" s="52"/>
      <c r="AI42" s="37"/>
      <c r="AJ42" s="37"/>
      <c r="AK42" s="37"/>
      <c r="AL42" s="37"/>
      <c r="AM42" s="37"/>
      <c r="AN42" s="37"/>
      <c r="AO42" s="37"/>
    </row>
    <row r="43" spans="2:41" x14ac:dyDescent="0.25">
      <c r="B43" s="117" t="s">
        <v>42</v>
      </c>
      <c r="C43" s="118"/>
      <c r="D43" s="125"/>
      <c r="E43" s="124" t="str">
        <f>F5</f>
        <v>EMPTY SLOT (no input card)</v>
      </c>
      <c r="F43" s="124"/>
      <c r="G43" s="124"/>
      <c r="H43" s="124"/>
      <c r="I43" s="124" t="str">
        <f>VLOOKUP($E43,_INPUT!A2:G13,3,FALSE)</f>
        <v>---NA---</v>
      </c>
      <c r="J43" s="124"/>
      <c r="K43" s="9">
        <f>IF(E43=_INPUT!A3,0,1)</f>
        <v>0</v>
      </c>
      <c r="L43" s="160"/>
      <c r="M43" s="160"/>
      <c r="N43" s="84"/>
      <c r="O43" s="84"/>
      <c r="P43" s="52"/>
      <c r="Q43" s="37"/>
      <c r="R43" s="52"/>
      <c r="S43" s="52"/>
      <c r="T43" s="52"/>
      <c r="U43" s="52"/>
      <c r="V43" s="52"/>
      <c r="W43" s="52"/>
      <c r="X43" s="52"/>
      <c r="Y43" s="52"/>
      <c r="Z43" s="37"/>
      <c r="AA43" s="39">
        <f>VLOOKUP($E44,_GENERIC!A2:G5,4,FALSE)</f>
        <v>0</v>
      </c>
      <c r="AB43" s="39">
        <f>VLOOKUP($E44,_GENERIC!A2:G5,5,FALSE)</f>
        <v>0</v>
      </c>
      <c r="AC43" s="39">
        <f>VLOOKUP($E44,_GENERIC!A2:G5,6,FALSE)</f>
        <v>0</v>
      </c>
      <c r="AD43" s="38" t="str">
        <f>VLOOKUP($E44,_GENERIC!A2:G5,2,FALSE)</f>
        <v>0</v>
      </c>
      <c r="AE43" s="37"/>
      <c r="AF43" s="52"/>
      <c r="AG43" s="52"/>
      <c r="AH43" s="52"/>
      <c r="AI43" s="37"/>
      <c r="AJ43" s="37"/>
      <c r="AK43" s="37"/>
      <c r="AL43" s="37"/>
      <c r="AM43" s="37"/>
      <c r="AN43" s="37"/>
      <c r="AO43" s="37"/>
    </row>
    <row r="44" spans="2:41" x14ac:dyDescent="0.25">
      <c r="B44" s="101" t="s">
        <v>43</v>
      </c>
      <c r="C44" s="102"/>
      <c r="D44" s="103"/>
      <c r="E44" s="107" t="str">
        <f>IF(OR(E45=_INPUT!A3,E45=_INPUT!A3,E45=0,E46=0,B13=_WORK!B41),_GENERIC!A3,_GENERIC!A4)</f>
        <v>NO GENERIC I/O BOARD</v>
      </c>
      <c r="F44" s="107"/>
      <c r="G44" s="107"/>
      <c r="H44" s="107"/>
      <c r="I44" s="107" t="str">
        <f>VLOOKUP($E44,_GENERIC!A2:G5,3,FALSE)</f>
        <v>---NA---</v>
      </c>
      <c r="J44" s="107"/>
      <c r="K44" s="9">
        <f>IF(E44=_GENERIC!A3,0,1)</f>
        <v>0</v>
      </c>
      <c r="L44" s="160"/>
      <c r="M44" s="160"/>
      <c r="N44" s="84"/>
      <c r="O44" s="84"/>
      <c r="P44" s="52"/>
      <c r="Q44" s="37"/>
      <c r="R44" s="52"/>
      <c r="S44" s="52"/>
      <c r="T44" s="52"/>
      <c r="U44" s="52"/>
      <c r="V44" s="52"/>
      <c r="W44" s="52"/>
      <c r="X44" s="52"/>
      <c r="Y44" s="52"/>
      <c r="Z44" s="37"/>
      <c r="AA44" s="39">
        <f>VLOOKUP($E45,_INPUT!A2:G13,4,FALSE)</f>
        <v>0</v>
      </c>
      <c r="AB44" s="39">
        <f>VLOOKUP($E45,_INPUT!A2:G13,5,FALSE)</f>
        <v>0</v>
      </c>
      <c r="AC44" s="39">
        <f>VLOOKUP($E45,_INPUT!A2:G13,6,FALSE)</f>
        <v>0</v>
      </c>
      <c r="AD44" s="38" t="str">
        <f>VLOOKUP($E45,_INPUT!A2:G13,2,FALSE)</f>
        <v>0</v>
      </c>
      <c r="AE44" s="37"/>
      <c r="AF44" s="52"/>
      <c r="AG44" s="52"/>
      <c r="AH44" s="52"/>
      <c r="AI44" s="37"/>
      <c r="AJ44" s="37"/>
      <c r="AK44" s="37"/>
      <c r="AL44" s="37"/>
      <c r="AM44" s="37"/>
      <c r="AN44" s="37"/>
      <c r="AO44" s="37"/>
    </row>
    <row r="45" spans="2:41" x14ac:dyDescent="0.25">
      <c r="B45" s="104" t="s">
        <v>44</v>
      </c>
      <c r="C45" s="105"/>
      <c r="D45" s="106"/>
      <c r="E45" s="123" t="str">
        <f>B10</f>
        <v>EMPTY SLOT (no input card)</v>
      </c>
      <c r="F45" s="123"/>
      <c r="G45" s="123"/>
      <c r="H45" s="123"/>
      <c r="I45" s="123" t="str">
        <f>VLOOKUP($E45,_INPUT!A2:G13,3,FALSE)</f>
        <v>---NA---</v>
      </c>
      <c r="J45" s="123"/>
      <c r="K45" s="9">
        <f>IF(E45=_INPUT!A3,0,1)</f>
        <v>0</v>
      </c>
      <c r="L45" s="160"/>
      <c r="M45" s="160"/>
      <c r="N45" s="84"/>
      <c r="O45" s="84"/>
      <c r="P45" s="52"/>
      <c r="Q45" s="37"/>
      <c r="R45" s="52"/>
      <c r="S45" s="52"/>
      <c r="T45" s="52"/>
      <c r="U45" s="52"/>
      <c r="V45" s="52"/>
      <c r="W45" s="52"/>
      <c r="X45" s="52"/>
      <c r="Y45" s="52"/>
      <c r="Z45" s="37"/>
      <c r="AA45" s="39">
        <f>VLOOKUP($E46,_INPUT!A2:G13,4,FALSE)</f>
        <v>0</v>
      </c>
      <c r="AB45" s="39">
        <f>VLOOKUP($E46,_INPUT!A2:G13,5,FALSE)</f>
        <v>0</v>
      </c>
      <c r="AC45" s="39">
        <f>VLOOKUP($E46,_INPUT!A2:G13,6,FALSE)</f>
        <v>0</v>
      </c>
      <c r="AD45" s="38" t="str">
        <f>VLOOKUP($E46,_INPUT!A2:G13,2,FALSE)</f>
        <v>0</v>
      </c>
      <c r="AE45" s="37"/>
      <c r="AF45" s="52"/>
      <c r="AG45" s="52"/>
      <c r="AH45" s="52"/>
      <c r="AI45" s="37"/>
      <c r="AJ45" s="37"/>
      <c r="AK45" s="37"/>
      <c r="AL45" s="37"/>
      <c r="AM45" s="37"/>
      <c r="AN45" s="37"/>
      <c r="AO45" s="37"/>
    </row>
    <row r="46" spans="2:41" x14ac:dyDescent="0.25">
      <c r="B46" s="117" t="s">
        <v>45</v>
      </c>
      <c r="C46" s="118"/>
      <c r="D46" s="125"/>
      <c r="E46" s="124" t="str">
        <f>F10</f>
        <v>EMPTY SLOT (no input card)</v>
      </c>
      <c r="F46" s="124"/>
      <c r="G46" s="124"/>
      <c r="H46" s="124"/>
      <c r="I46" s="124" t="str">
        <f>VLOOKUP($E46,_INPUT!A2:G13,3,FALSE)</f>
        <v>---NA---</v>
      </c>
      <c r="J46" s="124"/>
      <c r="K46" s="9">
        <f>IF(E46=_INPUT!A3,0,1)</f>
        <v>0</v>
      </c>
      <c r="L46" s="160"/>
      <c r="M46" s="160"/>
      <c r="N46" s="84"/>
      <c r="O46" s="84"/>
      <c r="P46" s="52"/>
      <c r="Q46" s="37"/>
      <c r="R46" s="52"/>
      <c r="S46" s="52"/>
      <c r="T46" s="52"/>
      <c r="U46" s="52"/>
      <c r="V46" s="52"/>
      <c r="W46" s="52"/>
      <c r="X46" s="52"/>
      <c r="Y46" s="52"/>
      <c r="Z46" s="37"/>
      <c r="AA46" s="39">
        <f>VLOOKUP($E47,_GENERIC!A2:G5,4,FALSE)</f>
        <v>0</v>
      </c>
      <c r="AB46" s="39">
        <f>VLOOKUP($E47,_GENERIC!A2:G5,5,FALSE)</f>
        <v>0</v>
      </c>
      <c r="AC46" s="39">
        <f>VLOOKUP($E47,_GENERIC!A2:G5,6,FALSE)</f>
        <v>0</v>
      </c>
      <c r="AD46" s="38" t="str">
        <f>VLOOKUP($E47,_GENERIC!A2:G5,2,FALSE)</f>
        <v>0</v>
      </c>
      <c r="AE46" s="37"/>
      <c r="AF46" s="52"/>
      <c r="AG46" s="52"/>
      <c r="AH46" s="52"/>
      <c r="AI46" s="37"/>
      <c r="AJ46" s="37"/>
      <c r="AK46" s="37"/>
      <c r="AL46" s="37"/>
      <c r="AM46" s="37"/>
      <c r="AN46" s="37"/>
      <c r="AO46" s="37"/>
    </row>
    <row r="47" spans="2:41" x14ac:dyDescent="0.25">
      <c r="B47" s="101" t="s">
        <v>64</v>
      </c>
      <c r="C47" s="102"/>
      <c r="D47" s="103"/>
      <c r="E47" s="107" t="str">
        <f>IF(OR(E48=_INPUT!A3,E49=_INPUT!A3,E48=0,E49=0,B18=_WORK!B41),_GENERIC!A3,_GENERIC!A4)</f>
        <v>NO GENERIC I/O BOARD</v>
      </c>
      <c r="F47" s="107"/>
      <c r="G47" s="107"/>
      <c r="H47" s="107"/>
      <c r="I47" s="107" t="str">
        <f>VLOOKUP($E47,_GENERIC!A2:G5,3,FALSE)</f>
        <v>---NA---</v>
      </c>
      <c r="J47" s="107"/>
      <c r="K47" s="9">
        <f>IF(E47=_GENERIC!A3,0,1)</f>
        <v>0</v>
      </c>
      <c r="L47" s="160"/>
      <c r="M47" s="160"/>
      <c r="N47" s="84"/>
      <c r="O47" s="84"/>
      <c r="P47" s="52"/>
      <c r="Q47" s="37"/>
      <c r="R47" s="52"/>
      <c r="S47" s="52"/>
      <c r="T47" s="52"/>
      <c r="U47" s="52"/>
      <c r="V47" s="52"/>
      <c r="W47" s="52"/>
      <c r="X47" s="52"/>
      <c r="Y47" s="52"/>
      <c r="Z47" s="37"/>
      <c r="AA47" s="39">
        <f>VLOOKUP($E48,_INPUT!A2:G13,4,FALSE)</f>
        <v>0</v>
      </c>
      <c r="AB47" s="39">
        <f>VLOOKUP($E48,_INPUT!A2:G13,5,FALSE)</f>
        <v>0</v>
      </c>
      <c r="AC47" s="39">
        <f>VLOOKUP($E48,_INPUT!A2:G13,6,FALSE)</f>
        <v>0</v>
      </c>
      <c r="AD47" s="38" t="str">
        <f>VLOOKUP($E48,_INPUT!A2:G13,2,FALSE)</f>
        <v>0</v>
      </c>
      <c r="AE47" s="37"/>
      <c r="AF47" s="52"/>
      <c r="AG47" s="52"/>
      <c r="AH47" s="52"/>
      <c r="AI47" s="37"/>
      <c r="AJ47" s="37"/>
      <c r="AK47" s="37"/>
      <c r="AL47" s="37"/>
      <c r="AM47" s="37"/>
      <c r="AN47" s="37"/>
      <c r="AO47" s="37"/>
    </row>
    <row r="48" spans="2:41" x14ac:dyDescent="0.25">
      <c r="B48" s="104" t="s">
        <v>65</v>
      </c>
      <c r="C48" s="105"/>
      <c r="D48" s="106"/>
      <c r="E48" s="123" t="str">
        <f>B15</f>
        <v>EMPTY SLOT (no input card)</v>
      </c>
      <c r="F48" s="123"/>
      <c r="G48" s="123"/>
      <c r="H48" s="123"/>
      <c r="I48" s="123" t="str">
        <f>VLOOKUP($E48,_INPUT!A2:G13,3,FALSE)</f>
        <v>---NA---</v>
      </c>
      <c r="J48" s="123"/>
      <c r="K48" s="9">
        <f>IF(E48=_INPUT!A3,0,1)</f>
        <v>0</v>
      </c>
      <c r="L48" s="160"/>
      <c r="M48" s="160"/>
      <c r="N48" s="84"/>
      <c r="O48" s="84"/>
      <c r="P48" s="52"/>
      <c r="Q48" s="37"/>
      <c r="R48" s="52"/>
      <c r="S48" s="52"/>
      <c r="T48" s="52"/>
      <c r="U48" s="52"/>
      <c r="V48" s="52"/>
      <c r="W48" s="52"/>
      <c r="X48" s="52"/>
      <c r="Y48" s="52"/>
      <c r="Z48" s="37"/>
      <c r="AA48" s="39">
        <f>VLOOKUP($E49,_INPUT!A2:G13,4,FALSE)</f>
        <v>0</v>
      </c>
      <c r="AB48" s="39">
        <f>VLOOKUP($E49,_INPUT!A2:G13,5,FALSE)</f>
        <v>0</v>
      </c>
      <c r="AC48" s="39">
        <f>VLOOKUP($E49,_INPUT!A2:G13,6,FALSE)</f>
        <v>0</v>
      </c>
      <c r="AD48" s="38" t="str">
        <f>VLOOKUP($E49,_INPUT!A2:G13,2,FALSE)</f>
        <v>0</v>
      </c>
      <c r="AE48" s="37"/>
      <c r="AF48" s="52"/>
      <c r="AG48" s="52"/>
      <c r="AH48" s="52"/>
      <c r="AI48" s="37"/>
      <c r="AJ48" s="37"/>
      <c r="AK48" s="37"/>
      <c r="AL48" s="37"/>
      <c r="AM48" s="37"/>
      <c r="AN48" s="37"/>
      <c r="AO48" s="37"/>
    </row>
    <row r="49" spans="2:41" x14ac:dyDescent="0.25">
      <c r="B49" s="117" t="s">
        <v>66</v>
      </c>
      <c r="C49" s="118"/>
      <c r="D49" s="125"/>
      <c r="E49" s="124" t="str">
        <f>F15</f>
        <v>EMPTY SLOT (no input card)</v>
      </c>
      <c r="F49" s="124"/>
      <c r="G49" s="124"/>
      <c r="H49" s="124"/>
      <c r="I49" s="124" t="str">
        <f>VLOOKUP($E49,_INPUT!A2:G13,3,FALSE)</f>
        <v>---NA---</v>
      </c>
      <c r="J49" s="124"/>
      <c r="K49" s="9">
        <f>IF(E49=_INPUT!A3,0,1)</f>
        <v>0</v>
      </c>
      <c r="L49" s="160"/>
      <c r="M49" s="160"/>
      <c r="N49" s="84"/>
      <c r="O49" s="84"/>
      <c r="P49" s="52"/>
      <c r="Q49" s="37"/>
      <c r="R49" s="52"/>
      <c r="S49" s="52"/>
      <c r="T49" s="52"/>
      <c r="U49" s="52"/>
      <c r="V49" s="52"/>
      <c r="W49" s="52"/>
      <c r="X49" s="52"/>
      <c r="Y49" s="52"/>
      <c r="Z49" s="37"/>
      <c r="AA49" s="39">
        <f>VLOOKUP($E50,_GENERIC!A2:G5,4,FALSE)</f>
        <v>0</v>
      </c>
      <c r="AB49" s="39">
        <f>VLOOKUP($E50,_GENERIC!A2:G5,5,FALSE)</f>
        <v>0</v>
      </c>
      <c r="AC49" s="39">
        <f>VLOOKUP($E50,_GENERIC!A2:G5,6,FALSE)</f>
        <v>0</v>
      </c>
      <c r="AD49" s="38" t="str">
        <f>VLOOKUP($E50,_GENERIC!A2:G5,2,FALSE)</f>
        <v>0</v>
      </c>
      <c r="AE49" s="37"/>
      <c r="AF49" s="52"/>
      <c r="AG49" s="52"/>
      <c r="AH49" s="52"/>
      <c r="AI49" s="37"/>
      <c r="AJ49" s="37"/>
      <c r="AK49" s="37"/>
      <c r="AL49" s="37"/>
      <c r="AM49" s="37"/>
      <c r="AN49" s="37"/>
      <c r="AO49" s="37"/>
    </row>
    <row r="50" spans="2:41" x14ac:dyDescent="0.25">
      <c r="B50" s="101" t="s">
        <v>354</v>
      </c>
      <c r="C50" s="102"/>
      <c r="D50" s="103"/>
      <c r="E50" s="107" t="str">
        <f>IF(OR(E51=_INPUT!A3,E52=_INPUT!A3,E51=0,E52=0,B23=_WORK!B41),_GENERIC!A3,_GENERIC!A4)</f>
        <v>NO GENERIC I/O BOARD</v>
      </c>
      <c r="F50" s="107"/>
      <c r="G50" s="107"/>
      <c r="H50" s="107"/>
      <c r="I50" s="107" t="str">
        <f>VLOOKUP($E50,_GENERIC!A2:G5,3,FALSE)</f>
        <v>---NA---</v>
      </c>
      <c r="J50" s="107"/>
      <c r="K50" s="9">
        <f>IF(E50=_GENERIC!A3,0,1)</f>
        <v>0</v>
      </c>
      <c r="L50" s="160"/>
      <c r="M50" s="160"/>
      <c r="N50" s="84"/>
      <c r="O50" s="84"/>
      <c r="P50" s="52"/>
      <c r="Q50" s="37"/>
      <c r="R50" s="52"/>
      <c r="S50" s="52"/>
      <c r="T50" s="52"/>
      <c r="U50" s="52"/>
      <c r="V50" s="52"/>
      <c r="W50" s="52"/>
      <c r="X50" s="52"/>
      <c r="Y50" s="52"/>
      <c r="Z50" s="37"/>
      <c r="AA50" s="39">
        <f>VLOOKUP($E51,_INPUT!A2:G13,4,FALSE)</f>
        <v>0</v>
      </c>
      <c r="AB50" s="39">
        <f>VLOOKUP($E51,_INPUT!A2:G13,5,FALSE)</f>
        <v>0</v>
      </c>
      <c r="AC50" s="39">
        <f>VLOOKUP($E51,_INPUT!A2:G13,6,FALSE)</f>
        <v>0</v>
      </c>
      <c r="AD50" s="38" t="str">
        <f>VLOOKUP($E51,_INPUT!A2:G13,2,FALSE)</f>
        <v>0</v>
      </c>
      <c r="AE50" s="37"/>
      <c r="AF50" s="52"/>
      <c r="AG50" s="52"/>
      <c r="AH50" s="52"/>
      <c r="AI50" s="37"/>
      <c r="AJ50" s="37"/>
      <c r="AK50" s="37"/>
      <c r="AL50" s="37"/>
      <c r="AM50" s="37"/>
      <c r="AN50" s="37"/>
      <c r="AO50" s="37"/>
    </row>
    <row r="51" spans="2:41" x14ac:dyDescent="0.25">
      <c r="B51" s="104" t="s">
        <v>355</v>
      </c>
      <c r="C51" s="105"/>
      <c r="D51" s="106"/>
      <c r="E51" s="123" t="str">
        <f>B20</f>
        <v>EMPTY SLOT (no input card)</v>
      </c>
      <c r="F51" s="123"/>
      <c r="G51" s="123"/>
      <c r="H51" s="123"/>
      <c r="I51" s="123" t="str">
        <f>VLOOKUP($E51,_INPUT!A2:G13,3,FALSE)</f>
        <v>---NA---</v>
      </c>
      <c r="J51" s="123"/>
      <c r="K51" s="9">
        <f>IF(E51=_INPUT!A3,0,1)</f>
        <v>0</v>
      </c>
      <c r="L51" s="160"/>
      <c r="M51" s="160"/>
      <c r="N51" s="84"/>
      <c r="O51" s="84"/>
      <c r="P51" s="52"/>
      <c r="Q51" s="37"/>
      <c r="R51" s="52"/>
      <c r="S51" s="52"/>
      <c r="T51" s="52"/>
      <c r="U51" s="52"/>
      <c r="V51" s="52"/>
      <c r="W51" s="52"/>
      <c r="X51" s="52"/>
      <c r="Y51" s="52"/>
      <c r="Z51" s="37"/>
      <c r="AA51" s="39">
        <f>VLOOKUP($E52,_INPUT!A2:G13,4,FALSE)</f>
        <v>0</v>
      </c>
      <c r="AB51" s="39">
        <f>VLOOKUP($E52,_INPUT!A2:G13,5,FALSE)</f>
        <v>0</v>
      </c>
      <c r="AC51" s="39">
        <f>VLOOKUP($E52,_INPUT!A2:G13,6,FALSE)</f>
        <v>0</v>
      </c>
      <c r="AD51" s="38" t="str">
        <f>VLOOKUP($E52,_INPUT!A2:G13,2,FALSE)</f>
        <v>0</v>
      </c>
      <c r="AE51" s="37"/>
      <c r="AF51" s="52"/>
      <c r="AG51" s="52"/>
      <c r="AH51" s="52"/>
      <c r="AI51" s="37"/>
      <c r="AJ51" s="37"/>
      <c r="AK51" s="37"/>
      <c r="AL51" s="37"/>
      <c r="AM51" s="37"/>
      <c r="AN51" s="37"/>
      <c r="AO51" s="37"/>
    </row>
    <row r="52" spans="2:41" x14ac:dyDescent="0.25">
      <c r="B52" s="117" t="s">
        <v>356</v>
      </c>
      <c r="C52" s="118"/>
      <c r="D52" s="125"/>
      <c r="E52" s="124" t="str">
        <f>F20</f>
        <v>EMPTY SLOT (no input card)</v>
      </c>
      <c r="F52" s="124"/>
      <c r="G52" s="124"/>
      <c r="H52" s="124"/>
      <c r="I52" s="124" t="str">
        <f>VLOOKUP($E52,_INPUT!A2:G13,3,FALSE)</f>
        <v>---NA---</v>
      </c>
      <c r="J52" s="124"/>
      <c r="K52" s="9">
        <f>IF(E52=_INPUT!A3,0,1)</f>
        <v>0</v>
      </c>
      <c r="L52" s="160"/>
      <c r="M52" s="160"/>
      <c r="N52" s="84"/>
      <c r="O52" s="84"/>
      <c r="P52" s="52"/>
      <c r="Q52" s="37"/>
      <c r="R52" s="52"/>
      <c r="S52" s="52"/>
      <c r="T52" s="52"/>
      <c r="U52" s="52"/>
      <c r="V52" s="52"/>
      <c r="W52" s="52"/>
      <c r="X52" s="52"/>
      <c r="Y52" s="52"/>
      <c r="Z52" s="37"/>
      <c r="AA52" s="39">
        <f>VLOOKUP($E53,_GENERIC!A2:G5,4,FALSE)</f>
        <v>0</v>
      </c>
      <c r="AB52" s="39">
        <f>VLOOKUP($E53,_GENERIC!A2:G5,5,FALSE)</f>
        <v>0</v>
      </c>
      <c r="AC52" s="39">
        <f>VLOOKUP($E53,_GENERIC!A2:G5,6,FALSE)</f>
        <v>0</v>
      </c>
      <c r="AD52" s="38" t="str">
        <f>VLOOKUP($E53,_GENERIC!A2:G5,2,FALSE)</f>
        <v>0</v>
      </c>
      <c r="AE52" s="37"/>
      <c r="AF52" s="52"/>
      <c r="AG52" s="52"/>
      <c r="AH52" s="52"/>
      <c r="AI52" s="37"/>
      <c r="AJ52" s="37"/>
      <c r="AK52" s="37"/>
      <c r="AL52" s="37"/>
      <c r="AM52" s="37"/>
      <c r="AN52" s="37"/>
      <c r="AO52" s="37"/>
    </row>
    <row r="53" spans="2:41" x14ac:dyDescent="0.25">
      <c r="B53" s="101" t="s">
        <v>46</v>
      </c>
      <c r="C53" s="102"/>
      <c r="D53" s="103"/>
      <c r="E53" s="107" t="str">
        <f>IF(OR(E54=_OUTPUT!A3,E54=0),_GENERIC!A3,_GENERIC!A5)</f>
        <v>NO GENERIC I/O BOARD</v>
      </c>
      <c r="F53" s="107"/>
      <c r="G53" s="107"/>
      <c r="H53" s="107"/>
      <c r="I53" s="107" t="str">
        <f>VLOOKUP($E53,_GENERIC!A2:G5,3,FALSE)</f>
        <v>---NA---</v>
      </c>
      <c r="J53" s="107"/>
      <c r="K53" s="9">
        <f>IF(E53=_GENERIC!A3,0,1)</f>
        <v>0</v>
      </c>
      <c r="L53" s="160"/>
      <c r="M53" s="160"/>
      <c r="N53" s="84"/>
      <c r="O53" s="84"/>
      <c r="P53" s="52"/>
      <c r="Q53" s="37"/>
      <c r="R53" s="52"/>
      <c r="S53" s="52"/>
      <c r="T53" s="52"/>
      <c r="U53" s="52"/>
      <c r="V53" s="52"/>
      <c r="W53" s="52"/>
      <c r="X53" s="52"/>
      <c r="Y53" s="52"/>
      <c r="Z53" s="37"/>
      <c r="AA53" s="39">
        <f>VLOOKUP($E54,_OUTPUT!A2:G11,4,FALSE)</f>
        <v>0</v>
      </c>
      <c r="AB53" s="39">
        <f>VLOOKUP($E54,_OUTPUT!A2:G11,5,FALSE)</f>
        <v>0</v>
      </c>
      <c r="AC53" s="39">
        <f>VLOOKUP($E54,_OUTPUT!A2:G11,6,FALSE)</f>
        <v>0</v>
      </c>
      <c r="AD53" s="38" t="str">
        <f>VLOOKUP($E54,_OUTPUT!A2:G11,2,FALSE)</f>
        <v>0</v>
      </c>
      <c r="AE53" s="37"/>
      <c r="AF53" s="52"/>
      <c r="AG53" s="52"/>
      <c r="AH53" s="52"/>
      <c r="AI53" s="37"/>
      <c r="AJ53" s="37"/>
      <c r="AK53" s="37"/>
      <c r="AL53" s="37"/>
      <c r="AM53" s="37"/>
      <c r="AN53" s="37"/>
      <c r="AO53" s="37"/>
    </row>
    <row r="54" spans="2:41" x14ac:dyDescent="0.25">
      <c r="B54" s="117" t="s">
        <v>47</v>
      </c>
      <c r="C54" s="118"/>
      <c r="D54" s="125"/>
      <c r="E54" s="124" t="str">
        <f>J5</f>
        <v>EMPTY SLOT (no output card)</v>
      </c>
      <c r="F54" s="124"/>
      <c r="G54" s="124"/>
      <c r="H54" s="124"/>
      <c r="I54" s="124" t="str">
        <f>VLOOKUP($E54,_OUTPUT!A2:G11,3,FALSE)</f>
        <v>---NA---</v>
      </c>
      <c r="J54" s="124"/>
      <c r="K54" s="9">
        <f>IF(E54=_OUTPUT!A3,0,1)</f>
        <v>0</v>
      </c>
      <c r="L54" s="160"/>
      <c r="M54" s="160"/>
      <c r="N54" s="84"/>
      <c r="O54" s="84"/>
      <c r="P54" s="52"/>
      <c r="Q54" s="37"/>
      <c r="R54" s="52"/>
      <c r="S54" s="52"/>
      <c r="T54" s="52"/>
      <c r="U54" s="52"/>
      <c r="V54" s="52"/>
      <c r="W54" s="52"/>
      <c r="X54" s="52"/>
      <c r="Y54" s="52"/>
      <c r="Z54" s="37"/>
      <c r="AA54" s="39">
        <f>VLOOKUP($E55,_GENERIC!A2:G5,4,FALSE)</f>
        <v>0</v>
      </c>
      <c r="AB54" s="39">
        <f>VLOOKUP($E55,_GENERIC!A2:G9,5,FALSE)</f>
        <v>0</v>
      </c>
      <c r="AC54" s="39">
        <f>VLOOKUP($E55,_GENERIC!A2:G5,6,FALSE)</f>
        <v>0</v>
      </c>
      <c r="AD54" s="38" t="str">
        <f>VLOOKUP($E55,_GENERIC!A2:G5,2,FALSE)</f>
        <v>0</v>
      </c>
      <c r="AE54" s="37"/>
      <c r="AF54" s="52"/>
      <c r="AG54" s="52"/>
      <c r="AH54" s="52"/>
      <c r="AI54" s="37"/>
      <c r="AJ54" s="37"/>
      <c r="AK54" s="37"/>
      <c r="AL54" s="37"/>
      <c r="AM54" s="37"/>
      <c r="AN54" s="37"/>
      <c r="AO54" s="37"/>
    </row>
    <row r="55" spans="2:41" x14ac:dyDescent="0.25">
      <c r="B55" s="101" t="s">
        <v>48</v>
      </c>
      <c r="C55" s="102"/>
      <c r="D55" s="103"/>
      <c r="E55" s="107" t="str">
        <f>IF(OR(E56=_OUTPUT!A3,E56=0),_GENERIC!A3,_GENERIC!A5)</f>
        <v>NO GENERIC I/O BOARD</v>
      </c>
      <c r="F55" s="107"/>
      <c r="G55" s="107"/>
      <c r="H55" s="107"/>
      <c r="I55" s="107" t="str">
        <f>VLOOKUP($E55,_GENERIC!A2:G5,3,FALSE)</f>
        <v>---NA---</v>
      </c>
      <c r="J55" s="107"/>
      <c r="K55" s="9">
        <f>IF(E55=_GENERIC!A3,0,1)</f>
        <v>0</v>
      </c>
      <c r="L55" s="160"/>
      <c r="M55" s="160"/>
      <c r="N55" s="84"/>
      <c r="O55" s="89"/>
      <c r="P55" s="52"/>
      <c r="Q55" s="37"/>
      <c r="R55" s="52"/>
      <c r="S55" s="52"/>
      <c r="T55" s="52"/>
      <c r="U55" s="52"/>
      <c r="V55" s="52"/>
      <c r="W55" s="52"/>
      <c r="X55" s="52"/>
      <c r="Y55" s="52"/>
      <c r="Z55" s="37"/>
      <c r="AA55" s="39">
        <f>VLOOKUP($E56,_OUTPUT!A2:G11,4,FALSE)</f>
        <v>0</v>
      </c>
      <c r="AB55" s="39">
        <f>VLOOKUP($E56,_OUTPUT!A2:G11,5,FALSE)</f>
        <v>0</v>
      </c>
      <c r="AC55" s="39">
        <f>VLOOKUP($E56,_OUTPUT!A2:G11,6,FALSE)</f>
        <v>0</v>
      </c>
      <c r="AD55" s="38" t="str">
        <f>VLOOKUP($E56,_OUTPUT!A2:G11,2,FALSE)</f>
        <v>0</v>
      </c>
      <c r="AE55" s="37"/>
      <c r="AF55" s="52"/>
      <c r="AG55" s="52"/>
      <c r="AH55" s="52"/>
      <c r="AI55" s="37"/>
      <c r="AJ55" s="37"/>
      <c r="AK55" s="37"/>
      <c r="AL55" s="37"/>
      <c r="AM55" s="37"/>
      <c r="AN55" s="37"/>
      <c r="AO55" s="37"/>
    </row>
    <row r="56" spans="2:41" x14ac:dyDescent="0.25">
      <c r="B56" s="117" t="s">
        <v>49</v>
      </c>
      <c r="C56" s="118"/>
      <c r="D56" s="125"/>
      <c r="E56" s="124" t="str">
        <f>J10</f>
        <v>EMPTY SLOT (no output card)</v>
      </c>
      <c r="F56" s="124"/>
      <c r="G56" s="124"/>
      <c r="H56" s="124"/>
      <c r="I56" s="124" t="str">
        <f>VLOOKUP($E56,_OUTPUT!A2:G11,3,FALSE)</f>
        <v>---NA---</v>
      </c>
      <c r="J56" s="124"/>
      <c r="K56" s="9">
        <f>IF(E56=_OUTPUT!A3,0,1)</f>
        <v>0</v>
      </c>
      <c r="L56" s="160"/>
      <c r="M56" s="160"/>
      <c r="N56" s="84"/>
      <c r="O56" s="89"/>
      <c r="P56" s="52"/>
      <c r="Q56" s="37"/>
      <c r="R56" s="52"/>
      <c r="S56" s="52"/>
      <c r="T56" s="52"/>
      <c r="U56" s="52"/>
      <c r="V56" s="52"/>
      <c r="W56" s="52"/>
      <c r="X56" s="52"/>
      <c r="Y56" s="52"/>
      <c r="Z56" s="37"/>
      <c r="AA56" s="39">
        <f>VLOOKUP($E57,_GENERIC!A2:G5,4,FALSE)</f>
        <v>0</v>
      </c>
      <c r="AB56" s="39">
        <f>VLOOKUP($E57,_GENERIC!A2:G5,5,FALSE)</f>
        <v>0</v>
      </c>
      <c r="AC56" s="39">
        <f>VLOOKUP($E57,_GENERIC!A2:G5,6,FALSE)</f>
        <v>0</v>
      </c>
      <c r="AD56" s="38" t="str">
        <f>VLOOKUP($E57,_GENERIC!A2:G5,2,FALSE)</f>
        <v>0</v>
      </c>
      <c r="AE56" s="37"/>
      <c r="AF56" s="52"/>
      <c r="AG56" s="52"/>
      <c r="AH56" s="52"/>
      <c r="AI56" s="37"/>
      <c r="AJ56" s="37"/>
      <c r="AK56" s="37"/>
      <c r="AL56" s="37"/>
      <c r="AM56" s="37"/>
      <c r="AN56" s="37"/>
      <c r="AO56" s="37"/>
    </row>
    <row r="57" spans="2:41" x14ac:dyDescent="0.25">
      <c r="B57" s="101" t="s">
        <v>50</v>
      </c>
      <c r="C57" s="102"/>
      <c r="D57" s="103"/>
      <c r="E57" s="107" t="str">
        <f>IF(OR(E58=_OUTPUT!A3,E58=0),_GENERIC!A3,_GENERIC!A5)</f>
        <v>NO GENERIC I/O BOARD</v>
      </c>
      <c r="F57" s="107"/>
      <c r="G57" s="107"/>
      <c r="H57" s="107"/>
      <c r="I57" s="107" t="str">
        <f>VLOOKUP($E57,_GENERIC!A2:G5,3,FALSE)</f>
        <v>---NA---</v>
      </c>
      <c r="J57" s="107"/>
      <c r="K57" s="9">
        <f>IF(E57=_GENERIC!A3,0,1)</f>
        <v>0</v>
      </c>
      <c r="L57" s="160"/>
      <c r="M57" s="160"/>
      <c r="N57" s="84"/>
      <c r="O57" s="89"/>
      <c r="P57" s="52"/>
      <c r="Q57" s="37"/>
      <c r="R57" s="52"/>
      <c r="S57" s="52"/>
      <c r="T57" s="52"/>
      <c r="U57" s="52"/>
      <c r="V57" s="52"/>
      <c r="W57" s="52"/>
      <c r="X57" s="52"/>
      <c r="Y57" s="52"/>
      <c r="Z57" s="37"/>
      <c r="AA57" s="39">
        <f>VLOOKUP($E58,_OUTPUT!A2:G11,4,FALSE)</f>
        <v>0</v>
      </c>
      <c r="AB57" s="39">
        <f>VLOOKUP($E58,_OUTPUT!A2:G11,5,FALSE)</f>
        <v>0</v>
      </c>
      <c r="AC57" s="39">
        <f>VLOOKUP($E58,_OUTPUT!A2:G11,6,FALSE)</f>
        <v>0</v>
      </c>
      <c r="AD57" s="38" t="str">
        <f>VLOOKUP($E58,_OUTPUT!A2:G11,2,FALSE)</f>
        <v>0</v>
      </c>
      <c r="AE57" s="37"/>
      <c r="AF57" s="52"/>
      <c r="AG57" s="52"/>
      <c r="AH57" s="52"/>
      <c r="AI57" s="37"/>
      <c r="AJ57" s="37"/>
      <c r="AK57" s="37"/>
      <c r="AL57" s="37"/>
      <c r="AM57" s="37"/>
      <c r="AN57" s="37"/>
      <c r="AO57" s="37"/>
    </row>
    <row r="58" spans="2:41" x14ac:dyDescent="0.25">
      <c r="B58" s="117" t="s">
        <v>51</v>
      </c>
      <c r="C58" s="118"/>
      <c r="D58" s="125"/>
      <c r="E58" s="124" t="str">
        <f>J15</f>
        <v>EMPTY SLOT (no output card)</v>
      </c>
      <c r="F58" s="124"/>
      <c r="G58" s="124"/>
      <c r="H58" s="124"/>
      <c r="I58" s="124" t="str">
        <f>VLOOKUP($E58,_OUTPUT!A2:G11,3,FALSE)</f>
        <v>---NA---</v>
      </c>
      <c r="J58" s="124"/>
      <c r="K58" s="9">
        <f>IF(E58=_OUTPUT!A3,0,1)</f>
        <v>0</v>
      </c>
      <c r="L58" s="160"/>
      <c r="M58" s="160"/>
      <c r="N58" s="84"/>
      <c r="O58" s="89"/>
      <c r="P58" s="52"/>
      <c r="Q58" s="37"/>
      <c r="R58" s="52"/>
      <c r="S58" s="52"/>
      <c r="T58" s="52"/>
      <c r="U58" s="52"/>
      <c r="V58" s="52"/>
      <c r="W58" s="52"/>
      <c r="X58" s="52"/>
      <c r="Y58" s="52"/>
      <c r="Z58" s="37"/>
      <c r="AA58" s="39">
        <f>VLOOKUP($E59,_GENERIC!A2:G5,4,FALSE)</f>
        <v>0</v>
      </c>
      <c r="AB58" s="39">
        <f>VLOOKUP($E59,_GENERIC!A2:G5,5,FALSE)</f>
        <v>0</v>
      </c>
      <c r="AC58" s="39">
        <f>VLOOKUP($E59,_GENERIC!A2:G5,6,FALSE)</f>
        <v>0</v>
      </c>
      <c r="AD58" s="38" t="str">
        <f>VLOOKUP($E59,_GENERIC!A2:G5,2,FALSE)</f>
        <v>0</v>
      </c>
      <c r="AE58" s="37"/>
      <c r="AF58" s="52"/>
      <c r="AG58" s="52"/>
      <c r="AH58" s="52"/>
      <c r="AI58" s="37"/>
      <c r="AJ58" s="37"/>
      <c r="AK58" s="37"/>
      <c r="AL58" s="37"/>
      <c r="AM58" s="37"/>
      <c r="AN58" s="37"/>
      <c r="AO58" s="37"/>
    </row>
    <row r="59" spans="2:41" x14ac:dyDescent="0.25">
      <c r="B59" s="101" t="s">
        <v>52</v>
      </c>
      <c r="C59" s="102"/>
      <c r="D59" s="103"/>
      <c r="E59" s="107" t="str">
        <f>IF(OR(E60=_OUTPUT!A3,E60=0),_GENERIC!A3,_GENERIC!A5)</f>
        <v>NO GENERIC I/O BOARD</v>
      </c>
      <c r="F59" s="107"/>
      <c r="G59" s="107"/>
      <c r="H59" s="107"/>
      <c r="I59" s="107" t="str">
        <f>VLOOKUP($E59,_GENERIC!A2:G5,3,FALSE)</f>
        <v>---NA---</v>
      </c>
      <c r="J59" s="107"/>
      <c r="K59" s="9">
        <f>IF(E59=_GENERIC!A3,0,1)</f>
        <v>0</v>
      </c>
      <c r="L59" s="160"/>
      <c r="M59" s="160"/>
      <c r="N59" s="84"/>
      <c r="O59" s="89"/>
      <c r="P59" s="52"/>
      <c r="Q59" s="37"/>
      <c r="R59" s="52"/>
      <c r="S59" s="52"/>
      <c r="T59" s="52"/>
      <c r="U59" s="52"/>
      <c r="V59" s="52"/>
      <c r="W59" s="52"/>
      <c r="X59" s="52"/>
      <c r="Y59" s="52"/>
      <c r="Z59" s="37"/>
      <c r="AA59" s="39">
        <f>VLOOKUP($E60,_OUTPUT!A2:G11,4,FALSE)</f>
        <v>0</v>
      </c>
      <c r="AB59" s="39">
        <f>VLOOKUP($E60,_OUTPUT!A2:G11,5,FALSE)</f>
        <v>0</v>
      </c>
      <c r="AC59" s="39">
        <f>VLOOKUP($E60,_OUTPUT!A2:G11,6,FALSE)</f>
        <v>0</v>
      </c>
      <c r="AD59" s="38" t="str">
        <f>VLOOKUP($E60,_OUTPUT!A2:G11,2,FALSE)</f>
        <v>0</v>
      </c>
      <c r="AE59" s="37"/>
      <c r="AF59" s="52"/>
      <c r="AG59" s="52"/>
      <c r="AH59" s="52"/>
      <c r="AI59" s="37"/>
      <c r="AJ59" s="37"/>
      <c r="AK59" s="37"/>
      <c r="AL59" s="37"/>
      <c r="AM59" s="37"/>
      <c r="AN59" s="37"/>
      <c r="AO59" s="37"/>
    </row>
    <row r="60" spans="2:41" x14ac:dyDescent="0.25">
      <c r="B60" s="117" t="s">
        <v>53</v>
      </c>
      <c r="C60" s="118"/>
      <c r="D60" s="125"/>
      <c r="E60" s="124" t="str">
        <f>J20</f>
        <v>EMPTY SLOT (no output card)</v>
      </c>
      <c r="F60" s="124"/>
      <c r="G60" s="124"/>
      <c r="H60" s="124"/>
      <c r="I60" s="124" t="str">
        <f>VLOOKUP($E60,_OUTPUT!A2:G11,3,FALSE)</f>
        <v>---NA---</v>
      </c>
      <c r="J60" s="124"/>
      <c r="K60" s="9">
        <f>IF(E60=_OUTPUT!A3,0,1)</f>
        <v>0</v>
      </c>
      <c r="L60" s="160"/>
      <c r="M60" s="160"/>
      <c r="N60" s="84"/>
      <c r="O60" s="89"/>
      <c r="P60" s="52"/>
      <c r="Q60" s="37"/>
      <c r="R60" s="52"/>
      <c r="S60" s="52"/>
      <c r="T60" s="52"/>
      <c r="U60" s="52"/>
      <c r="V60" s="52"/>
      <c r="W60" s="52"/>
      <c r="X60" s="52"/>
      <c r="Y60" s="52"/>
      <c r="Z60" s="37"/>
      <c r="AA60" s="39">
        <f>VLOOKUP($E61,_GENERIC!A2:G5,4,FALSE)</f>
        <v>0</v>
      </c>
      <c r="AB60" s="39">
        <f>VLOOKUP($E61,_GENERIC!A2:G5,5,FALSE)</f>
        <v>0</v>
      </c>
      <c r="AC60" s="39">
        <f>VLOOKUP($E61,_GENERIC!A2:G5,6,FALSE)</f>
        <v>0</v>
      </c>
      <c r="AD60" s="38" t="str">
        <f>VLOOKUP($E61,_GENERIC!A2:G5,2,FALSE)</f>
        <v>0</v>
      </c>
      <c r="AE60" s="37"/>
      <c r="AF60" s="52"/>
      <c r="AG60" s="52"/>
      <c r="AH60" s="52"/>
      <c r="AI60" s="37"/>
      <c r="AJ60" s="37"/>
      <c r="AK60" s="37"/>
      <c r="AL60" s="37"/>
      <c r="AM60" s="37"/>
      <c r="AN60" s="37"/>
      <c r="AO60" s="37"/>
    </row>
    <row r="61" spans="2:41" x14ac:dyDescent="0.25">
      <c r="B61" s="101" t="s">
        <v>67</v>
      </c>
      <c r="C61" s="102"/>
      <c r="D61" s="103"/>
      <c r="E61" s="107" t="str">
        <f>IF(OR(E62=_OUTPUT!A3,E62=0),_GENERIC!A3,_GENERIC!A5)</f>
        <v>NO GENERIC I/O BOARD</v>
      </c>
      <c r="F61" s="107"/>
      <c r="G61" s="107"/>
      <c r="H61" s="107"/>
      <c r="I61" s="107" t="str">
        <f>VLOOKUP($E61,_GENERIC!A2:G5,3,FALSE)</f>
        <v>---NA---</v>
      </c>
      <c r="J61" s="107"/>
      <c r="K61" s="9">
        <f>IF(E61=_GENERIC!A3,0,1)</f>
        <v>0</v>
      </c>
      <c r="L61" s="160"/>
      <c r="M61" s="160"/>
      <c r="N61" s="84"/>
      <c r="O61" s="89"/>
      <c r="P61" s="52"/>
      <c r="Q61" s="37"/>
      <c r="R61" s="52"/>
      <c r="S61" s="52"/>
      <c r="T61" s="52"/>
      <c r="U61" s="52"/>
      <c r="V61" s="52"/>
      <c r="W61" s="52"/>
      <c r="X61" s="52"/>
      <c r="Y61" s="52"/>
      <c r="Z61" s="37"/>
      <c r="AA61" s="39">
        <f>VLOOKUP($E62,_OUTPUT!A2:G11,4,FALSE)</f>
        <v>0</v>
      </c>
      <c r="AB61" s="39">
        <f>VLOOKUP($E62,_OUTPUT!A2:G11,5,FALSE)</f>
        <v>0</v>
      </c>
      <c r="AC61" s="39">
        <f>VLOOKUP($E62,_OUTPUT!A2:G11,6,FALSE)</f>
        <v>0</v>
      </c>
      <c r="AD61" s="38" t="str">
        <f>VLOOKUP($E62,_OUTPUT!A2:G11,2,FALSE)</f>
        <v>0</v>
      </c>
      <c r="AE61" s="37"/>
      <c r="AF61" s="52"/>
      <c r="AG61" s="52"/>
      <c r="AH61" s="52"/>
      <c r="AI61" s="37"/>
      <c r="AJ61" s="37"/>
      <c r="AK61" s="37"/>
      <c r="AL61" s="37"/>
      <c r="AM61" s="37"/>
      <c r="AN61" s="37"/>
      <c r="AO61" s="37"/>
    </row>
    <row r="62" spans="2:41" x14ac:dyDescent="0.25">
      <c r="B62" s="117" t="s">
        <v>68</v>
      </c>
      <c r="C62" s="118"/>
      <c r="D62" s="125"/>
      <c r="E62" s="124" t="str">
        <f>J25</f>
        <v>EMPTY SLOT (no output card)</v>
      </c>
      <c r="F62" s="124"/>
      <c r="G62" s="124"/>
      <c r="H62" s="124"/>
      <c r="I62" s="124" t="str">
        <f>VLOOKUP($E62,_OUTPUT!A2:G11,3,FALSE)</f>
        <v>---NA---</v>
      </c>
      <c r="J62" s="124"/>
      <c r="K62" s="9">
        <f>IF(E62=_OUTPUT!A3,0,1)</f>
        <v>0</v>
      </c>
      <c r="L62" s="160"/>
      <c r="M62" s="160"/>
      <c r="N62" s="84"/>
      <c r="O62" s="89"/>
      <c r="P62" s="52"/>
      <c r="Q62" s="37"/>
      <c r="R62" s="52"/>
      <c r="S62" s="52"/>
      <c r="T62" s="52"/>
      <c r="U62" s="52"/>
      <c r="V62" s="52"/>
      <c r="W62" s="52"/>
      <c r="X62" s="52"/>
      <c r="Y62" s="52"/>
      <c r="Z62" s="37"/>
      <c r="AA62" s="39">
        <f>VLOOKUP($E63,_GENERIC!A2:G6,4,FALSE)</f>
        <v>0</v>
      </c>
      <c r="AB62" s="39">
        <f>VLOOKUP($E63,_GENERIC!A2:G6,5,FALSE)</f>
        <v>0</v>
      </c>
      <c r="AC62" s="39">
        <f>VLOOKUP($E63,_GENERIC!A2:G6,6,FALSE)</f>
        <v>0</v>
      </c>
      <c r="AD62" s="38" t="str">
        <f>VLOOKUP($E63,_GENERIC!A2:G6,2,FALSE)</f>
        <v>0</v>
      </c>
      <c r="AE62" s="37"/>
      <c r="AF62" s="52"/>
      <c r="AG62" s="52"/>
      <c r="AH62" s="52"/>
      <c r="AI62" s="37"/>
      <c r="AJ62" s="37"/>
      <c r="AK62" s="37"/>
      <c r="AL62" s="37"/>
      <c r="AM62" s="37"/>
      <c r="AN62" s="37"/>
      <c r="AO62" s="37"/>
    </row>
    <row r="63" spans="2:41" x14ac:dyDescent="0.25">
      <c r="B63" s="101" t="s">
        <v>358</v>
      </c>
      <c r="C63" s="102"/>
      <c r="D63" s="103"/>
      <c r="E63" s="107" t="str">
        <f>IF(OR(E64=_OUTPUT!A3,E64=0),_GENERIC!A3,IF(E64=_OUTPUT!A12,_GENERIC!A6,_GENERIC!A5))</f>
        <v>NO GENERIC I/O BOARD</v>
      </c>
      <c r="F63" s="107"/>
      <c r="G63" s="107"/>
      <c r="H63" s="107"/>
      <c r="I63" s="107" t="str">
        <f>VLOOKUP($E63,_GENERIC!A2:G6,3,FALSE)</f>
        <v>---NA---</v>
      </c>
      <c r="J63" s="107"/>
      <c r="K63" s="9">
        <f>IF(E63=_GENERIC!A3,0,1)</f>
        <v>0</v>
      </c>
      <c r="L63" s="160"/>
      <c r="M63" s="160"/>
      <c r="N63" s="84"/>
      <c r="O63" s="89"/>
      <c r="P63" s="52"/>
      <c r="Q63" s="37"/>
      <c r="R63" s="52"/>
      <c r="S63" s="52"/>
      <c r="T63" s="52"/>
      <c r="U63" s="52"/>
      <c r="V63" s="52"/>
      <c r="W63" s="52"/>
      <c r="X63" s="52"/>
      <c r="Y63" s="52"/>
      <c r="Z63" s="37"/>
      <c r="AA63" s="39">
        <f>VLOOKUP($E64,_OUTPUT!A2:G12,4,FALSE)</f>
        <v>0</v>
      </c>
      <c r="AB63" s="39">
        <f>VLOOKUP($E64,_OUTPUT!A2:G12,5,FALSE)</f>
        <v>0</v>
      </c>
      <c r="AC63" s="39">
        <f>VLOOKUP($E64,_OUTPUT!A2:G12,6,FALSE)</f>
        <v>0</v>
      </c>
      <c r="AD63" s="38" t="str">
        <f>VLOOKUP($E64,_OUTPUT!A2:G12,2,FALSE)</f>
        <v>0</v>
      </c>
      <c r="AE63" s="37"/>
      <c r="AF63" s="52"/>
      <c r="AG63" s="52"/>
      <c r="AH63" s="52"/>
      <c r="AI63" s="37"/>
      <c r="AJ63" s="37"/>
      <c r="AK63" s="37"/>
      <c r="AL63" s="37"/>
      <c r="AM63" s="37"/>
      <c r="AN63" s="37"/>
      <c r="AO63" s="37"/>
    </row>
    <row r="64" spans="2:41" x14ac:dyDescent="0.25">
      <c r="B64" s="117" t="s">
        <v>357</v>
      </c>
      <c r="C64" s="118"/>
      <c r="D64" s="125"/>
      <c r="E64" s="124" t="str">
        <f>J30</f>
        <v>EMPTY SLOT (no output card)</v>
      </c>
      <c r="F64" s="124"/>
      <c r="G64" s="124"/>
      <c r="H64" s="124"/>
      <c r="I64" s="124" t="str">
        <f>VLOOKUP($E64,_OUTPUT!A2:G12,3,FALSE)</f>
        <v>---NA---</v>
      </c>
      <c r="J64" s="124"/>
      <c r="K64" s="9">
        <f>IF(E64=_OUTPUT!A3,0,1)</f>
        <v>0</v>
      </c>
      <c r="L64" s="160"/>
      <c r="M64" s="160"/>
      <c r="N64" s="84"/>
      <c r="O64" s="89"/>
      <c r="P64" s="52"/>
      <c r="Q64" s="37"/>
      <c r="R64" s="52"/>
      <c r="S64" s="52"/>
      <c r="T64" s="52"/>
      <c r="U64" s="52"/>
      <c r="V64" s="52"/>
      <c r="W64" s="52"/>
      <c r="X64" s="52"/>
      <c r="Y64" s="52"/>
      <c r="Z64" s="37"/>
      <c r="AA64" s="39">
        <f>$K$65*VLOOKUP($E65,_VIDEO!A2:G7,4,FALSE)</f>
        <v>0</v>
      </c>
      <c r="AB64" s="39">
        <f>$K$65*VLOOKUP($E65,_VIDEO!A2:G7,5,FALSE)</f>
        <v>0</v>
      </c>
      <c r="AC64" s="39">
        <f>$K$65*VLOOKUP($E65,_VIDEO!A2:G7,6,FALSE)</f>
        <v>0</v>
      </c>
      <c r="AD64" s="38" t="str">
        <f>VLOOKUP($E65,_VIDEO!A2:G7,2,FALSE)</f>
        <v>0</v>
      </c>
      <c r="AE64" s="37"/>
      <c r="AF64" s="52"/>
      <c r="AG64" s="52"/>
      <c r="AH64" s="52"/>
      <c r="AI64" s="37"/>
      <c r="AJ64" s="37"/>
      <c r="AK64" s="37"/>
      <c r="AL64" s="37"/>
      <c r="AM64" s="37"/>
      <c r="AN64" s="37"/>
      <c r="AO64" s="37"/>
    </row>
    <row r="65" spans="2:41" x14ac:dyDescent="0.25">
      <c r="B65" s="98" t="s">
        <v>54</v>
      </c>
      <c r="C65" s="99"/>
      <c r="D65" s="100"/>
      <c r="E65" s="120" t="str">
        <f>O5</f>
        <v>NO VIDEO PROCESSING CARD</v>
      </c>
      <c r="F65" s="120"/>
      <c r="G65" s="120"/>
      <c r="H65" s="120"/>
      <c r="I65" s="120" t="str">
        <f>VLOOKUP($E65,_VIDEO!A2:G7,3,FALSE)</f>
        <v>---NA---</v>
      </c>
      <c r="J65" s="120"/>
      <c r="K65" s="9">
        <f>IF(E65=_VIDEO!A4,1,IF(E65=_VIDEO!A5,2,IF(E65=_VIDEO!A6,3,IF(E65=_VIDEO!A7,4,0))))</f>
        <v>0</v>
      </c>
      <c r="L65" s="160"/>
      <c r="M65" s="160"/>
      <c r="N65" s="84"/>
      <c r="O65" s="89"/>
      <c r="P65" s="52"/>
      <c r="Q65" s="37"/>
      <c r="R65" s="52"/>
      <c r="S65" s="52"/>
      <c r="T65" s="52"/>
      <c r="U65" s="52"/>
      <c r="V65" s="52"/>
      <c r="W65" s="52"/>
      <c r="X65" s="52"/>
      <c r="Y65" s="52"/>
      <c r="Z65" s="37"/>
      <c r="AA65" s="39">
        <f>$K$66*VLOOKUP($E66,_IMAGES!A2:G5,4,FALSE)</f>
        <v>0</v>
      </c>
      <c r="AB65" s="39">
        <f>$K$66*VLOOKUP($E66,_IMAGES!A2:G5,5,FALSE)</f>
        <v>0</v>
      </c>
      <c r="AC65" s="39">
        <f>$K$66*VLOOKUP($E66,_IMAGES!A2:G5,6,FALSE)</f>
        <v>0</v>
      </c>
      <c r="AD65" s="38" t="str">
        <f>VLOOKUP($E66,_IMAGES!A2:G5,2,FALSE)</f>
        <v>0</v>
      </c>
      <c r="AE65" s="37"/>
      <c r="AF65" s="52"/>
      <c r="AG65" s="52"/>
      <c r="AH65" s="52"/>
      <c r="AI65" s="37"/>
      <c r="AJ65" s="37"/>
      <c r="AK65" s="37"/>
      <c r="AL65" s="37"/>
      <c r="AM65" s="37"/>
      <c r="AN65" s="37"/>
      <c r="AO65" s="37"/>
    </row>
    <row r="66" spans="2:41" x14ac:dyDescent="0.25">
      <c r="B66" s="98" t="s">
        <v>55</v>
      </c>
      <c r="C66" s="99"/>
      <c r="D66" s="100"/>
      <c r="E66" s="120" t="str">
        <f>O10</f>
        <v>NO STILL IMAGE PROCESSING CARD</v>
      </c>
      <c r="F66" s="120"/>
      <c r="G66" s="120"/>
      <c r="H66" s="120"/>
      <c r="I66" s="120" t="str">
        <f>VLOOKUP($E66,_IMAGES!A2:G5,3,FALSE)</f>
        <v>---NA---</v>
      </c>
      <c r="J66" s="120"/>
      <c r="K66" s="9">
        <f>IF(E66=_IMAGES!A4,1,IF(E66=_IMAGES!A5,2,0))</f>
        <v>0</v>
      </c>
      <c r="L66" s="160"/>
      <c r="M66" s="160"/>
      <c r="N66" s="84"/>
      <c r="O66" s="89"/>
      <c r="P66" s="52"/>
      <c r="Q66" s="37"/>
      <c r="R66" s="52"/>
      <c r="S66" s="52"/>
      <c r="T66" s="52"/>
      <c r="U66" s="52"/>
      <c r="V66" s="52"/>
      <c r="W66" s="52"/>
      <c r="X66" s="52"/>
      <c r="Y66" s="52"/>
      <c r="Z66" s="37"/>
      <c r="AA66" s="64">
        <f>$K$67*VLOOKUP($E67,_MVW!A3:G5,4,FALSE)</f>
        <v>0</v>
      </c>
      <c r="AB66" s="64">
        <f>$K$67*VLOOKUP($E67,_MVW!A3:G5,5,FALSE)</f>
        <v>0</v>
      </c>
      <c r="AC66" s="64">
        <f>$K$67*VLOOKUP($E67,_MVW!A3:G5,6,FALSE)</f>
        <v>0</v>
      </c>
      <c r="AD66" s="38" t="str">
        <f>VLOOKUP($E67,_MVW!A3:G5,2,FALSE)</f>
        <v>1</v>
      </c>
      <c r="AE66" s="37"/>
      <c r="AF66" s="52"/>
      <c r="AG66" s="52"/>
      <c r="AH66" s="52"/>
      <c r="AI66" s="37"/>
      <c r="AJ66" s="37"/>
      <c r="AK66" s="37"/>
      <c r="AL66" s="37"/>
      <c r="AM66" s="37"/>
      <c r="AN66" s="37"/>
      <c r="AO66" s="37"/>
    </row>
    <row r="67" spans="2:41" x14ac:dyDescent="0.25">
      <c r="B67" s="98" t="s">
        <v>56</v>
      </c>
      <c r="C67" s="99"/>
      <c r="D67" s="100"/>
      <c r="E67" s="179" t="str">
        <f>F25</f>
        <v>DEFAULT MVW 2x HDMI OUTPUT CARD</v>
      </c>
      <c r="F67" s="120"/>
      <c r="G67" s="120"/>
      <c r="H67" s="120"/>
      <c r="I67" s="120" t="str">
        <f>VLOOKUP(E67,_MVW!A2:G5,3,FALSE)</f>
        <v>---NA---</v>
      </c>
      <c r="J67" s="120"/>
      <c r="K67" s="9">
        <f>IF(E67=_MVW!A3,0,1)</f>
        <v>1</v>
      </c>
      <c r="L67" s="160"/>
      <c r="M67" s="160"/>
      <c r="N67" s="84"/>
      <c r="O67" s="89"/>
      <c r="P67" s="52"/>
      <c r="Q67" s="37"/>
      <c r="R67" s="52"/>
      <c r="S67" s="52"/>
      <c r="T67" s="52"/>
      <c r="U67" s="52"/>
      <c r="V67" s="52"/>
      <c r="W67" s="52"/>
      <c r="X67" s="52"/>
      <c r="Y67" s="52"/>
      <c r="Z67" s="37"/>
      <c r="AA67" s="65">
        <f>SUM(AA39:AA65)</f>
        <v>66500</v>
      </c>
      <c r="AB67" s="66">
        <f>SUM(AB39:AB65)</f>
        <v>77800</v>
      </c>
      <c r="AC67" s="67">
        <f>SUM(AC39:AC65)</f>
        <v>55420</v>
      </c>
      <c r="AD67" s="37"/>
      <c r="AE67" s="37"/>
      <c r="AF67" s="52"/>
      <c r="AG67" s="52"/>
      <c r="AH67" s="52"/>
      <c r="AI67" s="37"/>
      <c r="AJ67" s="37"/>
      <c r="AK67" s="37"/>
      <c r="AL67" s="37"/>
      <c r="AM67" s="37"/>
      <c r="AN67" s="37"/>
      <c r="AO67" s="37"/>
    </row>
    <row r="68" spans="2:41" x14ac:dyDescent="0.25">
      <c r="J68" s="178"/>
      <c r="K68" s="178"/>
      <c r="L68" s="172"/>
      <c r="M68" s="172"/>
      <c r="N68" s="84"/>
      <c r="O68" s="89"/>
      <c r="P68" s="52"/>
      <c r="Q68" s="37"/>
      <c r="Z68" s="37"/>
      <c r="AA68" s="37"/>
      <c r="AB68" s="37"/>
      <c r="AC68" s="37"/>
      <c r="AD68" s="37"/>
      <c r="AE68" s="37"/>
      <c r="AH68" s="52"/>
      <c r="AI68" s="37"/>
      <c r="AJ68" s="37"/>
      <c r="AK68" s="37"/>
      <c r="AL68" s="37"/>
      <c r="AM68" s="37"/>
      <c r="AN68" s="37"/>
      <c r="AO68" s="37"/>
    </row>
    <row r="69" spans="2:41" x14ac:dyDescent="0.25">
      <c r="O69" s="52"/>
      <c r="P69" s="52"/>
      <c r="Q69" s="37"/>
      <c r="R69" s="37"/>
      <c r="S69" s="52"/>
      <c r="T69" s="52"/>
      <c r="Z69" s="37"/>
      <c r="AA69" s="37"/>
      <c r="AB69" s="37"/>
      <c r="AC69" s="37"/>
      <c r="AD69" s="37"/>
      <c r="AG69" s="52"/>
      <c r="AH69" s="52"/>
      <c r="AI69" s="37"/>
      <c r="AJ69" s="37"/>
      <c r="AK69" s="37"/>
      <c r="AL69" s="37"/>
      <c r="AM69" s="37"/>
      <c r="AN69" s="37"/>
      <c r="AO69" s="37"/>
    </row>
    <row r="70" spans="2:41" x14ac:dyDescent="0.25">
      <c r="B70" s="120" t="s">
        <v>27</v>
      </c>
      <c r="C70" s="120"/>
      <c r="D70" s="120"/>
      <c r="E70" s="120" t="str">
        <f>Q30</f>
        <v>NO WARRANTY EXTENSION</v>
      </c>
      <c r="F70" s="120"/>
      <c r="G70" s="120"/>
      <c r="H70" s="120"/>
      <c r="I70" s="120" t="str">
        <f>VLOOKUP($E70,_WARRANTY_6RU!A2:G4,7,FALSE)</f>
        <v>---NA---</v>
      </c>
      <c r="J70" s="120"/>
      <c r="K70" s="23">
        <f>VLOOKUP($E70,_WARRANTY_6RU!A2:G4,4,FALSE)</f>
        <v>0</v>
      </c>
      <c r="L70" s="173"/>
      <c r="M70" s="173"/>
      <c r="N70" s="42"/>
      <c r="O70" s="52"/>
      <c r="P70" s="52"/>
      <c r="Q70" s="37"/>
      <c r="R70" s="37"/>
      <c r="S70" s="52"/>
      <c r="T70" s="52"/>
      <c r="Z70" s="37"/>
      <c r="AA70" s="38" t="str">
        <f>VLOOKUP($E70,_WARRANTY_5RU!A2:G4,2,FALSE)</f>
        <v>0</v>
      </c>
      <c r="AB70" s="37"/>
      <c r="AC70" s="37"/>
      <c r="AD70" s="37"/>
      <c r="AG70" s="52"/>
      <c r="AH70" s="52"/>
      <c r="AI70" s="37"/>
      <c r="AJ70" s="37"/>
      <c r="AK70" s="37"/>
      <c r="AL70" s="37"/>
      <c r="AM70" s="37"/>
      <c r="AN70" s="37"/>
      <c r="AO70" s="37"/>
    </row>
    <row r="71" spans="2:41" x14ac:dyDescent="0.25">
      <c r="B71" s="88" t="s">
        <v>58</v>
      </c>
      <c r="C71" s="88"/>
      <c r="D71" s="88"/>
      <c r="E71" s="88"/>
      <c r="F71" s="88"/>
      <c r="G71" s="88"/>
      <c r="H71" s="88"/>
      <c r="I71" s="88"/>
      <c r="J71" s="88"/>
      <c r="K71" s="88"/>
      <c r="L71" s="87"/>
      <c r="M71" s="87"/>
      <c r="O71" s="52"/>
      <c r="P71" s="52"/>
      <c r="Q71" s="37"/>
      <c r="R71" s="37"/>
      <c r="S71" s="52"/>
      <c r="T71" s="52"/>
      <c r="U71" s="52"/>
      <c r="V71" s="52"/>
      <c r="W71" s="52"/>
      <c r="X71" s="37"/>
      <c r="Y71" s="37"/>
      <c r="Z71" s="37"/>
      <c r="AA71" s="37"/>
      <c r="AB71" s="37"/>
      <c r="AC71" s="37"/>
      <c r="AD71" s="37"/>
      <c r="AE71" s="37"/>
      <c r="AF71" s="37"/>
      <c r="AG71" s="37"/>
      <c r="AH71" s="37"/>
      <c r="AI71" s="37"/>
      <c r="AJ71" s="37"/>
      <c r="AK71" s="37"/>
      <c r="AL71" s="37"/>
      <c r="AM71" s="37"/>
      <c r="AN71" s="37"/>
      <c r="AO71" s="37"/>
    </row>
    <row r="72" spans="2:41" x14ac:dyDescent="0.25">
      <c r="O72" s="52"/>
      <c r="P72" s="52"/>
      <c r="Q72" s="52"/>
      <c r="R72" s="52"/>
      <c r="S72" s="52"/>
      <c r="T72" s="52"/>
      <c r="U72" s="52"/>
      <c r="V72" s="52"/>
      <c r="W72" s="52"/>
      <c r="X72" s="52"/>
      <c r="Y72" s="52"/>
      <c r="Z72" s="52"/>
      <c r="AA72" s="52"/>
      <c r="AB72" s="52"/>
      <c r="AC72" s="52"/>
      <c r="AD72" s="52"/>
      <c r="AE72" s="52"/>
      <c r="AF72" s="52"/>
      <c r="AG72" s="52"/>
      <c r="AH72" s="52"/>
      <c r="AI72" s="52"/>
    </row>
    <row r="73" spans="2:41" x14ac:dyDescent="0.25">
      <c r="B73" s="4" t="s">
        <v>59</v>
      </c>
      <c r="D73" s="3"/>
      <c r="O73" s="52"/>
      <c r="P73" s="52"/>
      <c r="Q73" s="52"/>
      <c r="R73" s="52"/>
      <c r="S73" s="61"/>
      <c r="T73" s="52"/>
      <c r="U73" s="52"/>
      <c r="V73" s="52"/>
      <c r="X73" s="52"/>
      <c r="Y73" s="52"/>
      <c r="Z73" s="52"/>
      <c r="AA73" s="52"/>
      <c r="AB73" s="52"/>
      <c r="AC73" s="52"/>
      <c r="AD73" s="52"/>
      <c r="AE73" s="52"/>
    </row>
    <row r="74" spans="2:41" ht="43.15" customHeight="1" x14ac:dyDescent="0.25">
      <c r="B74" s="97" t="str">
        <f>IF(B36=_WORK!B14,_WORK!B14,CONCATENATE(_WORK!C184,_WORK!C185,_WORK!C186,_WORK!C187,_WORK!C188,_WORK!D188,_WORK!C189,_WORK!D189,_WORK!C190,_WORK!D190,_WORK!C191,_WORK!D191,_WORK!C192,_WORK!D192,_WORK!C193,_WORK!D193,_WORK!C194,_WORK!D194,_WORK!C195,_WORK!D195,_WORK!C196,_WORK!D196,_WORK!C197,_WORK!D197,_WORK!C198,_WORK!C199,_WORK!D199,_WORK!C200,_WORK!C201,_WORK!D201,_WORK!C202,_WORK!D202,_WORK!C203,_WORK!D203,_WORK!C204,_WORK!D204,_WORK!C205,_WORK!D205,_WORK!C206,_WORK!D206,_WORK!C207,_WORK!D207,_WORK!C208,_WORK!C211,_WORK!C212,_WORK!D212,_WORK!C213,_WORK!C214,_WORK!D214,_WORK!C215))</f>
        <v>Aquilon Cmax (6RU) 4K/8K presentation system with the default dual HDMI 2.0 MVW card, with no input card, with no output card, with no video processing card, with no still image processing card and with no Link card.</v>
      </c>
      <c r="C74" s="97"/>
      <c r="D74" s="97"/>
      <c r="E74" s="97"/>
      <c r="F74" s="97"/>
      <c r="G74" s="97"/>
      <c r="H74" s="97"/>
      <c r="I74" s="97"/>
      <c r="J74" s="97"/>
      <c r="K74" s="97"/>
      <c r="L74" s="97"/>
      <c r="M74" s="97"/>
      <c r="N74" s="97"/>
      <c r="O74" s="97"/>
      <c r="P74" s="97"/>
      <c r="Q74" s="97"/>
      <c r="R74" s="97"/>
      <c r="S74" s="97"/>
      <c r="Z74" s="52"/>
      <c r="AA74" s="52"/>
      <c r="AB74" s="52"/>
      <c r="AC74" s="52"/>
      <c r="AD74" s="52"/>
      <c r="AE74" s="52"/>
    </row>
    <row r="75" spans="2:41" x14ac:dyDescent="0.25">
      <c r="D75" s="3"/>
      <c r="Z75" s="52"/>
      <c r="AA75" s="52"/>
      <c r="AB75" s="52"/>
      <c r="AC75" s="52"/>
      <c r="AD75" s="52"/>
      <c r="AE75" s="52"/>
    </row>
  </sheetData>
  <sheetProtection algorithmName="SHA-512" hashValue="cvVz4LmD11NZFvAdC2LPi5nf8WIKJtzv0u+QZ+ShUqZPFCxOCtfVCMYui23+kSuWBZWkU+ZOer6p+PvewSlEGQ==" saltValue="C8/QbPa7+fenjS0P44iXKQ==" spinCount="100000" sheet="1" objects="1" scenarios="1"/>
  <protectedRanges>
    <protectedRange sqref="O5 O10 Q30 M39 F25 J10 B5 F5 B10 F10 B15 F15 J5 J15 J25 J30 B20 F20 J20" name="Plage1"/>
  </protectedRanges>
  <mergeCells count="185">
    <mergeCell ref="B2:M2"/>
    <mergeCell ref="B4:E4"/>
    <mergeCell ref="F4:I4"/>
    <mergeCell ref="J4:M4"/>
    <mergeCell ref="O4:S4"/>
    <mergeCell ref="B5:E7"/>
    <mergeCell ref="F5:I7"/>
    <mergeCell ref="J5:M7"/>
    <mergeCell ref="O5:S7"/>
    <mergeCell ref="B10:E12"/>
    <mergeCell ref="F10:I12"/>
    <mergeCell ref="J10:M12"/>
    <mergeCell ref="O10:S12"/>
    <mergeCell ref="B13:I13"/>
    <mergeCell ref="J13:M13"/>
    <mergeCell ref="O13:S13"/>
    <mergeCell ref="B8:I8"/>
    <mergeCell ref="J8:M8"/>
    <mergeCell ref="O8:S8"/>
    <mergeCell ref="B9:E9"/>
    <mergeCell ref="F9:I9"/>
    <mergeCell ref="J9:M9"/>
    <mergeCell ref="O9:S9"/>
    <mergeCell ref="B23:I23"/>
    <mergeCell ref="J23:M23"/>
    <mergeCell ref="B24:E24"/>
    <mergeCell ref="F24:I24"/>
    <mergeCell ref="J24:M24"/>
    <mergeCell ref="B25:E27"/>
    <mergeCell ref="F25:I27"/>
    <mergeCell ref="J25:M27"/>
    <mergeCell ref="B14:E14"/>
    <mergeCell ref="F14:I14"/>
    <mergeCell ref="J14:M14"/>
    <mergeCell ref="B15:E17"/>
    <mergeCell ref="F15:I17"/>
    <mergeCell ref="J15:M17"/>
    <mergeCell ref="B20:E22"/>
    <mergeCell ref="F20:I22"/>
    <mergeCell ref="J20:M22"/>
    <mergeCell ref="B18:I18"/>
    <mergeCell ref="J18:M18"/>
    <mergeCell ref="B19:E19"/>
    <mergeCell ref="F19:I19"/>
    <mergeCell ref="J19:M19"/>
    <mergeCell ref="Q29:S29"/>
    <mergeCell ref="B30:E32"/>
    <mergeCell ref="F30:I32"/>
    <mergeCell ref="J30:M32"/>
    <mergeCell ref="O30:P31"/>
    <mergeCell ref="Q30:S31"/>
    <mergeCell ref="B28:E28"/>
    <mergeCell ref="F28:I28"/>
    <mergeCell ref="J28:M28"/>
    <mergeCell ref="B29:E29"/>
    <mergeCell ref="F29:I29"/>
    <mergeCell ref="J29:M29"/>
    <mergeCell ref="B33:E33"/>
    <mergeCell ref="F33:I33"/>
    <mergeCell ref="J33:M33"/>
    <mergeCell ref="B35:M35"/>
    <mergeCell ref="B36:M36"/>
    <mergeCell ref="B39:D39"/>
    <mergeCell ref="E39:H39"/>
    <mergeCell ref="I39:J39"/>
    <mergeCell ref="O29:P29"/>
    <mergeCell ref="B42:D42"/>
    <mergeCell ref="E42:H42"/>
    <mergeCell ref="I42:J42"/>
    <mergeCell ref="L42:M42"/>
    <mergeCell ref="B43:D43"/>
    <mergeCell ref="E43:H43"/>
    <mergeCell ref="I43:J43"/>
    <mergeCell ref="L43:M43"/>
    <mergeCell ref="B40:D40"/>
    <mergeCell ref="E40:H40"/>
    <mergeCell ref="I40:J40"/>
    <mergeCell ref="L40:M40"/>
    <mergeCell ref="B41:D41"/>
    <mergeCell ref="E41:H41"/>
    <mergeCell ref="I41:J41"/>
    <mergeCell ref="L41:M41"/>
    <mergeCell ref="B53:D53"/>
    <mergeCell ref="E53:H53"/>
    <mergeCell ref="I53:J53"/>
    <mergeCell ref="L53:M53"/>
    <mergeCell ref="B54:D54"/>
    <mergeCell ref="E54:H54"/>
    <mergeCell ref="I54:J54"/>
    <mergeCell ref="L54:M54"/>
    <mergeCell ref="B48:D48"/>
    <mergeCell ref="E48:H48"/>
    <mergeCell ref="I48:J48"/>
    <mergeCell ref="L48:M48"/>
    <mergeCell ref="B49:D49"/>
    <mergeCell ref="E49:H49"/>
    <mergeCell ref="I49:J49"/>
    <mergeCell ref="L49:M49"/>
    <mergeCell ref="B50:D50"/>
    <mergeCell ref="E50:H50"/>
    <mergeCell ref="I50:J50"/>
    <mergeCell ref="L50:M50"/>
    <mergeCell ref="B57:D57"/>
    <mergeCell ref="E57:H57"/>
    <mergeCell ref="I57:J57"/>
    <mergeCell ref="L57:M57"/>
    <mergeCell ref="B58:D58"/>
    <mergeCell ref="E58:H58"/>
    <mergeCell ref="I58:J58"/>
    <mergeCell ref="L58:M58"/>
    <mergeCell ref="B55:D55"/>
    <mergeCell ref="E55:H55"/>
    <mergeCell ref="I55:J55"/>
    <mergeCell ref="L55:M55"/>
    <mergeCell ref="B56:D56"/>
    <mergeCell ref="E56:H56"/>
    <mergeCell ref="I56:J56"/>
    <mergeCell ref="L56:M56"/>
    <mergeCell ref="B65:D65"/>
    <mergeCell ref="E65:H65"/>
    <mergeCell ref="I65:J65"/>
    <mergeCell ref="L65:M65"/>
    <mergeCell ref="B66:D66"/>
    <mergeCell ref="E66:H66"/>
    <mergeCell ref="I66:J66"/>
    <mergeCell ref="L66:M66"/>
    <mergeCell ref="B63:D63"/>
    <mergeCell ref="E63:H63"/>
    <mergeCell ref="I63:J63"/>
    <mergeCell ref="L63:M63"/>
    <mergeCell ref="B64:D64"/>
    <mergeCell ref="E64:H64"/>
    <mergeCell ref="I64:J64"/>
    <mergeCell ref="L64:M64"/>
    <mergeCell ref="B70:D70"/>
    <mergeCell ref="E70:H70"/>
    <mergeCell ref="I70:J70"/>
    <mergeCell ref="L70:M70"/>
    <mergeCell ref="B74:S74"/>
    <mergeCell ref="B67:D67"/>
    <mergeCell ref="E67:H67"/>
    <mergeCell ref="I67:J67"/>
    <mergeCell ref="L67:M67"/>
    <mergeCell ref="J68:K68"/>
    <mergeCell ref="L68:M68"/>
    <mergeCell ref="B46:D46"/>
    <mergeCell ref="E46:H46"/>
    <mergeCell ref="I46:J46"/>
    <mergeCell ref="L46:M46"/>
    <mergeCell ref="B47:D47"/>
    <mergeCell ref="E47:H47"/>
    <mergeCell ref="I47:J47"/>
    <mergeCell ref="L47:M47"/>
    <mergeCell ref="B44:D44"/>
    <mergeCell ref="E44:H44"/>
    <mergeCell ref="I44:J44"/>
    <mergeCell ref="L44:M44"/>
    <mergeCell ref="B45:D45"/>
    <mergeCell ref="E45:H45"/>
    <mergeCell ref="I45:J45"/>
    <mergeCell ref="L45:M45"/>
    <mergeCell ref="B61:D61"/>
    <mergeCell ref="E61:H61"/>
    <mergeCell ref="I61:J61"/>
    <mergeCell ref="L61:M61"/>
    <mergeCell ref="B62:D62"/>
    <mergeCell ref="E62:H62"/>
    <mergeCell ref="I62:J62"/>
    <mergeCell ref="L62:M62"/>
    <mergeCell ref="B51:D51"/>
    <mergeCell ref="E51:H51"/>
    <mergeCell ref="I51:J51"/>
    <mergeCell ref="L51:M51"/>
    <mergeCell ref="B52:D52"/>
    <mergeCell ref="E52:H52"/>
    <mergeCell ref="I52:J52"/>
    <mergeCell ref="L52:M52"/>
    <mergeCell ref="B59:D59"/>
    <mergeCell ref="E59:H59"/>
    <mergeCell ref="I59:J59"/>
    <mergeCell ref="L59:M59"/>
    <mergeCell ref="B60:D60"/>
    <mergeCell ref="E60:H60"/>
    <mergeCell ref="I60:J60"/>
    <mergeCell ref="L60:M60"/>
  </mergeCells>
  <dataValidations count="1">
    <dataValidation type="list" allowBlank="1" showInputMessage="1" showErrorMessage="1" sqref="M39" xr:uid="{C9EB2B13-D85E-4D85-A8E6-C39376D2F9AD}">
      <formula1>$AA$38:$AC$38</formula1>
    </dataValidation>
  </dataValidations>
  <printOptions horizontalCentered="1" verticalCentered="1"/>
  <pageMargins left="0.25" right="0.25" top="0.75" bottom="0.75" header="0.3" footer="0.3"/>
  <pageSetup paperSize="9" scale="53" orientation="landscape" r:id="rId1"/>
  <ignoredErrors>
    <ignoredError sqref="E55:K55 I44:K44 E62:H62 E61:H61 J61:K61 J62 I47:K47 J45:K45 J46:K46 I50:K50 J48:K48 J49:K49 E54:H54 J54:K54 E57:K57 E56:H56 J56:K56 E59:K59 E58:H58 J58:K58 E60:H60 J60:K60"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1CA9D515-5ADB-4D61-AD97-0D800652C7B8}">
          <x14:formula1>
            <xm:f>_MVW!$A$4:$A$5</xm:f>
          </x14:formula1>
          <xm:sqref>F25:I27</xm:sqref>
        </x14:dataValidation>
        <x14:dataValidation type="list" allowBlank="1" showInputMessage="1" showErrorMessage="1" xr:uid="{F241721C-BE65-4ACD-8BE2-57B8940C847A}">
          <x14:formula1>
            <xm:f>_IMAGES!$A$3:$A$5</xm:f>
          </x14:formula1>
          <xm:sqref>O10</xm:sqref>
        </x14:dataValidation>
        <x14:dataValidation type="list" allowBlank="1" showInputMessage="1" showErrorMessage="1" xr:uid="{EA48D9F2-38D6-423B-8BFF-EE28BD086887}">
          <x14:formula1>
            <xm:f>_VIDEO!$A$3:$A$7</xm:f>
          </x14:formula1>
          <xm:sqref>O5:S7</xm:sqref>
        </x14:dataValidation>
        <x14:dataValidation type="list" allowBlank="1" showInputMessage="1" showErrorMessage="1" xr:uid="{8D46091D-4546-4144-9D7A-E5CE22C0C261}">
          <x14:formula1>
            <xm:f>_WARRANTY_6RU!$A$2:$A$4</xm:f>
          </x14:formula1>
          <xm:sqref>Q30:S31</xm:sqref>
        </x14:dataValidation>
        <x14:dataValidation type="list" allowBlank="1" showInputMessage="1" showErrorMessage="1" xr:uid="{B3DEDC5D-2242-4DA2-8CE1-E663F50B20AE}">
          <x14:formula1>
            <xm:f>_OUTPUT!$A$3:$A$12</xm:f>
          </x14:formula1>
          <xm:sqref>J30:M32</xm:sqref>
        </x14:dataValidation>
        <x14:dataValidation type="list" allowBlank="1" showInputMessage="1" showErrorMessage="1" xr:uid="{D85E7B9D-D287-4F26-8C50-E989B9C3C7C4}">
          <x14:formula1>
            <xm:f>_INPUT!$A$3:$A$13</xm:f>
          </x14:formula1>
          <xm:sqref>B5:I7 B10:I12 B15:I17 B20:I22</xm:sqref>
        </x14:dataValidation>
        <x14:dataValidation type="list" allowBlank="1" showInputMessage="1" showErrorMessage="1" xr:uid="{9ECC5DF4-19C2-47D5-8CC8-07A8DF144BDF}">
          <x14:formula1>
            <xm:f>_OUTPUT!$A$3:$A$11</xm:f>
          </x14:formula1>
          <xm:sqref>J5:M7 J10:M12 J15:M17 J20:M22 J25:M27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9B519-9004-4C98-86AC-9452623F24CC}">
  <sheetPr codeName="Feuil4">
    <pageSetUpPr fitToPage="1"/>
  </sheetPr>
  <dimension ref="B1:U114"/>
  <sheetViews>
    <sheetView showGridLines="0" tabSelected="1" topLeftCell="A37" zoomScaleNormal="100" workbookViewId="0">
      <selection activeCell="C102" sqref="C102"/>
    </sheetView>
  </sheetViews>
  <sheetFormatPr baseColWidth="10" defaultColWidth="11.42578125" defaultRowHeight="15" x14ac:dyDescent="0.25"/>
  <cols>
    <col min="1" max="1" width="2.140625" customWidth="1"/>
    <col min="2" max="2" width="2.7109375" customWidth="1"/>
    <col min="3" max="3" width="23.5703125" bestFit="1" customWidth="1"/>
    <col min="4" max="4" width="20.85546875" bestFit="1" customWidth="1"/>
    <col min="6" max="6" width="10.5703125" customWidth="1"/>
    <col min="7" max="9" width="15.28515625" customWidth="1"/>
    <col min="13" max="13" width="7.140625" customWidth="1"/>
    <col min="14" max="14" width="3" customWidth="1"/>
    <col min="15" max="17" width="10.7109375" style="36" customWidth="1"/>
    <col min="18" max="18" width="28" style="36" bestFit="1" customWidth="1"/>
  </cols>
  <sheetData>
    <row r="1" spans="2:21" ht="16.5" thickBot="1" x14ac:dyDescent="0.3">
      <c r="C1" s="49" t="s">
        <v>29</v>
      </c>
      <c r="D1" s="49"/>
      <c r="E1" s="49"/>
      <c r="F1" s="49"/>
      <c r="G1" s="49"/>
      <c r="H1" s="49"/>
      <c r="I1" s="49"/>
      <c r="J1" s="49"/>
      <c r="L1" s="20" t="str">
        <f>_WORK!G2</f>
        <v>version 1.18</v>
      </c>
    </row>
    <row r="2" spans="2:21" ht="29.25" thickBot="1" x14ac:dyDescent="0.3">
      <c r="B2" s="174" t="s">
        <v>393</v>
      </c>
      <c r="C2" s="175"/>
      <c r="D2" s="175"/>
      <c r="E2" s="175"/>
      <c r="F2" s="175"/>
      <c r="G2" s="175"/>
      <c r="H2" s="175"/>
      <c r="I2" s="175"/>
      <c r="J2" s="175"/>
      <c r="K2" s="175"/>
      <c r="L2" s="176"/>
      <c r="N2" s="25"/>
    </row>
    <row r="3" spans="2:21" ht="9" customHeight="1" x14ac:dyDescent="0.25"/>
    <row r="4" spans="2:21" ht="13.15" customHeight="1" x14ac:dyDescent="0.25">
      <c r="C4" s="181" t="s">
        <v>69</v>
      </c>
      <c r="D4" s="181"/>
      <c r="E4" s="44" t="b">
        <f>IF(_WORK!C85,TRUE,"")</f>
        <v>1</v>
      </c>
      <c r="H4" s="45" t="str">
        <f>IF(OR(ISNA(R17),ISNA(R31)),"INVALID SIZE ORDERING NUMBER",CONCATENATE(R9,R10,R11,R12,R13,R14,R15,R16,R17,R18,R22,R23,R24,R25,R26,R27,R28,R29,R30,R31,R34,R35,R36))</f>
        <v/>
      </c>
      <c r="N4" s="45"/>
      <c r="O4" s="45"/>
      <c r="P4" s="45"/>
      <c r="Q4" s="45"/>
      <c r="R4" s="45"/>
      <c r="S4" s="45"/>
      <c r="T4" s="45"/>
      <c r="U4" s="45"/>
    </row>
    <row r="5" spans="2:21" ht="13.15" customHeight="1" x14ac:dyDescent="0.25">
      <c r="C5" s="181"/>
      <c r="D5" s="181"/>
      <c r="E5" s="43" t="str">
        <f>IF(_WORK!C85,"",FALSE)</f>
        <v/>
      </c>
      <c r="N5" s="45"/>
      <c r="R5" s="45"/>
      <c r="S5" s="36"/>
      <c r="T5" s="36"/>
      <c r="U5" s="45"/>
    </row>
    <row r="6" spans="2:21" ht="9" customHeight="1" x14ac:dyDescent="0.25">
      <c r="N6" s="45"/>
      <c r="R6" s="45"/>
      <c r="S6" s="36"/>
      <c r="T6" s="36"/>
      <c r="U6" s="45"/>
    </row>
    <row r="7" spans="2:21" x14ac:dyDescent="0.25">
      <c r="C7" s="4" t="s">
        <v>30</v>
      </c>
      <c r="D7" s="2"/>
      <c r="E7" s="2"/>
      <c r="F7" s="2"/>
      <c r="G7" s="35"/>
      <c r="H7" s="35"/>
      <c r="I7" s="35"/>
      <c r="J7" s="2"/>
      <c r="K7" s="2"/>
      <c r="L7" s="2"/>
      <c r="M7" s="2"/>
      <c r="N7" s="52"/>
      <c r="R7" s="45"/>
      <c r="S7" s="36"/>
      <c r="T7" s="36"/>
      <c r="U7" s="45"/>
    </row>
    <row r="8" spans="2:21" x14ac:dyDescent="0.25">
      <c r="C8" s="159" t="s">
        <v>31</v>
      </c>
      <c r="D8" s="159"/>
      <c r="E8" s="159"/>
      <c r="F8" s="8" t="s">
        <v>38</v>
      </c>
      <c r="G8" s="159" t="s">
        <v>32</v>
      </c>
      <c r="H8" s="159"/>
      <c r="I8" s="159"/>
      <c r="J8" s="94" t="s">
        <v>33</v>
      </c>
      <c r="K8" s="8" t="s">
        <v>34</v>
      </c>
      <c r="L8" s="8" t="s">
        <v>70</v>
      </c>
      <c r="N8" s="5"/>
      <c r="O8" s="38" t="s">
        <v>35</v>
      </c>
      <c r="P8" s="38" t="s">
        <v>36</v>
      </c>
      <c r="Q8" s="38" t="s">
        <v>37</v>
      </c>
      <c r="R8" s="36" t="s">
        <v>71</v>
      </c>
      <c r="S8" s="36"/>
      <c r="T8" s="36"/>
      <c r="U8" s="36"/>
    </row>
    <row r="9" spans="2:21" x14ac:dyDescent="0.25">
      <c r="C9" s="98" t="s">
        <v>39</v>
      </c>
      <c r="D9" s="99"/>
      <c r="E9" s="100"/>
      <c r="F9" s="13" t="str">
        <f>IF(LEN(B2)=18,MID(B2,1,5),IF(LEN(B2)=20,MID(B2,1,5),IF(LEN(B2)=22,MID(B2,1,6),IF(LEN(B2)=24,MID(B2,1,6),IF(LEN(B2)=27,MID(B2,1,8),IF(LEN(B2)=29,MID(B2,1,8),FALSE))))))</f>
        <v>AQL-C+</v>
      </c>
      <c r="G9" s="120" t="str">
        <f>VLOOKUP(F9,_CHASSIS!B2:H5,7,FALSE)</f>
        <v>AQUILON CUSTOM - BASE MODULE 5RU</v>
      </c>
      <c r="H9" s="120"/>
      <c r="I9" s="120"/>
      <c r="J9" s="92" t="str">
        <f>VLOOKUP(F9,_CHASSIS!$B$3:$F$5,2,FALSE)</f>
        <v>AQL-C+</v>
      </c>
      <c r="K9" s="76">
        <v>1</v>
      </c>
      <c r="L9" s="9" t="str">
        <f>VLOOKUP(F9,_CHASSIS!B2:H5,6,FALSE)</f>
        <v>0001205</v>
      </c>
      <c r="N9" s="5"/>
      <c r="O9" s="39">
        <f>$K9*VLOOKUP($F9,_CHASSIS!$B$3:$F$5,3,FALSE)</f>
        <v>49240</v>
      </c>
      <c r="P9" s="39">
        <f>$K9*VLOOKUP($F9,_CHASSIS!$B$3:$F$5,4,FALSE)</f>
        <v>57090</v>
      </c>
      <c r="Q9" s="39">
        <f>$K9*VLOOKUP($F9,_CHASSIS!$B$3:$F$5,5,FALSE)</f>
        <v>41040</v>
      </c>
      <c r="R9" s="36" t="str">
        <f>IF(ISNA(G9),CONCATENATE(C9," ; "),"")</f>
        <v/>
      </c>
      <c r="S9" s="36"/>
      <c r="T9" s="36"/>
      <c r="U9" s="36"/>
    </row>
    <row r="10" spans="2:21" x14ac:dyDescent="0.25">
      <c r="C10" s="101" t="s">
        <v>72</v>
      </c>
      <c r="D10" s="102"/>
      <c r="E10" s="103"/>
      <c r="F10" s="14" t="str">
        <f>IF(AND(F11="",F12=""),"",IF(AND(F11=_INPUT!B3,F12=_INPUT!B3),_GENERIC!B3,IF(OR(F11=_INPUT!B3,F12=_INPUT!B3),_GENERIC!B2,_GENERIC!B4)))</f>
        <v>1</v>
      </c>
      <c r="G10" s="107" t="str">
        <f>VLOOKUP(F10,_GENERIC!B2:H5,7,FALSE)</f>
        <v>8x 4K60p GENERIC INPUT BOARD</v>
      </c>
      <c r="H10" s="107"/>
      <c r="I10" s="107"/>
      <c r="J10" s="91" t="str">
        <f>VLOOKUP(F10,_GENERIC!B2:H5,2,FALSE)</f>
        <v>OPT-AQL-IN</v>
      </c>
      <c r="K10" s="77">
        <f>IF(AND(K11=1,K12=1),1,0)</f>
        <v>1</v>
      </c>
      <c r="L10" s="10" t="str">
        <f>VLOOKUP(F10,_GENERIC!B2:H5,6,FALSE)</f>
        <v>0001210</v>
      </c>
      <c r="N10" s="5"/>
      <c r="O10" s="39">
        <f>$K10*VLOOKUP($F10,_GENERIC!B2:H5,3,FALSE)</f>
        <v>6040</v>
      </c>
      <c r="P10" s="39">
        <f>$K10*VLOOKUP($F10,_GENERIC!B2:H5,4,FALSE)</f>
        <v>7230</v>
      </c>
      <c r="Q10" s="39">
        <f>$K10*VLOOKUP($F10,_GENERIC!B2:H5,5,FALSE)</f>
        <v>5040</v>
      </c>
      <c r="R10" s="36" t="str">
        <f>IF(OR(ISNA(G10),G10=_GENERIC!A2),CONCATENATE(C10," ; "),"")</f>
        <v/>
      </c>
      <c r="S10" s="36"/>
      <c r="T10" s="36"/>
      <c r="U10" s="36"/>
    </row>
    <row r="11" spans="2:21" x14ac:dyDescent="0.25">
      <c r="C11" s="104" t="s">
        <v>73</v>
      </c>
      <c r="D11" s="105"/>
      <c r="E11" s="106"/>
      <c r="F11" s="24" t="str">
        <f>IF(F9=_CHASSIS!B3,MID(B2,7,1),IF(F9=_CHASSIS!B4,MID(B2,8,1),MID(B2,10,1)))</f>
        <v>8</v>
      </c>
      <c r="G11" s="123" t="str">
        <f>VLOOKUP(F11,_INPUT!B2:H13,7,FALSE)</f>
        <v xml:space="preserve">INPUT CARD 8x HDMI 1.4 </v>
      </c>
      <c r="H11" s="123"/>
      <c r="I11" s="123"/>
      <c r="J11" s="93" t="str">
        <f>VLOOKUP(F11,_INPUT!B2:H13,2,FALSE)</f>
        <v>OPT-AQL-IN-HDMI-1.4</v>
      </c>
      <c r="K11" s="78">
        <f>IF(F11=_INPUT!B3,0,1)</f>
        <v>1</v>
      </c>
      <c r="L11" s="11" t="str">
        <f>VLOOKUP(F11,_INPUT!B2:H13,6,FALSE)</f>
        <v>0001376</v>
      </c>
      <c r="N11" s="5"/>
      <c r="O11" s="39">
        <f>$K11*VLOOKUP($F11,_INPUT!B2:H13,3,FALSE)</f>
        <v>2400</v>
      </c>
      <c r="P11" s="39">
        <f>$K11*VLOOKUP($F11,_INPUT!B2:H13,4,FALSE)</f>
        <v>2800</v>
      </c>
      <c r="Q11" s="39">
        <f>$K11*VLOOKUP($F11,_INPUT!B2:H13,5,FALSE)</f>
        <v>2000</v>
      </c>
      <c r="R11" s="36" t="str">
        <f>IF(ISNA(G11),CONCATENATE(C11," ; "),"")</f>
        <v/>
      </c>
      <c r="S11" s="36"/>
      <c r="T11" s="36"/>
      <c r="U11" s="36"/>
    </row>
    <row r="12" spans="2:21" x14ac:dyDescent="0.25">
      <c r="C12" s="117" t="s">
        <v>74</v>
      </c>
      <c r="D12" s="118"/>
      <c r="E12" s="125"/>
      <c r="F12" s="24" t="str">
        <f>IF(F9=_CHASSIS!B3,MID(B2,8,1),IF(F9=_CHASSIS!B4,MID(B2,9,1),MID(B2,11,1)))</f>
        <v>8</v>
      </c>
      <c r="G12" s="124" t="str">
        <f>VLOOKUP(F12,_INPUT!B2:H13,7,FALSE)</f>
        <v xml:space="preserve">INPUT CARD 8x HDMI 1.4 </v>
      </c>
      <c r="H12" s="124"/>
      <c r="I12" s="124"/>
      <c r="J12" s="90" t="str">
        <f>VLOOKUP(F12,_INPUT!B2:H13,2,FALSE)</f>
        <v>OPT-AQL-IN-HDMI-1.4</v>
      </c>
      <c r="K12" s="79">
        <f>IF(F12=_INPUT!B3,0,1)</f>
        <v>1</v>
      </c>
      <c r="L12" s="12" t="str">
        <f>VLOOKUP(F12,_INPUT!B2:H13,6,FALSE)</f>
        <v>0001376</v>
      </c>
      <c r="N12" s="5"/>
      <c r="O12" s="39">
        <f>$K12*VLOOKUP($F12,_INPUT!B2:H13,3,FALSE)</f>
        <v>2400</v>
      </c>
      <c r="P12" s="39">
        <f>$K12*VLOOKUP($F12,_INPUT!B2:H13,4,FALSE)</f>
        <v>2800</v>
      </c>
      <c r="Q12" s="39">
        <f>$K12*VLOOKUP($F12,_INPUT!B2:H13,5,FALSE)</f>
        <v>2000</v>
      </c>
      <c r="R12" s="36" t="str">
        <f>IF(ISNA(G12),CONCATENATE(C12," ; "),"")</f>
        <v/>
      </c>
      <c r="S12" s="36"/>
      <c r="T12" s="36"/>
      <c r="U12" s="36"/>
    </row>
    <row r="13" spans="2:21" x14ac:dyDescent="0.25">
      <c r="C13" s="101" t="s">
        <v>75</v>
      </c>
      <c r="D13" s="102"/>
      <c r="E13" s="103"/>
      <c r="F13" s="14" t="str">
        <f>IF(AND(F14="",F15=""),"",IF(AND(F14=_INPUT!B3,F15=_INPUT!B3),_GENERIC!B3,IF(OR(F14=_INPUT!B3,F15=_INPUT!B3),_INPUT!B2,_GENERIC!B4)))</f>
        <v>1</v>
      </c>
      <c r="G13" s="107" t="str">
        <f>VLOOKUP(F13,_GENERIC!B2:H5,7,FALSE)</f>
        <v>8x 4K60p GENERIC INPUT BOARD</v>
      </c>
      <c r="H13" s="107"/>
      <c r="I13" s="107"/>
      <c r="J13" s="91" t="str">
        <f>VLOOKUP(F13,_GENERIC!B2:H5,2,FALSE)</f>
        <v>OPT-AQL-IN</v>
      </c>
      <c r="K13" s="77">
        <f>IF(AND(K14=1,K15=1),1,0)</f>
        <v>1</v>
      </c>
      <c r="L13" s="10" t="str">
        <f>VLOOKUP(F13,_GENERIC!B2:H5,6,FALSE)</f>
        <v>0001210</v>
      </c>
      <c r="N13" s="5"/>
      <c r="O13" s="39">
        <f>$K13*VLOOKUP($F13,_GENERIC!B2:H5,3,FALSE)</f>
        <v>6040</v>
      </c>
      <c r="P13" s="39">
        <f>$K13*VLOOKUP($F13,_GENERIC!B2:H5,4,FALSE)</f>
        <v>7230</v>
      </c>
      <c r="Q13" s="39">
        <f>$K13*VLOOKUP($F13,_GENERIC!B2:H5,5,FALSE)</f>
        <v>5040</v>
      </c>
      <c r="R13" s="36" t="str">
        <f>IF(OR(ISNA(G13),G13=_GENERIC!A2),CONCATENATE(C13," ; "),"")</f>
        <v/>
      </c>
      <c r="S13" s="36"/>
      <c r="T13" s="36"/>
      <c r="U13" s="36"/>
    </row>
    <row r="14" spans="2:21" x14ac:dyDescent="0.25">
      <c r="C14" s="104" t="s">
        <v>76</v>
      </c>
      <c r="D14" s="105"/>
      <c r="E14" s="106"/>
      <c r="F14" s="24" t="str">
        <f>IF(F9=_CHASSIS!B3,MID(B2,9,1),IF(F9=_CHASSIS!B4,MID(B2,10,1),MID(B2,12,1)))</f>
        <v>1</v>
      </c>
      <c r="G14" s="123" t="str">
        <f>VLOOKUP(F14,_INPUT!B2:H13,7,FALSE)</f>
        <v xml:space="preserve">INPUT CARD 4x HDMI 2.0 </v>
      </c>
      <c r="H14" s="123"/>
      <c r="I14" s="123"/>
      <c r="J14" s="93" t="str">
        <f>VLOOKUP(F14,_INPUT!B2:H13,2,FALSE)</f>
        <v>OPT-AQL-IN-HDMI</v>
      </c>
      <c r="K14" s="78">
        <f>IF(F14=_INPUT!B3,0,1)</f>
        <v>1</v>
      </c>
      <c r="L14" s="11" t="str">
        <f>VLOOKUP(F14,_INPUT!B2:H13,6,FALSE)</f>
        <v>0001212</v>
      </c>
      <c r="N14" s="5"/>
      <c r="O14" s="39">
        <f>$K14*VLOOKUP($F14,_INPUT!B2:H13,3,FALSE)</f>
        <v>1200</v>
      </c>
      <c r="P14" s="39">
        <f>$K14*VLOOKUP($F14,_INPUT!B2:H13,4,FALSE)</f>
        <v>1450</v>
      </c>
      <c r="Q14" s="39">
        <f>$K14*VLOOKUP($F14,_INPUT!B2:H13,5,FALSE)</f>
        <v>1000</v>
      </c>
      <c r="R14" s="36" t="str">
        <f>IF(ISNA(G14),CONCATENATE(C14," ; "),IF(OR(ISNA(G11),ISNA(G12)),"",IF(G14=_INPUT!A3,"",IF(AND(G11=_INPUT!A3,G12=_INPUT!A3),"Input Slot 1 &amp; 2 shall be populated ; ",""))))</f>
        <v/>
      </c>
      <c r="S14" s="36"/>
      <c r="T14" s="36"/>
      <c r="U14" s="36"/>
    </row>
    <row r="15" spans="2:21" x14ac:dyDescent="0.25">
      <c r="C15" s="117" t="s">
        <v>77</v>
      </c>
      <c r="D15" s="118"/>
      <c r="E15" s="125"/>
      <c r="F15" s="24" t="str">
        <f>IF(F9=_CHASSIS!B3,MID(B2,10,1),IF(F9=_CHASSIS!B4,MID(B2,11,1),MID(B2,13,1)))</f>
        <v>2</v>
      </c>
      <c r="G15" s="124" t="str">
        <f>VLOOKUP(F15,_INPUT!B2:H13,7,FALSE)</f>
        <v>INPUT CARD 4x DP1.2</v>
      </c>
      <c r="H15" s="124"/>
      <c r="I15" s="124"/>
      <c r="J15" s="90" t="str">
        <f>VLOOKUP(F15,_INPUT!B2:H13,2,FALSE)</f>
        <v>OPT-AQL-IN-DP</v>
      </c>
      <c r="K15" s="79">
        <f>IF(F15=_INPUT!B3,0,1)</f>
        <v>1</v>
      </c>
      <c r="L15" s="12" t="str">
        <f>VLOOKUP(F15,_INPUT!B2:H13,6,FALSE)</f>
        <v>0001213</v>
      </c>
      <c r="N15" s="5"/>
      <c r="O15" s="39">
        <f>$K15*VLOOKUP($F15,_INPUT!B2:H13,3,FALSE)</f>
        <v>1200</v>
      </c>
      <c r="P15" s="39">
        <f>$K15*VLOOKUP($F15,_INPUT!B2:H13,4,FALSE)</f>
        <v>1450</v>
      </c>
      <c r="Q15" s="39">
        <f>$K15*VLOOKUP($F15,_INPUT!B2:H13,5,FALSE)</f>
        <v>1000</v>
      </c>
      <c r="R15" s="36" t="str">
        <f>IF(ISNA(G15),CONCATENATE(C15," ; "),"")</f>
        <v/>
      </c>
      <c r="S15" s="36"/>
      <c r="T15" s="36"/>
      <c r="U15" s="36"/>
    </row>
    <row r="16" spans="2:21" x14ac:dyDescent="0.25">
      <c r="C16" s="101" t="s">
        <v>78</v>
      </c>
      <c r="D16" s="102"/>
      <c r="E16" s="103"/>
      <c r="F16" s="14" t="str">
        <f>IF(AND(F17="",F18=""),"",IF(F9=_CHASSIS!B3,_CHASSIS!B2,IF(AND(F17=_INPUT!B3,F18=_INPUT!B3),_GENERIC!B3,IF(OR(F17=_INPUT!B3,F18=_INPUT!B3),_INPUT!B2,_GENERIC!B4))))</f>
        <v>1</v>
      </c>
      <c r="G16" s="107" t="str">
        <f>VLOOKUP(F16,_GENERIC!B2:H5,7,FALSE)</f>
        <v>8x 4K60p GENERIC INPUT BOARD</v>
      </c>
      <c r="H16" s="107"/>
      <c r="I16" s="107"/>
      <c r="J16" s="91" t="str">
        <f>VLOOKUP(F16,_GENERIC!B2:H5,2,FALSE)</f>
        <v>OPT-AQL-IN</v>
      </c>
      <c r="K16" s="77">
        <f>IF(AND(K17=1,K18=1),1,0)</f>
        <v>1</v>
      </c>
      <c r="L16" s="10" t="str">
        <f>VLOOKUP(F16,_GENERIC!B2:H5,6,FALSE)</f>
        <v>0001210</v>
      </c>
      <c r="N16" s="5"/>
      <c r="O16" s="39">
        <f>$K16*VLOOKUP($F16,_GENERIC!B2:H5,3,FALSE)</f>
        <v>6040</v>
      </c>
      <c r="P16" s="39">
        <f>$K16*VLOOKUP($F16,_GENERIC!B2:H5,4,FALSE)</f>
        <v>7230</v>
      </c>
      <c r="Q16" s="39">
        <f>$K16*VLOOKUP($F16,_GENERIC!B2:H5,5,FALSE)</f>
        <v>5040</v>
      </c>
      <c r="R16" s="36" t="str">
        <f>IF(F9=_CHASSIS!B3,IF(ISNA(G16),CONCATENATE(C16," ; "),""),IF(OR(ISNA(G16),G16=_GENERIC!A2),CONCATENATE(C16," ; "),""))</f>
        <v/>
      </c>
      <c r="S16" s="36"/>
      <c r="T16" s="36"/>
      <c r="U16" s="36"/>
    </row>
    <row r="17" spans="3:21" x14ac:dyDescent="0.25">
      <c r="C17" s="104" t="s">
        <v>79</v>
      </c>
      <c r="D17" s="105"/>
      <c r="E17" s="106"/>
      <c r="F17" s="24" t="str">
        <f>IF(F9=_CHASSIS!B3,_INPUT!B2,IF(F9=_CHASSIS!B4,MID($B$2,12,1),MID($B$2,14,1)))</f>
        <v>7</v>
      </c>
      <c r="G17" s="123" t="str">
        <f>VLOOKUP(F17,_INPUT!B2:H13,7,FALSE)</f>
        <v>INPUT CARD 1x 2.5 GbE + 4x 12G-SDI</v>
      </c>
      <c r="H17" s="123"/>
      <c r="I17" s="123"/>
      <c r="J17" s="93" t="str">
        <f>VLOOKUP(F17,_INPUT!B2:H13,2,FALSE)</f>
        <v>OPT-AQL-IN-IP-SDI</v>
      </c>
      <c r="K17" s="78">
        <f>IF(OR(F17=_INPUT!B2,F17=_INPUT!B3),0,1)</f>
        <v>1</v>
      </c>
      <c r="L17" s="11" t="str">
        <f>VLOOKUP(F17,_INPUT!B2:H13,6,FALSE)</f>
        <v>0001338</v>
      </c>
      <c r="N17" s="5"/>
      <c r="O17" s="39">
        <f>$K17*VLOOKUP($F17,_INPUT!B2:H13,3,FALSE)</f>
        <v>3900</v>
      </c>
      <c r="P17" s="39">
        <f>$K17*VLOOKUP($F17,_INPUT!B2:H13,4,FALSE)</f>
        <v>4550</v>
      </c>
      <c r="Q17" s="39">
        <f>$K17*VLOOKUP($F17,_INPUT!B2:H13,5,FALSE)</f>
        <v>3250</v>
      </c>
      <c r="R17" s="36" t="str">
        <f>IF(J9=_CHASSIS!B3,"",IF(ISNA(G17),CONCATENATE(C17," ; "),IF(OR(ISNA(G14),ISNA(G15)),"",IF(G17=_INPUT!A3,"",IF(AND(G14=_INPUT!A3,G15=_INPUT!A3),"Input slots 3 &amp; 4 shall be populated","")))))</f>
        <v/>
      </c>
      <c r="S17" s="36"/>
      <c r="T17" s="36"/>
      <c r="U17" s="36"/>
    </row>
    <row r="18" spans="3:21" x14ac:dyDescent="0.25">
      <c r="C18" s="117" t="s">
        <v>80</v>
      </c>
      <c r="D18" s="118"/>
      <c r="E18" s="125"/>
      <c r="F18" s="24" t="str">
        <f>IF(F9=_CHASSIS!B3,_INPUT!B2,IF(F9=_CHASSIS!B4,MID($B$2,13,1),MID($B$2,15,1)))</f>
        <v>3</v>
      </c>
      <c r="G18" s="124" t="str">
        <f>VLOOKUP(F18,_INPUT!B2:H13,7,FALSE)</f>
        <v>INPUT CARD 4x 12G-SDI</v>
      </c>
      <c r="H18" s="124"/>
      <c r="I18" s="124"/>
      <c r="J18" s="90" t="str">
        <f>VLOOKUP(F18,_INPUT!B2:H13,2,FALSE)</f>
        <v>OPT-AQL-IN-SDI</v>
      </c>
      <c r="K18" s="79">
        <f>IF(OR(F18=_INPUT!B2,F18=_INPUT!B3),0,1)</f>
        <v>1</v>
      </c>
      <c r="L18" s="12" t="str">
        <f>VLOOKUP(F18,_INPUT!B2:H13,6,FALSE)</f>
        <v>0001214</v>
      </c>
      <c r="N18" s="5"/>
      <c r="O18" s="39">
        <f>$K18*VLOOKUP($F18,_INPUT!B2:H13,3,FALSE)</f>
        <v>1300</v>
      </c>
      <c r="P18" s="39">
        <f>$K18*VLOOKUP($F18,_INPUT!B2:H13,4,FALSE)</f>
        <v>1550</v>
      </c>
      <c r="Q18" s="39">
        <f>$K18*VLOOKUP($F18,_INPUT!B2:H13,5,FALSE)</f>
        <v>1090</v>
      </c>
      <c r="R18" s="36" t="str">
        <f t="shared" ref="R18:R28" si="0">IF(ISNA(G18),CONCATENATE(C18," ; "),"")</f>
        <v/>
      </c>
      <c r="S18" s="36"/>
      <c r="T18" s="36"/>
      <c r="U18" s="36"/>
    </row>
    <row r="19" spans="3:21" x14ac:dyDescent="0.25">
      <c r="C19" s="101" t="s">
        <v>364</v>
      </c>
      <c r="D19" s="102"/>
      <c r="E19" s="103"/>
      <c r="F19" s="14" t="str">
        <f>IF(AND(F20="",F21=""),"",IF(F9=_CHASSIS!B3,_CHASSIS!B2,IF(F9=_CHASSIS!B4,_CHASSIS!B2,IF(AND(F20=_INPUT!B3,F21=_INPUT!B3),_GENERIC!B3,IF(OR(F20=_INPUT!B3,F21=_INPUT!B3),_INPUT!B2,_GENERIC!B4)))))</f>
        <v>NA</v>
      </c>
      <c r="G19" s="107" t="str">
        <f>VLOOKUP(F19,_GENERIC!B2:H5,7,FALSE)</f>
        <v>NOT AVAILABLE</v>
      </c>
      <c r="H19" s="107"/>
      <c r="I19" s="107"/>
      <c r="J19" s="91" t="str">
        <f>VLOOKUP(F19,_GENERIC!B2:H5,2,FALSE)</f>
        <v>---NA---</v>
      </c>
      <c r="K19" s="77">
        <f>IF(AND(K20=1,K21=1),1,0)</f>
        <v>0</v>
      </c>
      <c r="L19" s="10" t="str">
        <f>VLOOKUP(F19,_GENERIC!B2:H5,6,FALSE)</f>
        <v>---NA---</v>
      </c>
      <c r="N19" s="5"/>
      <c r="O19" s="39">
        <f>$K19*VLOOKUP($F19,_GENERIC!B2:H5,3,FALSE)</f>
        <v>0</v>
      </c>
      <c r="P19" s="39">
        <f>$K19*VLOOKUP($F19,_GENERIC!B2:H5,4,FALSE)</f>
        <v>0</v>
      </c>
      <c r="Q19" s="39">
        <f>$K19*VLOOKUP($F19,_GENERIC!B2:H5,5,FALSE)</f>
        <v>0</v>
      </c>
      <c r="R19" s="36" t="str">
        <f>IF(F12=_CHASSIS!B6,IF(ISNA(G19),CONCATENATE(C19," ; "),""),IF(OR(ISNA(G19),G19=_GENERIC!A5),CONCATENATE(C19," ; "),""))</f>
        <v/>
      </c>
      <c r="S19" s="36"/>
      <c r="T19" s="36"/>
      <c r="U19" s="36"/>
    </row>
    <row r="20" spans="3:21" x14ac:dyDescent="0.25">
      <c r="C20" s="104" t="s">
        <v>365</v>
      </c>
      <c r="D20" s="105"/>
      <c r="E20" s="106"/>
      <c r="F20" s="24" t="str">
        <f>IF(F9=_CHASSIS!B3,_INPUT!B2,IF(F9=_CHASSIS!B4,_INPUT!B2,MID($B$2,16,1)))</f>
        <v>NA</v>
      </c>
      <c r="G20" s="123" t="str">
        <f>VLOOKUP(F20,_INPUT!B2:H13,7,FALSE)</f>
        <v>NOT AVAILABLE</v>
      </c>
      <c r="H20" s="123"/>
      <c r="I20" s="123"/>
      <c r="J20" s="93" t="str">
        <f>VLOOKUP(F20,_INPUT!B2:H13,2,FALSE)</f>
        <v>---NA---</v>
      </c>
      <c r="K20" s="78">
        <f>IF(OR(F20=_INPUT!B2,F20=_INPUT!B3),0,1)</f>
        <v>0</v>
      </c>
      <c r="L20" s="11" t="str">
        <f>VLOOKUP(F20,_INPUT!B2:H13,6,FALSE)</f>
        <v>---NA---</v>
      </c>
      <c r="N20" s="5"/>
      <c r="O20" s="39">
        <f>$K20*VLOOKUP($F20,_INPUT!B2:H13,3,FALSE)</f>
        <v>0</v>
      </c>
      <c r="P20" s="39">
        <f>$K20*VLOOKUP($F20,_INPUT!B2:H13,4,FALSE)</f>
        <v>0</v>
      </c>
      <c r="Q20" s="39">
        <f>$K20*VLOOKUP($F20,_INPUT!B2:H13,5,FALSE)</f>
        <v>0</v>
      </c>
      <c r="R20" s="36" t="str">
        <f>IF(J9=_CHASSIS!B4,"",IF(ISNA(G20),CONCATENATE(C20," ; "),IF(OR(ISNA(G17),ISNA(G18)),"",IF(G20=_INPUT!A3,"",IF(AND(G17=_INPUT!A3,G18=_INPUT!A3),"Input slots 5 &amp; 6 shall be populated","")))))</f>
        <v/>
      </c>
      <c r="S20" s="36"/>
      <c r="T20" s="36"/>
      <c r="U20" s="36"/>
    </row>
    <row r="21" spans="3:21" x14ac:dyDescent="0.25">
      <c r="C21" s="117" t="s">
        <v>366</v>
      </c>
      <c r="D21" s="118"/>
      <c r="E21" s="125"/>
      <c r="F21" s="24" t="str">
        <f>IF(F9=_CHASSIS!B3,_INPUT!B2,IF(F9=_CHASSIS!B4,_INPUT!B2,MID($B$2,17,1)))</f>
        <v>NA</v>
      </c>
      <c r="G21" s="124" t="str">
        <f>VLOOKUP(F21,_INPUT!B2:H13,7,FALSE)</f>
        <v>NOT AVAILABLE</v>
      </c>
      <c r="H21" s="124"/>
      <c r="I21" s="124"/>
      <c r="J21" s="90" t="str">
        <f>VLOOKUP(F21,_INPUT!B2:H13,2,FALSE)</f>
        <v>---NA---</v>
      </c>
      <c r="K21" s="79">
        <f>IF(OR(F21=_INPUT!B2,F21=_INPUT!B3),0,1)</f>
        <v>0</v>
      </c>
      <c r="L21" s="12" t="str">
        <f>VLOOKUP(F21,_INPUT!B2:H13,6,FALSE)</f>
        <v>---NA---</v>
      </c>
      <c r="N21" s="5"/>
      <c r="O21" s="39">
        <f>$K21*VLOOKUP($F21,_INPUT!B2:H13,3,FALSE)</f>
        <v>0</v>
      </c>
      <c r="P21" s="39">
        <f>$K21*VLOOKUP($F21,_INPUT!B2:H13,4,FALSE)</f>
        <v>0</v>
      </c>
      <c r="Q21" s="39">
        <f>$K21*VLOOKUP($F21,_INPUT!B2:H13,5,FALSE)</f>
        <v>0</v>
      </c>
      <c r="R21" s="36" t="str">
        <f t="shared" ref="R21" si="1">IF(ISNA(G21),CONCATENATE(C21," ; "),"")</f>
        <v/>
      </c>
      <c r="S21" s="36"/>
      <c r="T21" s="36"/>
      <c r="U21" s="36"/>
    </row>
    <row r="22" spans="3:21" x14ac:dyDescent="0.25">
      <c r="C22" s="101" t="s">
        <v>81</v>
      </c>
      <c r="D22" s="102"/>
      <c r="E22" s="103"/>
      <c r="F22" s="30" t="str">
        <f>IF(F23="","",IF(F23=_OUTPUT!B3,_GENERIC!B3,_GENERIC!B5))</f>
        <v>2</v>
      </c>
      <c r="G22" s="107" t="str">
        <f>VLOOKUP(F22,_GENERIC!B2:H6,7,FALSE)</f>
        <v>4x 4K60p GENERIC OUTPUT BOARD</v>
      </c>
      <c r="H22" s="107"/>
      <c r="I22" s="107"/>
      <c r="J22" s="91" t="str">
        <f>VLOOKUP(F22,_GENERIC!B2:H6,2,FALSE)</f>
        <v>OPT-AQL-OUT</v>
      </c>
      <c r="K22" s="77">
        <f>IF(K23=1,1,0)</f>
        <v>1</v>
      </c>
      <c r="L22" s="10" t="str">
        <f>VLOOKUP(F22,_GENERIC!B2:H6,6,FALSE)</f>
        <v>0001211</v>
      </c>
      <c r="N22" s="5"/>
      <c r="O22" s="39">
        <f>$K22*VLOOKUP($F22,_GENERIC!B2:H5,3,FALSE)</f>
        <v>4030</v>
      </c>
      <c r="P22" s="39">
        <f>$K22*VLOOKUP($F22,_GENERIC!B2:H5,4,FALSE)</f>
        <v>4750</v>
      </c>
      <c r="Q22" s="39">
        <f>$K22*VLOOKUP($F22,_GENERIC!B2:H6,5,FALSE)</f>
        <v>3360</v>
      </c>
      <c r="R22" s="36" t="str">
        <f t="shared" si="0"/>
        <v/>
      </c>
      <c r="S22" s="36"/>
      <c r="T22" s="36"/>
      <c r="U22" s="36"/>
    </row>
    <row r="23" spans="3:21" x14ac:dyDescent="0.25">
      <c r="C23" s="117" t="s">
        <v>82</v>
      </c>
      <c r="D23" s="118"/>
      <c r="E23" s="125"/>
      <c r="F23" s="24" t="str">
        <f>IF(F9=_CHASSIS!B3,MID($B$2,12,1),IF(F9=_CHASSIS!B4,MID(B2,15,1),MID(B2,19,1)))</f>
        <v>1</v>
      </c>
      <c r="G23" s="124" t="str">
        <f>VLOOKUP(F23,_OUTPUT!B3:H12,7,FALSE)</f>
        <v xml:space="preserve">OUTPUT CARD 4x HDMI 2.0 </v>
      </c>
      <c r="H23" s="124"/>
      <c r="I23" s="124"/>
      <c r="J23" s="90" t="str">
        <f>VLOOKUP(F23,_OUTPUT!B3:H12,2,FALSE)</f>
        <v>OPT-AQL-OUT-HDMI</v>
      </c>
      <c r="K23" s="79">
        <f>IF(F23=_OUTPUT!B3,0,1)</f>
        <v>1</v>
      </c>
      <c r="L23" s="12" t="str">
        <f>VLOOKUP(F23,_OUTPUT!B3:H12,6,FALSE)</f>
        <v>0001215</v>
      </c>
      <c r="N23" s="5"/>
      <c r="O23" s="39">
        <f>$K23*VLOOKUP($F23,_OUTPUT!B2:H11,3,FALSE)</f>
        <v>1530</v>
      </c>
      <c r="P23" s="39">
        <f>$K23*VLOOKUP($F23,_OUTPUT!B2:H11,4,FALSE)</f>
        <v>1850</v>
      </c>
      <c r="Q23" s="39">
        <f>$K23*VLOOKUP($F23,_OUTPUT!B2:H12,5,FALSE)</f>
        <v>1280</v>
      </c>
      <c r="R23" s="36" t="str">
        <f t="shared" si="0"/>
        <v/>
      </c>
      <c r="S23" s="36"/>
      <c r="T23" s="36"/>
      <c r="U23" s="36"/>
    </row>
    <row r="24" spans="3:21" x14ac:dyDescent="0.25">
      <c r="C24" s="101" t="s">
        <v>83</v>
      </c>
      <c r="D24" s="102"/>
      <c r="E24" s="103"/>
      <c r="F24" s="30" t="str">
        <f>IF(F25="","",IF(F25=_OUTPUT!B3,_GENERIC!B3,_GENERIC!B5))</f>
        <v>2</v>
      </c>
      <c r="G24" s="107" t="str">
        <f>VLOOKUP(F24,_GENERIC!B2:H6,7,FALSE)</f>
        <v>4x 4K60p GENERIC OUTPUT BOARD</v>
      </c>
      <c r="H24" s="107"/>
      <c r="I24" s="107"/>
      <c r="J24" s="91" t="str">
        <f>VLOOKUP(F24,_GENERIC!B2:H6,2,FALSE)</f>
        <v>OPT-AQL-OUT</v>
      </c>
      <c r="K24" s="77">
        <f>IF(K25=1,1,0)</f>
        <v>1</v>
      </c>
      <c r="L24" s="10" t="str">
        <f>VLOOKUP(F24,_GENERIC!B2:H6,6,FALSE)</f>
        <v>0001211</v>
      </c>
      <c r="N24" s="5"/>
      <c r="O24" s="39">
        <f>$K24*VLOOKUP($F24,_GENERIC!B2:H5,3,FALSE)</f>
        <v>4030</v>
      </c>
      <c r="P24" s="39">
        <f>$K24*VLOOKUP($F24,_GENERIC!B2:H5,4,FALSE)</f>
        <v>4750</v>
      </c>
      <c r="Q24" s="39">
        <f>$K24*VLOOKUP($F24,_GENERIC!B2:H6,5,FALSE)</f>
        <v>3360</v>
      </c>
      <c r="R24" s="36" t="str">
        <f t="shared" si="0"/>
        <v/>
      </c>
      <c r="S24" s="36"/>
      <c r="T24" s="36"/>
      <c r="U24" s="36"/>
    </row>
    <row r="25" spans="3:21" x14ac:dyDescent="0.25">
      <c r="C25" s="117" t="s">
        <v>84</v>
      </c>
      <c r="D25" s="118"/>
      <c r="E25" s="125"/>
      <c r="F25" s="31" t="str">
        <f>IF(F9=_CHASSIS!B3,MID($B$2,13,1),IF(F9=_CHASSIS!B4,MID(B2,16,1),MID(B2,20,1)))</f>
        <v>1</v>
      </c>
      <c r="G25" s="124" t="str">
        <f>VLOOKUP(F25,_OUTPUT!B3:H12,7,FALSE)</f>
        <v xml:space="preserve">OUTPUT CARD 4x HDMI 2.0 </v>
      </c>
      <c r="H25" s="124"/>
      <c r="I25" s="124"/>
      <c r="J25" s="90" t="str">
        <f>VLOOKUP(F25,_OUTPUT!B3:H12,2,FALSE)</f>
        <v>OPT-AQL-OUT-HDMI</v>
      </c>
      <c r="K25" s="79">
        <f>IF(F25=_OUTPUT!B3,0,1)</f>
        <v>1</v>
      </c>
      <c r="L25" s="12" t="str">
        <f>VLOOKUP(F25,_OUTPUT!B3:H12,6,FALSE)</f>
        <v>0001215</v>
      </c>
      <c r="N25" s="5"/>
      <c r="O25" s="39">
        <f>$K25*VLOOKUP($F25,_OUTPUT!B2:H11,3,FALSE)</f>
        <v>1530</v>
      </c>
      <c r="P25" s="39">
        <f>$K25*VLOOKUP($F25,_OUTPUT!B2:H11,4,FALSE)</f>
        <v>1850</v>
      </c>
      <c r="Q25" s="39">
        <f>$K25*VLOOKUP($F25,_OUTPUT!B2:H12,5,FALSE)</f>
        <v>1280</v>
      </c>
      <c r="R25" s="36" t="str">
        <f>IF(ISNA(G25),CONCATENATE(C25," ; "),IF(ISNA(G23),"",IF(G25=_OUTPUT!A3,"",IF(G23=_OUTPUT!A3,"Output Slot 1 shall be populated",""))))</f>
        <v/>
      </c>
      <c r="S25" s="36"/>
      <c r="T25" s="36"/>
      <c r="U25" s="36"/>
    </row>
    <row r="26" spans="3:21" x14ac:dyDescent="0.25">
      <c r="C26" s="101" t="s">
        <v>85</v>
      </c>
      <c r="D26" s="102"/>
      <c r="E26" s="103"/>
      <c r="F26" s="30" t="str">
        <f>IF(F27="","",IF(F27=_OUTPUT!B3,_GENERIC!B3,_GENERIC!B5))</f>
        <v>2</v>
      </c>
      <c r="G26" s="107" t="str">
        <f>VLOOKUP(F26,_GENERIC!B2:H6,7,FALSE)</f>
        <v>4x 4K60p GENERIC OUTPUT BOARD</v>
      </c>
      <c r="H26" s="107"/>
      <c r="I26" s="107"/>
      <c r="J26" s="91" t="str">
        <f>VLOOKUP(F26,_GENERIC!B2:H6,2,FALSE)</f>
        <v>OPT-AQL-OUT</v>
      </c>
      <c r="K26" s="77">
        <f>IF(K27=1,1,0)</f>
        <v>1</v>
      </c>
      <c r="L26" s="10" t="str">
        <f>VLOOKUP(F26,_GENERIC!B2:H6,6,FALSE)</f>
        <v>0001211</v>
      </c>
      <c r="N26" s="5"/>
      <c r="O26" s="39">
        <f>$K26*VLOOKUP($F26,_GENERIC!B2:H5,3,FALSE)</f>
        <v>4030</v>
      </c>
      <c r="P26" s="39">
        <f>$K26*VLOOKUP($F26,_GENERIC!B2:H5,4,FALSE)</f>
        <v>4750</v>
      </c>
      <c r="Q26" s="39">
        <f>$K26*VLOOKUP($F26,_GENERIC!B2:H6,5,FALSE)</f>
        <v>3360</v>
      </c>
      <c r="R26" s="36" t="str">
        <f t="shared" si="0"/>
        <v/>
      </c>
      <c r="S26" s="36"/>
      <c r="T26" s="36"/>
      <c r="U26" s="36"/>
    </row>
    <row r="27" spans="3:21" x14ac:dyDescent="0.25">
      <c r="C27" s="117" t="s">
        <v>86</v>
      </c>
      <c r="D27" s="118"/>
      <c r="E27" s="125"/>
      <c r="F27" s="31" t="str">
        <f>IF(F9=_CHASSIS!B3,MID($B$2,14,1),IF(F9=_CHASSIS!B4,MID(B2,17,1),MID(B2,21,1)))</f>
        <v>1</v>
      </c>
      <c r="G27" s="124" t="str">
        <f>VLOOKUP(F27,_OUTPUT!B3:H12,7,FALSE)</f>
        <v xml:space="preserve">OUTPUT CARD 4x HDMI 2.0 </v>
      </c>
      <c r="H27" s="124"/>
      <c r="I27" s="124"/>
      <c r="J27" s="90" t="str">
        <f>VLOOKUP(F27,_OUTPUT!B3:H12,2,FALSE)</f>
        <v>OPT-AQL-OUT-HDMI</v>
      </c>
      <c r="K27" s="79">
        <f>IF(F27=_OUTPUT!B3,0,1)</f>
        <v>1</v>
      </c>
      <c r="L27" s="12" t="str">
        <f>VLOOKUP(F27,_OUTPUT!B3:H12,6,FALSE)</f>
        <v>0001215</v>
      </c>
      <c r="N27" s="5"/>
      <c r="O27" s="39">
        <f>$K27*VLOOKUP($F27,_OUTPUT!B2:H11,3,FALSE)</f>
        <v>1530</v>
      </c>
      <c r="P27" s="39">
        <f>$K27*VLOOKUP($F27,_OUTPUT!B2:H11,4,FALSE)</f>
        <v>1850</v>
      </c>
      <c r="Q27" s="39">
        <f>$K27*VLOOKUP($F27,_OUTPUT!B2:H12,5,FALSE)</f>
        <v>1280</v>
      </c>
      <c r="R27" s="36" t="str">
        <f>IF(ISNA(G27),CONCATENATE(C27," ; "),IF(ISNA(G25),"",IF(G27=_OUTPUT!A3,"",IF(G25=_OUTPUT!A3,"Output slot 2 shall be populated",""))))</f>
        <v/>
      </c>
      <c r="S27" s="36"/>
      <c r="T27" s="36"/>
      <c r="U27" s="36"/>
    </row>
    <row r="28" spans="3:21" x14ac:dyDescent="0.25">
      <c r="C28" s="101" t="s">
        <v>87</v>
      </c>
      <c r="D28" s="102"/>
      <c r="E28" s="103"/>
      <c r="F28" s="30" t="str">
        <f>IF(F29="","",IF(F29=_OUTPUT!B3,_GENERIC!B3,IF(F29=_OUTPUT!B12,_GENERIC!B6,_GENERIC!B5)))</f>
        <v>2</v>
      </c>
      <c r="G28" s="107" t="str">
        <f>VLOOKUP(F28,_GENERIC!B2:H6,7,FALSE)</f>
        <v>4x 4K60p GENERIC OUTPUT BOARD</v>
      </c>
      <c r="H28" s="107"/>
      <c r="I28" s="107"/>
      <c r="J28" s="91" t="str">
        <f>VLOOKUP(F28,_GENERIC!B2:H6,2,FALSE)</f>
        <v>OPT-AQL-OUT</v>
      </c>
      <c r="K28" s="77">
        <f>IF(K29=1,1,0)</f>
        <v>1</v>
      </c>
      <c r="L28" s="10" t="str">
        <f>VLOOKUP(F28,_GENERIC!B2:H6,6,FALSE)</f>
        <v>0001211</v>
      </c>
      <c r="N28" s="5"/>
      <c r="O28" s="39">
        <f>$K28*VLOOKUP($F28,_GENERIC!B2:H6,3,FALSE)</f>
        <v>4030</v>
      </c>
      <c r="P28" s="39">
        <f>$K28*VLOOKUP($F28,_GENERIC!B2:H6,4,FALSE)</f>
        <v>4750</v>
      </c>
      <c r="Q28" s="39">
        <f>$K28*VLOOKUP($F28,_GENERIC!B2:H6,5,FALSE)</f>
        <v>3360</v>
      </c>
      <c r="R28" s="36" t="str">
        <f t="shared" si="0"/>
        <v/>
      </c>
      <c r="S28" s="36"/>
      <c r="T28" s="36"/>
      <c r="U28" s="36"/>
    </row>
    <row r="29" spans="3:21" x14ac:dyDescent="0.25">
      <c r="C29" s="117" t="s">
        <v>88</v>
      </c>
      <c r="D29" s="118"/>
      <c r="E29" s="125"/>
      <c r="F29" s="31" t="str">
        <f>IF(F9=_CHASSIS!B3,MID($B$2,15,1),IF(F9=_CHASSIS!B4,MID(B2,18,1),MID(B2,22,1)))</f>
        <v>3</v>
      </c>
      <c r="G29" s="124" t="str">
        <f>VLOOKUP(F29,_OUTPUT!B3:H12,7,FALSE)</f>
        <v>OUTPUT CARD 4x 12G-SDI</v>
      </c>
      <c r="H29" s="124"/>
      <c r="I29" s="124"/>
      <c r="J29" s="90" t="str">
        <f>VLOOKUP(F29,_OUTPUT!B3:H12,2,FALSE)</f>
        <v>OPT-AQL-OUT-SDI</v>
      </c>
      <c r="K29" s="79">
        <f>IF(F29=_OUTPUT!B3,0,1)</f>
        <v>1</v>
      </c>
      <c r="L29" s="12" t="str">
        <f>VLOOKUP(F29,_OUTPUT!B3:H12,6,FALSE)</f>
        <v>0001217</v>
      </c>
      <c r="N29" s="5"/>
      <c r="O29" s="39">
        <f>$K29*VLOOKUP($F29,_OUTPUT!B2:H12,3,FALSE)</f>
        <v>2050</v>
      </c>
      <c r="P29" s="39">
        <f>$K29*VLOOKUP($F29,_OUTPUT!B2:H12,4,FALSE)</f>
        <v>2450</v>
      </c>
      <c r="Q29" s="39">
        <f>$K29*VLOOKUP($F29,_OUTPUT!B2:H12,5,FALSE)</f>
        <v>1710</v>
      </c>
      <c r="R29" s="36" t="str">
        <f>IF(ISNA(G29),CONCATENATE(C29," ; "),IF(ISNA(G27),"",IF(G29=_OUTPUT!A3,"",IF(G29=_OUTPUT!A12,"",IF(G27=_OUTPUT!A3,"Output slot 3 shall be populated","")))))</f>
        <v/>
      </c>
      <c r="S29" s="36"/>
      <c r="T29" s="36"/>
      <c r="U29" s="36"/>
    </row>
    <row r="30" spans="3:21" x14ac:dyDescent="0.25">
      <c r="C30" s="101" t="s">
        <v>89</v>
      </c>
      <c r="D30" s="102"/>
      <c r="E30" s="103"/>
      <c r="F30" s="30" t="str">
        <f>IF(F31="","",IF(F9=_CHASSIS!B3,_CHASSIS!B2,IF(F31=_OUTPUT!B3,_GENERIC!B3,IF(F31=_OUTPUT!B12,_GENERIC!B6,_GENERIC!B5))))</f>
        <v>3</v>
      </c>
      <c r="G30" s="107" t="str">
        <f>VLOOKUP(F30,_GENERIC!B2:H6,7,FALSE)</f>
        <v>GENERIC LINK/OUTPUT BOARD</v>
      </c>
      <c r="H30" s="107"/>
      <c r="I30" s="107"/>
      <c r="J30" s="91" t="str">
        <f>VLOOKUP(F30,_GENERIC!B2:H6,2,FALSE)</f>
        <v>OPT-AQL-LINK</v>
      </c>
      <c r="K30" s="77">
        <f>IF(K31=1,1,0)</f>
        <v>1</v>
      </c>
      <c r="L30" s="10" t="str">
        <f>VLOOKUP(F30,_GENERIC!B2:H6,6,FALSE)</f>
        <v>0001375</v>
      </c>
      <c r="N30" s="5"/>
      <c r="O30" s="39">
        <f>$K30*VLOOKUP($F30,_GENERIC!B2:H6,3,FALSE)</f>
        <v>4350</v>
      </c>
      <c r="P30" s="39">
        <f>$K30*VLOOKUP($F30,_GENERIC!B2:H6,4,FALSE)</f>
        <v>5090</v>
      </c>
      <c r="Q30" s="39">
        <f>$K30*VLOOKUP($F30,_GENERIC!B2:H6,5,FALSE)</f>
        <v>3630</v>
      </c>
      <c r="R30" s="36" t="str">
        <f>IF(ISNA(G30),CONCATENATE(C30," ; "),"")</f>
        <v/>
      </c>
      <c r="S30" s="36"/>
      <c r="T30" s="36"/>
      <c r="U30" s="36"/>
    </row>
    <row r="31" spans="3:21" x14ac:dyDescent="0.25">
      <c r="C31" s="117" t="s">
        <v>90</v>
      </c>
      <c r="D31" s="118"/>
      <c r="E31" s="125"/>
      <c r="F31" s="31" t="str">
        <f>IF(F9=_CHASSIS!B3,_OUTPUT!B2,IF(F9=_CHASSIS!B4,MID(B2,19,1),MID(B2,23,1)))</f>
        <v>7</v>
      </c>
      <c r="G31" s="124" t="str">
        <f>VLOOKUP(F31,_OUTPUT!B2:H12,7,FALSE)</f>
        <v>LINK CARD 6x QSFP+ 40G</v>
      </c>
      <c r="H31" s="124"/>
      <c r="I31" s="124"/>
      <c r="J31" s="90" t="str">
        <f>VLOOKUP(F31,_OUTPUT!B2:H12,2,FALSE)</f>
        <v>OPT-AQL-OUT-LINK-QSFP</v>
      </c>
      <c r="K31" s="79">
        <f>IF(OR(F31=_OUTPUT!B2,F31=_OUTPUT!B3),0,1)</f>
        <v>1</v>
      </c>
      <c r="L31" s="12" t="str">
        <f>VLOOKUP(F31,_OUTPUT!B2:H12,6,FALSE)</f>
        <v>0001377</v>
      </c>
      <c r="N31" s="5"/>
      <c r="O31" s="39">
        <f>$K31*VLOOKUP($F31,_OUTPUT!B2:H12,3,FALSE)</f>
        <v>2400</v>
      </c>
      <c r="P31" s="39">
        <f>$K31*VLOOKUP($F31,_OUTPUT!B2:H12,4,FALSE)</f>
        <v>2800</v>
      </c>
      <c r="Q31" s="39">
        <f>$K31*VLOOKUP($F31,_OUTPUT!B2:H12,5,FALSE)</f>
        <v>2000</v>
      </c>
      <c r="R31" s="36" t="str">
        <f>IF(J9=_CHASSIS!B3,"",IF(ISNA(G31),CONCATENATE(C31," ; "),IF(G31=_OUTPUT!A3,"",IF(G31=_OUTPUT!A12,"",IF(G29=_OUTPUT!A3,"Output slot 4 shall be populated","")))))</f>
        <v/>
      </c>
      <c r="S31" s="36"/>
      <c r="T31" s="36"/>
      <c r="U31" s="36"/>
    </row>
    <row r="32" spans="3:21" x14ac:dyDescent="0.25">
      <c r="C32" s="101" t="s">
        <v>367</v>
      </c>
      <c r="D32" s="102"/>
      <c r="E32" s="103"/>
      <c r="F32" s="30" t="str">
        <f>IF(F33="","",IF(F9=_CHASSIS!B3,_CHASSIS!B2,IF(F9=_CHASSIS!B4,_CHASSIS!B2,IF(F33=_OUTPUT!B3,_GENERIC!B3,IF(F33=_OUTPUT!B12,_GENERIC!B6,_GENERIC!B5)))))</f>
        <v>NA</v>
      </c>
      <c r="G32" s="107" t="str">
        <f>VLOOKUP(F32,_GENERIC!B2:H6,7,FALSE)</f>
        <v>NOT AVAILABLE</v>
      </c>
      <c r="H32" s="107"/>
      <c r="I32" s="107"/>
      <c r="J32" s="91" t="str">
        <f>VLOOKUP(F32,_GENERIC!B2:H6,2,FALSE)</f>
        <v>---NA---</v>
      </c>
      <c r="K32" s="77">
        <f>IF(K33=1,1,0)</f>
        <v>0</v>
      </c>
      <c r="L32" s="10" t="str">
        <f>VLOOKUP(F32,_GENERIC!B2:H6,6,FALSE)</f>
        <v>---NA---</v>
      </c>
      <c r="N32" s="5"/>
      <c r="O32" s="39">
        <f>$K32*VLOOKUP($F32,_GENERIC!B2:H6,3,FALSE)</f>
        <v>0</v>
      </c>
      <c r="P32" s="39">
        <f>$K32*VLOOKUP($F32,_GENERIC!B2:H6,4,FALSE)</f>
        <v>0</v>
      </c>
      <c r="Q32" s="39">
        <f>$K32*VLOOKUP($F32,_GENERIC!B2:H6,5,FALSE)</f>
        <v>0</v>
      </c>
      <c r="R32" s="36" t="str">
        <f>IF(ISNA(G32),CONCATENATE(C32," ; "),"")</f>
        <v/>
      </c>
      <c r="S32" s="36"/>
      <c r="T32" s="36"/>
      <c r="U32" s="36"/>
    </row>
    <row r="33" spans="3:21" x14ac:dyDescent="0.25">
      <c r="C33" s="117" t="s">
        <v>368</v>
      </c>
      <c r="D33" s="118"/>
      <c r="E33" s="125"/>
      <c r="F33" s="31" t="str">
        <f>IF(F9=_CHASSIS!B3,_OUTPUT!B2,IF(F9=_CHASSIS!B4,_OUTPUT!B2,MID(B2,24,1)))</f>
        <v>NA</v>
      </c>
      <c r="G33" s="124" t="str">
        <f>VLOOKUP(F33,_OUTPUT!B2:H12,7,FALSE)</f>
        <v>NOT AVAILABLE</v>
      </c>
      <c r="H33" s="124"/>
      <c r="I33" s="124"/>
      <c r="J33" s="90" t="str">
        <f>VLOOKUP(F33,_OUTPUT!B2:H12,2,FALSE)</f>
        <v>---NA---</v>
      </c>
      <c r="K33" s="79">
        <f>IF(OR(F33=_OUTPUT!B2,F33=_OUTPUT!B3),0,1)</f>
        <v>0</v>
      </c>
      <c r="L33" s="12" t="str">
        <f>VLOOKUP(F33,_OUTPUT!B2:H12,6,FALSE)</f>
        <v>---NA---</v>
      </c>
      <c r="N33" s="5"/>
      <c r="O33" s="39">
        <f>$K33*VLOOKUP($F33,_OUTPUT!B2:H12,3,FALSE)</f>
        <v>0</v>
      </c>
      <c r="P33" s="39">
        <f>$K33*VLOOKUP($F33,_OUTPUT!B2:H12,4,FALSE)</f>
        <v>0</v>
      </c>
      <c r="Q33" s="39">
        <f>$K33*VLOOKUP($F33,_OUTPUT!B2:H12,5,FALSE)</f>
        <v>0</v>
      </c>
      <c r="R33" s="36" t="str">
        <f>IF(J9=_CHASSIS!B4,"",IF(ISNA(G33),CONCATENATE(C33," ; "),IF(G33=_OUTPUT!A3,"",IF(G33=_OUTPUT!A12,"",IF(G31=_OUTPUT!A3,"Output slot 5 shall be populated","")))))</f>
        <v/>
      </c>
      <c r="S33" s="36"/>
      <c r="T33" s="36"/>
      <c r="U33" s="36"/>
    </row>
    <row r="34" spans="3:21" x14ac:dyDescent="0.25">
      <c r="C34" s="98" t="s">
        <v>91</v>
      </c>
      <c r="D34" s="99"/>
      <c r="E34" s="100"/>
      <c r="F34" s="32" t="str">
        <f>IF(F9=_CHASSIS!B3,MID($B$2,17,1),IF(F9=_CHASSIS!B4,MID(B2,21,1),MID(B2,26,1)))</f>
        <v>3</v>
      </c>
      <c r="G34" s="120" t="str">
        <f>VLOOKUP(F34,_VIDEO!B2:H7,7,FALSE)</f>
        <v>3 VIDEO PROCESSING CARDS</v>
      </c>
      <c r="H34" s="120"/>
      <c r="I34" s="120"/>
      <c r="J34" s="92" t="str">
        <f>VLOOKUP(F34,_VIDEO!B2:H7,2,FALSE)</f>
        <v>OPT-AQL-VPU</v>
      </c>
      <c r="K34" s="76" t="str">
        <f>IF(ISNA(G34),G34,F34)</f>
        <v>3</v>
      </c>
      <c r="L34" s="9" t="str">
        <f>VLOOKUP(F34,_VIDEO!B2:H7,6,FALSE)</f>
        <v>0001208</v>
      </c>
      <c r="N34" s="5"/>
      <c r="O34" s="39">
        <f>$K34*VLOOKUP($F34,_VIDEO!B2:H7,3,FALSE)</f>
        <v>33630</v>
      </c>
      <c r="P34" s="39">
        <f>$K34*VLOOKUP($F34,_VIDEO!B2:H7,4,FALSE)</f>
        <v>39330</v>
      </c>
      <c r="Q34" s="39">
        <f>$K34*VLOOKUP($F34,_VIDEO!B2:H7,5,FALSE)</f>
        <v>28050</v>
      </c>
      <c r="R34" s="36" t="str">
        <f>IF(ISNA(G34),CONCATENATE(C34," ; "),"")</f>
        <v/>
      </c>
      <c r="S34" s="36"/>
      <c r="T34" s="36"/>
      <c r="U34" s="36"/>
    </row>
    <row r="35" spans="3:21" x14ac:dyDescent="0.25">
      <c r="C35" s="98" t="s">
        <v>92</v>
      </c>
      <c r="D35" s="99"/>
      <c r="E35" s="100"/>
      <c r="F35" s="32" t="str">
        <f>IF(F9=_CHASSIS!B3,MID($B$2,18,1),IF(F9=_CHASSIS!B4,MID(B2,22,1),MID(B2,27,1)))</f>
        <v>2</v>
      </c>
      <c r="G35" s="120" t="str">
        <f>VLOOKUP(F35,_IMAGES!B2:H5,7,FALSE)</f>
        <v>2 STLL IMAGE PROCESSING CARDS</v>
      </c>
      <c r="H35" s="120"/>
      <c r="I35" s="120"/>
      <c r="J35" s="92" t="str">
        <f>VLOOKUP(F35,_IMAGES!B2:H5,2,FALSE)</f>
        <v>OPT-AQL-IPU</v>
      </c>
      <c r="K35" s="76" t="str">
        <f>IF(ISNA(G35),G35,F35)</f>
        <v>2</v>
      </c>
      <c r="L35" s="9" t="str">
        <f>VLOOKUP(F35,_IMAGES!B2:H5,6,FALSE)</f>
        <v>0001209</v>
      </c>
      <c r="N35" s="5"/>
      <c r="O35" s="39">
        <f>$K35*VLOOKUP($F35,_IMAGES!B2:H5,3,FALSE)</f>
        <v>12920</v>
      </c>
      <c r="P35" s="39">
        <f>$K35*VLOOKUP($F35,_IMAGES!B2:H5,4,FALSE)</f>
        <v>15480</v>
      </c>
      <c r="Q35" s="39">
        <f>$K35*VLOOKUP($F35,_IMAGES!B2:H5,5,FALSE)</f>
        <v>10780</v>
      </c>
      <c r="R35" s="36" t="str">
        <f>IF(ISNA(G35),CONCATENATE(C35," ; "),"")</f>
        <v/>
      </c>
      <c r="S35" s="36"/>
      <c r="T35" s="36"/>
      <c r="U35" s="36"/>
    </row>
    <row r="36" spans="3:21" x14ac:dyDescent="0.25">
      <c r="C36" s="98" t="s">
        <v>56</v>
      </c>
      <c r="D36" s="99"/>
      <c r="E36" s="100"/>
      <c r="F36" s="31" t="str">
        <f>IF(AND(F9=_CHASSIS!B3,LEN(B2)=18),"1",IF(AND(F9=_CHASSIS!B3,LEN(B2)=20),MID($B$2,20,1),IF(AND(F9=_CHASSIS!B4,LEN(B2)=22),"1",IF(AND(F9=_CHASSIS!B4,LEN(B2)=24),MID(B2,24,1),IF(AND(F9=_CHASSIS!B5,LEN(B2)=27),"1",IF(AND(F9=_CHASSIS!B5,LEN(B2)=29),MID(B2,29,1)))))))</f>
        <v>1</v>
      </c>
      <c r="G36" s="120" t="str">
        <f>VLOOKUP(F36,_MVW!B3:H5,7,FALSE)</f>
        <v>DEFAULT MVW 2x HDMI OUTPUT CARD</v>
      </c>
      <c r="H36" s="120"/>
      <c r="I36" s="120"/>
      <c r="J36" s="92" t="str">
        <f>VLOOKUP(F36,_MVW!B3:H5,2,FALSE)</f>
        <v>---NA---</v>
      </c>
      <c r="K36" s="76">
        <f>IF(F36=_MVW!B3,0,1)</f>
        <v>1</v>
      </c>
      <c r="L36" s="9" t="str">
        <f>VLOOKUP(F36,_MVW!B2:H5,6,FALSE)</f>
        <v>---NA---</v>
      </c>
      <c r="N36" s="5"/>
      <c r="O36" s="39">
        <f>$K36*VLOOKUP($F36,_MVW!B2:H6,3,FALSE)</f>
        <v>0</v>
      </c>
      <c r="P36" s="39">
        <f>$K36*VLOOKUP($F36,_MVW!B2:H6,4,FALSE)</f>
        <v>0</v>
      </c>
      <c r="Q36" s="39">
        <f>$K36*VLOOKUP($F36,_MVW!B2:H6,5,FALSE)</f>
        <v>0</v>
      </c>
      <c r="R36" s="36" t="str">
        <f>IF(_WORK!C113=TRUE,DECODER!C36,"")</f>
        <v/>
      </c>
      <c r="S36" s="36"/>
      <c r="T36" s="36"/>
      <c r="U36" s="36"/>
    </row>
    <row r="37" spans="3:21" x14ac:dyDescent="0.25">
      <c r="K37" s="1"/>
      <c r="L37" s="1"/>
      <c r="M37" s="80"/>
      <c r="S37" s="36"/>
      <c r="T37" s="36"/>
      <c r="U37" s="36"/>
    </row>
    <row r="38" spans="3:21" x14ac:dyDescent="0.25">
      <c r="C38" s="4" t="s">
        <v>59</v>
      </c>
      <c r="N38" s="45"/>
      <c r="S38" s="36"/>
      <c r="T38" s="36"/>
      <c r="U38" s="45"/>
    </row>
    <row r="39" spans="3:21" x14ac:dyDescent="0.25">
      <c r="C39" s="97" t="str">
        <f>IF(E4="","Invalid configuration",CONCATENATE(_WORK!C220,_WORK!C221,_WORK!C222,_WORK!C223,_WORK!C224,_WORK!D224,_WORK!C225,_WORK!D225,_WORK!C226,_WORK!D226,_WORK!C227,_WORK!D227,_WORK!C228,_WORK!D228,_WORK!C229,_WORK!D229,_WORK!C230,_WORK!D230,_WORK!C231,_WORK!D231,_WORK!C232,_WORK!D232,_WORK!D233,_WORK!C233,_WORK!C234,_WORK!C235,_WORK!D235,_WORK!C236,_WORK!C237,_WORK!D237,_WORK!C238,_WORK!D238,_WORK!C239,_WORK!D239,_WORK!C240,_WORK!D240,_WORK!C241,_WORK!D241,_WORK!C242,_WORK!D242,_WORK!C243,_WORK!D243,_WORK!C244,_WORK!C245,_WORK!C246,_WORK!D246,_WORK!C247,_WORK!C248,_WORK!D248,_WORK!C249,_WORK!C250,_WORK!D250, _WORK!C251))</f>
        <v>Aquilon C+ (5RU) 4K/8K presentation system with the default dual HDMI 2.0 MVW card, with 4x HDMI2.0, 4x DP 1.2, 4x 12G-SDI, 4x IP/SDI, 16x HDMI1.4 input connectors, with 12x HDMI2.0, 4x 12G-SDI output connectors, with 3 video processing cards, with 2 still image processing cards and with one Link card.</v>
      </c>
      <c r="D39" s="97"/>
      <c r="E39" s="97"/>
      <c r="F39" s="97"/>
      <c r="G39" s="97"/>
      <c r="H39" s="97"/>
      <c r="I39" s="97"/>
      <c r="J39" s="97"/>
      <c r="K39" s="97"/>
      <c r="L39" s="97"/>
      <c r="N39" s="45"/>
      <c r="S39" s="36"/>
      <c r="T39" s="36"/>
      <c r="U39" s="45"/>
    </row>
    <row r="40" spans="3:21" x14ac:dyDescent="0.25">
      <c r="C40" s="97"/>
      <c r="D40" s="97"/>
      <c r="E40" s="97"/>
      <c r="F40" s="97"/>
      <c r="G40" s="97"/>
      <c r="H40" s="97"/>
      <c r="I40" s="97"/>
      <c r="J40" s="97"/>
      <c r="K40" s="97"/>
      <c r="L40" s="97"/>
      <c r="N40" s="45"/>
      <c r="O40" s="45"/>
      <c r="P40" s="45"/>
      <c r="Q40" s="45"/>
      <c r="R40" s="45"/>
      <c r="S40" s="45"/>
      <c r="T40" s="45"/>
      <c r="U40" s="45"/>
    </row>
    <row r="41" spans="3:21" x14ac:dyDescent="0.25">
      <c r="C41" s="97"/>
      <c r="D41" s="97"/>
      <c r="E41" s="97"/>
      <c r="F41" s="97"/>
      <c r="G41" s="97"/>
      <c r="H41" s="97"/>
      <c r="I41" s="97"/>
      <c r="J41" s="97"/>
      <c r="K41" s="97"/>
      <c r="L41" s="97"/>
      <c r="N41" s="45"/>
      <c r="O41" s="45"/>
      <c r="P41" s="45"/>
      <c r="Q41" s="45"/>
      <c r="R41" s="45"/>
      <c r="S41" s="45"/>
      <c r="T41" s="45"/>
      <c r="U41" s="45"/>
    </row>
    <row r="42" spans="3:21" x14ac:dyDescent="0.25">
      <c r="N42" s="45"/>
      <c r="O42" s="45"/>
      <c r="P42" s="45"/>
      <c r="Q42" s="45"/>
      <c r="R42" s="45"/>
      <c r="S42" s="45"/>
      <c r="T42" s="45"/>
      <c r="U42" s="45"/>
    </row>
    <row r="43" spans="3:21" x14ac:dyDescent="0.25">
      <c r="C43" s="182" t="s">
        <v>33</v>
      </c>
      <c r="D43" s="182"/>
      <c r="E43" s="182"/>
      <c r="F43" s="182" t="s">
        <v>369</v>
      </c>
      <c r="G43" s="182"/>
      <c r="H43" s="182"/>
      <c r="I43" s="182"/>
      <c r="J43" s="7" t="s">
        <v>34</v>
      </c>
      <c r="N43" s="45"/>
      <c r="O43" s="45"/>
      <c r="P43" s="45"/>
      <c r="Q43" s="45"/>
      <c r="R43" s="45"/>
      <c r="S43" s="45"/>
      <c r="T43" s="45"/>
      <c r="U43" s="45"/>
    </row>
    <row r="44" spans="3:21" x14ac:dyDescent="0.25">
      <c r="C44" s="96" t="s">
        <v>229</v>
      </c>
      <c r="D44" s="96"/>
      <c r="E44" s="96"/>
      <c r="F44" s="96" t="str">
        <f>VLOOKUP(C44,_CHASSIS!B2:H5,7,FALSE)</f>
        <v>AQUILON CUSTOM - BASE MODULE 4RU</v>
      </c>
      <c r="G44" s="96"/>
      <c r="H44" s="96"/>
      <c r="I44" s="96"/>
      <c r="J44" s="75">
        <f t="shared" ref="J44:J57" si="2">COUNTIF($J$9:$J$36,C44)</f>
        <v>0</v>
      </c>
    </row>
    <row r="45" spans="3:21" x14ac:dyDescent="0.25">
      <c r="C45" s="96" t="s">
        <v>232</v>
      </c>
      <c r="D45" s="96"/>
      <c r="E45" s="96"/>
      <c r="F45" s="96" t="str">
        <f>VLOOKUP(C45,_CHASSIS!B3:H6,7,FALSE)</f>
        <v>AQUILON CUSTOM - BASE MODULE 5RU</v>
      </c>
      <c r="G45" s="96"/>
      <c r="H45" s="96"/>
      <c r="I45" s="96"/>
      <c r="J45" s="75">
        <f t="shared" si="2"/>
        <v>1</v>
      </c>
    </row>
    <row r="46" spans="3:21" x14ac:dyDescent="0.25">
      <c r="C46" s="96" t="s">
        <v>342</v>
      </c>
      <c r="D46" s="96"/>
      <c r="E46" s="96"/>
      <c r="F46" s="96" t="str">
        <f>VLOOKUP(C46,_CHASSIS!B4:H7,7,FALSE)</f>
        <v>AQUILON CUSTOM - BASE MODULE 6RU</v>
      </c>
      <c r="G46" s="96"/>
      <c r="H46" s="96"/>
      <c r="I46" s="96"/>
      <c r="J46" s="75">
        <f t="shared" si="2"/>
        <v>0</v>
      </c>
    </row>
    <row r="47" spans="3:21" x14ac:dyDescent="0.25">
      <c r="C47" s="96" t="s">
        <v>258</v>
      </c>
      <c r="D47" s="96"/>
      <c r="E47" s="96"/>
      <c r="F47" s="96" t="str">
        <f>VLOOKUP(C47,_GENERIC!$C$2:$H$5,6,FALSE)</f>
        <v>8x 4K60p GENERIC INPUT BOARD</v>
      </c>
      <c r="G47" s="96"/>
      <c r="H47" s="96"/>
      <c r="I47" s="96"/>
      <c r="J47" s="75">
        <f t="shared" si="2"/>
        <v>3</v>
      </c>
    </row>
    <row r="48" spans="3:21" x14ac:dyDescent="0.25">
      <c r="C48" s="96" t="s">
        <v>267</v>
      </c>
      <c r="D48" s="96"/>
      <c r="E48" s="96"/>
      <c r="F48" s="96" t="str">
        <f>VLOOKUP(C48,_INPUT!$C$3:$H$13,6,FALSE)</f>
        <v xml:space="preserve">INPUT CARD 4x HDMI 2.0 </v>
      </c>
      <c r="G48" s="96"/>
      <c r="H48" s="96"/>
      <c r="I48" s="96"/>
      <c r="J48" s="75">
        <f t="shared" si="2"/>
        <v>1</v>
      </c>
    </row>
    <row r="49" spans="3:10" x14ac:dyDescent="0.25">
      <c r="C49" s="96" t="s">
        <v>269</v>
      </c>
      <c r="D49" s="96"/>
      <c r="E49" s="96"/>
      <c r="F49" s="96" t="str">
        <f>VLOOKUP(C49,_INPUT!$C$3:$H$13,6,FALSE)</f>
        <v>INPUT CARD 4x DP1.2</v>
      </c>
      <c r="G49" s="96"/>
      <c r="H49" s="96"/>
      <c r="I49" s="96"/>
      <c r="J49" s="75">
        <f t="shared" si="2"/>
        <v>1</v>
      </c>
    </row>
    <row r="50" spans="3:10" x14ac:dyDescent="0.25">
      <c r="C50" s="96" t="s">
        <v>271</v>
      </c>
      <c r="D50" s="96"/>
      <c r="E50" s="96"/>
      <c r="F50" s="96" t="str">
        <f>VLOOKUP(C50,_INPUT!$C$3:$H$13,6,FALSE)</f>
        <v>INPUT CARD 4x 12G-SDI</v>
      </c>
      <c r="G50" s="96"/>
      <c r="H50" s="96"/>
      <c r="I50" s="96"/>
      <c r="J50" s="75">
        <f t="shared" si="2"/>
        <v>1</v>
      </c>
    </row>
    <row r="51" spans="3:10" x14ac:dyDescent="0.25">
      <c r="C51" s="96" t="s">
        <v>273</v>
      </c>
      <c r="D51" s="96"/>
      <c r="E51" s="96"/>
      <c r="F51" s="96" t="str">
        <f>VLOOKUP(C51,_INPUT!$C$3:$H$13,6,FALSE)</f>
        <v>INPUT CARD 4x SFP</v>
      </c>
      <c r="G51" s="96"/>
      <c r="H51" s="96"/>
      <c r="I51" s="96"/>
      <c r="J51" s="75">
        <f t="shared" si="2"/>
        <v>0</v>
      </c>
    </row>
    <row r="52" spans="3:10" x14ac:dyDescent="0.25">
      <c r="C52" s="96" t="s">
        <v>275</v>
      </c>
      <c r="D52" s="96"/>
      <c r="E52" s="96"/>
      <c r="F52" s="96" t="str">
        <f>VLOOKUP(C52,_INPUT!$C$3:$H$13,6,FALSE)</f>
        <v>INPUT CARD 4x FIBER (HDMI)</v>
      </c>
      <c r="G52" s="96"/>
      <c r="H52" s="96"/>
      <c r="I52" s="96"/>
      <c r="J52" s="75">
        <f t="shared" si="2"/>
        <v>0</v>
      </c>
    </row>
    <row r="53" spans="3:10" x14ac:dyDescent="0.25">
      <c r="C53" s="96" t="s">
        <v>277</v>
      </c>
      <c r="D53" s="96"/>
      <c r="E53" s="96"/>
      <c r="F53" s="96" t="str">
        <f>VLOOKUP(C53,_INPUT!$C$3:$H$13,6,FALSE)</f>
        <v>INPUT CARD 4x SDVoE</v>
      </c>
      <c r="G53" s="96"/>
      <c r="H53" s="96"/>
      <c r="I53" s="96"/>
      <c r="J53" s="75">
        <f t="shared" si="2"/>
        <v>0</v>
      </c>
    </row>
    <row r="54" spans="3:10" x14ac:dyDescent="0.25">
      <c r="C54" s="96" t="s">
        <v>310</v>
      </c>
      <c r="D54" s="96"/>
      <c r="E54" s="96"/>
      <c r="F54" s="96" t="str">
        <f>VLOOKUP(C54,_INPUT!$C$3:$H$13,6,FALSE)</f>
        <v>INPUT CARD 1x 2.5 GbE + 4x 12G-SDI</v>
      </c>
      <c r="G54" s="96"/>
      <c r="H54" s="96"/>
      <c r="I54" s="96"/>
      <c r="J54" s="75">
        <f t="shared" si="2"/>
        <v>1</v>
      </c>
    </row>
    <row r="55" spans="3:10" x14ac:dyDescent="0.25">
      <c r="C55" s="96" t="s">
        <v>313</v>
      </c>
      <c r="D55" s="96"/>
      <c r="E55" s="96"/>
      <c r="F55" s="96" t="str">
        <f>VLOOKUP(C55,_INPUT!$C$3:$H$13,6,FALSE)</f>
        <v xml:space="preserve">INPUT CARD 8x HDMI 1.4 </v>
      </c>
      <c r="G55" s="96"/>
      <c r="H55" s="96"/>
      <c r="I55" s="96"/>
      <c r="J55" s="75">
        <f t="shared" si="2"/>
        <v>2</v>
      </c>
    </row>
    <row r="56" spans="3:10" x14ac:dyDescent="0.25">
      <c r="C56" s="96" t="s">
        <v>376</v>
      </c>
      <c r="D56" s="96"/>
      <c r="E56" s="96"/>
      <c r="F56" s="26" t="str">
        <f>VLOOKUP(C56,_INPUT!$C$3:$H$13,6,FALSE)</f>
        <v>INPUT CARD 8x ST 2110</v>
      </c>
      <c r="G56" s="26"/>
      <c r="H56" s="26"/>
      <c r="I56" s="26"/>
      <c r="J56" s="75">
        <f>COUNTIF($J$9:$J$36,C56)</f>
        <v>0</v>
      </c>
    </row>
    <row r="57" spans="3:10" x14ac:dyDescent="0.25">
      <c r="C57" s="96" t="s">
        <v>265</v>
      </c>
      <c r="D57" s="96"/>
      <c r="E57" s="96"/>
      <c r="F57" s="96" t="str">
        <f>VLOOKUP(C57,_INPUT!$C$3:$H$13,6,FALSE)</f>
        <v>FILLER INPUT CARD (no connector)</v>
      </c>
      <c r="G57" s="96"/>
      <c r="H57" s="96"/>
      <c r="I57" s="96"/>
      <c r="J57" s="75">
        <f t="shared" si="2"/>
        <v>0</v>
      </c>
    </row>
    <row r="58" spans="3:10" x14ac:dyDescent="0.25">
      <c r="C58" s="96" t="s">
        <v>261</v>
      </c>
      <c r="D58" s="96"/>
      <c r="E58" s="96"/>
      <c r="F58" s="96" t="str">
        <f>VLOOKUP(C58,_GENERIC!$C$2:$H$5,6,FALSE)</f>
        <v>4x 4K60p GENERIC OUTPUT BOARD</v>
      </c>
      <c r="G58" s="96"/>
      <c r="H58" s="96"/>
      <c r="I58" s="96"/>
      <c r="J58" s="75">
        <f t="shared" ref="J58:J68" si="3">COUNTIF($J$9:$J$36,C58)</f>
        <v>4</v>
      </c>
    </row>
    <row r="59" spans="3:10" x14ac:dyDescent="0.25">
      <c r="C59" s="96" t="s">
        <v>323</v>
      </c>
      <c r="D59" s="96"/>
      <c r="E59" s="96"/>
      <c r="F59" s="96" t="str">
        <f>VLOOKUP(C59,_GENERIC!$C$2:$H$6,6,FALSE)</f>
        <v>GENERIC LINK/OUTPUT BOARD</v>
      </c>
      <c r="G59" s="96"/>
      <c r="H59" s="96"/>
      <c r="I59" s="96"/>
      <c r="J59" s="75">
        <f t="shared" si="3"/>
        <v>1</v>
      </c>
    </row>
    <row r="60" spans="3:10" x14ac:dyDescent="0.25">
      <c r="C60" s="96" t="s">
        <v>282</v>
      </c>
      <c r="D60" s="96"/>
      <c r="E60" s="96"/>
      <c r="F60" s="96" t="str">
        <f>VLOOKUP(C60,_OUTPUT!$C$3:$H$12,6,FALSE)</f>
        <v xml:space="preserve">OUTPUT CARD 4x HDMI 2.0 </v>
      </c>
      <c r="G60" s="96"/>
      <c r="H60" s="96"/>
      <c r="I60" s="96"/>
      <c r="J60" s="75">
        <f t="shared" si="3"/>
        <v>3</v>
      </c>
    </row>
    <row r="61" spans="3:10" x14ac:dyDescent="0.25">
      <c r="C61" s="96" t="s">
        <v>284</v>
      </c>
      <c r="D61" s="96"/>
      <c r="E61" s="96"/>
      <c r="F61" s="96" t="str">
        <f>VLOOKUP(C61,_OUTPUT!$C$3:$H$12,6,FALSE)</f>
        <v xml:space="preserve">OUTPUT CARD 4x DP1.2 </v>
      </c>
      <c r="G61" s="96"/>
      <c r="H61" s="96"/>
      <c r="I61" s="96"/>
      <c r="J61" s="75">
        <f t="shared" si="3"/>
        <v>0</v>
      </c>
    </row>
    <row r="62" spans="3:10" x14ac:dyDescent="0.25">
      <c r="C62" s="96" t="s">
        <v>286</v>
      </c>
      <c r="D62" s="96"/>
      <c r="E62" s="96"/>
      <c r="F62" s="96" t="str">
        <f>VLOOKUP(C62,_OUTPUT!$C$3:$H$12,6,FALSE)</f>
        <v>OUTPUT CARD 4x 12G-SDI</v>
      </c>
      <c r="G62" s="96"/>
      <c r="H62" s="96"/>
      <c r="I62" s="96"/>
      <c r="J62" s="75">
        <f t="shared" si="3"/>
        <v>1</v>
      </c>
    </row>
    <row r="63" spans="3:10" x14ac:dyDescent="0.25">
      <c r="C63" s="96" t="s">
        <v>288</v>
      </c>
      <c r="D63" s="96"/>
      <c r="E63" s="96"/>
      <c r="F63" s="96" t="str">
        <f>VLOOKUP(C63,_OUTPUT!$C$3:$H$12,6,FALSE)</f>
        <v>OUTPUT CARD 4x SFP</v>
      </c>
      <c r="G63" s="96"/>
      <c r="H63" s="96"/>
      <c r="I63" s="96"/>
      <c r="J63" s="75">
        <f t="shared" si="3"/>
        <v>0</v>
      </c>
    </row>
    <row r="64" spans="3:10" x14ac:dyDescent="0.25">
      <c r="C64" s="96" t="s">
        <v>290</v>
      </c>
      <c r="D64" s="96"/>
      <c r="E64" s="96"/>
      <c r="F64" s="96" t="str">
        <f>VLOOKUP(C64,_OUTPUT!$C$3:$H$12,6,FALSE)</f>
        <v>OUTPUT CARD 4x FIBER (HDMI)</v>
      </c>
      <c r="G64" s="96"/>
      <c r="H64" s="96"/>
      <c r="I64" s="96"/>
      <c r="J64" s="75">
        <f t="shared" si="3"/>
        <v>0</v>
      </c>
    </row>
    <row r="65" spans="3:10" x14ac:dyDescent="0.25">
      <c r="C65" s="96" t="s">
        <v>292</v>
      </c>
      <c r="D65" s="96"/>
      <c r="E65" s="96"/>
      <c r="F65" s="96" t="str">
        <f>VLOOKUP(C65,_OUTPUT!$C$3:$H$12,6,FALSE)</f>
        <v>OUTPUT CARD 4x SDVoE</v>
      </c>
      <c r="G65" s="96"/>
      <c r="H65" s="96"/>
      <c r="I65" s="96"/>
      <c r="J65" s="75">
        <f t="shared" si="3"/>
        <v>0</v>
      </c>
    </row>
    <row r="66" spans="3:10" x14ac:dyDescent="0.25">
      <c r="C66" s="96" t="s">
        <v>372</v>
      </c>
      <c r="D66" s="96"/>
      <c r="E66" s="96"/>
      <c r="F66" s="26" t="str">
        <f>VLOOKUP(C66,_OUTPUT!$C$3:$H$12,6,FALSE)</f>
        <v>OUTPUT CARD 4x ST 2110</v>
      </c>
      <c r="G66" s="26"/>
      <c r="H66" s="26"/>
      <c r="I66" s="26"/>
      <c r="J66" s="75">
        <f>COUNTIF($J$9:$J$36,C66)</f>
        <v>0</v>
      </c>
    </row>
    <row r="67" spans="3:10" x14ac:dyDescent="0.25">
      <c r="C67" s="96" t="s">
        <v>280</v>
      </c>
      <c r="D67" s="96"/>
      <c r="E67" s="96"/>
      <c r="F67" s="96" t="str">
        <f>VLOOKUP(C67,_OUTPUT!$C$3:$H$12,6,FALSE)</f>
        <v>FILLER OUTPUT CARD (no connector)</v>
      </c>
      <c r="G67" s="96"/>
      <c r="H67" s="96"/>
      <c r="I67" s="96"/>
      <c r="J67" s="75">
        <f t="shared" si="3"/>
        <v>0</v>
      </c>
    </row>
    <row r="68" spans="3:10" x14ac:dyDescent="0.25">
      <c r="C68" s="96" t="s">
        <v>321</v>
      </c>
      <c r="D68" s="96"/>
      <c r="E68" s="96"/>
      <c r="F68" s="96" t="str">
        <f>VLOOKUP(C68,_OUTPUT!$C$3:$H$12,6,FALSE)</f>
        <v>LINK CARD 6x QSFP+ 40G</v>
      </c>
      <c r="G68" s="96"/>
      <c r="H68" s="96"/>
      <c r="I68" s="96"/>
      <c r="J68" s="75">
        <f t="shared" si="3"/>
        <v>1</v>
      </c>
    </row>
    <row r="69" spans="3:10" x14ac:dyDescent="0.25">
      <c r="C69" s="96" t="s">
        <v>295</v>
      </c>
      <c r="D69" s="96"/>
      <c r="E69" s="96"/>
      <c r="F69" s="96" t="s">
        <v>370</v>
      </c>
      <c r="G69" s="96"/>
      <c r="H69" s="96"/>
      <c r="I69" s="96"/>
      <c r="J69" s="75">
        <f>VALUE(K34)</f>
        <v>3</v>
      </c>
    </row>
    <row r="70" spans="3:10" x14ac:dyDescent="0.25">
      <c r="C70" s="96" t="s">
        <v>299</v>
      </c>
      <c r="D70" s="96"/>
      <c r="E70" s="96"/>
      <c r="F70" s="96" t="s">
        <v>371</v>
      </c>
      <c r="G70" s="96"/>
      <c r="H70" s="96"/>
      <c r="I70" s="96"/>
      <c r="J70" s="75">
        <f>VALUE(K35)</f>
        <v>2</v>
      </c>
    </row>
    <row r="71" spans="3:10" x14ac:dyDescent="0.25">
      <c r="C71" s="96" t="s">
        <v>301</v>
      </c>
      <c r="D71" s="96"/>
      <c r="E71" s="96"/>
      <c r="F71" s="96" t="s">
        <v>225</v>
      </c>
      <c r="G71" s="96"/>
      <c r="H71" s="96"/>
      <c r="I71" s="96"/>
      <c r="J71" s="75">
        <f t="shared" ref="J71" si="4">COUNTIF($J$9:$J$36,C71)</f>
        <v>0</v>
      </c>
    </row>
    <row r="75" spans="3:10" x14ac:dyDescent="0.25">
      <c r="C75" s="95" t="s">
        <v>394</v>
      </c>
      <c r="D75" t="s">
        <v>396</v>
      </c>
    </row>
    <row r="76" spans="3:10" x14ac:dyDescent="0.25">
      <c r="C76" s="26" t="s">
        <v>232</v>
      </c>
      <c r="D76">
        <v>1</v>
      </c>
    </row>
    <row r="77" spans="3:10" x14ac:dyDescent="0.25">
      <c r="C77" s="26" t="s">
        <v>221</v>
      </c>
      <c r="D77">
        <v>6</v>
      </c>
    </row>
    <row r="78" spans="3:10" x14ac:dyDescent="0.25">
      <c r="C78" s="26" t="s">
        <v>258</v>
      </c>
      <c r="D78">
        <v>3</v>
      </c>
    </row>
    <row r="79" spans="3:10" x14ac:dyDescent="0.25">
      <c r="C79" s="26" t="s">
        <v>269</v>
      </c>
      <c r="D79">
        <v>1</v>
      </c>
    </row>
    <row r="80" spans="3:10" x14ac:dyDescent="0.25">
      <c r="C80" s="26" t="s">
        <v>267</v>
      </c>
      <c r="D80">
        <v>1</v>
      </c>
    </row>
    <row r="81" spans="3:4" x14ac:dyDescent="0.25">
      <c r="C81" s="26" t="s">
        <v>313</v>
      </c>
      <c r="D81">
        <v>2</v>
      </c>
    </row>
    <row r="82" spans="3:4" x14ac:dyDescent="0.25">
      <c r="C82" s="26" t="s">
        <v>310</v>
      </c>
      <c r="D82">
        <v>1</v>
      </c>
    </row>
    <row r="83" spans="3:4" x14ac:dyDescent="0.25">
      <c r="C83" s="26" t="s">
        <v>271</v>
      </c>
      <c r="D83">
        <v>1</v>
      </c>
    </row>
    <row r="84" spans="3:4" x14ac:dyDescent="0.25">
      <c r="C84" s="26" t="s">
        <v>299</v>
      </c>
      <c r="D84">
        <v>1</v>
      </c>
    </row>
    <row r="85" spans="3:4" x14ac:dyDescent="0.25">
      <c r="C85" s="26" t="s">
        <v>323</v>
      </c>
      <c r="D85">
        <v>1</v>
      </c>
    </row>
    <row r="86" spans="3:4" x14ac:dyDescent="0.25">
      <c r="C86" s="26" t="s">
        <v>261</v>
      </c>
      <c r="D86">
        <v>4</v>
      </c>
    </row>
    <row r="87" spans="3:4" x14ac:dyDescent="0.25">
      <c r="C87" s="26" t="s">
        <v>282</v>
      </c>
      <c r="D87">
        <v>3</v>
      </c>
    </row>
    <row r="88" spans="3:4" x14ac:dyDescent="0.25">
      <c r="C88" s="26" t="s">
        <v>321</v>
      </c>
      <c r="D88">
        <v>1</v>
      </c>
    </row>
    <row r="89" spans="3:4" x14ac:dyDescent="0.25">
      <c r="C89" s="26" t="s">
        <v>286</v>
      </c>
      <c r="D89">
        <v>1</v>
      </c>
    </row>
    <row r="90" spans="3:4" x14ac:dyDescent="0.25">
      <c r="C90" s="26" t="s">
        <v>295</v>
      </c>
      <c r="D90">
        <v>1</v>
      </c>
    </row>
    <row r="91" spans="3:4" x14ac:dyDescent="0.25">
      <c r="C91" s="26" t="s">
        <v>395</v>
      </c>
      <c r="D91">
        <v>28</v>
      </c>
    </row>
    <row r="100" spans="3:4" x14ac:dyDescent="0.25">
      <c r="C100" t="s">
        <v>232</v>
      </c>
      <c r="D100">
        <v>1</v>
      </c>
    </row>
    <row r="101" spans="3:4" x14ac:dyDescent="0.25">
      <c r="C101" t="s">
        <v>221</v>
      </c>
      <c r="D101">
        <v>6</v>
      </c>
    </row>
    <row r="102" spans="3:4" x14ac:dyDescent="0.25">
      <c r="C102" t="s">
        <v>258</v>
      </c>
      <c r="D102">
        <v>3</v>
      </c>
    </row>
    <row r="103" spans="3:4" x14ac:dyDescent="0.25">
      <c r="C103" t="s">
        <v>269</v>
      </c>
      <c r="D103">
        <v>1</v>
      </c>
    </row>
    <row r="104" spans="3:4" x14ac:dyDescent="0.25">
      <c r="C104" t="s">
        <v>267</v>
      </c>
      <c r="D104">
        <v>1</v>
      </c>
    </row>
    <row r="105" spans="3:4" x14ac:dyDescent="0.25">
      <c r="C105" t="s">
        <v>313</v>
      </c>
      <c r="D105">
        <v>2</v>
      </c>
    </row>
    <row r="106" spans="3:4" x14ac:dyDescent="0.25">
      <c r="C106" t="s">
        <v>310</v>
      </c>
      <c r="D106">
        <v>1</v>
      </c>
    </row>
    <row r="107" spans="3:4" x14ac:dyDescent="0.25">
      <c r="C107" t="s">
        <v>271</v>
      </c>
      <c r="D107">
        <v>1</v>
      </c>
    </row>
    <row r="108" spans="3:4" x14ac:dyDescent="0.25">
      <c r="C108" t="s">
        <v>299</v>
      </c>
      <c r="D108">
        <v>1</v>
      </c>
    </row>
    <row r="109" spans="3:4" x14ac:dyDescent="0.25">
      <c r="C109" t="s">
        <v>323</v>
      </c>
      <c r="D109">
        <v>1</v>
      </c>
    </row>
    <row r="110" spans="3:4" x14ac:dyDescent="0.25">
      <c r="C110" t="s">
        <v>261</v>
      </c>
      <c r="D110">
        <v>4</v>
      </c>
    </row>
    <row r="111" spans="3:4" x14ac:dyDescent="0.25">
      <c r="C111" t="s">
        <v>282</v>
      </c>
      <c r="D111">
        <v>3</v>
      </c>
    </row>
    <row r="112" spans="3:4" x14ac:dyDescent="0.25">
      <c r="C112" t="s">
        <v>321</v>
      </c>
      <c r="D112">
        <v>1</v>
      </c>
    </row>
    <row r="113" spans="3:4" x14ac:dyDescent="0.25">
      <c r="C113" t="s">
        <v>286</v>
      </c>
      <c r="D113">
        <v>1</v>
      </c>
    </row>
    <row r="114" spans="3:4" x14ac:dyDescent="0.25">
      <c r="C114" t="s">
        <v>295</v>
      </c>
      <c r="D114">
        <v>1</v>
      </c>
    </row>
  </sheetData>
  <sheetProtection autoFilter="0"/>
  <autoFilter ref="C43:J71" xr:uid="{F3A9B519-9004-4C98-86AC-9452623F24CC}">
    <filterColumn colId="0" showButton="0"/>
    <filterColumn colId="1" showButton="0"/>
    <filterColumn colId="3" showButton="0"/>
    <filterColumn colId="4" showButton="0"/>
    <filterColumn colId="5" showButton="0"/>
  </autoFilter>
  <mergeCells count="117">
    <mergeCell ref="F61:I61"/>
    <mergeCell ref="F62:I62"/>
    <mergeCell ref="F63:I63"/>
    <mergeCell ref="F44:I44"/>
    <mergeCell ref="F45:I45"/>
    <mergeCell ref="F46:I46"/>
    <mergeCell ref="F47:I47"/>
    <mergeCell ref="F48:I48"/>
    <mergeCell ref="F49:I49"/>
    <mergeCell ref="F50:I50"/>
    <mergeCell ref="F51:I51"/>
    <mergeCell ref="F52:I52"/>
    <mergeCell ref="F53:I53"/>
    <mergeCell ref="F54:I54"/>
    <mergeCell ref="F55:I55"/>
    <mergeCell ref="F57:I57"/>
    <mergeCell ref="F58:I58"/>
    <mergeCell ref="C70:E70"/>
    <mergeCell ref="C71:E71"/>
    <mergeCell ref="C64:E64"/>
    <mergeCell ref="C65:E65"/>
    <mergeCell ref="C67:E67"/>
    <mergeCell ref="C68:E68"/>
    <mergeCell ref="C69:E69"/>
    <mergeCell ref="C59:E59"/>
    <mergeCell ref="C60:E60"/>
    <mergeCell ref="C61:E61"/>
    <mergeCell ref="C62:E62"/>
    <mergeCell ref="C63:E63"/>
    <mergeCell ref="F70:I70"/>
    <mergeCell ref="F71:I71"/>
    <mergeCell ref="C66:E66"/>
    <mergeCell ref="F64:I64"/>
    <mergeCell ref="F65:I65"/>
    <mergeCell ref="F67:I67"/>
    <mergeCell ref="F68:I68"/>
    <mergeCell ref="F69:I69"/>
    <mergeCell ref="F59:I59"/>
    <mergeCell ref="F60:I60"/>
    <mergeCell ref="C53:E53"/>
    <mergeCell ref="C54:E54"/>
    <mergeCell ref="C55:E55"/>
    <mergeCell ref="C57:E57"/>
    <mergeCell ref="C58:E58"/>
    <mergeCell ref="C48:E48"/>
    <mergeCell ref="C49:E49"/>
    <mergeCell ref="C50:E50"/>
    <mergeCell ref="C51:E51"/>
    <mergeCell ref="C52:E52"/>
    <mergeCell ref="C56:E56"/>
    <mergeCell ref="C46:E46"/>
    <mergeCell ref="C47:E47"/>
    <mergeCell ref="C36:E36"/>
    <mergeCell ref="G36:I36"/>
    <mergeCell ref="C4:D5"/>
    <mergeCell ref="C8:E8"/>
    <mergeCell ref="G8:I8"/>
    <mergeCell ref="C11:E11"/>
    <mergeCell ref="G11:I11"/>
    <mergeCell ref="C12:E12"/>
    <mergeCell ref="G12:I12"/>
    <mergeCell ref="C13:E13"/>
    <mergeCell ref="G13:I13"/>
    <mergeCell ref="C15:E15"/>
    <mergeCell ref="G15:I15"/>
    <mergeCell ref="C22:E22"/>
    <mergeCell ref="C43:E43"/>
    <mergeCell ref="F43:I43"/>
    <mergeCell ref="B2:L2"/>
    <mergeCell ref="C9:E9"/>
    <mergeCell ref="G9:I9"/>
    <mergeCell ref="C10:E10"/>
    <mergeCell ref="G10:I10"/>
    <mergeCell ref="C14:E14"/>
    <mergeCell ref="G14:I14"/>
    <mergeCell ref="C44:E44"/>
    <mergeCell ref="C45:E45"/>
    <mergeCell ref="G22:I22"/>
    <mergeCell ref="C16:E16"/>
    <mergeCell ref="G16:I16"/>
    <mergeCell ref="C17:E17"/>
    <mergeCell ref="G17:I17"/>
    <mergeCell ref="C18:E18"/>
    <mergeCell ref="G18:I18"/>
    <mergeCell ref="C19:E19"/>
    <mergeCell ref="G19:I19"/>
    <mergeCell ref="C20:E20"/>
    <mergeCell ref="G20:I20"/>
    <mergeCell ref="C21:E21"/>
    <mergeCell ref="G21:I21"/>
    <mergeCell ref="C26:E26"/>
    <mergeCell ref="G26:I26"/>
    <mergeCell ref="C27:E27"/>
    <mergeCell ref="G27:I27"/>
    <mergeCell ref="C28:E28"/>
    <mergeCell ref="G28:I28"/>
    <mergeCell ref="C23:E23"/>
    <mergeCell ref="G23:I23"/>
    <mergeCell ref="C24:E24"/>
    <mergeCell ref="G24:I24"/>
    <mergeCell ref="C25:E25"/>
    <mergeCell ref="G25:I25"/>
    <mergeCell ref="C39:L41"/>
    <mergeCell ref="G31:I31"/>
    <mergeCell ref="C29:E29"/>
    <mergeCell ref="G29:I29"/>
    <mergeCell ref="C30:E30"/>
    <mergeCell ref="G30:I30"/>
    <mergeCell ref="C31:E31"/>
    <mergeCell ref="C34:E34"/>
    <mergeCell ref="G34:I34"/>
    <mergeCell ref="C35:E35"/>
    <mergeCell ref="G35:I35"/>
    <mergeCell ref="C32:E32"/>
    <mergeCell ref="G32:I32"/>
    <mergeCell ref="C33:E33"/>
    <mergeCell ref="G33:I33"/>
  </mergeCells>
  <conditionalFormatting sqref="C44:J71">
    <cfRule type="expression" priority="1">
      <formula>$J44=0</formula>
    </cfRule>
  </conditionalFormatting>
  <pageMargins left="0.7" right="0.7" top="0.75" bottom="0.75" header="0.3" footer="0.3"/>
  <pageSetup paperSize="9" scale="92" orientation="landscape" r:id="rId2"/>
  <ignoredErrors>
    <ignoredError sqref="K13 R10 J13 H22:I22 O13:R13 O22 O31:O32 O28:O30 K23:K29 L13 G13:I13 J16 O19 R27 P28:R30 P31:Q31 P26 P19:R19 Q27 P32:R32 R31 G19:J19 F24 F23 F25 G31:J31 G32:J32 P22 R22 Q23:R23 P23:P25 Q24:R24 Q25:R26 R21 P33:R34 H24:I24 H23:I23 H26:I26 H25:I25 G28:I29 H27:I27 J28:J29 L28:L29 L23:L27 G16:I16 H14:I14 H15:I15 H18:I18 H17:I17 L16 O16:R16 R14 R15 R18 R17 O23:O26 F56 K19:L19 K31:L31 K32:L3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274D-97E1-4789-8348-23D2CB2E3F55}">
  <sheetPr codeName="Feuil16"/>
  <dimension ref="A1:H15"/>
  <sheetViews>
    <sheetView zoomScaleNormal="100" workbookViewId="0">
      <selection activeCell="C34" sqref="C34:M36"/>
    </sheetView>
  </sheetViews>
  <sheetFormatPr baseColWidth="10" defaultColWidth="11.42578125" defaultRowHeight="15" x14ac:dyDescent="0.25"/>
  <cols>
    <col min="1" max="1" width="41.7109375" style="1" customWidth="1"/>
    <col min="3" max="5" width="29.85546875" style="1" customWidth="1"/>
    <col min="6" max="6" width="11.42578125" style="1"/>
    <col min="7" max="7" width="41.7109375" style="1" customWidth="1"/>
    <col min="8" max="8" width="6.7109375" style="1" customWidth="1"/>
  </cols>
  <sheetData>
    <row r="1" spans="1:8" ht="15.75" thickBot="1" x14ac:dyDescent="0.3">
      <c r="A1" s="70" t="s">
        <v>93</v>
      </c>
      <c r="C1" s="183" t="s">
        <v>94</v>
      </c>
      <c r="D1" s="184"/>
      <c r="E1" s="184"/>
      <c r="G1" s="70" t="s">
        <v>95</v>
      </c>
      <c r="H1"/>
    </row>
    <row r="2" spans="1:8" ht="15.75" thickBot="1" x14ac:dyDescent="0.3">
      <c r="A2" s="70" t="s">
        <v>96</v>
      </c>
      <c r="C2" s="73" t="s">
        <v>97</v>
      </c>
      <c r="D2" s="73" t="s">
        <v>98</v>
      </c>
      <c r="E2" s="73" t="s">
        <v>99</v>
      </c>
      <c r="G2" s="68" t="s">
        <v>100</v>
      </c>
    </row>
    <row r="3" spans="1:8" ht="47.25" customHeight="1" thickBot="1" x14ac:dyDescent="0.3">
      <c r="A3" s="71" t="s">
        <v>101</v>
      </c>
      <c r="C3" s="69"/>
      <c r="D3" s="69"/>
      <c r="E3" s="69"/>
      <c r="G3" s="71" t="s">
        <v>102</v>
      </c>
    </row>
    <row r="4" spans="1:8" ht="15.75" thickBot="1" x14ac:dyDescent="0.3">
      <c r="A4" s="70" t="s">
        <v>103</v>
      </c>
      <c r="C4" s="73" t="s">
        <v>104</v>
      </c>
      <c r="D4" s="73" t="s">
        <v>105</v>
      </c>
      <c r="E4" s="73" t="s">
        <v>106</v>
      </c>
      <c r="G4" s="68" t="s">
        <v>107</v>
      </c>
    </row>
    <row r="5" spans="1:8" ht="47.25" customHeight="1" thickBot="1" x14ac:dyDescent="0.3">
      <c r="A5" s="71" t="s">
        <v>108</v>
      </c>
      <c r="C5" s="69"/>
      <c r="D5" s="69"/>
      <c r="E5" s="69"/>
      <c r="G5" s="71" t="s">
        <v>102</v>
      </c>
    </row>
    <row r="6" spans="1:8" ht="15.75" thickBot="1" x14ac:dyDescent="0.3">
      <c r="A6" s="70" t="s">
        <v>109</v>
      </c>
      <c r="C6" s="73" t="s">
        <v>17</v>
      </c>
      <c r="D6" s="73" t="s">
        <v>110</v>
      </c>
      <c r="E6" s="73" t="s">
        <v>111</v>
      </c>
      <c r="G6" s="68" t="s">
        <v>112</v>
      </c>
    </row>
    <row r="7" spans="1:8" ht="47.25" customHeight="1" thickBot="1" x14ac:dyDescent="0.3">
      <c r="A7" s="71" t="s">
        <v>108</v>
      </c>
      <c r="C7" s="69"/>
      <c r="D7" s="69"/>
      <c r="E7" s="69"/>
      <c r="G7" s="71" t="s">
        <v>102</v>
      </c>
    </row>
    <row r="8" spans="1:8" ht="15.75" thickBot="1" x14ac:dyDescent="0.3">
      <c r="A8" s="70" t="s">
        <v>113</v>
      </c>
      <c r="C8" s="73" t="s">
        <v>22</v>
      </c>
      <c r="D8" s="73" t="s">
        <v>114</v>
      </c>
      <c r="E8" s="73" t="s">
        <v>115</v>
      </c>
      <c r="G8" s="68" t="s">
        <v>113</v>
      </c>
    </row>
    <row r="9" spans="1:8" ht="47.25" customHeight="1" thickBot="1" x14ac:dyDescent="0.3">
      <c r="A9" s="71" t="s">
        <v>108</v>
      </c>
      <c r="C9" s="69"/>
      <c r="D9" s="69"/>
      <c r="E9" s="69"/>
      <c r="G9" s="71" t="s">
        <v>102</v>
      </c>
    </row>
    <row r="10" spans="1:8" ht="15.75" thickBot="1" x14ac:dyDescent="0.3"/>
    <row r="11" spans="1:8" ht="15.75" thickBot="1" x14ac:dyDescent="0.3">
      <c r="C11" s="70" t="s">
        <v>116</v>
      </c>
      <c r="D11" s="70" t="s">
        <v>117</v>
      </c>
      <c r="E11" s="70" t="s">
        <v>118</v>
      </c>
      <c r="G11" s="70" t="s">
        <v>119</v>
      </c>
    </row>
    <row r="12" spans="1:8" ht="33" customHeight="1" thickBot="1" x14ac:dyDescent="0.3">
      <c r="C12" s="71"/>
      <c r="D12" s="71"/>
      <c r="E12" s="71"/>
      <c r="G12" s="71"/>
    </row>
    <row r="14" spans="1:8" ht="15.75" thickBot="1" x14ac:dyDescent="0.3">
      <c r="D14" s="72" t="s">
        <v>120</v>
      </c>
    </row>
    <row r="15" spans="1:8" ht="34.5" customHeight="1" thickBot="1" x14ac:dyDescent="0.3">
      <c r="C15" s="174" t="s">
        <v>121</v>
      </c>
      <c r="D15" s="175"/>
      <c r="E15" s="176"/>
    </row>
  </sheetData>
  <mergeCells count="2">
    <mergeCell ref="C15:E15"/>
    <mergeCell ref="C1:E1"/>
  </mergeCells>
  <phoneticPr fontId="30" type="noConversion"/>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371671D-8BFF-4530-BBE0-A8E9D0929B14}">
          <x14:formula1>
            <xm:f>_INPUT!$A$3:$A$10</xm:f>
          </x14:formula1>
          <xm:sqref>A3 A7 A9 A5</xm:sqref>
        </x14:dataValidation>
        <x14:dataValidation type="list" allowBlank="1" showInputMessage="1" showErrorMessage="1" xr:uid="{442469C7-1B1B-48C3-8520-B277544419F6}">
          <x14:formula1>
            <xm:f>_OUTPUT!$A$3:$A$10</xm:f>
          </x14:formula1>
          <xm:sqref>G3 G7 G9 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F366-A05D-46BA-B84C-20416F63FAB5}">
  <sheetPr codeName="Feuil17"/>
  <dimension ref="B1:C16"/>
  <sheetViews>
    <sheetView workbookViewId="0">
      <selection activeCell="C34" sqref="C34:M36"/>
    </sheetView>
  </sheetViews>
  <sheetFormatPr baseColWidth="10" defaultColWidth="11.42578125" defaultRowHeight="15" x14ac:dyDescent="0.25"/>
  <cols>
    <col min="1" max="1" width="10.85546875" customWidth="1"/>
    <col min="2" max="2" width="11.42578125" hidden="1" customWidth="1"/>
    <col min="3" max="3" width="41.5703125" customWidth="1"/>
    <col min="4" max="4" width="25.140625" customWidth="1"/>
  </cols>
  <sheetData>
    <row r="1" spans="3:3" ht="48" customHeight="1" x14ac:dyDescent="0.25">
      <c r="C1" s="27" t="s">
        <v>108</v>
      </c>
    </row>
    <row r="2" spans="3:3" ht="48" customHeight="1" x14ac:dyDescent="0.25">
      <c r="C2" s="27" t="s">
        <v>122</v>
      </c>
    </row>
    <row r="3" spans="3:3" ht="48" customHeight="1" x14ac:dyDescent="0.25">
      <c r="C3" s="27" t="s">
        <v>123</v>
      </c>
    </row>
    <row r="4" spans="3:3" ht="48" customHeight="1" x14ac:dyDescent="0.25">
      <c r="C4" s="27" t="s">
        <v>124</v>
      </c>
    </row>
    <row r="5" spans="3:3" ht="48" customHeight="1" x14ac:dyDescent="0.25">
      <c r="C5" s="27" t="s">
        <v>125</v>
      </c>
    </row>
    <row r="6" spans="3:3" ht="48" customHeight="1" x14ac:dyDescent="0.25">
      <c r="C6" s="27" t="s">
        <v>101</v>
      </c>
    </row>
    <row r="7" spans="3:3" ht="48" customHeight="1" x14ac:dyDescent="0.25">
      <c r="C7" s="27" t="s">
        <v>126</v>
      </c>
    </row>
    <row r="8" spans="3:3" ht="48" customHeight="1" x14ac:dyDescent="0.25">
      <c r="C8" s="27"/>
    </row>
    <row r="9" spans="3:3" ht="48" customHeight="1" x14ac:dyDescent="0.25">
      <c r="C9" s="27"/>
    </row>
    <row r="10" spans="3:3" ht="48" customHeight="1" x14ac:dyDescent="0.25">
      <c r="C10" s="27"/>
    </row>
    <row r="11" spans="3:3" ht="48" customHeight="1" x14ac:dyDescent="0.25">
      <c r="C11" s="27"/>
    </row>
    <row r="12" spans="3:3" ht="48" customHeight="1" x14ac:dyDescent="0.25">
      <c r="C12" s="27"/>
    </row>
    <row r="13" spans="3:3" ht="48" customHeight="1" x14ac:dyDescent="0.25">
      <c r="C13" s="27"/>
    </row>
    <row r="14" spans="3:3" ht="48" customHeight="1" x14ac:dyDescent="0.25">
      <c r="C14" s="27"/>
    </row>
    <row r="15" spans="3:3" ht="48" customHeight="1" x14ac:dyDescent="0.25">
      <c r="C15" s="27"/>
    </row>
    <row r="16" spans="3:3" ht="48" customHeight="1" x14ac:dyDescent="0.25">
      <c r="C16" s="2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CD92-BFC2-4ACE-A324-C1763E94D2A5}">
  <sheetPr codeName="Feuil5"/>
  <dimension ref="A1:O252"/>
  <sheetViews>
    <sheetView topLeftCell="A235" workbookViewId="0">
      <selection activeCell="C260" sqref="C260"/>
    </sheetView>
  </sheetViews>
  <sheetFormatPr baseColWidth="10" defaultColWidth="11.42578125" defaultRowHeight="15" x14ac:dyDescent="0.25"/>
  <cols>
    <col min="1" max="1" width="17" customWidth="1"/>
    <col min="2" max="2" width="38" customWidth="1"/>
    <col min="4" max="4" width="37.7109375" customWidth="1"/>
    <col min="5" max="12" width="15.7109375" customWidth="1"/>
  </cols>
  <sheetData>
    <row r="1" spans="1:7" x14ac:dyDescent="0.25">
      <c r="A1" t="s">
        <v>127</v>
      </c>
      <c r="B1" t="s">
        <v>128</v>
      </c>
    </row>
    <row r="2" spans="1:7" x14ac:dyDescent="0.25">
      <c r="B2" t="s">
        <v>129</v>
      </c>
      <c r="F2" s="63" t="s">
        <v>130</v>
      </c>
      <c r="G2" s="7" t="s">
        <v>382</v>
      </c>
    </row>
    <row r="3" spans="1:7" x14ac:dyDescent="0.25">
      <c r="B3" t="s">
        <v>131</v>
      </c>
    </row>
    <row r="4" spans="1:7" x14ac:dyDescent="0.25">
      <c r="B4" t="s">
        <v>334</v>
      </c>
    </row>
    <row r="5" spans="1:7" x14ac:dyDescent="0.25">
      <c r="B5" t="s">
        <v>132</v>
      </c>
    </row>
    <row r="6" spans="1:7" x14ac:dyDescent="0.25">
      <c r="B6" t="s">
        <v>133</v>
      </c>
    </row>
    <row r="7" spans="1:7" x14ac:dyDescent="0.25">
      <c r="B7" t="s">
        <v>134</v>
      </c>
    </row>
    <row r="8" spans="1:7" x14ac:dyDescent="0.25">
      <c r="B8" t="s">
        <v>135</v>
      </c>
    </row>
    <row r="9" spans="1:7" x14ac:dyDescent="0.25">
      <c r="B9" t="s">
        <v>136</v>
      </c>
    </row>
    <row r="10" spans="1:7" x14ac:dyDescent="0.25">
      <c r="B10" t="s">
        <v>137</v>
      </c>
    </row>
    <row r="11" spans="1:7" x14ac:dyDescent="0.25">
      <c r="B11" t="s">
        <v>138</v>
      </c>
    </row>
    <row r="12" spans="1:7" x14ac:dyDescent="0.25">
      <c r="B12" t="s">
        <v>349</v>
      </c>
    </row>
    <row r="13" spans="1:7" x14ac:dyDescent="0.25">
      <c r="B13" t="s">
        <v>350</v>
      </c>
    </row>
    <row r="14" spans="1:7" x14ac:dyDescent="0.25">
      <c r="B14" t="s">
        <v>139</v>
      </c>
    </row>
    <row r="15" spans="1:7" x14ac:dyDescent="0.25">
      <c r="B15" t="s">
        <v>6</v>
      </c>
    </row>
    <row r="16" spans="1:7" x14ac:dyDescent="0.25">
      <c r="B16" t="s">
        <v>7</v>
      </c>
    </row>
    <row r="17" spans="2:2" x14ac:dyDescent="0.25">
      <c r="B17" t="s">
        <v>13</v>
      </c>
    </row>
    <row r="18" spans="2:2" x14ac:dyDescent="0.25">
      <c r="B18" t="s">
        <v>14</v>
      </c>
    </row>
    <row r="19" spans="2:2" x14ac:dyDescent="0.25">
      <c r="B19" t="s">
        <v>140</v>
      </c>
    </row>
    <row r="20" spans="2:2" x14ac:dyDescent="0.25">
      <c r="B20" t="s">
        <v>62</v>
      </c>
    </row>
    <row r="21" spans="2:2" x14ac:dyDescent="0.25">
      <c r="B21" t="s">
        <v>351</v>
      </c>
    </row>
    <row r="22" spans="2:2" x14ac:dyDescent="0.25">
      <c r="B22" t="s">
        <v>345</v>
      </c>
    </row>
    <row r="23" spans="2:2" x14ac:dyDescent="0.25">
      <c r="B23" t="s">
        <v>8</v>
      </c>
    </row>
    <row r="24" spans="2:2" x14ac:dyDescent="0.25">
      <c r="B24" t="s">
        <v>15</v>
      </c>
    </row>
    <row r="25" spans="2:2" x14ac:dyDescent="0.25">
      <c r="B25" t="s">
        <v>19</v>
      </c>
    </row>
    <row r="26" spans="2:2" x14ac:dyDescent="0.25">
      <c r="B26" t="s">
        <v>24</v>
      </c>
    </row>
    <row r="27" spans="2:2" x14ac:dyDescent="0.25">
      <c r="B27" t="s">
        <v>63</v>
      </c>
    </row>
    <row r="28" spans="2:2" x14ac:dyDescent="0.25">
      <c r="B28" t="s">
        <v>339</v>
      </c>
    </row>
    <row r="29" spans="2:2" x14ac:dyDescent="0.25">
      <c r="B29" t="s">
        <v>141</v>
      </c>
    </row>
    <row r="30" spans="2:2" x14ac:dyDescent="0.25">
      <c r="B30" t="s">
        <v>142</v>
      </c>
    </row>
    <row r="31" spans="2:2" x14ac:dyDescent="0.25">
      <c r="B31" t="s">
        <v>143</v>
      </c>
    </row>
    <row r="32" spans="2:2" x14ac:dyDescent="0.25">
      <c r="B32" t="s">
        <v>144</v>
      </c>
    </row>
    <row r="33" spans="1:5" x14ac:dyDescent="0.25">
      <c r="B33" t="s">
        <v>145</v>
      </c>
      <c r="E33" s="27"/>
    </row>
    <row r="34" spans="1:5" x14ac:dyDescent="0.25">
      <c r="B34" t="s">
        <v>146</v>
      </c>
    </row>
    <row r="35" spans="1:5" x14ac:dyDescent="0.25">
      <c r="B35" t="s">
        <v>352</v>
      </c>
    </row>
    <row r="36" spans="1:5" x14ac:dyDescent="0.25">
      <c r="B36" t="s">
        <v>147</v>
      </c>
    </row>
    <row r="37" spans="1:5" x14ac:dyDescent="0.25">
      <c r="B37" t="s">
        <v>148</v>
      </c>
    </row>
    <row r="38" spans="1:5" x14ac:dyDescent="0.25">
      <c r="B38" t="s">
        <v>149</v>
      </c>
    </row>
    <row r="39" spans="1:5" x14ac:dyDescent="0.25">
      <c r="B39" t="s">
        <v>150</v>
      </c>
    </row>
    <row r="40" spans="1:5" x14ac:dyDescent="0.25">
      <c r="B40" t="s">
        <v>353</v>
      </c>
    </row>
    <row r="41" spans="1:5" x14ac:dyDescent="0.25">
      <c r="B41" t="s">
        <v>151</v>
      </c>
    </row>
    <row r="43" spans="1:5" x14ac:dyDescent="0.25">
      <c r="A43" t="s">
        <v>152</v>
      </c>
      <c r="B43" t="s">
        <v>153</v>
      </c>
      <c r="C43" t="b">
        <f>IF(AND(C44,C45,C46,C47,C48,C49,C50,C51,C52),TRUE,FALSE)</f>
        <v>1</v>
      </c>
      <c r="E43" s="27"/>
    </row>
    <row r="44" spans="1:5" x14ac:dyDescent="0.25">
      <c r="B44" t="s">
        <v>154</v>
      </c>
      <c r="C44" t="b">
        <f>IF(OR('AQUILON C (4RU)'!B8=_WORK!B1,'AQUILON C (4RU)'!B8=_WORK!B2),TRUE,FALSE)</f>
        <v>1</v>
      </c>
    </row>
    <row r="45" spans="1:5" x14ac:dyDescent="0.25">
      <c r="B45" t="s">
        <v>155</v>
      </c>
      <c r="C45" t="b">
        <f>IF(OR('AQUILON C (4RU)'!B13=_WORK!B1,'AQUILON C (4RU)'!B13=_WORK!B2),TRUE,FALSE)</f>
        <v>1</v>
      </c>
      <c r="E45" s="27"/>
    </row>
    <row r="46" spans="1:5" x14ac:dyDescent="0.25">
      <c r="B46" t="s">
        <v>156</v>
      </c>
      <c r="C46" t="b">
        <f>IF(OR('AQUILON C (4RU)'!J13=B3,'AQUILON C (4RU)'!J13=B5),TRUE,FALSE)</f>
        <v>1</v>
      </c>
    </row>
    <row r="47" spans="1:5" x14ac:dyDescent="0.25">
      <c r="B47" t="s">
        <v>157</v>
      </c>
      <c r="C47" t="b">
        <f>IF(OR('AQUILON C (4RU)'!J18=B3,'AQUILON C (4RU)'!J18=B5),TRUE,FALSE)</f>
        <v>1</v>
      </c>
    </row>
    <row r="48" spans="1:5" x14ac:dyDescent="0.25">
      <c r="B48" t="s">
        <v>158</v>
      </c>
      <c r="C48" t="b">
        <f>IF(OR('AQUILON C (4RU)'!J23=B3,OR('AQUILON C (4RU)'!J23=B5),'AQUILON C (4RU)'!J23=B4),TRUE,FALSE)</f>
        <v>1</v>
      </c>
    </row>
    <row r="49" spans="1:14" x14ac:dyDescent="0.25">
      <c r="B49" t="s">
        <v>159</v>
      </c>
      <c r="C49" t="b">
        <f>IF('AQUILON C (4RU)'!O5="",FALSE,TRUE)</f>
        <v>1</v>
      </c>
    </row>
    <row r="50" spans="1:14" x14ac:dyDescent="0.25">
      <c r="B50" t="s">
        <v>160</v>
      </c>
      <c r="C50" t="b">
        <f>IF('AQUILON C (4RU)'!O10="",FALSE,TRUE)</f>
        <v>1</v>
      </c>
    </row>
    <row r="51" spans="1:14" x14ac:dyDescent="0.25">
      <c r="B51" t="s">
        <v>161</v>
      </c>
      <c r="C51" t="b">
        <f>IF('AQUILON C (4RU)'!B20="",FALSE,TRUE)</f>
        <v>1</v>
      </c>
    </row>
    <row r="52" spans="1:14" x14ac:dyDescent="0.25">
      <c r="B52" t="s">
        <v>162</v>
      </c>
      <c r="C52" t="b">
        <f>TRUE</f>
        <v>1</v>
      </c>
      <c r="E52" s="27"/>
      <c r="F52" s="27"/>
      <c r="G52" s="27"/>
      <c r="H52" s="27"/>
      <c r="I52" s="27"/>
      <c r="J52" s="27"/>
      <c r="K52" s="27"/>
      <c r="L52" s="27"/>
      <c r="M52" s="27"/>
      <c r="N52" s="27" t="s">
        <v>163</v>
      </c>
    </row>
    <row r="53" spans="1:14" x14ac:dyDescent="0.25">
      <c r="E53" s="27"/>
      <c r="F53" s="27"/>
      <c r="G53" s="27"/>
      <c r="H53" s="27"/>
      <c r="I53" s="27"/>
      <c r="J53" s="27"/>
      <c r="K53" s="27"/>
      <c r="L53" s="27"/>
      <c r="M53" s="27"/>
    </row>
    <row r="54" spans="1:14" x14ac:dyDescent="0.25">
      <c r="F54" s="27"/>
      <c r="G54" s="27"/>
      <c r="H54" s="27"/>
      <c r="J54" s="27"/>
      <c r="K54" s="27"/>
      <c r="L54" s="27"/>
      <c r="N54" s="27"/>
    </row>
    <row r="55" spans="1:14" x14ac:dyDescent="0.25">
      <c r="A55" t="s">
        <v>164</v>
      </c>
      <c r="B55" t="s">
        <v>153</v>
      </c>
      <c r="C55" t="b">
        <f>IF(AND(C56,C57,C58,C59,C60,C61,C62,C63,C64,C65,C66),TRUE,FALSE)</f>
        <v>1</v>
      </c>
      <c r="E55" s="27"/>
      <c r="F55" s="27"/>
      <c r="G55" s="27"/>
      <c r="H55" s="27"/>
      <c r="I55" s="27"/>
      <c r="J55" s="27"/>
      <c r="K55" s="27"/>
      <c r="L55" s="27"/>
      <c r="N55" s="27"/>
    </row>
    <row r="56" spans="1:14" x14ac:dyDescent="0.25">
      <c r="B56" t="s">
        <v>154</v>
      </c>
      <c r="C56" t="b">
        <f>IF(OR('AQUILON C+ (5RU)'!B8=_WORK!B1,'AQUILON C+ (5RU)'!B8=_WORK!B2),TRUE,FALSE)</f>
        <v>1</v>
      </c>
      <c r="E56" s="27"/>
      <c r="F56" s="27"/>
      <c r="G56" s="27"/>
      <c r="H56" s="27"/>
      <c r="I56" s="27"/>
      <c r="J56" s="27"/>
      <c r="K56" s="27"/>
      <c r="L56" s="27"/>
      <c r="N56" s="27"/>
    </row>
    <row r="57" spans="1:14" x14ac:dyDescent="0.25">
      <c r="B57" t="s">
        <v>155</v>
      </c>
      <c r="C57" t="b">
        <f>IF(OR('AQUILON C+ (5RU)'!B13=_WORK!B1,'AQUILON C+ (5RU)'!B13=_WORK!B2),TRUE,FALSE)</f>
        <v>1</v>
      </c>
      <c r="E57" s="27"/>
      <c r="F57" s="27"/>
      <c r="G57" s="27"/>
      <c r="H57" s="27"/>
      <c r="I57" s="27"/>
      <c r="J57" s="27"/>
      <c r="K57" s="27"/>
      <c r="L57" s="27"/>
      <c r="M57" s="27"/>
      <c r="N57" s="27"/>
    </row>
    <row r="58" spans="1:14" x14ac:dyDescent="0.25">
      <c r="B58" t="s">
        <v>165</v>
      </c>
      <c r="C58" t="b">
        <f>IF(OR('AQUILON C+ (5RU)'!B18=_WORK!B1,'AQUILON C+ (5RU)'!B18=_WORK!B2),TRUE,FALSE)</f>
        <v>1</v>
      </c>
      <c r="N58" s="27"/>
    </row>
    <row r="59" spans="1:14" x14ac:dyDescent="0.25">
      <c r="B59" t="s">
        <v>156</v>
      </c>
      <c r="C59" t="b">
        <f>IF(OR('AQUILON C+ (5RU)'!J13=B3,'AQUILON C+ (5RU)'!J13=B5),TRUE,FALSE)</f>
        <v>1</v>
      </c>
      <c r="E59" s="27"/>
      <c r="F59" s="27"/>
      <c r="G59" s="27"/>
      <c r="H59" s="27"/>
      <c r="I59" s="27"/>
      <c r="J59" s="27"/>
      <c r="K59" s="27"/>
      <c r="L59" s="27"/>
      <c r="M59" s="27"/>
      <c r="N59" s="27"/>
    </row>
    <row r="60" spans="1:14" x14ac:dyDescent="0.25">
      <c r="B60" t="s">
        <v>157</v>
      </c>
      <c r="C60" t="b">
        <f>IF(OR('AQUILON C+ (5RU)'!J18=B3,'AQUILON C+ (5RU)'!J18=B5),TRUE,FALSE)</f>
        <v>1</v>
      </c>
      <c r="E60" s="27"/>
      <c r="F60" s="27"/>
      <c r="G60" s="27"/>
      <c r="H60" s="27"/>
      <c r="I60" s="27"/>
      <c r="J60" s="27"/>
      <c r="K60" s="27"/>
      <c r="L60" s="27"/>
      <c r="M60" s="27"/>
      <c r="N60" s="27"/>
    </row>
    <row r="61" spans="1:14" x14ac:dyDescent="0.25">
      <c r="B61" t="s">
        <v>158</v>
      </c>
      <c r="C61" t="b">
        <f>IF(OR('AQUILON C+ (5RU)'!J23=B3,'AQUILON C+ (5RU)'!J23=B5),TRUE,FALSE)</f>
        <v>1</v>
      </c>
      <c r="E61" s="27"/>
      <c r="F61" s="27"/>
      <c r="G61" s="27"/>
      <c r="H61" s="27"/>
      <c r="I61" s="27"/>
      <c r="J61" s="27"/>
      <c r="K61" s="27"/>
      <c r="L61" s="27"/>
      <c r="M61" s="27"/>
      <c r="N61" s="27"/>
    </row>
    <row r="62" spans="1:14" x14ac:dyDescent="0.25">
      <c r="B62" t="s">
        <v>166</v>
      </c>
      <c r="C62" t="b">
        <f>IF(OR('AQUILON C+ (5RU)'!J28=B3,OR('AQUILON C+ (5RU)'!J28=B4,'AQUILON C+ (5RU)'!J28=B5)),TRUE,FALSE)</f>
        <v>1</v>
      </c>
      <c r="E62" s="27"/>
      <c r="F62" s="27"/>
      <c r="G62" s="27"/>
      <c r="H62" s="27"/>
      <c r="I62" s="27"/>
      <c r="J62" s="27"/>
      <c r="K62" s="27"/>
      <c r="L62" s="27"/>
      <c r="M62" s="27"/>
      <c r="N62" s="27"/>
    </row>
    <row r="63" spans="1:14" x14ac:dyDescent="0.25">
      <c r="B63" t="s">
        <v>159</v>
      </c>
      <c r="C63" t="b">
        <f>IF('AQUILON C+ (5RU)'!O5="",FALSE,TRUE)</f>
        <v>1</v>
      </c>
      <c r="E63" s="27"/>
      <c r="F63" s="27"/>
      <c r="G63" s="27"/>
      <c r="H63" s="27"/>
      <c r="I63" s="27"/>
      <c r="J63" s="27"/>
      <c r="K63" s="27"/>
      <c r="L63" s="27"/>
      <c r="N63" s="27"/>
    </row>
    <row r="64" spans="1:14" x14ac:dyDescent="0.25">
      <c r="B64" t="s">
        <v>160</v>
      </c>
      <c r="C64" t="b">
        <f>IF('AQUILON C+ (5RU)'!O10="",FALSE,TRUE)</f>
        <v>1</v>
      </c>
      <c r="E64" s="27"/>
      <c r="F64" s="27"/>
      <c r="G64" s="27"/>
      <c r="H64" s="27"/>
      <c r="I64" s="27"/>
      <c r="J64" s="27"/>
      <c r="K64" s="27"/>
      <c r="L64" s="27"/>
      <c r="M64" s="27"/>
      <c r="N64" s="27"/>
    </row>
    <row r="65" spans="1:14" x14ac:dyDescent="0.25">
      <c r="B65" t="s">
        <v>161</v>
      </c>
      <c r="C65" t="b">
        <f>IF('AQUILON C+ (5RU)'!B25="",FALSE,TRUE)</f>
        <v>1</v>
      </c>
      <c r="E65" s="27"/>
      <c r="F65" s="27"/>
      <c r="G65" s="27"/>
      <c r="H65" s="27"/>
      <c r="I65" s="27"/>
      <c r="J65" s="27"/>
      <c r="K65" s="27"/>
      <c r="L65" s="27"/>
      <c r="M65" s="27"/>
      <c r="N65" s="27"/>
    </row>
    <row r="66" spans="1:14" x14ac:dyDescent="0.25">
      <c r="B66" t="s">
        <v>162</v>
      </c>
      <c r="C66" t="b">
        <f>TRUE</f>
        <v>1</v>
      </c>
      <c r="E66" s="27"/>
      <c r="F66" s="27"/>
      <c r="G66" s="27"/>
      <c r="H66" s="27"/>
      <c r="I66" s="27"/>
      <c r="J66" s="27"/>
      <c r="K66" s="27"/>
      <c r="L66" s="27"/>
      <c r="M66" s="27"/>
      <c r="N66" s="27"/>
    </row>
    <row r="67" spans="1:14" x14ac:dyDescent="0.25">
      <c r="E67" s="27"/>
      <c r="F67" s="27"/>
      <c r="G67" s="27"/>
      <c r="H67" s="27"/>
      <c r="I67" s="27"/>
      <c r="J67" s="27"/>
      <c r="K67" s="27"/>
      <c r="L67" s="27"/>
      <c r="M67" s="27"/>
      <c r="N67" s="27"/>
    </row>
    <row r="68" spans="1:14" x14ac:dyDescent="0.25">
      <c r="E68" s="27"/>
      <c r="F68" s="27"/>
      <c r="G68" s="27"/>
      <c r="H68" s="27"/>
      <c r="I68" s="27"/>
      <c r="J68" s="27"/>
      <c r="K68" s="27"/>
      <c r="L68" s="27"/>
      <c r="M68" s="27"/>
      <c r="N68" s="27"/>
    </row>
    <row r="69" spans="1:14" x14ac:dyDescent="0.25">
      <c r="A69" t="s">
        <v>346</v>
      </c>
      <c r="B69" t="s">
        <v>153</v>
      </c>
      <c r="C69" t="b">
        <f>IF(AND(C70,C71,C72,C73,C74,C75,C76,C77,C78,C79,C80,C81,C82),TRUE,FALSE)</f>
        <v>1</v>
      </c>
      <c r="E69" s="27"/>
      <c r="F69" s="27"/>
      <c r="G69" s="27"/>
      <c r="H69" s="27"/>
      <c r="I69" s="27"/>
      <c r="J69" s="27"/>
      <c r="K69" s="27"/>
      <c r="L69" s="27"/>
      <c r="M69" s="27"/>
      <c r="N69" s="27"/>
    </row>
    <row r="70" spans="1:14" x14ac:dyDescent="0.25">
      <c r="B70" t="s">
        <v>154</v>
      </c>
      <c r="C70" t="b">
        <f>IF(OR('AQUILON C max (6RU)'!B8=_WORK!B1,'AQUILON C max (6RU)'!B8=_WORK!B2),TRUE,FALSE)</f>
        <v>1</v>
      </c>
      <c r="E70" s="27"/>
      <c r="F70" s="27"/>
      <c r="G70" s="27"/>
      <c r="H70" s="27"/>
      <c r="I70" s="27"/>
      <c r="J70" s="27"/>
      <c r="K70" s="27"/>
      <c r="L70" s="27"/>
      <c r="M70" s="27"/>
      <c r="N70" s="27"/>
    </row>
    <row r="71" spans="1:14" x14ac:dyDescent="0.25">
      <c r="B71" t="s">
        <v>155</v>
      </c>
      <c r="C71" t="b">
        <f>IF(OR('AQUILON C max (6RU)'!B13=_WORK!B1,'AQUILON C max (6RU)'!B13=_WORK!B2),TRUE,FALSE)</f>
        <v>1</v>
      </c>
      <c r="E71" s="27"/>
      <c r="F71" s="27"/>
      <c r="G71" s="27"/>
      <c r="H71" s="27"/>
      <c r="I71" s="27"/>
      <c r="J71" s="27"/>
      <c r="K71" s="27"/>
      <c r="L71" s="27"/>
      <c r="M71" s="27"/>
      <c r="N71" s="27"/>
    </row>
    <row r="72" spans="1:14" x14ac:dyDescent="0.25">
      <c r="B72" t="s">
        <v>165</v>
      </c>
      <c r="C72" t="b">
        <f>IF(OR('AQUILON C max (6RU)'!B18=_WORK!B1,'AQUILON C max (6RU)'!B18=_WORK!B2),TRUE,FALSE)</f>
        <v>1</v>
      </c>
      <c r="E72" s="27"/>
      <c r="F72" s="27"/>
      <c r="G72" s="27"/>
      <c r="H72" s="27"/>
      <c r="I72" s="27"/>
      <c r="J72" s="27"/>
      <c r="K72" s="27"/>
      <c r="L72" s="27"/>
      <c r="M72" s="27"/>
      <c r="N72" s="27"/>
    </row>
    <row r="73" spans="1:14" x14ac:dyDescent="0.25">
      <c r="B73" t="s">
        <v>347</v>
      </c>
      <c r="C73" t="b">
        <f>IF(OR('AQUILON C max (6RU)'!B23=_WORK!B1,'AQUILON C max (6RU)'!B23=_WORK!B2),TRUE,FALSE)</f>
        <v>1</v>
      </c>
      <c r="E73" s="27"/>
      <c r="F73" s="27"/>
      <c r="G73" s="27"/>
      <c r="H73" s="27"/>
      <c r="I73" s="27"/>
      <c r="J73" s="27"/>
      <c r="K73" s="27"/>
      <c r="L73" s="27"/>
      <c r="M73" s="27"/>
      <c r="N73" s="27"/>
    </row>
    <row r="74" spans="1:14" x14ac:dyDescent="0.25">
      <c r="B74" t="s">
        <v>156</v>
      </c>
      <c r="C74" t="b">
        <f>IF(OR('AQUILON C max (6RU)'!J13=B3,'AQUILON C max (6RU)'!J13=B5),TRUE,FALSE)</f>
        <v>1</v>
      </c>
      <c r="E74" s="27"/>
      <c r="F74" s="27"/>
      <c r="G74" s="27"/>
      <c r="H74" s="27"/>
      <c r="I74" s="27"/>
      <c r="J74" s="27"/>
      <c r="K74" s="27"/>
      <c r="L74" s="27"/>
      <c r="M74" s="27"/>
      <c r="N74" s="27"/>
    </row>
    <row r="75" spans="1:14" x14ac:dyDescent="0.25">
      <c r="B75" t="s">
        <v>157</v>
      </c>
      <c r="C75" t="b">
        <f>IF(OR('AQUILON C max (6RU)'!J18=B3,'AQUILON C max (6RU)'!J18=B5),TRUE,FALSE)</f>
        <v>1</v>
      </c>
      <c r="E75" s="27"/>
      <c r="F75" s="27"/>
      <c r="G75" s="27"/>
      <c r="H75" s="27"/>
      <c r="I75" s="27"/>
      <c r="J75" s="27"/>
      <c r="K75" s="27"/>
      <c r="L75" s="27"/>
      <c r="M75" s="27"/>
      <c r="N75" s="27"/>
    </row>
    <row r="76" spans="1:14" x14ac:dyDescent="0.25">
      <c r="B76" t="s">
        <v>158</v>
      </c>
      <c r="C76" t="b">
        <f>IF(OR('AQUILON C max (6RU)'!J23=B3,'AQUILON C max (6RU)'!J23=B5),TRUE,FALSE)</f>
        <v>1</v>
      </c>
      <c r="E76" s="27"/>
      <c r="F76" s="27"/>
      <c r="G76" s="27"/>
      <c r="H76" s="27"/>
      <c r="I76" s="27"/>
      <c r="J76" s="27"/>
      <c r="K76" s="27"/>
      <c r="L76" s="27"/>
      <c r="M76" s="27"/>
      <c r="N76" s="27"/>
    </row>
    <row r="77" spans="1:14" x14ac:dyDescent="0.25">
      <c r="B77" t="s">
        <v>166</v>
      </c>
      <c r="C77" t="b">
        <f>IF(OR('AQUILON C max (6RU)'!J28=B3,'AQUILON C max (6RU)'!J28=B5),TRUE,FALSE)</f>
        <v>1</v>
      </c>
      <c r="E77" s="27"/>
      <c r="F77" s="27"/>
      <c r="G77" s="27"/>
      <c r="H77" s="27"/>
      <c r="I77" s="27"/>
      <c r="J77" s="27"/>
      <c r="K77" s="27"/>
      <c r="L77" s="27"/>
      <c r="M77" s="27"/>
      <c r="N77" s="27"/>
    </row>
    <row r="78" spans="1:14" x14ac:dyDescent="0.25">
      <c r="B78" t="s">
        <v>348</v>
      </c>
      <c r="C78" t="b">
        <f>IF(OR('AQUILON C max (6RU)'!J33=B3,OR('AQUILON C max (6RU)'!J33=B4,'AQUILON C max (6RU)'!J33=B5)),TRUE,FALSE)</f>
        <v>1</v>
      </c>
      <c r="E78" s="27"/>
      <c r="F78" s="27"/>
      <c r="G78" s="27"/>
      <c r="H78" s="27"/>
      <c r="I78" s="27"/>
      <c r="J78" s="27"/>
      <c r="K78" s="27"/>
      <c r="L78" s="27"/>
      <c r="M78" s="27"/>
      <c r="N78" s="27"/>
    </row>
    <row r="79" spans="1:14" x14ac:dyDescent="0.25">
      <c r="B79" t="s">
        <v>159</v>
      </c>
      <c r="C79" t="b">
        <f>IF('AQUILON C max (6RU)'!O5="",FALSE,TRUE)</f>
        <v>1</v>
      </c>
      <c r="E79" s="27"/>
      <c r="F79" s="27"/>
      <c r="G79" s="27"/>
      <c r="H79" s="27"/>
      <c r="I79" s="27"/>
      <c r="J79" s="27"/>
      <c r="K79" s="27"/>
      <c r="L79" s="27"/>
      <c r="M79" s="27"/>
      <c r="N79" s="27"/>
    </row>
    <row r="80" spans="1:14" x14ac:dyDescent="0.25">
      <c r="B80" t="s">
        <v>160</v>
      </c>
      <c r="C80" t="b">
        <f>IF('AQUILON C max (6RU)'!O10="",FALSE,TRUE)</f>
        <v>1</v>
      </c>
      <c r="E80" s="27"/>
      <c r="F80" s="27"/>
      <c r="G80" s="27"/>
      <c r="H80" s="27"/>
      <c r="I80" s="27"/>
      <c r="J80" s="27"/>
      <c r="K80" s="27"/>
      <c r="L80" s="27"/>
      <c r="M80" s="27"/>
      <c r="N80" s="27"/>
    </row>
    <row r="81" spans="1:14" x14ac:dyDescent="0.25">
      <c r="B81" t="s">
        <v>161</v>
      </c>
      <c r="C81" t="b">
        <f>IF('AQUILON C max (6RU)'!B25="",FALSE,TRUE)</f>
        <v>1</v>
      </c>
      <c r="E81" s="27"/>
      <c r="F81" s="27"/>
      <c r="G81" s="27"/>
      <c r="H81" s="27"/>
      <c r="I81" s="27"/>
      <c r="J81" s="27"/>
      <c r="K81" s="27"/>
      <c r="L81" s="27"/>
      <c r="M81" s="27"/>
      <c r="N81" s="27"/>
    </row>
    <row r="82" spans="1:14" x14ac:dyDescent="0.25">
      <c r="B82" t="s">
        <v>162</v>
      </c>
      <c r="C82" t="b">
        <f>TRUE</f>
        <v>1</v>
      </c>
      <c r="E82" s="27"/>
      <c r="F82" s="27"/>
      <c r="G82" s="27"/>
      <c r="H82" s="27"/>
      <c r="I82" s="27"/>
      <c r="J82" s="27"/>
      <c r="K82" s="27"/>
      <c r="L82" s="27"/>
      <c r="M82" s="27"/>
      <c r="N82" s="27"/>
    </row>
    <row r="83" spans="1:14" x14ac:dyDescent="0.25">
      <c r="M83" s="27"/>
    </row>
    <row r="85" spans="1:14" x14ac:dyDescent="0.25">
      <c r="A85" t="s">
        <v>167</v>
      </c>
      <c r="B85" s="7" t="s">
        <v>168</v>
      </c>
      <c r="C85" s="7" t="b">
        <f>IF(OR(C86,C87,C88,C89,C90,C91,C92,C93,C94,C95,C96,C97,C98,C99,C100,C101,C102,C103,C104,C105,C106,C107,C108,C109,C110,C111,C112,C113),FALSE,TRUE)</f>
        <v>1</v>
      </c>
      <c r="D85" t="s">
        <v>169</v>
      </c>
      <c r="M85" s="27"/>
    </row>
    <row r="86" spans="1:14" ht="15" customHeight="1" x14ac:dyDescent="0.25">
      <c r="B86" s="33" t="str">
        <f>DECODER!C9</f>
        <v>Chassis</v>
      </c>
      <c r="C86" t="b">
        <f>ISNA(DECODER!G9)</f>
        <v>0</v>
      </c>
      <c r="D86" s="185" t="s">
        <v>170</v>
      </c>
      <c r="E86" s="34"/>
      <c r="F86" s="34"/>
      <c r="G86" s="34"/>
      <c r="H86" s="34"/>
      <c r="I86" s="34"/>
      <c r="J86" s="34"/>
      <c r="K86" s="34"/>
      <c r="M86" s="27"/>
    </row>
    <row r="87" spans="1:14" x14ac:dyDescent="0.25">
      <c r="B87" s="33" t="str">
        <f>DECODER!C10</f>
        <v>Input Processing Board Slot 1-2</v>
      </c>
      <c r="C87" t="b">
        <f>OR(ISNA(DECODER!G10),IF(DECODER!F10=_GENERIC!B2,TRUE,FALSE))</f>
        <v>0</v>
      </c>
      <c r="D87" s="185"/>
      <c r="E87" s="34"/>
      <c r="F87" s="34"/>
      <c r="G87" s="34"/>
      <c r="H87" s="34"/>
      <c r="I87" s="34"/>
      <c r="J87" s="34"/>
      <c r="K87" s="34"/>
    </row>
    <row r="88" spans="1:14" x14ac:dyDescent="0.25">
      <c r="B88" s="33" t="str">
        <f>DECODER!C11</f>
        <v>Input Card Slot 1</v>
      </c>
      <c r="C88" t="b">
        <f>ISNA(DECODER!G11)</f>
        <v>0</v>
      </c>
      <c r="D88" s="185"/>
      <c r="E88" s="34"/>
      <c r="F88" s="34"/>
      <c r="G88" s="34"/>
      <c r="H88" s="34"/>
      <c r="I88" s="34"/>
      <c r="J88" s="34"/>
      <c r="K88" s="34"/>
    </row>
    <row r="89" spans="1:14" x14ac:dyDescent="0.25">
      <c r="B89" s="33" t="str">
        <f>DECODER!C12</f>
        <v>Input Card Slot 2</v>
      </c>
      <c r="C89" t="b">
        <f>ISNA(DECODER!G12)</f>
        <v>0</v>
      </c>
      <c r="D89" s="185"/>
      <c r="E89" s="34"/>
      <c r="F89" s="34"/>
      <c r="G89" s="34"/>
      <c r="H89" s="34"/>
      <c r="I89" s="34"/>
      <c r="J89" s="34"/>
      <c r="K89" s="34"/>
    </row>
    <row r="90" spans="1:14" x14ac:dyDescent="0.25">
      <c r="B90" s="33" t="str">
        <f>DECODER!C13</f>
        <v>Input Processing Board Slot 3-4</v>
      </c>
      <c r="C90" t="b">
        <f>OR(ISNA(DECODER!G13),IF(DECODER!G13=_GENERIC!H2,TRUE,FALSE))</f>
        <v>0</v>
      </c>
      <c r="D90" s="185"/>
      <c r="E90" s="34"/>
      <c r="F90" s="34"/>
      <c r="G90" s="34"/>
      <c r="H90" s="34"/>
      <c r="I90" s="34"/>
      <c r="J90" s="34"/>
      <c r="K90" s="34"/>
    </row>
    <row r="91" spans="1:14" x14ac:dyDescent="0.25">
      <c r="B91" s="33" t="str">
        <f>DECODER!C14</f>
        <v>Input Card Slot 3</v>
      </c>
      <c r="C91" t="b">
        <f>OR(ISNA(DECODER!G14),IF(DECODER!R14&lt;&gt;"",TRUE,FALSE))</f>
        <v>0</v>
      </c>
      <c r="D91" s="185"/>
      <c r="E91" s="34"/>
      <c r="F91" s="34"/>
      <c r="G91" s="34"/>
      <c r="H91" s="34"/>
      <c r="I91" s="34"/>
      <c r="J91" s="34"/>
      <c r="K91" s="34"/>
    </row>
    <row r="92" spans="1:14" x14ac:dyDescent="0.25">
      <c r="B92" s="33" t="str">
        <f>DECODER!C15</f>
        <v>Input Card Slot 4</v>
      </c>
      <c r="C92" t="b">
        <f>ISNA(DECODER!G15)</f>
        <v>0</v>
      </c>
      <c r="D92" s="185"/>
      <c r="E92" s="34"/>
      <c r="F92" s="34"/>
      <c r="G92" s="34"/>
      <c r="H92" s="34"/>
      <c r="I92" s="34"/>
      <c r="J92" s="34"/>
      <c r="K92" s="34"/>
    </row>
    <row r="93" spans="1:14" x14ac:dyDescent="0.25">
      <c r="B93" s="33" t="str">
        <f>DECODER!C16</f>
        <v>Input Processing Board Slot 5-6</v>
      </c>
      <c r="C93" t="b">
        <f>IF(DECODER!F9=_CHASSIS!B3,ISNA(DECODER!G16),OR(ISNA(DECODER!G16),IF(DECODER!G16=_GENERIC!H2,TRUE,FALSE)))</f>
        <v>0</v>
      </c>
      <c r="D93" s="185"/>
      <c r="E93" s="34"/>
      <c r="F93" s="34"/>
      <c r="G93" s="34"/>
      <c r="H93" s="34"/>
      <c r="I93" s="34"/>
      <c r="J93" s="34"/>
      <c r="K93" s="34"/>
    </row>
    <row r="94" spans="1:14" x14ac:dyDescent="0.25">
      <c r="B94" s="33" t="str">
        <f>DECODER!C17</f>
        <v>Input Card Slot 5</v>
      </c>
      <c r="C94" t="b">
        <f>OR(ISNA(DECODER!G17),IF(DECODER!R17&lt;&gt;"",TRUE,FALSE))</f>
        <v>0</v>
      </c>
      <c r="D94" s="185"/>
      <c r="E94" s="34"/>
      <c r="F94" s="34"/>
      <c r="G94" s="34"/>
      <c r="H94" s="34"/>
      <c r="I94" s="34"/>
      <c r="J94" s="34"/>
      <c r="K94" s="34"/>
    </row>
    <row r="95" spans="1:14" x14ac:dyDescent="0.25">
      <c r="B95" s="33" t="str">
        <f>DECODER!C18</f>
        <v>Input Card Slot 6</v>
      </c>
      <c r="C95" t="b">
        <f>ISNA(DECODER!G18)</f>
        <v>0</v>
      </c>
      <c r="D95" s="185"/>
      <c r="E95" s="34"/>
      <c r="F95" s="34"/>
      <c r="G95" s="34"/>
      <c r="H95" s="34"/>
      <c r="I95" s="34"/>
      <c r="J95" s="34"/>
      <c r="K95" s="34"/>
    </row>
    <row r="96" spans="1:14" x14ac:dyDescent="0.25">
      <c r="B96" s="33" t="str">
        <f>DECODER!C19</f>
        <v>Input Processing Board Slot 7-8</v>
      </c>
      <c r="C96" t="b">
        <f>IF(DECODER!F9=_CHASSIS!B3,ISNA(DECODER!G19),OR(ISNA(DECODER!G19),IF(DECODER!G19=_GENERIC!H5,TRUE,FALSE)))</f>
        <v>0</v>
      </c>
      <c r="D96" s="185"/>
      <c r="E96" s="34"/>
      <c r="F96" s="34"/>
      <c r="G96" s="34"/>
      <c r="H96" s="34"/>
      <c r="I96" s="34"/>
      <c r="J96" s="34"/>
      <c r="K96" s="34"/>
    </row>
    <row r="97" spans="2:11" x14ac:dyDescent="0.25">
      <c r="B97" s="33" t="str">
        <f>DECODER!C20</f>
        <v>Input Card Slot 7</v>
      </c>
      <c r="C97" t="b">
        <f>OR(ISNA(DECODER!G20),IF(DECODER!R20&lt;&gt;"",TRUE,FALSE))</f>
        <v>0</v>
      </c>
      <c r="D97" s="185"/>
      <c r="E97" s="34"/>
      <c r="F97" s="34"/>
      <c r="G97" s="34"/>
      <c r="H97" s="34"/>
      <c r="I97" s="34"/>
      <c r="J97" s="34"/>
      <c r="K97" s="34"/>
    </row>
    <row r="98" spans="2:11" x14ac:dyDescent="0.25">
      <c r="B98" s="33" t="str">
        <f>DECODER!C21</f>
        <v>Input Card Slot 8</v>
      </c>
      <c r="C98" t="b">
        <f>ISNA(DECODER!G21)</f>
        <v>0</v>
      </c>
      <c r="D98" s="185"/>
      <c r="E98" s="34"/>
      <c r="F98" s="34"/>
      <c r="G98" s="34"/>
      <c r="H98" s="34"/>
      <c r="I98" s="34"/>
      <c r="J98" s="34"/>
      <c r="K98" s="34"/>
    </row>
    <row r="99" spans="2:11" x14ac:dyDescent="0.25">
      <c r="B99" s="33" t="str">
        <f>DECODER!C22</f>
        <v>Output Processing Board Slot 1</v>
      </c>
      <c r="C99" t="b">
        <f>ISNA(DECODER!G22)</f>
        <v>0</v>
      </c>
      <c r="D99" s="185"/>
      <c r="E99" s="34"/>
      <c r="F99" s="34"/>
      <c r="G99" s="34"/>
      <c r="H99" s="34"/>
      <c r="I99" s="34"/>
      <c r="J99" s="34"/>
      <c r="K99" s="34"/>
    </row>
    <row r="100" spans="2:11" x14ac:dyDescent="0.25">
      <c r="B100" s="33" t="str">
        <f>DECODER!C23</f>
        <v>Output Card Slot 1</v>
      </c>
      <c r="C100" t="b">
        <f>ISNA(DECODER!G23)</f>
        <v>0</v>
      </c>
      <c r="D100" s="185"/>
      <c r="E100" s="34"/>
      <c r="F100" s="34"/>
      <c r="G100" s="34"/>
      <c r="H100" s="34"/>
      <c r="I100" s="34"/>
      <c r="J100" s="34"/>
      <c r="K100" s="34"/>
    </row>
    <row r="101" spans="2:11" x14ac:dyDescent="0.25">
      <c r="B101" s="33" t="str">
        <f>DECODER!C24</f>
        <v>Output Processing Board Slot 2</v>
      </c>
      <c r="C101" t="b">
        <f>ISNA(DECODER!G24)</f>
        <v>0</v>
      </c>
      <c r="D101" s="185"/>
      <c r="E101" s="34"/>
      <c r="F101" s="34"/>
      <c r="G101" s="34"/>
      <c r="H101" s="34"/>
      <c r="I101" s="34"/>
      <c r="J101" s="34"/>
      <c r="K101" s="34"/>
    </row>
    <row r="102" spans="2:11" x14ac:dyDescent="0.25">
      <c r="B102" s="33" t="str">
        <f>DECODER!C25</f>
        <v>Output Card Slot 2</v>
      </c>
      <c r="C102" t="b">
        <f>OR(ISNA(DECODER!G25),IF(DECODER!R25&lt;&gt;"",TRUE,FALSE))</f>
        <v>0</v>
      </c>
      <c r="D102" s="185"/>
      <c r="E102" s="34"/>
      <c r="F102" s="34"/>
      <c r="G102" s="34"/>
      <c r="H102" s="34"/>
      <c r="I102" s="34"/>
      <c r="J102" s="34"/>
      <c r="K102" s="34"/>
    </row>
    <row r="103" spans="2:11" x14ac:dyDescent="0.25">
      <c r="B103" s="33" t="str">
        <f>DECODER!C26</f>
        <v>Output Processing Board Slot 3</v>
      </c>
      <c r="C103" t="b">
        <f>ISNA(DECODER!G26)</f>
        <v>0</v>
      </c>
      <c r="D103" s="185"/>
      <c r="E103" s="34"/>
      <c r="F103" s="34"/>
      <c r="G103" s="34"/>
      <c r="H103" s="34"/>
      <c r="I103" s="34"/>
      <c r="J103" s="34"/>
      <c r="K103" s="34"/>
    </row>
    <row r="104" spans="2:11" x14ac:dyDescent="0.25">
      <c r="B104" s="33" t="str">
        <f>DECODER!C27</f>
        <v>Output Card Slot 3</v>
      </c>
      <c r="C104" t="b">
        <f>OR(ISNA(DECODER!G27),IF(DECODER!R27&lt;&gt;"",TRUE,FALSE))</f>
        <v>0</v>
      </c>
      <c r="D104" s="185"/>
      <c r="E104" s="34"/>
      <c r="F104" s="34"/>
      <c r="G104" s="34"/>
      <c r="H104" s="34"/>
      <c r="I104" s="34"/>
      <c r="J104" s="34"/>
      <c r="K104" s="34"/>
    </row>
    <row r="105" spans="2:11" x14ac:dyDescent="0.25">
      <c r="B105" s="33" t="str">
        <f>DECODER!C28</f>
        <v>Output Processing Board Slot 4</v>
      </c>
      <c r="C105" t="b">
        <f>ISNA(DECODER!G28)</f>
        <v>0</v>
      </c>
      <c r="D105" s="185"/>
      <c r="E105" s="34"/>
      <c r="F105" s="34"/>
      <c r="G105" s="34"/>
      <c r="H105" s="34"/>
      <c r="I105" s="34"/>
      <c r="J105" s="34"/>
      <c r="K105" s="34"/>
    </row>
    <row r="106" spans="2:11" x14ac:dyDescent="0.25">
      <c r="B106" s="33" t="str">
        <f>DECODER!C29</f>
        <v>Output Card Slot 4</v>
      </c>
      <c r="C106" t="b">
        <f>OR(ISNA(DECODER!G29),IF(DECODER!R29&lt;&gt;"",TRUE,FALSE))</f>
        <v>0</v>
      </c>
      <c r="D106" s="185"/>
      <c r="E106" s="34"/>
      <c r="F106" s="34"/>
      <c r="G106" s="34"/>
      <c r="H106" s="34"/>
      <c r="I106" s="34"/>
      <c r="J106" s="34"/>
      <c r="K106" s="34"/>
    </row>
    <row r="107" spans="2:11" x14ac:dyDescent="0.25">
      <c r="B107" s="33" t="str">
        <f>DECODER!C30</f>
        <v>Output Processing Board Slot 5</v>
      </c>
      <c r="C107" t="b">
        <f>ISNA(DECODER!G30)</f>
        <v>0</v>
      </c>
      <c r="D107" s="185"/>
      <c r="E107" s="34"/>
      <c r="F107" s="34"/>
      <c r="G107" s="34"/>
      <c r="H107" s="34"/>
      <c r="I107" s="34"/>
      <c r="J107" s="34"/>
      <c r="K107" s="34"/>
    </row>
    <row r="108" spans="2:11" x14ac:dyDescent="0.25">
      <c r="B108" s="33" t="str">
        <f>DECODER!C31</f>
        <v>Output Card Slot 5</v>
      </c>
      <c r="C108" t="b">
        <f>OR(ISNA(DECODER!G31),IF(DECODER!R31&lt;&gt;"",TRUE,FALSE))</f>
        <v>0</v>
      </c>
      <c r="D108" s="185"/>
      <c r="E108" s="34"/>
      <c r="F108" s="34"/>
      <c r="G108" s="34"/>
      <c r="H108" s="34"/>
      <c r="I108" s="34"/>
      <c r="J108" s="34"/>
      <c r="K108" s="34"/>
    </row>
    <row r="109" spans="2:11" x14ac:dyDescent="0.25">
      <c r="B109" s="33" t="str">
        <f>DECODER!C32</f>
        <v>Output Processing Board Slot 6</v>
      </c>
      <c r="C109" t="b">
        <f>ISNA(DECODER!G32)</f>
        <v>0</v>
      </c>
      <c r="D109" s="185"/>
      <c r="E109" s="34"/>
      <c r="F109" s="34"/>
      <c r="G109" s="34"/>
      <c r="H109" s="34"/>
      <c r="I109" s="34"/>
      <c r="J109" s="34"/>
      <c r="K109" s="34"/>
    </row>
    <row r="110" spans="2:11" x14ac:dyDescent="0.25">
      <c r="B110" s="33" t="str">
        <f>DECODER!C33</f>
        <v>Output Card Slot 6</v>
      </c>
      <c r="C110" t="b">
        <f>OR(ISNA(DECODER!G33),IF(DECODER!R33&lt;&gt;"",TRUE,FALSE))</f>
        <v>0</v>
      </c>
      <c r="D110" s="185"/>
      <c r="E110" s="34"/>
      <c r="F110" s="34"/>
      <c r="G110" s="34"/>
      <c r="H110" s="34"/>
      <c r="I110" s="34"/>
      <c r="J110" s="34"/>
      <c r="K110" s="34"/>
    </row>
    <row r="111" spans="2:11" x14ac:dyDescent="0.25">
      <c r="B111" s="33" t="str">
        <f>DECODER!C34</f>
        <v>Video Processing Unit</v>
      </c>
      <c r="C111" t="b">
        <f>ISNA(DECODER!G34)</f>
        <v>0</v>
      </c>
      <c r="D111" s="185"/>
      <c r="E111" s="34"/>
      <c r="F111" s="34"/>
      <c r="H111" s="34"/>
      <c r="I111" s="34"/>
      <c r="J111" s="34"/>
      <c r="K111" s="34"/>
    </row>
    <row r="112" spans="2:11" x14ac:dyDescent="0.25">
      <c r="B112" s="33" t="str">
        <f>DECODER!C35</f>
        <v>Image Processing Unit</v>
      </c>
      <c r="C112" t="b">
        <f>ISNA(DECODER!G35)</f>
        <v>0</v>
      </c>
      <c r="D112" s="185"/>
      <c r="E112" s="34"/>
      <c r="F112" s="34"/>
      <c r="G112" s="34"/>
      <c r="H112" s="34"/>
      <c r="I112" s="34"/>
      <c r="J112" s="34"/>
      <c r="K112" s="34"/>
    </row>
    <row r="113" spans="1:15" x14ac:dyDescent="0.25">
      <c r="B113" s="33" t="s">
        <v>171</v>
      </c>
      <c r="C113" t="b">
        <f>IF(ISNA(DECODER!G36),TRUE,DECODER!G36=_MVW!A3)</f>
        <v>0</v>
      </c>
      <c r="D113" s="185"/>
      <c r="G113" s="34"/>
    </row>
    <row r="115" spans="1:15" x14ac:dyDescent="0.25">
      <c r="A115" t="s">
        <v>172</v>
      </c>
      <c r="B115" s="33" t="s">
        <v>173</v>
      </c>
      <c r="C115" s="60" t="s">
        <v>174</v>
      </c>
      <c r="D115" s="60"/>
    </row>
    <row r="116" spans="1:15" x14ac:dyDescent="0.25">
      <c r="B116" s="33"/>
      <c r="C116" s="60" t="s">
        <v>175</v>
      </c>
      <c r="D116" s="60"/>
      <c r="E116" s="54" t="s">
        <v>176</v>
      </c>
      <c r="F116" s="55" t="s">
        <v>177</v>
      </c>
      <c r="G116" s="55" t="s">
        <v>178</v>
      </c>
      <c r="H116" s="55" t="s">
        <v>179</v>
      </c>
      <c r="I116" s="55" t="s">
        <v>180</v>
      </c>
      <c r="J116" s="55" t="s">
        <v>181</v>
      </c>
      <c r="K116" s="55" t="s">
        <v>182</v>
      </c>
      <c r="L116" s="55" t="s">
        <v>183</v>
      </c>
      <c r="M116" s="55" t="s">
        <v>329</v>
      </c>
      <c r="N116" s="55" t="s">
        <v>330</v>
      </c>
      <c r="O116" s="55" t="s">
        <v>379</v>
      </c>
    </row>
    <row r="117" spans="1:15" x14ac:dyDescent="0.25">
      <c r="B117" s="33" t="s">
        <v>184</v>
      </c>
      <c r="C117" s="60" t="str">
        <f>IF('AQUILON C (4RU)'!E47=_MVW!A4,"the default dual HDMI 2.0 MVW card","the optional dual DP 1.2 MVW card compatible with the DPH104")</f>
        <v>the default dual HDMI 2.0 MVW card</v>
      </c>
      <c r="D117" s="60"/>
      <c r="E117" s="56" t="s">
        <v>185</v>
      </c>
      <c r="F117" s="55">
        <f>COUNTIF('AQUILON C (4RU)'!I31:J36,_INPUT!C5)</f>
        <v>0</v>
      </c>
      <c r="G117" s="55">
        <f>COUNTIF('AQUILON C (4RU)'!I31:J36,_INPUT!C6)</f>
        <v>0</v>
      </c>
      <c r="H117" s="55">
        <f>COUNTIF('AQUILON C (4RU)'!I31:J36,_INPUT!C7)</f>
        <v>0</v>
      </c>
      <c r="I117" s="55">
        <f>COUNTIF('AQUILON C (4RU)'!I31:J36,_INPUT!C8)</f>
        <v>0</v>
      </c>
      <c r="J117" s="55">
        <f>COUNTIF('AQUILON C (4RU)'!I31:J36,_INPUT!C9)</f>
        <v>0</v>
      </c>
      <c r="K117" s="55">
        <f>COUNTIF('AQUILON C (4RU)'!I31:J36,_INPUT!C4)</f>
        <v>0</v>
      </c>
      <c r="L117" s="55">
        <f>COUNTIF('AQUILON C (4RU)'!I31:J36,_INPUT!C10)</f>
        <v>0</v>
      </c>
      <c r="M117" s="55">
        <f>COUNTIF('AQUILON C (4RU)'!I31:J36,_INPUT!C11)</f>
        <v>0</v>
      </c>
      <c r="N117" s="55">
        <f>COUNTIF('AQUILON C (4RU)'!I31:J36,_INPUT!C12)</f>
        <v>0</v>
      </c>
      <c r="O117" s="55">
        <f>COUNTIF('AQUILON C (4RU)'!I31:J36,_INPUT!C13)</f>
        <v>0</v>
      </c>
    </row>
    <row r="118" spans="1:15" x14ac:dyDescent="0.25">
      <c r="B118" s="33"/>
      <c r="C118" s="60" t="s">
        <v>186</v>
      </c>
      <c r="D118" s="60"/>
      <c r="E118" s="56" t="s">
        <v>187</v>
      </c>
      <c r="F118" s="55">
        <f t="shared" ref="F118:L118" si="0">F117*4</f>
        <v>0</v>
      </c>
      <c r="G118" s="55">
        <f t="shared" si="0"/>
        <v>0</v>
      </c>
      <c r="H118" s="55">
        <f t="shared" si="0"/>
        <v>0</v>
      </c>
      <c r="I118" s="55">
        <f t="shared" si="0"/>
        <v>0</v>
      </c>
      <c r="J118" s="55">
        <f t="shared" si="0"/>
        <v>0</v>
      </c>
      <c r="K118" s="55">
        <f>K117*0</f>
        <v>0</v>
      </c>
      <c r="L118" s="55">
        <f t="shared" si="0"/>
        <v>0</v>
      </c>
      <c r="M118" s="55">
        <f t="shared" ref="M118" si="1">M117*4</f>
        <v>0</v>
      </c>
      <c r="N118" s="55">
        <f>N117*8</f>
        <v>0</v>
      </c>
      <c r="O118" s="55">
        <f>O117*8</f>
        <v>0</v>
      </c>
    </row>
    <row r="119" spans="1:15" x14ac:dyDescent="0.25">
      <c r="B119" s="33" t="s">
        <v>188</v>
      </c>
      <c r="C119" s="60" t="str">
        <f>IF(F118=0,"",F118)</f>
        <v/>
      </c>
      <c r="D119" s="60" t="str">
        <f>IF(C119="","",CONCATENATE("x ",F116))</f>
        <v/>
      </c>
    </row>
    <row r="120" spans="1:15" x14ac:dyDescent="0.25">
      <c r="B120" s="33" t="s">
        <v>189</v>
      </c>
      <c r="C120" s="60" t="str">
        <f>IF(G118=0,"",IF(C119="",G118,CONCATENATE(", ",G118)))</f>
        <v/>
      </c>
      <c r="D120" s="60" t="str">
        <f>IF(C120="","",CONCATENATE("x ",G116))</f>
        <v/>
      </c>
    </row>
    <row r="121" spans="1:15" x14ac:dyDescent="0.25">
      <c r="B121" s="33" t="s">
        <v>190</v>
      </c>
      <c r="C121" s="60" t="str">
        <f>IF(H118=0,"",IF(AND(C119="",C120=""),H118,CONCATENATE(", ",H118)))</f>
        <v/>
      </c>
      <c r="D121" s="60" t="str">
        <f>IF(C121="","",CONCATENATE("x ",H116))</f>
        <v/>
      </c>
    </row>
    <row r="122" spans="1:15" x14ac:dyDescent="0.25">
      <c r="B122" s="33" t="s">
        <v>191</v>
      </c>
      <c r="C122" s="60" t="str">
        <f>IF(I118=0,"",IF(AND(C119="",C120="",C121=""),I118,CONCATENATE(", ",I118)))</f>
        <v/>
      </c>
      <c r="D122" s="60" t="str">
        <f>IF(C122="","",CONCATENATE("x ",I116))</f>
        <v/>
      </c>
    </row>
    <row r="123" spans="1:15" x14ac:dyDescent="0.25">
      <c r="B123" s="33" t="s">
        <v>192</v>
      </c>
      <c r="C123" s="60" t="str">
        <f>IF(J118=0,"",IF(AND(C119="",C120="",C121="",C122=""),J118,CONCATENATE(", ",J118)))</f>
        <v/>
      </c>
      <c r="D123" s="60" t="str">
        <f>IF(C123="","",CONCATENATE("x ",J116))</f>
        <v/>
      </c>
    </row>
    <row r="124" spans="1:15" x14ac:dyDescent="0.25">
      <c r="B124" s="33" t="s">
        <v>193</v>
      </c>
      <c r="C124" s="60" t="str">
        <f>IF(L118=0,"",IF(AND(C119="",C120="",C121="",C122="",C123=""),L118,CONCATENATE(", ",L118)))</f>
        <v/>
      </c>
      <c r="D124" s="60" t="str">
        <f>IF(C124="","",CONCATENATE("x ",L116))</f>
        <v/>
      </c>
    </row>
    <row r="125" spans="1:15" x14ac:dyDescent="0.25">
      <c r="B125" s="33" t="s">
        <v>331</v>
      </c>
      <c r="C125" s="60" t="str">
        <f>IF(M118=0,"",IF(AND(C119="",C120="",C121="",C122="",C123="",C124=""),M118,CONCATENATE(", ",M118)))</f>
        <v/>
      </c>
      <c r="D125" s="60" t="str">
        <f>IF(C125="","",CONCATENATE("x ",M116))</f>
        <v/>
      </c>
    </row>
    <row r="126" spans="1:15" x14ac:dyDescent="0.25">
      <c r="B126" s="33" t="s">
        <v>328</v>
      </c>
      <c r="C126" s="60" t="str">
        <f>IF(N118=0,"",IF(AND(C119="",C120="",C121="",C122="",C123="",C124="",C125=""),N118,CONCATENATE(", ",N118)))</f>
        <v/>
      </c>
      <c r="D126" s="60" t="str">
        <f>IF(C126="","",CONCATENATE("x ",N116))</f>
        <v/>
      </c>
    </row>
    <row r="127" spans="1:15" x14ac:dyDescent="0.25">
      <c r="B127" s="33" t="s">
        <v>380</v>
      </c>
      <c r="C127" s="60" t="str">
        <f>IF(O118=0,"",IF(AND(C119="",C120="",C121="",C122="",C123="",C124="",C125="",C126=""),O118,CONCATENATE(", ",O118)))</f>
        <v/>
      </c>
      <c r="D127" s="60" t="str">
        <f>IF(C127="","",CONCATENATE("x ",O116))</f>
        <v/>
      </c>
    </row>
    <row r="128" spans="1:15" x14ac:dyDescent="0.25">
      <c r="B128" s="33"/>
      <c r="C128" s="60" t="str">
        <f>IF(AND(C119="",C120="",C121="",C122="",C123="",C124="",C125="",C126="",C127=""),"no input connectors card, "," input connectors, ")</f>
        <v xml:space="preserve">no input connectors card, </v>
      </c>
      <c r="D128" s="60"/>
    </row>
    <row r="129" spans="2:14" x14ac:dyDescent="0.25">
      <c r="B129" s="33"/>
      <c r="C129" s="60" t="str">
        <f>IF(K117=0,"","with ")</f>
        <v/>
      </c>
      <c r="D129" s="60"/>
    </row>
    <row r="130" spans="2:14" x14ac:dyDescent="0.25">
      <c r="B130" s="33" t="s">
        <v>194</v>
      </c>
      <c r="C130" s="60" t="str">
        <f>IF(K117=0,"",K117)</f>
        <v/>
      </c>
      <c r="D130" s="60" t="str">
        <f>IF(C130="","",IF(C130=1,"x Filler input card (no connector), ","x Filler input cards (no connector), "))</f>
        <v/>
      </c>
    </row>
    <row r="131" spans="2:14" x14ac:dyDescent="0.25">
      <c r="B131" s="33"/>
      <c r="C131" s="60" t="s">
        <v>175</v>
      </c>
      <c r="D131" s="60"/>
      <c r="E131" s="57" t="s">
        <v>195</v>
      </c>
      <c r="F131" s="58" t="str">
        <f t="shared" ref="F131:L131" si="2">F116</f>
        <v>HDMI2.0</v>
      </c>
      <c r="G131" s="58" t="str">
        <f t="shared" si="2"/>
        <v>DP 1.2</v>
      </c>
      <c r="H131" s="58" t="str">
        <f t="shared" si="2"/>
        <v>12G-SDI</v>
      </c>
      <c r="I131" s="58" t="str">
        <f t="shared" si="2"/>
        <v>SFP</v>
      </c>
      <c r="J131" s="58" t="str">
        <f t="shared" si="2"/>
        <v>HDMI over Fiber</v>
      </c>
      <c r="K131" s="58" t="str">
        <f t="shared" si="2"/>
        <v>Filler</v>
      </c>
      <c r="L131" s="58" t="str">
        <f t="shared" si="2"/>
        <v>SDVoE</v>
      </c>
      <c r="M131" s="58" t="str">
        <f>O116</f>
        <v>ST 2110</v>
      </c>
      <c r="N131" s="58" t="s">
        <v>332</v>
      </c>
    </row>
    <row r="132" spans="2:14" x14ac:dyDescent="0.25">
      <c r="B132" s="33" t="s">
        <v>196</v>
      </c>
      <c r="C132" s="60" t="str">
        <f>IF(F133=0,"",F133)</f>
        <v/>
      </c>
      <c r="D132" s="60" t="str">
        <f>IF(C132="","",CONCATENATE("x ",F131))</f>
        <v/>
      </c>
      <c r="E132" s="59" t="s">
        <v>185</v>
      </c>
      <c r="F132" s="58">
        <f>COUNTIF('AQUILON C (4RU)'!I37:J44,_OUTPUT!C5)</f>
        <v>0</v>
      </c>
      <c r="G132" s="58">
        <f>COUNTIF('AQUILON C (4RU)'!I37:J44,_OUTPUT!C6)</f>
        <v>0</v>
      </c>
      <c r="H132" s="58">
        <f>COUNTIF('AQUILON C (4RU)'!I37:J44,_OUTPUT!C7)</f>
        <v>0</v>
      </c>
      <c r="I132" s="58">
        <f>COUNTIF('AQUILON C (4RU)'!I37:J44,_OUTPUT!C8)</f>
        <v>0</v>
      </c>
      <c r="J132" s="58">
        <f>COUNTIF('AQUILON C (4RU)'!I37:J44,_OUTPUT!C9)</f>
        <v>0</v>
      </c>
      <c r="K132" s="58">
        <f>COUNTIF('AQUILON C (4RU)'!I37:J44,_OUTPUT!C4)</f>
        <v>0</v>
      </c>
      <c r="L132" s="58">
        <f>COUNTIF('AQUILON C (4RU)'!I37:J44,_OUTPUT!C10)</f>
        <v>0</v>
      </c>
      <c r="M132" s="58">
        <f>COUNTIF('AQUILON C (4RU)'!I37:J44,_OUTPUT!C11)</f>
        <v>0</v>
      </c>
      <c r="N132" s="58">
        <f>COUNTIF('AQUILON C (4RU)'!I37:J44,_OUTPUT!C12)</f>
        <v>0</v>
      </c>
    </row>
    <row r="133" spans="2:14" x14ac:dyDescent="0.25">
      <c r="B133" s="33" t="s">
        <v>197</v>
      </c>
      <c r="C133" s="60" t="str">
        <f>IF(G133=0,"",IF(C132="",G133,CONCATENATE(", ",G133)))</f>
        <v/>
      </c>
      <c r="D133" s="60" t="str">
        <f>IF(C133="","",CONCATENATE("x ",G131))</f>
        <v/>
      </c>
      <c r="E133" s="59" t="s">
        <v>187</v>
      </c>
      <c r="F133" s="58">
        <f>F132*4</f>
        <v>0</v>
      </c>
      <c r="G133" s="58">
        <f t="shared" ref="G133:H133" si="3">G132*4</f>
        <v>0</v>
      </c>
      <c r="H133" s="58">
        <f t="shared" si="3"/>
        <v>0</v>
      </c>
      <c r="I133" s="58">
        <f t="shared" ref="I133:J133" si="4">I132*4</f>
        <v>0</v>
      </c>
      <c r="J133" s="58">
        <f t="shared" si="4"/>
        <v>0</v>
      </c>
      <c r="K133" s="58">
        <f>K132*0</f>
        <v>0</v>
      </c>
      <c r="L133" s="58">
        <f t="shared" ref="L133:M133" si="5">L132*4</f>
        <v>0</v>
      </c>
      <c r="M133" s="58">
        <f t="shared" si="5"/>
        <v>0</v>
      </c>
      <c r="N133" s="58">
        <f>N132*0</f>
        <v>0</v>
      </c>
    </row>
    <row r="134" spans="2:14" x14ac:dyDescent="0.25">
      <c r="B134" s="33" t="s">
        <v>198</v>
      </c>
      <c r="C134" s="60" t="str">
        <f>IF(H133=0,"",IF(AND(C132="",C133=""),H133,CONCATENATE(", ",H133)))</f>
        <v/>
      </c>
      <c r="D134" s="60" t="str">
        <f>IF(C134="","",CONCATENATE("x ",H131))</f>
        <v/>
      </c>
    </row>
    <row r="135" spans="2:14" x14ac:dyDescent="0.25">
      <c r="B135" s="33" t="s">
        <v>199</v>
      </c>
      <c r="C135" s="60" t="str">
        <f>IF(I133=0,"",IF(AND(C132="",C133="",C134=""),I133,CONCATENATE(", ",I133)))</f>
        <v/>
      </c>
      <c r="D135" s="60" t="str">
        <f>IF(C135="","",CONCATENATE("x ",I131))</f>
        <v/>
      </c>
    </row>
    <row r="136" spans="2:14" x14ac:dyDescent="0.25">
      <c r="B136" s="33" t="s">
        <v>200</v>
      </c>
      <c r="C136" s="60" t="str">
        <f>IF(J133=0,"",IF(AND(C132="",C133="",C134="",C135=""),J133,CONCATENATE(", ",J133)))</f>
        <v/>
      </c>
      <c r="D136" s="60" t="str">
        <f>IF(C136="","",CONCATENATE("x ",J131))</f>
        <v/>
      </c>
    </row>
    <row r="137" spans="2:14" x14ac:dyDescent="0.25">
      <c r="B137" s="33" t="s">
        <v>201</v>
      </c>
      <c r="C137" s="60" t="str">
        <f>IF(L133=0,"",IF(AND(C132="",C133="",C134="",C135="",C136=""),L133,CONCATENATE(", ",L133)))</f>
        <v/>
      </c>
      <c r="D137" s="60" t="str">
        <f>IF(C137="","",CONCATENATE("x ",L131))</f>
        <v/>
      </c>
    </row>
    <row r="138" spans="2:14" x14ac:dyDescent="0.25">
      <c r="B138" s="33" t="s">
        <v>381</v>
      </c>
      <c r="C138" s="60" t="str">
        <f>IF(M133=0,"",IF(AND(C132="",C133="",C134="",C135="",C136="",C137=""),M133,CONCATENATE(", ",M133)))</f>
        <v/>
      </c>
      <c r="D138" s="60" t="str">
        <f>IF(C138="","",CONCATENATE("x ",M131))</f>
        <v/>
      </c>
    </row>
    <row r="139" spans="2:14" x14ac:dyDescent="0.25">
      <c r="B139" s="33"/>
      <c r="C139" s="60"/>
      <c r="D139" s="60"/>
    </row>
    <row r="140" spans="2:14" x14ac:dyDescent="0.25">
      <c r="B140" s="33"/>
      <c r="C140" s="60" t="str">
        <f>IF(AND(C132="",C133="",C134="",C135="",C136="",C137="",C138=""),"no output connectors card, "," output connectors, ")</f>
        <v xml:space="preserve">no output connectors card, </v>
      </c>
      <c r="D140" s="60"/>
    </row>
    <row r="141" spans="2:14" x14ac:dyDescent="0.25">
      <c r="B141" s="33"/>
      <c r="C141" s="60" t="str">
        <f>IF(K132=0,"","with ")</f>
        <v/>
      </c>
      <c r="D141" s="60"/>
    </row>
    <row r="142" spans="2:14" x14ac:dyDescent="0.25">
      <c r="B142" s="33" t="s">
        <v>202</v>
      </c>
      <c r="C142" s="60" t="str">
        <f>IF(K132=0,"",K132)</f>
        <v/>
      </c>
      <c r="D142" s="60" t="str">
        <f>IF(C142="","",IF(C142=1,"x Filler output card (no connector), ","x Filler output cards (no connector), "))</f>
        <v/>
      </c>
    </row>
    <row r="143" spans="2:14" x14ac:dyDescent="0.25">
      <c r="B143" s="33"/>
      <c r="C143" s="60" t="str">
        <f>IF(C144="","with no video processing card","with ")</f>
        <v>with no video processing card</v>
      </c>
      <c r="D143" s="60"/>
      <c r="E143" t="s">
        <v>203</v>
      </c>
      <c r="F143">
        <f>'AQUILON C (4RU)'!K45</f>
        <v>0</v>
      </c>
    </row>
    <row r="144" spans="2:14" x14ac:dyDescent="0.25">
      <c r="B144" s="33" t="s">
        <v>204</v>
      </c>
      <c r="C144" s="60" t="str">
        <f>IF(F143=0,"",F143)</f>
        <v/>
      </c>
      <c r="D144" s="60" t="str">
        <f>IF(C144="","",IF(C144=1," video processing card"," video processing cards"))</f>
        <v/>
      </c>
    </row>
    <row r="145" spans="1:15" x14ac:dyDescent="0.25">
      <c r="B145" s="33"/>
      <c r="C145" s="60" t="str">
        <f>IF(C146="",", with no still image processing card ",", with ")</f>
        <v xml:space="preserve">, with no still image processing card </v>
      </c>
      <c r="D145" s="60"/>
      <c r="E145" t="s">
        <v>205</v>
      </c>
      <c r="F145">
        <f>'AQUILON C (4RU)'!K46</f>
        <v>0</v>
      </c>
    </row>
    <row r="146" spans="1:15" x14ac:dyDescent="0.25">
      <c r="B146" s="33" t="s">
        <v>206</v>
      </c>
      <c r="C146" s="60" t="str">
        <f>IF(F145=0,"",F145)</f>
        <v/>
      </c>
      <c r="D146" s="60" t="str">
        <f>IF(C146="","",IF(C146=1," still image processing card "," still image processing cards "))</f>
        <v/>
      </c>
    </row>
    <row r="147" spans="1:15" x14ac:dyDescent="0.25">
      <c r="B147" s="33"/>
      <c r="C147" s="60" t="str">
        <f>IF(C148=0,"and with no Link card.","and with one Link card.")</f>
        <v>and with no Link card.</v>
      </c>
      <c r="D147" s="60"/>
    </row>
    <row r="148" spans="1:15" x14ac:dyDescent="0.25">
      <c r="B148" s="33" t="s">
        <v>333</v>
      </c>
      <c r="C148">
        <f>N132</f>
        <v>0</v>
      </c>
      <c r="D148" s="60"/>
    </row>
    <row r="149" spans="1:15" x14ac:dyDescent="0.25">
      <c r="D149" s="60"/>
    </row>
    <row r="150" spans="1:15" x14ac:dyDescent="0.25">
      <c r="A150" t="s">
        <v>207</v>
      </c>
      <c r="B150" s="33" t="s">
        <v>173</v>
      </c>
      <c r="C150" s="60" t="s">
        <v>208</v>
      </c>
      <c r="D150" s="60"/>
    </row>
    <row r="151" spans="1:15" x14ac:dyDescent="0.25">
      <c r="B151" s="33"/>
      <c r="C151" s="60" t="s">
        <v>175</v>
      </c>
      <c r="D151" s="60"/>
      <c r="E151" s="54" t="s">
        <v>176</v>
      </c>
      <c r="F151" s="55" t="s">
        <v>177</v>
      </c>
      <c r="G151" s="55" t="s">
        <v>178</v>
      </c>
      <c r="H151" s="55" t="s">
        <v>179</v>
      </c>
      <c r="I151" s="55" t="s">
        <v>180</v>
      </c>
      <c r="J151" s="55" t="str">
        <f>J116</f>
        <v>HDMI over Fiber</v>
      </c>
      <c r="K151" s="55" t="str">
        <f>K116</f>
        <v>Filler</v>
      </c>
      <c r="L151" s="55" t="str">
        <f>L116</f>
        <v>SDVoE</v>
      </c>
      <c r="M151" s="55" t="s">
        <v>329</v>
      </c>
      <c r="N151" s="55" t="s">
        <v>330</v>
      </c>
      <c r="O151" s="55" t="s">
        <v>379</v>
      </c>
    </row>
    <row r="152" spans="1:15" x14ac:dyDescent="0.25">
      <c r="B152" t="s">
        <v>209</v>
      </c>
      <c r="C152" s="60" t="str">
        <f>IF('AQUILON C+ (5RU)'!E57=_MVW!A4,"the default dual HDMI 2.0 MVW card","the optional dual DP 1.2 MVW card compatible with the DPH104")</f>
        <v>the default dual HDMI 2.0 MVW card</v>
      </c>
      <c r="D152" s="60"/>
      <c r="E152" s="56" t="s">
        <v>185</v>
      </c>
      <c r="F152" s="55">
        <f>COUNTIF('AQUILON C+ (5RU)'!I36:J44,_INPUT!C5)</f>
        <v>0</v>
      </c>
      <c r="G152" s="55">
        <f>COUNTIF('AQUILON C+ (5RU)'!I36:J44,_INPUT!C6)</f>
        <v>0</v>
      </c>
      <c r="H152" s="55">
        <f>COUNTIF('AQUILON C+ (5RU)'!I36:J44,_INPUT!C7)</f>
        <v>0</v>
      </c>
      <c r="I152" s="55">
        <f>COUNTIF('AQUILON C+ (5RU)'!I36:J44,_INPUT!C8)</f>
        <v>0</v>
      </c>
      <c r="J152" s="55">
        <f>COUNTIF('AQUILON C+ (5RU)'!I36:J44,_INPUT!C9)</f>
        <v>0</v>
      </c>
      <c r="K152" s="55">
        <f>COUNTIF('AQUILON C+ (5RU)'!I36:J44,_INPUT!C4)</f>
        <v>0</v>
      </c>
      <c r="L152" s="55">
        <f>COUNTIF('AQUILON C+ (5RU)'!I36:J44,_INPUT!C10)</f>
        <v>0</v>
      </c>
      <c r="M152" s="55">
        <f>COUNTIF('AQUILON C+ (5RU)'!I36:J44,_INPUT!C11)</f>
        <v>0</v>
      </c>
      <c r="N152" s="55">
        <f>COUNTIF('AQUILON C+ (5RU)'!I36:J44,_INPUT!C12)</f>
        <v>0</v>
      </c>
      <c r="O152" s="55">
        <f>COUNTIF('AQUILON C+ (5RU)'!I36:J44,_INPUT!C13)</f>
        <v>0</v>
      </c>
    </row>
    <row r="153" spans="1:15" x14ac:dyDescent="0.25">
      <c r="C153" s="60" t="s">
        <v>186</v>
      </c>
      <c r="D153" s="60"/>
      <c r="E153" s="56" t="s">
        <v>187</v>
      </c>
      <c r="F153" s="55">
        <f t="shared" ref="F153:M153" si="6">F152*4</f>
        <v>0</v>
      </c>
      <c r="G153" s="55">
        <f t="shared" si="6"/>
        <v>0</v>
      </c>
      <c r="H153" s="55">
        <f t="shared" si="6"/>
        <v>0</v>
      </c>
      <c r="I153" s="55">
        <f t="shared" si="6"/>
        <v>0</v>
      </c>
      <c r="J153" s="55">
        <f t="shared" si="6"/>
        <v>0</v>
      </c>
      <c r="K153" s="55">
        <f>K152*0</f>
        <v>0</v>
      </c>
      <c r="L153" s="55">
        <f t="shared" si="6"/>
        <v>0</v>
      </c>
      <c r="M153" s="55">
        <f t="shared" si="6"/>
        <v>0</v>
      </c>
      <c r="N153" s="55">
        <f>N152*8</f>
        <v>0</v>
      </c>
      <c r="O153" s="55">
        <f>O152*8</f>
        <v>0</v>
      </c>
    </row>
    <row r="154" spans="1:15" x14ac:dyDescent="0.25">
      <c r="B154" s="33" t="s">
        <v>188</v>
      </c>
      <c r="C154" s="60" t="str">
        <f>IF(F153=0,"",F153)</f>
        <v/>
      </c>
      <c r="D154" s="60" t="str">
        <f>IF(C154="","",CONCATENATE("x ",F151))</f>
        <v/>
      </c>
    </row>
    <row r="155" spans="1:15" x14ac:dyDescent="0.25">
      <c r="B155" s="33" t="s">
        <v>189</v>
      </c>
      <c r="C155" s="60" t="str">
        <f>IF(G153=0,"",IF(C154="",G153,CONCATENATE(", ",G153)))</f>
        <v/>
      </c>
      <c r="D155" s="60" t="str">
        <f>IF(C155="","",CONCATENATE("x ",G151))</f>
        <v/>
      </c>
    </row>
    <row r="156" spans="1:15" x14ac:dyDescent="0.25">
      <c r="B156" s="33" t="s">
        <v>190</v>
      </c>
      <c r="C156" s="60" t="str">
        <f>IF(H153=0,"",IF(AND(C154="",C155=""),H153,CONCATENATE(", ",H153)))</f>
        <v/>
      </c>
      <c r="D156" s="60" t="str">
        <f>IF(C156="","",CONCATENATE("x ",H151))</f>
        <v/>
      </c>
    </row>
    <row r="157" spans="1:15" x14ac:dyDescent="0.25">
      <c r="B157" s="33" t="s">
        <v>191</v>
      </c>
      <c r="C157" s="60" t="str">
        <f>IF(I153=0,"",IF(AND(C154="",C155="",C156=""),I153,CONCATENATE(", ",I153)))</f>
        <v/>
      </c>
      <c r="D157" s="60" t="str">
        <f>IF(C157="","",CONCATENATE("x ",I151))</f>
        <v/>
      </c>
    </row>
    <row r="158" spans="1:15" x14ac:dyDescent="0.25">
      <c r="B158" s="33" t="s">
        <v>192</v>
      </c>
      <c r="C158" s="60" t="str">
        <f>IF(J153=0,"",IF(AND(C154="",C155="",C156="",C157=""),J153,CONCATENATE(", ",J153)))</f>
        <v/>
      </c>
      <c r="D158" s="60" t="str">
        <f>IF(C158="","",CONCATENATE("x ",J151))</f>
        <v/>
      </c>
    </row>
    <row r="159" spans="1:15" x14ac:dyDescent="0.25">
      <c r="B159" s="33" t="s">
        <v>193</v>
      </c>
      <c r="C159" s="60" t="str">
        <f>IF(L153=0,"",IF(AND(C154="",C155="",C156="",C157="",C158=""),L153,CONCATENATE(", ",L153)))</f>
        <v/>
      </c>
      <c r="D159" s="60" t="str">
        <f>IF(C159="","",CONCATENATE("x ",L151))</f>
        <v/>
      </c>
    </row>
    <row r="160" spans="1:15" x14ac:dyDescent="0.25">
      <c r="B160" s="33" t="s">
        <v>331</v>
      </c>
      <c r="C160" s="60" t="str">
        <f>IF(M153=0,"",IF(AND(C154="",C155="",C156="",C157="",C158="",C159=""),M153,CONCATENATE(", ",M153)))</f>
        <v/>
      </c>
      <c r="D160" s="60" t="str">
        <f>IF(C160="","",CONCATENATE("x ",M151))</f>
        <v/>
      </c>
    </row>
    <row r="161" spans="2:14" x14ac:dyDescent="0.25">
      <c r="B161" s="33" t="s">
        <v>328</v>
      </c>
      <c r="C161" s="60" t="str">
        <f>IF(N153=0,"",IF(AND(C154="",C155="",C156="",C157="",C158="",C159="",C160=""),N153,CONCATENATE(", ",N153)))</f>
        <v/>
      </c>
      <c r="D161" s="60" t="str">
        <f>IF(C161="","",CONCATENATE("x ",N151))</f>
        <v/>
      </c>
    </row>
    <row r="162" spans="2:14" x14ac:dyDescent="0.25">
      <c r="B162" s="33" t="s">
        <v>380</v>
      </c>
      <c r="C162" s="60" t="str">
        <f>IF(O153=0,"",IF(AND(C154="",C155="",C156="",C157="",C158="",C159="",C160="",C161=""),O153,CONCATENATE(", ",O153)))</f>
        <v/>
      </c>
      <c r="D162" s="60" t="str">
        <f>IF(C162="","",CONCATENATE("x ",O151))</f>
        <v/>
      </c>
    </row>
    <row r="163" spans="2:14" x14ac:dyDescent="0.25">
      <c r="B163" s="33"/>
      <c r="C163" s="60" t="str">
        <f>IF(AND(C154="",C155="",C156="",C157="",C158="",C159="",C160="",C161="",C162=""),"no input card, "," input connectors, ")</f>
        <v xml:space="preserve">no input card, </v>
      </c>
      <c r="D163" s="60"/>
    </row>
    <row r="164" spans="2:14" x14ac:dyDescent="0.25">
      <c r="B164" s="33"/>
      <c r="C164" s="60" t="str">
        <f>IF(K152=0,"","with ")</f>
        <v/>
      </c>
      <c r="D164" s="60"/>
    </row>
    <row r="165" spans="2:14" x14ac:dyDescent="0.25">
      <c r="B165" s="33" t="s">
        <v>194</v>
      </c>
      <c r="C165" s="60" t="str">
        <f>IF(K152=0,"",K152)</f>
        <v/>
      </c>
      <c r="D165" s="60" t="str">
        <f>IF(C165="","",IF(C165=1,"x Filler Input Card (no connector), ","x Filler Input Cards (no connector), "))</f>
        <v/>
      </c>
    </row>
    <row r="166" spans="2:14" x14ac:dyDescent="0.25">
      <c r="B166" s="33"/>
      <c r="C166" s="60" t="s">
        <v>175</v>
      </c>
      <c r="D166" s="60"/>
      <c r="E166" s="57" t="s">
        <v>195</v>
      </c>
      <c r="F166" s="58" t="str">
        <f t="shared" ref="F166:L166" si="7">F151</f>
        <v>HDMI2.0</v>
      </c>
      <c r="G166" s="58" t="str">
        <f t="shared" si="7"/>
        <v>DP 1.2</v>
      </c>
      <c r="H166" s="58" t="str">
        <f t="shared" si="7"/>
        <v>12G-SDI</v>
      </c>
      <c r="I166" s="58" t="str">
        <f t="shared" si="7"/>
        <v>SFP</v>
      </c>
      <c r="J166" s="58" t="str">
        <f t="shared" si="7"/>
        <v>HDMI over Fiber</v>
      </c>
      <c r="K166" s="58" t="str">
        <f t="shared" si="7"/>
        <v>Filler</v>
      </c>
      <c r="L166" s="58" t="str">
        <f t="shared" si="7"/>
        <v>SDVoE</v>
      </c>
      <c r="M166" s="58" t="str">
        <f>O151</f>
        <v>ST 2110</v>
      </c>
      <c r="N166" s="58" t="s">
        <v>332</v>
      </c>
    </row>
    <row r="167" spans="2:14" x14ac:dyDescent="0.25">
      <c r="B167" s="33" t="s">
        <v>196</v>
      </c>
      <c r="C167" s="60" t="str">
        <f>IF(F168=0,"",F168)</f>
        <v/>
      </c>
      <c r="D167" s="60" t="str">
        <f>IF(C167="","",CONCATENATE("x ",F166))</f>
        <v/>
      </c>
      <c r="E167" s="59" t="s">
        <v>185</v>
      </c>
      <c r="F167" s="58">
        <f>COUNTIF('AQUILON C+ (5RU)'!I45:J54,_OUTPUT!C5)</f>
        <v>0</v>
      </c>
      <c r="G167" s="58">
        <f>COUNTIF('AQUILON C+ (5RU)'!I45:J54,_OUTPUT!C6)</f>
        <v>0</v>
      </c>
      <c r="H167" s="58">
        <f>COUNTIF('AQUILON C+ (5RU)'!I45:J54,_OUTPUT!C7)</f>
        <v>0</v>
      </c>
      <c r="I167" s="58">
        <f>COUNTIF('AQUILON C+ (5RU)'!I45:J54,_OUTPUT!C8)</f>
        <v>0</v>
      </c>
      <c r="J167" s="58">
        <f>COUNTIF('AQUILON C+ (5RU)'!I45:J54,_OUTPUT!C9)</f>
        <v>0</v>
      </c>
      <c r="K167" s="58">
        <f>COUNTIF('AQUILON C+ (5RU)'!I45:J54,_OUTPUT!C4)</f>
        <v>0</v>
      </c>
      <c r="L167" s="58">
        <f>COUNTIF('AQUILON C+ (5RU)'!I45:J54,_OUTPUT!C10)</f>
        <v>0</v>
      </c>
      <c r="M167" s="58">
        <f>COUNTIF('AQUILON C+ (5RU)'!I45:J54,_OUTPUT!C11)</f>
        <v>0</v>
      </c>
      <c r="N167" s="58">
        <f>COUNTIF('AQUILON C+ (5RU)'!I45:J54,_OUTPUT!C12)</f>
        <v>0</v>
      </c>
    </row>
    <row r="168" spans="2:14" x14ac:dyDescent="0.25">
      <c r="B168" s="33" t="s">
        <v>197</v>
      </c>
      <c r="C168" s="60" t="str">
        <f>IF(G168=0,"",IF(C167="",G168,CONCATENATE(", ",G168)))</f>
        <v/>
      </c>
      <c r="D168" s="60" t="str">
        <f>IF(C168="","",CONCATENATE("x ",G166))</f>
        <v/>
      </c>
      <c r="E168" s="59" t="s">
        <v>187</v>
      </c>
      <c r="F168" s="58">
        <f>F167*4</f>
        <v>0</v>
      </c>
      <c r="G168" s="58">
        <f t="shared" ref="G168" si="8">G167*4</f>
        <v>0</v>
      </c>
      <c r="H168" s="58">
        <f t="shared" ref="H168:I168" si="9">H167*4</f>
        <v>0</v>
      </c>
      <c r="I168" s="58">
        <f t="shared" si="9"/>
        <v>0</v>
      </c>
      <c r="J168" s="58">
        <f t="shared" ref="J168:L168" si="10">J167*4</f>
        <v>0</v>
      </c>
      <c r="K168" s="58">
        <f>K167*0</f>
        <v>0</v>
      </c>
      <c r="L168" s="58">
        <f t="shared" si="10"/>
        <v>0</v>
      </c>
      <c r="M168" s="58">
        <f t="shared" ref="M168" si="11">M167*4</f>
        <v>0</v>
      </c>
      <c r="N168" s="58">
        <f>N167*0</f>
        <v>0</v>
      </c>
    </row>
    <row r="169" spans="2:14" x14ac:dyDescent="0.25">
      <c r="B169" s="33" t="s">
        <v>198</v>
      </c>
      <c r="C169" s="60" t="str">
        <f>IF(H168=0,"",IF(AND(C167="",C168=""),H168,CONCATENATE(", ",H168)))</f>
        <v/>
      </c>
      <c r="D169" s="60" t="str">
        <f>IF(C169="","",CONCATENATE("x ",H166))</f>
        <v/>
      </c>
    </row>
    <row r="170" spans="2:14" x14ac:dyDescent="0.25">
      <c r="B170" s="33" t="s">
        <v>199</v>
      </c>
      <c r="C170" s="60" t="str">
        <f>IF(I168=0,"",IF(AND(C167="",C168="",C169),I168,CONCATENATE(", ",I168)))</f>
        <v/>
      </c>
      <c r="D170" s="60" t="str">
        <f>IF(C170="","",CONCATENATE("x ",I166))</f>
        <v/>
      </c>
    </row>
    <row r="171" spans="2:14" x14ac:dyDescent="0.25">
      <c r="B171" s="33" t="s">
        <v>200</v>
      </c>
      <c r="C171" s="60" t="str">
        <f>IF(J168=0,"",IF(AND(C167="",C168="",C169="",C170=""),J168,CONCATENATE(", ",J168)))</f>
        <v/>
      </c>
      <c r="D171" s="60" t="str">
        <f>IF(C171="","",CONCATENATE("x ",J166))</f>
        <v/>
      </c>
    </row>
    <row r="172" spans="2:14" x14ac:dyDescent="0.25">
      <c r="B172" s="33" t="s">
        <v>201</v>
      </c>
      <c r="C172" s="60" t="str">
        <f>IF(L168=0,"",IF(AND(C167="",C168="",C169="",C170="",C171=""),L168,CONCATENATE(", ",L168)))</f>
        <v/>
      </c>
      <c r="D172" s="60" t="str">
        <f>IF(C172="","",CONCATENATE("x ",L166))</f>
        <v/>
      </c>
    </row>
    <row r="173" spans="2:14" x14ac:dyDescent="0.25">
      <c r="B173" s="33" t="s">
        <v>381</v>
      </c>
      <c r="C173" s="60" t="str">
        <f>IF(M168=0,"",IF(AND(C167="",C168="",C169="",C170="",C171="",C172=""),M168,CONCATENATE(", ",M168)))</f>
        <v/>
      </c>
      <c r="D173" s="60" t="str">
        <f>IF(C173="","",CONCATENATE("x ",M166))</f>
        <v/>
      </c>
    </row>
    <row r="174" spans="2:14" x14ac:dyDescent="0.25">
      <c r="B174" s="33"/>
      <c r="C174" s="60" t="str">
        <f>IF(AND(C167="",C168="",C169="",C170="",C171="",C172="",C173=""),"no output card, "," output connectors, ")</f>
        <v xml:space="preserve">no output card, </v>
      </c>
      <c r="D174" s="60"/>
    </row>
    <row r="175" spans="2:14" x14ac:dyDescent="0.25">
      <c r="B175" s="33"/>
      <c r="C175" s="60" t="str">
        <f>IF(K167=0,"","with ")</f>
        <v/>
      </c>
      <c r="D175" s="60"/>
    </row>
    <row r="176" spans="2:14" x14ac:dyDescent="0.25">
      <c r="B176" s="33" t="s">
        <v>202</v>
      </c>
      <c r="C176" s="60" t="str">
        <f>IF(K167=0,"",K167)</f>
        <v/>
      </c>
      <c r="D176" s="60" t="str">
        <f>IF(C176="","",IF(C176=1,"x Filler Output Card (no connector), ","x Filler Output Cards (no connector), "))</f>
        <v/>
      </c>
    </row>
    <row r="177" spans="1:15" x14ac:dyDescent="0.25">
      <c r="B177" s="33"/>
      <c r="C177" s="60" t="str">
        <f>IF(C178="","with no video processing card","with ")</f>
        <v>with no video processing card</v>
      </c>
      <c r="D177" s="60"/>
      <c r="E177" t="s">
        <v>203</v>
      </c>
      <c r="F177">
        <f>'AQUILON C+ (5RU)'!K55</f>
        <v>0</v>
      </c>
    </row>
    <row r="178" spans="1:15" x14ac:dyDescent="0.25">
      <c r="B178" s="33" t="s">
        <v>204</v>
      </c>
      <c r="C178" s="60" t="str">
        <f>IF(F177=0,"",F177)</f>
        <v/>
      </c>
      <c r="D178" s="60" t="str">
        <f>IF(C178="","",IF(C178=1," video processing card"," video processing cards"))</f>
        <v/>
      </c>
    </row>
    <row r="179" spans="1:15" x14ac:dyDescent="0.25">
      <c r="B179" s="33"/>
      <c r="C179" s="60" t="str">
        <f>IF(C180="",", with no still image processing card ",", with ")</f>
        <v xml:space="preserve">, with no still image processing card </v>
      </c>
      <c r="D179" s="60"/>
      <c r="E179" t="s">
        <v>205</v>
      </c>
      <c r="F179">
        <f>'AQUILON C+ (5RU)'!K56</f>
        <v>0</v>
      </c>
    </row>
    <row r="180" spans="1:15" x14ac:dyDescent="0.25">
      <c r="B180" s="33" t="s">
        <v>206</v>
      </c>
      <c r="C180" s="60" t="str">
        <f>IF(F179=0,"",F179)</f>
        <v/>
      </c>
      <c r="D180" s="60" t="str">
        <f>IF(C180="","",IF(C180=1," still image processing card "," still image processing cards "))</f>
        <v/>
      </c>
    </row>
    <row r="181" spans="1:15" x14ac:dyDescent="0.25">
      <c r="B181" s="33"/>
      <c r="C181" s="60" t="str">
        <f>IF(C182=0,"and with no Link card.","and with one Link card.")</f>
        <v>and with no Link card.</v>
      </c>
      <c r="D181" s="60"/>
    </row>
    <row r="182" spans="1:15" x14ac:dyDescent="0.25">
      <c r="B182" s="33" t="s">
        <v>333</v>
      </c>
      <c r="C182">
        <f>N167</f>
        <v>0</v>
      </c>
      <c r="D182" s="60"/>
    </row>
    <row r="183" spans="1:15" x14ac:dyDescent="0.25">
      <c r="B183" s="33"/>
      <c r="D183" s="60"/>
    </row>
    <row r="184" spans="1:15" x14ac:dyDescent="0.25">
      <c r="A184" t="s">
        <v>360</v>
      </c>
      <c r="B184" s="33" t="s">
        <v>173</v>
      </c>
      <c r="C184" s="60" t="s">
        <v>359</v>
      </c>
      <c r="D184" s="60"/>
    </row>
    <row r="185" spans="1:15" x14ac:dyDescent="0.25">
      <c r="B185" s="33"/>
      <c r="C185" s="60" t="s">
        <v>175</v>
      </c>
      <c r="D185" s="60"/>
      <c r="E185" s="54" t="s">
        <v>176</v>
      </c>
      <c r="F185" s="55" t="s">
        <v>177</v>
      </c>
      <c r="G185" s="55" t="s">
        <v>178</v>
      </c>
      <c r="H185" s="55" t="s">
        <v>179</v>
      </c>
      <c r="I185" s="55" t="s">
        <v>180</v>
      </c>
      <c r="J185" s="55" t="str">
        <f>J116</f>
        <v>HDMI over Fiber</v>
      </c>
      <c r="K185" s="55" t="str">
        <f>K116</f>
        <v>Filler</v>
      </c>
      <c r="L185" s="55" t="str">
        <f>L116</f>
        <v>SDVoE</v>
      </c>
      <c r="M185" s="55" t="s">
        <v>329</v>
      </c>
      <c r="N185" s="55" t="s">
        <v>330</v>
      </c>
      <c r="O185" s="55" t="s">
        <v>379</v>
      </c>
    </row>
    <row r="186" spans="1:15" x14ac:dyDescent="0.25">
      <c r="B186" t="s">
        <v>209</v>
      </c>
      <c r="C186" s="60" t="str">
        <f>IF('AQUILON C max (6RU)'!E67=_MVW!A4,"the default dual HDMI 2.0 MVW card","the optional dual DP 1.2 MVW card compatible with the DPH104")</f>
        <v>the default dual HDMI 2.0 MVW card</v>
      </c>
      <c r="D186" s="60"/>
      <c r="E186" s="56" t="s">
        <v>185</v>
      </c>
      <c r="F186" s="55">
        <f>COUNTIF('AQUILON C max (6RU)'!I41:J52,_INPUT!C5)</f>
        <v>0</v>
      </c>
      <c r="G186" s="55">
        <f>COUNTIF('AQUILON C max (6RU)'!I41:J52,_INPUT!C6)</f>
        <v>0</v>
      </c>
      <c r="H186" s="55">
        <f>COUNTIF('AQUILON C max (6RU)'!I41:J52,_INPUT!C7)</f>
        <v>0</v>
      </c>
      <c r="I186" s="55">
        <f>COUNTIF('AQUILON C max (6RU)'!I41:J52,_INPUT!C8)</f>
        <v>0</v>
      </c>
      <c r="J186" s="55">
        <f>COUNTIF('AQUILON C max (6RU)'!I41:J52,_INPUT!C9)</f>
        <v>0</v>
      </c>
      <c r="K186" s="55">
        <f>COUNTIF('AQUILON C max (6RU)'!I41:J52,_INPUT!C4)</f>
        <v>0</v>
      </c>
      <c r="L186" s="55">
        <f>COUNTIF('AQUILON C max (6RU)'!I41:J52,_INPUT!C10)</f>
        <v>0</v>
      </c>
      <c r="M186" s="55">
        <f>COUNTIF('AQUILON C max (6RU)'!I41:J52,_INPUT!C11)</f>
        <v>0</v>
      </c>
      <c r="N186" s="55">
        <f>COUNTIF('AQUILON C max (6RU)'!I41:J52,_INPUT!C12)</f>
        <v>0</v>
      </c>
      <c r="O186" s="55">
        <f>COUNTIF('AQUILON C max (6RU)'!I41:J52,_INPUT!C13)</f>
        <v>0</v>
      </c>
    </row>
    <row r="187" spans="1:15" x14ac:dyDescent="0.25">
      <c r="C187" s="60" t="s">
        <v>186</v>
      </c>
      <c r="D187" s="60"/>
      <c r="E187" s="56" t="s">
        <v>187</v>
      </c>
      <c r="F187" s="55">
        <f t="shared" ref="F187:J187" si="12">F186*4</f>
        <v>0</v>
      </c>
      <c r="G187" s="55">
        <f t="shared" si="12"/>
        <v>0</v>
      </c>
      <c r="H187" s="55">
        <f t="shared" si="12"/>
        <v>0</v>
      </c>
      <c r="I187" s="55">
        <f t="shared" si="12"/>
        <v>0</v>
      </c>
      <c r="J187" s="55">
        <f t="shared" si="12"/>
        <v>0</v>
      </c>
      <c r="K187" s="55">
        <f>K186*0</f>
        <v>0</v>
      </c>
      <c r="L187" s="55">
        <f t="shared" ref="L187:M187" si="13">L186*4</f>
        <v>0</v>
      </c>
      <c r="M187" s="55">
        <f t="shared" si="13"/>
        <v>0</v>
      </c>
      <c r="N187" s="55">
        <f>N186*8</f>
        <v>0</v>
      </c>
      <c r="O187" s="55">
        <f>O186*8</f>
        <v>0</v>
      </c>
    </row>
    <row r="188" spans="1:15" x14ac:dyDescent="0.25">
      <c r="B188" s="33" t="s">
        <v>188</v>
      </c>
      <c r="C188" s="60" t="str">
        <f>IF(F187=0,"",F187)</f>
        <v/>
      </c>
      <c r="D188" s="60" t="str">
        <f>IF(C188="","",CONCATENATE("x ",F185))</f>
        <v/>
      </c>
    </row>
    <row r="189" spans="1:15" x14ac:dyDescent="0.25">
      <c r="B189" s="33" t="s">
        <v>189</v>
      </c>
      <c r="C189" s="60" t="str">
        <f>IF(G187=0,"",IF(C188="",G187,CONCATENATE(", ",G187)))</f>
        <v/>
      </c>
      <c r="D189" s="60" t="str">
        <f>IF(C189="","",CONCATENATE("x ",G185))</f>
        <v/>
      </c>
    </row>
    <row r="190" spans="1:15" x14ac:dyDescent="0.25">
      <c r="B190" s="33" t="s">
        <v>190</v>
      </c>
      <c r="C190" s="60" t="str">
        <f>IF(H187=0,"",IF(AND(C188="",C189=""),H187,CONCATENATE(", ",H187)))</f>
        <v/>
      </c>
      <c r="D190" s="60" t="str">
        <f>IF(C190="","",CONCATENATE("x ",H185))</f>
        <v/>
      </c>
    </row>
    <row r="191" spans="1:15" x14ac:dyDescent="0.25">
      <c r="B191" s="33" t="s">
        <v>191</v>
      </c>
      <c r="C191" s="60" t="str">
        <f>IF(I187=0,"",IF(AND(C188="",C189="",C190=""),I187,CONCATENATE(", ",I187)))</f>
        <v/>
      </c>
      <c r="D191" s="60" t="str">
        <f>IF(C191="","",CONCATENATE("x ",I185))</f>
        <v/>
      </c>
    </row>
    <row r="192" spans="1:15" x14ac:dyDescent="0.25">
      <c r="B192" s="33" t="s">
        <v>192</v>
      </c>
      <c r="C192" s="60" t="str">
        <f>IF(J187=0,"",IF(AND(C188="",C189="",C190="",C191=""),J187,CONCATENATE(", ",J187)))</f>
        <v/>
      </c>
      <c r="D192" s="60" t="str">
        <f>IF(C192="","",CONCATENATE("x ",J185))</f>
        <v/>
      </c>
    </row>
    <row r="193" spans="2:14" x14ac:dyDescent="0.25">
      <c r="B193" s="33" t="s">
        <v>193</v>
      </c>
      <c r="C193" s="60" t="str">
        <f>IF(L187=0,"",IF(AND(C188="",C189="",C190="",C191="",C192=""),L187,CONCATENATE(", ",L187)))</f>
        <v/>
      </c>
      <c r="D193" s="60" t="str">
        <f>IF(C193="","",CONCATENATE("x ",L185))</f>
        <v/>
      </c>
    </row>
    <row r="194" spans="2:14" x14ac:dyDescent="0.25">
      <c r="B194" s="33" t="s">
        <v>331</v>
      </c>
      <c r="C194" s="60" t="str">
        <f>IF(M187=0,"",IF(AND(C188="",C189="",C190="",C191="",C192="",C193=""),M187,CONCATENATE(", ",M187)))</f>
        <v/>
      </c>
      <c r="D194" s="60" t="str">
        <f>IF(C194="","",CONCATENATE("x ",M185))</f>
        <v/>
      </c>
    </row>
    <row r="195" spans="2:14" x14ac:dyDescent="0.25">
      <c r="B195" s="33" t="s">
        <v>328</v>
      </c>
      <c r="C195" s="60" t="str">
        <f>IF(N187=0,"",IF(AND(C188="",C189="",C190="",C191="",C192="",C193="",C194=""),N187,CONCATENATE(", ",N187)))</f>
        <v/>
      </c>
      <c r="D195" s="60" t="str">
        <f>IF(C195="","",CONCATENATE("x ",N185))</f>
        <v/>
      </c>
    </row>
    <row r="196" spans="2:14" x14ac:dyDescent="0.25">
      <c r="B196" s="33" t="s">
        <v>380</v>
      </c>
      <c r="C196" s="60" t="str">
        <f>IF(O187=0,"",IF(AND(C188="",C189="",C190="",C191="",C192="",C193="",C194="",C195=""),O187,CONCATENATE(", ",O187)))</f>
        <v/>
      </c>
      <c r="D196" s="60" t="str">
        <f>IF(C196="","",CONCATENATE("x ",O185))</f>
        <v/>
      </c>
    </row>
    <row r="197" spans="2:14" x14ac:dyDescent="0.25">
      <c r="B197" s="33"/>
      <c r="C197" s="60" t="str">
        <f>IF(AND(C188="",C189="",C190="",C191="",C192="",C193="",C194="",C195="",C196=""),"no input card, "," input connectors, ")</f>
        <v xml:space="preserve">no input card, </v>
      </c>
      <c r="D197" s="60"/>
    </row>
    <row r="198" spans="2:14" x14ac:dyDescent="0.25">
      <c r="B198" s="33"/>
      <c r="C198" s="60" t="str">
        <f>IF(K186=0,"","with ")</f>
        <v/>
      </c>
      <c r="D198" s="60"/>
    </row>
    <row r="199" spans="2:14" x14ac:dyDescent="0.25">
      <c r="B199" s="33" t="s">
        <v>194</v>
      </c>
      <c r="C199" s="60" t="str">
        <f>IF(K186=0,"",K186)</f>
        <v/>
      </c>
      <c r="D199" s="60" t="str">
        <f>IF(C199="","",IF(C199=1,"x Filler Input Card (no connector), ","x Filler Input Cards (no connector), "))</f>
        <v/>
      </c>
    </row>
    <row r="200" spans="2:14" x14ac:dyDescent="0.25">
      <c r="B200" s="33"/>
      <c r="C200" s="60" t="s">
        <v>175</v>
      </c>
      <c r="D200" s="60"/>
      <c r="E200" s="57" t="s">
        <v>195</v>
      </c>
      <c r="F200" s="58" t="str">
        <f t="shared" ref="F200:L200" si="14">F185</f>
        <v>HDMI2.0</v>
      </c>
      <c r="G200" s="58" t="str">
        <f t="shared" si="14"/>
        <v>DP 1.2</v>
      </c>
      <c r="H200" s="58" t="str">
        <f t="shared" si="14"/>
        <v>12G-SDI</v>
      </c>
      <c r="I200" s="58" t="str">
        <f t="shared" si="14"/>
        <v>SFP</v>
      </c>
      <c r="J200" s="58" t="str">
        <f t="shared" si="14"/>
        <v>HDMI over Fiber</v>
      </c>
      <c r="K200" s="58" t="str">
        <f t="shared" si="14"/>
        <v>Filler</v>
      </c>
      <c r="L200" s="58" t="str">
        <f t="shared" si="14"/>
        <v>SDVoE</v>
      </c>
      <c r="M200" s="58" t="str">
        <f>O185</f>
        <v>ST 2110</v>
      </c>
      <c r="N200" s="58" t="s">
        <v>332</v>
      </c>
    </row>
    <row r="201" spans="2:14" x14ac:dyDescent="0.25">
      <c r="B201" s="33" t="s">
        <v>196</v>
      </c>
      <c r="C201" s="60" t="str">
        <f>IF(F202=0,"",F202)</f>
        <v/>
      </c>
      <c r="D201" s="60" t="str">
        <f>IF(C201="","",CONCATENATE("x ",F200))</f>
        <v/>
      </c>
      <c r="E201" s="59" t="s">
        <v>185</v>
      </c>
      <c r="F201" s="58">
        <f>COUNTIF('AQUILON C max (6RU)'!I53:J64,_OUTPUT!C5)</f>
        <v>0</v>
      </c>
      <c r="G201" s="58">
        <f>COUNTIF('AQUILON C max (6RU)'!I53:J64,_OUTPUT!C6)</f>
        <v>0</v>
      </c>
      <c r="H201" s="58">
        <f>COUNTIF('AQUILON C max (6RU)'!I53:J64,_OUTPUT!C7)</f>
        <v>0</v>
      </c>
      <c r="I201" s="58">
        <f>COUNTIF('AQUILON C max (6RU)'!I53:J64,_OUTPUT!C8)</f>
        <v>0</v>
      </c>
      <c r="J201" s="58">
        <f>COUNTIF('AQUILON C max (6RU)'!I53:J64,_OUTPUT!C9)</f>
        <v>0</v>
      </c>
      <c r="K201" s="58">
        <f>COUNTIF('AQUILON C max (6RU)'!I53:J64,_OUTPUT!C4)</f>
        <v>0</v>
      </c>
      <c r="L201" s="58">
        <f>COUNTIF('AQUILON C max (6RU)'!I53:J64,_OUTPUT!C10)</f>
        <v>0</v>
      </c>
      <c r="M201" s="58">
        <f>COUNTIF('AQUILON C max (6RU)'!I53:J64,_OUTPUT!C11)</f>
        <v>0</v>
      </c>
      <c r="N201" s="58">
        <f>COUNTIF('AQUILON C max (6RU)'!I53:J64,_OUTPUT!C12)</f>
        <v>0</v>
      </c>
    </row>
    <row r="202" spans="2:14" x14ac:dyDescent="0.25">
      <c r="B202" s="33" t="s">
        <v>197</v>
      </c>
      <c r="C202" s="60" t="str">
        <f>IF(G202=0,"",IF(C201="",G202,CONCATENATE(", ",G202)))</f>
        <v/>
      </c>
      <c r="D202" s="60" t="str">
        <f>IF(C202="","",CONCATENATE("x ",G200))</f>
        <v/>
      </c>
      <c r="E202" s="59" t="s">
        <v>187</v>
      </c>
      <c r="F202" s="58">
        <f>F201*4</f>
        <v>0</v>
      </c>
      <c r="G202" s="58">
        <f t="shared" ref="G202:J202" si="15">G201*4</f>
        <v>0</v>
      </c>
      <c r="H202" s="58">
        <f t="shared" si="15"/>
        <v>0</v>
      </c>
      <c r="I202" s="58">
        <f t="shared" si="15"/>
        <v>0</v>
      </c>
      <c r="J202" s="58">
        <f t="shared" si="15"/>
        <v>0</v>
      </c>
      <c r="K202" s="58">
        <f>K201*0</f>
        <v>0</v>
      </c>
      <c r="L202" s="58">
        <f t="shared" ref="L202:M202" si="16">L201*4</f>
        <v>0</v>
      </c>
      <c r="M202" s="58">
        <f t="shared" si="16"/>
        <v>0</v>
      </c>
      <c r="N202" s="58">
        <f>N201*0</f>
        <v>0</v>
      </c>
    </row>
    <row r="203" spans="2:14" x14ac:dyDescent="0.25">
      <c r="B203" s="33" t="s">
        <v>198</v>
      </c>
      <c r="C203" s="60" t="str">
        <f>IF(H202=0,"",IF(AND(C201="",C202=""),H202,CONCATENATE(", ",H202)))</f>
        <v/>
      </c>
      <c r="D203" s="60" t="str">
        <f>IF(C203="","",CONCATENATE("x ",H200))</f>
        <v/>
      </c>
    </row>
    <row r="204" spans="2:14" x14ac:dyDescent="0.25">
      <c r="B204" s="33" t="s">
        <v>199</v>
      </c>
      <c r="C204" s="60" t="str">
        <f>IF(I202=0,"",IF(AND(C201="",C202="",C203),I202,CONCATENATE(", ",I202)))</f>
        <v/>
      </c>
      <c r="D204" s="60" t="str">
        <f>IF(C204="","",CONCATENATE("x ",I200))</f>
        <v/>
      </c>
    </row>
    <row r="205" spans="2:14" x14ac:dyDescent="0.25">
      <c r="B205" s="33" t="s">
        <v>200</v>
      </c>
      <c r="C205" s="60" t="str">
        <f>IF(J202=0,"",IF(AND(C201="",C202="",C203="",C204=""),J202,CONCATENATE(", ",J202)))</f>
        <v/>
      </c>
      <c r="D205" s="60" t="str">
        <f>IF(C205="","",CONCATENATE("x ",J200))</f>
        <v/>
      </c>
    </row>
    <row r="206" spans="2:14" x14ac:dyDescent="0.25">
      <c r="B206" s="33" t="s">
        <v>201</v>
      </c>
      <c r="C206" s="60" t="str">
        <f>IF(L202=0,"",IF(AND(C201="",C202="",C203="",C204="",C205=""),L202,CONCATENATE(", ",L202)))</f>
        <v/>
      </c>
      <c r="D206" s="60" t="str">
        <f>IF(C206="","",CONCATENATE("x ",L200))</f>
        <v/>
      </c>
    </row>
    <row r="207" spans="2:14" x14ac:dyDescent="0.25">
      <c r="B207" s="33" t="s">
        <v>381</v>
      </c>
      <c r="C207" s="60" t="str">
        <f>IF(M202=0,"",IF(AND(C201="",C202="",C203="",C204="",C205="",C206=""),M202,CONCATENATE(", ",M202)))</f>
        <v/>
      </c>
      <c r="D207" s="60" t="str">
        <f>IF(C207="","",CONCATENATE("x ",M200))</f>
        <v/>
      </c>
    </row>
    <row r="208" spans="2:14" x14ac:dyDescent="0.25">
      <c r="B208" s="33"/>
      <c r="C208" s="60" t="str">
        <f>IF(AND(C201="",C202="",C203="",C204="",C205="",C206="",C207=""),"no output card, "," output connectors, ")</f>
        <v xml:space="preserve">no output card, </v>
      </c>
      <c r="D208" s="60"/>
    </row>
    <row r="209" spans="1:15" x14ac:dyDescent="0.25">
      <c r="B209" s="33"/>
      <c r="C209" s="60" t="str">
        <f>IF(K201=0,"","with ")</f>
        <v/>
      </c>
      <c r="D209" s="60"/>
    </row>
    <row r="210" spans="1:15" x14ac:dyDescent="0.25">
      <c r="B210" s="33" t="s">
        <v>202</v>
      </c>
      <c r="C210" s="60" t="str">
        <f>IF(K201=0,"",K201)</f>
        <v/>
      </c>
      <c r="D210" s="60" t="str">
        <f>IF(C210="","",IF(C210=1,"x Filler Output Card (no connector), ","x Filler Output Cards (no connector), "))</f>
        <v/>
      </c>
    </row>
    <row r="211" spans="1:15" x14ac:dyDescent="0.25">
      <c r="B211" s="33"/>
      <c r="C211" s="60" t="str">
        <f>IF(C212="","with no video processing card","with ")</f>
        <v>with no video processing card</v>
      </c>
      <c r="D211" s="60"/>
      <c r="E211" t="s">
        <v>203</v>
      </c>
      <c r="F211">
        <f>'AQUILON C max (6RU)'!K65</f>
        <v>0</v>
      </c>
    </row>
    <row r="212" spans="1:15" x14ac:dyDescent="0.25">
      <c r="B212" s="33" t="s">
        <v>204</v>
      </c>
      <c r="C212" s="60" t="str">
        <f>IF(F211=0,"",F211)</f>
        <v/>
      </c>
      <c r="D212" s="60" t="str">
        <f>IF(C212="","",IF(C212=1," video processing card"," video processing cards"))</f>
        <v/>
      </c>
    </row>
    <row r="213" spans="1:15" x14ac:dyDescent="0.25">
      <c r="B213" s="33"/>
      <c r="C213" s="60" t="str">
        <f>IF(C214="",", with no still image processing card ",", with ")</f>
        <v xml:space="preserve">, with no still image processing card </v>
      </c>
      <c r="D213" s="60"/>
      <c r="E213" t="s">
        <v>205</v>
      </c>
      <c r="F213">
        <f>'AQUILON C max (6RU)'!K66</f>
        <v>0</v>
      </c>
    </row>
    <row r="214" spans="1:15" x14ac:dyDescent="0.25">
      <c r="B214" s="33" t="s">
        <v>206</v>
      </c>
      <c r="C214" s="60" t="str">
        <f>IF(F213=0,"",F213)</f>
        <v/>
      </c>
      <c r="D214" s="60" t="str">
        <f>IF(C214="","",IF(C214=1," still image processing card "," still image processing cards "))</f>
        <v/>
      </c>
    </row>
    <row r="215" spans="1:15" x14ac:dyDescent="0.25">
      <c r="B215" s="33"/>
      <c r="C215" s="60" t="str">
        <f>IF(C216=0,"and with no Link card.","and with one Link card.")</f>
        <v>and with no Link card.</v>
      </c>
      <c r="D215" s="60"/>
    </row>
    <row r="216" spans="1:15" x14ac:dyDescent="0.25">
      <c r="B216" s="33" t="s">
        <v>333</v>
      </c>
      <c r="C216">
        <f>N201</f>
        <v>0</v>
      </c>
      <c r="D216" s="60"/>
    </row>
    <row r="217" spans="1:15" x14ac:dyDescent="0.25">
      <c r="B217" s="33"/>
      <c r="D217" s="60"/>
    </row>
    <row r="218" spans="1:15" x14ac:dyDescent="0.25">
      <c r="B218" s="33"/>
      <c r="D218" s="60"/>
    </row>
    <row r="219" spans="1:15" x14ac:dyDescent="0.25">
      <c r="B219" s="33"/>
      <c r="D219" s="60"/>
    </row>
    <row r="220" spans="1:15" x14ac:dyDescent="0.25">
      <c r="A220" t="s">
        <v>210</v>
      </c>
      <c r="B220" s="33" t="s">
        <v>211</v>
      </c>
      <c r="C220" s="60" t="str">
        <f>IF(DECODER!J9=_CHASSIS!C3,_WORK!C115,IF(DECODER!J9=_CHASSIS!C4,_WORK!C150,_WORK!C184))</f>
        <v xml:space="preserve">Aquilon C+ (5RU) 4K/8K presentation system </v>
      </c>
    </row>
    <row r="221" spans="1:15" x14ac:dyDescent="0.25">
      <c r="C221" s="60" t="s">
        <v>175</v>
      </c>
      <c r="D221" s="60"/>
      <c r="E221" s="54" t="s">
        <v>176</v>
      </c>
      <c r="F221" s="55" t="str">
        <f>F151</f>
        <v>HDMI2.0</v>
      </c>
      <c r="G221" s="55" t="str">
        <f>G151</f>
        <v>DP 1.2</v>
      </c>
      <c r="H221" s="55" t="str">
        <f>H151</f>
        <v>12G-SDI</v>
      </c>
      <c r="I221" s="55" t="str">
        <f>I151</f>
        <v>SFP</v>
      </c>
      <c r="J221" s="55" t="str">
        <f>J151</f>
        <v>HDMI over Fiber</v>
      </c>
      <c r="K221" s="55" t="str">
        <f>K166</f>
        <v>Filler</v>
      </c>
      <c r="L221" s="55" t="str">
        <f>L151</f>
        <v>SDVoE</v>
      </c>
      <c r="M221" s="55" t="s">
        <v>329</v>
      </c>
      <c r="N221" s="55" t="s">
        <v>330</v>
      </c>
      <c r="O221" s="55" t="s">
        <v>379</v>
      </c>
    </row>
    <row r="222" spans="1:15" x14ac:dyDescent="0.25">
      <c r="B222" s="33" t="s">
        <v>209</v>
      </c>
      <c r="C222" s="60" t="str">
        <f>IF(DECODER!G36=_MVW!A4,"the default dual HDMI 2.0 MVW card",IF(DECODER!G36=_MVW!A5,"the optional dual DP 1.2 MVW card compatible with the DPH104","an invalid MVW card"))</f>
        <v>the default dual HDMI 2.0 MVW card</v>
      </c>
      <c r="D222" s="60"/>
      <c r="E222" s="56" t="s">
        <v>185</v>
      </c>
      <c r="F222" s="55">
        <f>COUNTIF(DECODER!J10:J21,_INPUT!C5)</f>
        <v>1</v>
      </c>
      <c r="G222" s="55">
        <f>COUNTIF(DECODER!J10:J21,_INPUT!C6)</f>
        <v>1</v>
      </c>
      <c r="H222" s="55">
        <f>COUNTIF(DECODER!J10:J21,_INPUT!C7)</f>
        <v>1</v>
      </c>
      <c r="I222" s="55">
        <f>COUNTIF(DECODER!J10:J21,_INPUT!C8)</f>
        <v>0</v>
      </c>
      <c r="J222" s="55">
        <f>COUNTIF(DECODER!J10:J21,_INPUT!C9)</f>
        <v>0</v>
      </c>
      <c r="K222" s="55">
        <f>COUNTIF(DECODER!J10:J21,_INPUT!C4)</f>
        <v>0</v>
      </c>
      <c r="L222" s="55">
        <f>COUNTIF(DECODER!J10:J21,_INPUT!C10)</f>
        <v>0</v>
      </c>
      <c r="M222" s="55">
        <f>COUNTIF(DECODER!J10:J21,_INPUT!C11)</f>
        <v>1</v>
      </c>
      <c r="N222" s="55">
        <f>COUNTIF(DECODER!J10:J21,_INPUT!C12)</f>
        <v>2</v>
      </c>
      <c r="O222" s="55">
        <f>COUNTIF(DECODER!J10:J21,_INPUT!C13)</f>
        <v>0</v>
      </c>
    </row>
    <row r="223" spans="1:15" x14ac:dyDescent="0.25">
      <c r="C223" s="60" t="s">
        <v>186</v>
      </c>
      <c r="D223" s="60"/>
      <c r="E223" s="56" t="s">
        <v>187</v>
      </c>
      <c r="F223" s="55">
        <f t="shared" ref="F223:M223" si="17">F222*4</f>
        <v>4</v>
      </c>
      <c r="G223" s="55">
        <f t="shared" si="17"/>
        <v>4</v>
      </c>
      <c r="H223" s="55">
        <f t="shared" si="17"/>
        <v>4</v>
      </c>
      <c r="I223" s="55">
        <f t="shared" si="17"/>
        <v>0</v>
      </c>
      <c r="J223" s="55">
        <f t="shared" si="17"/>
        <v>0</v>
      </c>
      <c r="K223" s="55">
        <f>K222*0</f>
        <v>0</v>
      </c>
      <c r="L223" s="55">
        <f t="shared" si="17"/>
        <v>0</v>
      </c>
      <c r="M223" s="55">
        <f t="shared" si="17"/>
        <v>4</v>
      </c>
      <c r="N223" s="55">
        <f>N222*8</f>
        <v>16</v>
      </c>
      <c r="O223" s="55">
        <f>O222*8</f>
        <v>0</v>
      </c>
    </row>
    <row r="224" spans="1:15" x14ac:dyDescent="0.25">
      <c r="B224" s="33" t="s">
        <v>188</v>
      </c>
      <c r="C224" s="60">
        <f>IF(F223=0,"",F223)</f>
        <v>4</v>
      </c>
      <c r="D224" s="60" t="str">
        <f>IF(C224="","",CONCATENATE("x ",F221))</f>
        <v>x HDMI2.0</v>
      </c>
    </row>
    <row r="225" spans="2:14" x14ac:dyDescent="0.25">
      <c r="B225" s="33" t="s">
        <v>189</v>
      </c>
      <c r="C225" s="60" t="str">
        <f>IF(G223=0,"",IF(C224="",G223,CONCATENATE(", ",G223)))</f>
        <v>, 4</v>
      </c>
      <c r="D225" s="60" t="str">
        <f>IF(C225="","",CONCATENATE("x ",G221))</f>
        <v>x DP 1.2</v>
      </c>
    </row>
    <row r="226" spans="2:14" x14ac:dyDescent="0.25">
      <c r="B226" s="33" t="s">
        <v>190</v>
      </c>
      <c r="C226" s="60" t="str">
        <f>IF(H223=0,"",IF(AND(C224="",C225=""),H223,CONCATENATE(", ",H223)))</f>
        <v>, 4</v>
      </c>
      <c r="D226" s="60" t="str">
        <f>IF(C226="","",CONCATENATE("x ",H221))</f>
        <v>x 12G-SDI</v>
      </c>
    </row>
    <row r="227" spans="2:14" x14ac:dyDescent="0.25">
      <c r="B227" s="33" t="s">
        <v>191</v>
      </c>
      <c r="C227" s="60" t="str">
        <f>IF(I223=0,"",IF(AND(C224="",C225="",C226=""),I223,CONCATENATE(", ",I223)))</f>
        <v/>
      </c>
      <c r="D227" s="60" t="str">
        <f>IF(C227="","",CONCATENATE("x ",I221))</f>
        <v/>
      </c>
    </row>
    <row r="228" spans="2:14" x14ac:dyDescent="0.25">
      <c r="B228" s="33" t="s">
        <v>192</v>
      </c>
      <c r="C228" s="60" t="str">
        <f>IF(J223=0,"",IF(AND(C224="",C225="",C226="",C227=""),J223,CONCATENATE(", ",J223)))</f>
        <v/>
      </c>
      <c r="D228" s="60" t="str">
        <f>IF(C228="","",CONCATENATE("x ",J221))</f>
        <v/>
      </c>
    </row>
    <row r="229" spans="2:14" x14ac:dyDescent="0.25">
      <c r="B229" s="33" t="s">
        <v>193</v>
      </c>
      <c r="C229" s="60" t="str">
        <f>IF(L223=0,"",IF(AND(C224="",C225="",C226="",C227="",C228=""),L223,CONCATENATE(", ",L223)))</f>
        <v/>
      </c>
      <c r="D229" s="60" t="str">
        <f>IF(C229="","",CONCATENATE("x ",L221))</f>
        <v/>
      </c>
    </row>
    <row r="230" spans="2:14" x14ac:dyDescent="0.25">
      <c r="B230" s="33" t="s">
        <v>331</v>
      </c>
      <c r="C230" s="60" t="str">
        <f>IF(M223=0,"",IF(AND(C224="",C225="",C226="",C227="",C228="",C229=""),M223,CONCATENATE(", ",M223)))</f>
        <v>, 4</v>
      </c>
      <c r="D230" s="60" t="str">
        <f>IF(C230="","",CONCATENATE("x ",M221))</f>
        <v>x IP/SDI</v>
      </c>
    </row>
    <row r="231" spans="2:14" x14ac:dyDescent="0.25">
      <c r="B231" s="33" t="s">
        <v>328</v>
      </c>
      <c r="C231" s="60" t="str">
        <f>IF(N223=0,"",IF(AND(C224="",C225="",C226="",C227="",C228="",C229="",C230=""),N223,CONCATENATE(", ",N223)))</f>
        <v>, 16</v>
      </c>
      <c r="D231" s="60" t="str">
        <f>IF(C231="","",CONCATENATE("x ",N221))</f>
        <v>x HDMI1.4</v>
      </c>
    </row>
    <row r="232" spans="2:14" x14ac:dyDescent="0.25">
      <c r="B232" s="33" t="s">
        <v>380</v>
      </c>
      <c r="C232" s="60" t="str">
        <f>IF(O223=0,"",IF(AND(C224="",C225="",C226="",C227="",C228="",C229="",C230="",C231=""),O223,CONCATENATE(", ",O223)))</f>
        <v/>
      </c>
      <c r="D232" s="60" t="str">
        <f>IF(C232="","",CONCATENATE("x ",O221))</f>
        <v/>
      </c>
    </row>
    <row r="233" spans="2:14" x14ac:dyDescent="0.25">
      <c r="B233" s="33"/>
      <c r="C233" s="60" t="str">
        <f>IF(AND(C224="",C225="",C226="",C227="",C228="",C229="",C230="",C231="",C232=""),"no input card, "," input connectors, ")</f>
        <v xml:space="preserve"> input connectors, </v>
      </c>
      <c r="D233" s="60"/>
    </row>
    <row r="234" spans="2:14" x14ac:dyDescent="0.25">
      <c r="B234" s="33"/>
      <c r="C234" s="60" t="str">
        <f>IF(K222=0,"","with ")</f>
        <v/>
      </c>
      <c r="D234" s="60"/>
    </row>
    <row r="235" spans="2:14" x14ac:dyDescent="0.25">
      <c r="B235" s="33" t="s">
        <v>194</v>
      </c>
      <c r="C235" s="60" t="str">
        <f>IF(K222=0,"",K222)</f>
        <v/>
      </c>
      <c r="D235" s="60" t="str">
        <f>IF(C235="","",IF(C235="","x Filler Output Card (no connector), ","x Filler Input Cards (no connector), "))</f>
        <v/>
      </c>
    </row>
    <row r="236" spans="2:14" x14ac:dyDescent="0.25">
      <c r="C236" s="60" t="s">
        <v>175</v>
      </c>
      <c r="D236" s="60"/>
      <c r="E236" s="57" t="s">
        <v>195</v>
      </c>
      <c r="F236" s="58" t="str">
        <f>F166</f>
        <v>HDMI2.0</v>
      </c>
      <c r="G236" s="58" t="str">
        <f>G166</f>
        <v>DP 1.2</v>
      </c>
      <c r="H236" s="58" t="str">
        <f>H166</f>
        <v>12G-SDI</v>
      </c>
      <c r="I236" s="58" t="str">
        <f>I166</f>
        <v>SFP</v>
      </c>
      <c r="J236" s="58" t="str">
        <f>J166</f>
        <v>HDMI over Fiber</v>
      </c>
      <c r="K236" s="58" t="str">
        <f>K221</f>
        <v>Filler</v>
      </c>
      <c r="L236" s="58" t="str">
        <f>L166</f>
        <v>SDVoE</v>
      </c>
      <c r="M236" s="58" t="str">
        <f>M166</f>
        <v>ST 2110</v>
      </c>
      <c r="N236" s="58" t="s">
        <v>332</v>
      </c>
    </row>
    <row r="237" spans="2:14" x14ac:dyDescent="0.25">
      <c r="B237" s="33" t="s">
        <v>196</v>
      </c>
      <c r="C237" s="60">
        <f>IF(F238=0,"",F238)</f>
        <v>12</v>
      </c>
      <c r="D237" s="60" t="str">
        <f>IF(C237="","",CONCATENATE("x ",F236))</f>
        <v>x HDMI2.0</v>
      </c>
      <c r="E237" s="59" t="s">
        <v>185</v>
      </c>
      <c r="F237" s="58">
        <f>COUNTIF(DECODER!J22:J33,_OUTPUT!C5)</f>
        <v>3</v>
      </c>
      <c r="G237" s="58">
        <f>COUNTIF(DECODER!J22:J33,_OUTPUT!C6)</f>
        <v>0</v>
      </c>
      <c r="H237" s="58">
        <f>COUNTIF(DECODER!J22:J33,_OUTPUT!C7)</f>
        <v>1</v>
      </c>
      <c r="I237" s="58">
        <f>COUNTIF(DECODER!J22:J33,_OUTPUT!C8)</f>
        <v>0</v>
      </c>
      <c r="J237" s="58">
        <f>COUNTIF(DECODER!J22:J33,_OUTPUT!C9)</f>
        <v>0</v>
      </c>
      <c r="K237" s="58">
        <f>COUNTIF(DECODER!J22:J33,_OUTPUT!C4)</f>
        <v>0</v>
      </c>
      <c r="L237" s="58">
        <f>COUNTIF(DECODER!J22:J33,_OUTPUT!C10)</f>
        <v>0</v>
      </c>
      <c r="M237" s="58">
        <f>COUNTIF(DECODER!J22:J33,_OUTPUT!C11)</f>
        <v>0</v>
      </c>
      <c r="N237" s="58">
        <f>COUNTIF(DECODER!J22:J33,_OUTPUT!C12)</f>
        <v>1</v>
      </c>
    </row>
    <row r="238" spans="2:14" x14ac:dyDescent="0.25">
      <c r="B238" s="33" t="s">
        <v>197</v>
      </c>
      <c r="C238" s="60" t="str">
        <f>IF(G238=0,"",IF(C237="",G238,CONCATENATE(", ",G238)))</f>
        <v/>
      </c>
      <c r="D238" s="60" t="str">
        <f>IF(C238="","",CONCATENATE("x ",G236))</f>
        <v/>
      </c>
      <c r="E238" s="59" t="s">
        <v>187</v>
      </c>
      <c r="F238" s="58">
        <f t="shared" ref="F238:L238" si="18">F237*4</f>
        <v>12</v>
      </c>
      <c r="G238" s="58">
        <f t="shared" si="18"/>
        <v>0</v>
      </c>
      <c r="H238" s="58">
        <f t="shared" si="18"/>
        <v>4</v>
      </c>
      <c r="I238" s="58">
        <f t="shared" si="18"/>
        <v>0</v>
      </c>
      <c r="J238" s="58">
        <f t="shared" si="18"/>
        <v>0</v>
      </c>
      <c r="K238" s="58">
        <f>K237*0</f>
        <v>0</v>
      </c>
      <c r="L238" s="58">
        <f t="shared" si="18"/>
        <v>0</v>
      </c>
      <c r="M238" s="58">
        <f t="shared" ref="M238" si="19">M237*4</f>
        <v>0</v>
      </c>
      <c r="N238" s="58">
        <f>N237*0</f>
        <v>0</v>
      </c>
    </row>
    <row r="239" spans="2:14" x14ac:dyDescent="0.25">
      <c r="B239" s="33" t="s">
        <v>198</v>
      </c>
      <c r="C239" s="60" t="str">
        <f>IF(H238=0,"",IF(AND(C237="",C238=""),H238,CONCATENATE(", ",H238)))</f>
        <v>, 4</v>
      </c>
      <c r="D239" s="60" t="str">
        <f>IF(C239="","",CONCATENATE("x ",H236))</f>
        <v>x 12G-SDI</v>
      </c>
    </row>
    <row r="240" spans="2:14" x14ac:dyDescent="0.25">
      <c r="B240" s="33" t="s">
        <v>199</v>
      </c>
      <c r="C240" s="60" t="str">
        <f>IF(I238=0,"",IF(AND(C237="",C238="",C239=""),I238,CONCATENATE(", ",I238)))</f>
        <v/>
      </c>
      <c r="D240" s="60" t="str">
        <f>IF(C240="","",CONCATENATE("x ",I236))</f>
        <v/>
      </c>
    </row>
    <row r="241" spans="2:6" x14ac:dyDescent="0.25">
      <c r="B241" s="33" t="s">
        <v>200</v>
      </c>
      <c r="C241" s="60" t="str">
        <f>IF(J238=0,"",IF(AND(C237="",C238="",C239="",C240=""),J238,CONCATENATE(", ",J238)))</f>
        <v/>
      </c>
      <c r="D241" s="60" t="str">
        <f>IF(C241="","",CONCATENATE("x ",J236))</f>
        <v/>
      </c>
    </row>
    <row r="242" spans="2:6" x14ac:dyDescent="0.25">
      <c r="B242" s="33" t="s">
        <v>201</v>
      </c>
      <c r="C242" s="60" t="str">
        <f>IF(L238=0,"",IF(AND(C237="",C238="",C239="",C240="",C241=""),L238,CONCATENATE(", ",L238)))</f>
        <v/>
      </c>
      <c r="D242" s="60" t="str">
        <f>IF(C242="","",CONCATENATE("x ",L236))</f>
        <v/>
      </c>
    </row>
    <row r="243" spans="2:6" x14ac:dyDescent="0.25">
      <c r="B243" s="33" t="s">
        <v>381</v>
      </c>
      <c r="C243" s="60" t="str">
        <f>IF(M238=0,"",IF(AND(C237="",C238="",C239="",C240="",C241="",C242=""),M238,CONCATENATE(", ",M238)))</f>
        <v/>
      </c>
      <c r="D243" s="60" t="str">
        <f>IF(C243="","",CONCATENATE("x ",M236))</f>
        <v/>
      </c>
    </row>
    <row r="244" spans="2:6" x14ac:dyDescent="0.25">
      <c r="B244" s="33"/>
      <c r="C244" s="60" t="str">
        <f>IF(AND(C237="",C238="",C239="",C240="",C241="",C242="",C243=""),"no output card, "," output connectors, ")</f>
        <v xml:space="preserve"> output connectors, </v>
      </c>
      <c r="D244" s="60"/>
    </row>
    <row r="245" spans="2:6" x14ac:dyDescent="0.25">
      <c r="B245" s="33"/>
      <c r="C245" s="60" t="str">
        <f>IF(K237=0,"","with ")</f>
        <v/>
      </c>
      <c r="D245" s="60"/>
    </row>
    <row r="246" spans="2:6" x14ac:dyDescent="0.25">
      <c r="B246" s="33" t="s">
        <v>212</v>
      </c>
      <c r="C246" s="60" t="str">
        <f>IF(K237=0,"",K237)</f>
        <v/>
      </c>
      <c r="D246" s="60" t="str">
        <f>IF(C246="","","x Filler Output Card(s) (no connector), ")</f>
        <v/>
      </c>
    </row>
    <row r="247" spans="2:6" x14ac:dyDescent="0.25">
      <c r="C247" s="60" t="str">
        <f>IF(C248="","with no video processing card","with ")</f>
        <v xml:space="preserve">with </v>
      </c>
      <c r="D247" s="60"/>
      <c r="E247" t="s">
        <v>203</v>
      </c>
      <c r="F247" s="62" t="str">
        <f>DECODER!K34</f>
        <v>3</v>
      </c>
    </row>
    <row r="248" spans="2:6" x14ac:dyDescent="0.25">
      <c r="B248" s="33" t="s">
        <v>204</v>
      </c>
      <c r="C248" s="60" t="str">
        <f>IF(F247="0","",F247)</f>
        <v>3</v>
      </c>
      <c r="D248" s="60" t="str">
        <f>IF(C248="","",IF(C248="1"," video processing card"," video processing cards"))</f>
        <v xml:space="preserve"> video processing cards</v>
      </c>
    </row>
    <row r="249" spans="2:6" x14ac:dyDescent="0.25">
      <c r="C249" s="60" t="str">
        <f>IF(C250="",", with no still image processing card ",", with ")</f>
        <v xml:space="preserve">, with </v>
      </c>
      <c r="D249" s="60"/>
      <c r="E249" t="s">
        <v>205</v>
      </c>
      <c r="F249" s="62" t="str">
        <f>DECODER!K35</f>
        <v>2</v>
      </c>
    </row>
    <row r="250" spans="2:6" x14ac:dyDescent="0.25">
      <c r="B250" s="33" t="s">
        <v>206</v>
      </c>
      <c r="C250" s="60" t="str">
        <f>IF(F249="0","",F249)</f>
        <v>2</v>
      </c>
      <c r="D250" s="60" t="str">
        <f>IF(C250="","",IF(C250="1"," still image processing card "," still image processing cards "))</f>
        <v xml:space="preserve"> still image processing cards </v>
      </c>
    </row>
    <row r="251" spans="2:6" x14ac:dyDescent="0.25">
      <c r="B251" s="33"/>
      <c r="C251" s="60" t="str">
        <f>IF(C252=0,"and with no Link card.","and with one Link card.")</f>
        <v>and with one Link card.</v>
      </c>
    </row>
    <row r="252" spans="2:6" x14ac:dyDescent="0.25">
      <c r="B252" s="33" t="s">
        <v>333</v>
      </c>
      <c r="C252">
        <f>N237</f>
        <v>1</v>
      </c>
    </row>
  </sheetData>
  <mergeCells count="1">
    <mergeCell ref="D86:D11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A68A-DA1F-429E-995A-8CBA3A0E3CE3}">
  <sheetPr codeName="Feuil18"/>
  <dimension ref="A1:H8"/>
  <sheetViews>
    <sheetView workbookViewId="0">
      <selection activeCell="B2" sqref="B2:M2"/>
    </sheetView>
  </sheetViews>
  <sheetFormatPr baseColWidth="10" defaultColWidth="11.42578125" defaultRowHeight="15" x14ac:dyDescent="0.25"/>
  <cols>
    <col min="1" max="1" width="34.5703125" customWidth="1"/>
    <col min="2" max="2" width="11.140625" customWidth="1"/>
    <col min="3" max="3" width="21.7109375" customWidth="1"/>
    <col min="4" max="6" width="11.7109375" customWidth="1"/>
    <col min="7" max="8" width="34.7109375" customWidth="1"/>
  </cols>
  <sheetData>
    <row r="1" spans="1:8" x14ac:dyDescent="0.25">
      <c r="A1" s="6" t="s">
        <v>213</v>
      </c>
      <c r="B1" s="6" t="s">
        <v>38</v>
      </c>
      <c r="C1" s="7" t="s">
        <v>214</v>
      </c>
      <c r="D1" s="6" t="s">
        <v>215</v>
      </c>
      <c r="E1" s="6" t="s">
        <v>216</v>
      </c>
      <c r="F1" s="6" t="s">
        <v>217</v>
      </c>
      <c r="G1" s="6" t="s">
        <v>218</v>
      </c>
      <c r="H1" s="6" t="s">
        <v>167</v>
      </c>
    </row>
    <row r="2" spans="1:8" x14ac:dyDescent="0.25">
      <c r="A2" s="27" t="s">
        <v>219</v>
      </c>
      <c r="B2" s="1" t="s">
        <v>220</v>
      </c>
      <c r="C2" s="16" t="s">
        <v>221</v>
      </c>
      <c r="D2" s="1">
        <v>0</v>
      </c>
      <c r="E2" s="1">
        <v>0</v>
      </c>
      <c r="F2" s="1">
        <v>0</v>
      </c>
      <c r="G2" s="22" t="s">
        <v>221</v>
      </c>
      <c r="H2" s="27" t="str">
        <f>A2</f>
        <v>NOT AVAILABLE</v>
      </c>
    </row>
    <row r="3" spans="1:8" x14ac:dyDescent="0.25">
      <c r="A3" s="27" t="s">
        <v>222</v>
      </c>
      <c r="B3" s="21" t="s">
        <v>223</v>
      </c>
      <c r="C3" s="16" t="s">
        <v>221</v>
      </c>
      <c r="D3" s="15">
        <v>0</v>
      </c>
      <c r="E3" s="15">
        <v>0</v>
      </c>
      <c r="F3" s="15">
        <v>0</v>
      </c>
      <c r="G3" s="22" t="s">
        <v>221</v>
      </c>
      <c r="H3" s="27" t="str">
        <f t="shared" ref="H3:H5" si="0">A3</f>
        <v>EMPTY MVW</v>
      </c>
    </row>
    <row r="4" spans="1:8" x14ac:dyDescent="0.25">
      <c r="A4" s="27" t="s">
        <v>21</v>
      </c>
      <c r="B4" s="21" t="s">
        <v>224</v>
      </c>
      <c r="C4" s="16" t="s">
        <v>221</v>
      </c>
      <c r="D4" s="15">
        <v>0</v>
      </c>
      <c r="E4" s="15">
        <v>0</v>
      </c>
      <c r="F4" s="15">
        <v>0</v>
      </c>
      <c r="G4" s="22" t="s">
        <v>221</v>
      </c>
      <c r="H4" s="27" t="str">
        <f t="shared" si="0"/>
        <v>DEFAULT MVW 2x HDMI OUTPUT CARD</v>
      </c>
    </row>
    <row r="5" spans="1:8" x14ac:dyDescent="0.25">
      <c r="A5" s="27" t="s">
        <v>225</v>
      </c>
      <c r="B5" s="22" t="s">
        <v>226</v>
      </c>
      <c r="C5" t="s">
        <v>301</v>
      </c>
      <c r="D5" s="15">
        <v>0</v>
      </c>
      <c r="E5" s="15">
        <v>0</v>
      </c>
      <c r="F5" s="15">
        <v>0</v>
      </c>
      <c r="G5" s="46" t="s">
        <v>227</v>
      </c>
      <c r="H5" s="27" t="str">
        <f t="shared" si="0"/>
        <v>MVW 2x DP OUTPUT CARD</v>
      </c>
    </row>
    <row r="6" spans="1:8" x14ac:dyDescent="0.25">
      <c r="A6" s="27"/>
      <c r="B6" s="21"/>
      <c r="D6" s="15"/>
      <c r="E6" s="15"/>
      <c r="F6" s="15"/>
      <c r="G6" s="46"/>
      <c r="H6" s="27"/>
    </row>
    <row r="7" spans="1:8" x14ac:dyDescent="0.25">
      <c r="A7" s="27"/>
      <c r="B7" s="21"/>
      <c r="D7" s="15"/>
      <c r="E7" s="15"/>
      <c r="F7" s="15"/>
      <c r="G7" s="46"/>
      <c r="H7" s="27"/>
    </row>
    <row r="8" spans="1:8" x14ac:dyDescent="0.25">
      <c r="A8" s="27"/>
      <c r="B8" s="21"/>
      <c r="D8" s="15"/>
      <c r="E8" s="15"/>
      <c r="F8" s="15"/>
      <c r="G8" s="46"/>
      <c r="H8"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3D46E69DCE8B4180F2F8135FAB6463" ma:contentTypeVersion="6" ma:contentTypeDescription="Crée un document." ma:contentTypeScope="" ma:versionID="5296cb8c1161fb86076454d4389c7419">
  <xsd:schema xmlns:xsd="http://www.w3.org/2001/XMLSchema" xmlns:xs="http://www.w3.org/2001/XMLSchema" xmlns:p="http://schemas.microsoft.com/office/2006/metadata/properties" xmlns:ns2="a12eb4a4-5f30-41e7-817b-e096559b47a5" xmlns:ns3="abef1819-b0e9-4caf-a81c-c90fce68c3e7" targetNamespace="http://schemas.microsoft.com/office/2006/metadata/properties" ma:root="true" ma:fieldsID="b65d027386b23222aae9455fa8e8ba42" ns2:_="" ns3:_="">
    <xsd:import namespace="a12eb4a4-5f30-41e7-817b-e096559b47a5"/>
    <xsd:import namespace="abef1819-b0e9-4caf-a81c-c90fce68c3e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eb4a4-5f30-41e7-817b-e096559b47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ef1819-b0e9-4caf-a81c-c90fce68c3e7"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81AE5A-6CF7-457E-B661-A24B2D67B683}">
  <ds:schemaRefs>
    <ds:schemaRef ds:uri="http://schemas.microsoft.com/sharepoint/v3/contenttype/forms"/>
  </ds:schemaRefs>
</ds:datastoreItem>
</file>

<file path=customXml/itemProps2.xml><?xml version="1.0" encoding="utf-8"?>
<ds:datastoreItem xmlns:ds="http://schemas.openxmlformats.org/officeDocument/2006/customXml" ds:itemID="{22DF5643-00FD-4F47-B593-B312BB6DE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2eb4a4-5f30-41e7-817b-e096559b47a5"/>
    <ds:schemaRef ds:uri="abef1819-b0e9-4caf-a81c-c90fce68c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48848-A31D-42D3-B998-82559F42019B}">
  <ds:schemaRefs>
    <ds:schemaRef ds:uri="http://schemas.microsoft.com/office/2006/metadata/properties"/>
    <ds:schemaRef ds:uri="http://www.w3.org/XML/1998/namespace"/>
    <ds:schemaRef ds:uri="http://schemas.microsoft.com/office/2006/documentManagement/types"/>
    <ds:schemaRef ds:uri="7d2b93d2-03c5-4c3e-b264-2b66d345f665"/>
    <ds:schemaRef ds:uri="http://schemas.openxmlformats.org/package/2006/metadata/core-properties"/>
    <ds:schemaRef ds:uri="http://purl.org/dc/elements/1.1/"/>
    <ds:schemaRef ds:uri="http://purl.org/dc/terms/"/>
    <ds:schemaRef ds:uri="368b0a39-8072-4116-b70f-15236e023d5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#readme</vt:lpstr>
      <vt:lpstr>AQUILON C (4RU)</vt:lpstr>
      <vt:lpstr>AQUILON C+ (5RU)</vt:lpstr>
      <vt:lpstr>AQUILON C max (6RU)</vt:lpstr>
      <vt:lpstr>DECODER</vt:lpstr>
      <vt:lpstr>_VISUEL</vt:lpstr>
      <vt:lpstr>_Pictures</vt:lpstr>
      <vt:lpstr>_WORK</vt:lpstr>
      <vt:lpstr>_MVW</vt:lpstr>
      <vt:lpstr>_CHASSIS</vt:lpstr>
      <vt:lpstr>_PSU</vt:lpstr>
      <vt:lpstr>_WARRANTY_4RU</vt:lpstr>
      <vt:lpstr>_WARRANTY_5RU</vt:lpstr>
      <vt:lpstr>_WARRANTY_6RU</vt:lpstr>
      <vt:lpstr>_GENERIC</vt:lpstr>
      <vt:lpstr>_INPUT</vt:lpstr>
      <vt:lpstr>_OUTPUT</vt:lpstr>
      <vt:lpstr>_VIDEO</vt:lpstr>
      <vt:lpstr>_IMAGES</vt:lpstr>
      <vt:lpstr>_ACCESSORIES</vt:lpstr>
      <vt:lpstr>'AQUILON C (4RU)'!Zone_d_impression</vt:lpstr>
      <vt:lpstr>'AQUILON C max (6RU)'!Zone_d_impression</vt:lpstr>
      <vt:lpstr>'AQUILON C+ (5RU)'!Zone_d_impression</vt:lpstr>
      <vt:lpstr>DECODER!Zone_d_impression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Painset</dc:creator>
  <cp:keywords/>
  <dc:description/>
  <cp:lastModifiedBy>Florent Gillet</cp:lastModifiedBy>
  <cp:revision/>
  <dcterms:created xsi:type="dcterms:W3CDTF">2019-01-03T13:07:37Z</dcterms:created>
  <dcterms:modified xsi:type="dcterms:W3CDTF">2025-05-14T14:48:15Z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0x010100EE3D46E69DCE8B4180F2F8135FAB6463</vt:lpwstr>
  </property>
  <property fmtid="{D5CDD505-2E9C-101B-9397-08002B2CF9AE}" pid="3" name="MediaServiceImageTags">
    <vt:lpwstr/>
  </property>
</Properties>
</file>