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floresg\Documents\Irrigation automatization\"/>
    </mc:Choice>
  </mc:AlternateContent>
  <xr:revisionPtr revIDLastSave="0" documentId="13_ncr:1_{36AB2FA0-8917-4873-A80C-C1EA626B4A59}" xr6:coauthVersionLast="47" xr6:coauthVersionMax="47" xr10:uidLastSave="{00000000-0000-0000-0000-000000000000}"/>
  <bookViews>
    <workbookView xWindow="24390" yWindow="3540" windowWidth="38700" windowHeight="1537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F15" i="1"/>
  <c r="I15" i="1" s="1"/>
  <c r="F16" i="1"/>
  <c r="I16" i="1" s="1"/>
  <c r="F17" i="1"/>
  <c r="I17" i="1" s="1"/>
  <c r="F18" i="1"/>
  <c r="I18" i="1" s="1"/>
  <c r="F19" i="1"/>
  <c r="F20" i="1"/>
  <c r="F21" i="1"/>
  <c r="L21" i="1" s="1"/>
  <c r="F22" i="1"/>
  <c r="L22" i="1" s="1"/>
  <c r="F23" i="1"/>
  <c r="L23" i="1" s="1"/>
  <c r="F24" i="1"/>
  <c r="L24" i="1" s="1"/>
  <c r="F25" i="1"/>
  <c r="I25" i="1" s="1"/>
  <c r="F14" i="1"/>
  <c r="I14" i="1" s="1"/>
  <c r="D7" i="1"/>
  <c r="J15" i="1" l="1"/>
  <c r="J22" i="1"/>
  <c r="M25" i="1"/>
  <c r="J25" i="1"/>
  <c r="K25" i="1" s="1"/>
  <c r="J18" i="1"/>
  <c r="M16" i="1"/>
  <c r="K16" i="1"/>
  <c r="J16" i="1"/>
  <c r="J23" i="1"/>
  <c r="K24" i="1" s="1"/>
  <c r="M14" i="1"/>
  <c r="J14" i="1"/>
  <c r="M15" i="1" s="1"/>
  <c r="J17" i="1"/>
  <c r="M18" i="1" s="1"/>
  <c r="K17" i="1"/>
  <c r="M17" i="1"/>
  <c r="I19" i="1"/>
  <c r="I20" i="1"/>
  <c r="L20" i="1" s="1"/>
  <c r="M23" i="1"/>
  <c r="K22" i="1"/>
  <c r="L14" i="1"/>
  <c r="L25" i="1"/>
  <c r="K23" i="1"/>
  <c r="L18" i="1"/>
  <c r="J24" i="1"/>
  <c r="L17" i="1"/>
  <c r="L16" i="1"/>
  <c r="J21" i="1"/>
  <c r="L15" i="1"/>
  <c r="M22" i="1"/>
  <c r="O18" i="1" l="1"/>
  <c r="N18" i="1"/>
  <c r="O15" i="1"/>
  <c r="N15" i="1"/>
  <c r="O17" i="1"/>
  <c r="N17" i="1"/>
  <c r="K19" i="1"/>
  <c r="J19" i="1"/>
  <c r="M19" i="1"/>
  <c r="K14" i="1"/>
  <c r="O23" i="1"/>
  <c r="N23" i="1"/>
  <c r="O16" i="1"/>
  <c r="N16" i="1"/>
  <c r="K18" i="1"/>
  <c r="N25" i="1"/>
  <c r="O25" i="1"/>
  <c r="J20" i="1"/>
  <c r="K20" i="1"/>
  <c r="M20" i="1"/>
  <c r="L19" i="1"/>
  <c r="O22" i="1"/>
  <c r="N22" i="1"/>
  <c r="M24" i="1"/>
  <c r="N14" i="1"/>
  <c r="O14" i="1"/>
  <c r="K15" i="1"/>
  <c r="O24" i="1" l="1"/>
  <c r="N24" i="1"/>
  <c r="O20" i="1"/>
  <c r="N20" i="1"/>
  <c r="M21" i="1"/>
  <c r="K21" i="1"/>
  <c r="O19" i="1"/>
  <c r="N19" i="1"/>
  <c r="N21" i="1" l="1"/>
  <c r="O21" i="1"/>
</calcChain>
</file>

<file path=xl/sharedStrings.xml><?xml version="1.0" encoding="utf-8"?>
<sst xmlns="http://schemas.openxmlformats.org/spreadsheetml/2006/main" count="46" uniqueCount="39">
  <si>
    <t>FC</t>
  </si>
  <si>
    <t>%</t>
  </si>
  <si>
    <t>PWP</t>
  </si>
  <si>
    <t>Bulk Density</t>
  </si>
  <si>
    <t>g/cm3</t>
  </si>
  <si>
    <t>Root depth</t>
  </si>
  <si>
    <t>mm</t>
  </si>
  <si>
    <t>Water req.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</si>
  <si>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</si>
  <si>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</si>
  <si>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</si>
  <si>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</si>
  <si>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</si>
  <si>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</si>
  <si>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</si>
  <si>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</si>
  <si>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</si>
  <si>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</si>
  <si>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</si>
  <si>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</si>
  <si>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days-month</t>
  </si>
  <si>
    <t>may</t>
  </si>
  <si>
    <t>rain-month</t>
  </si>
  <si>
    <t>mm/month</t>
  </si>
  <si>
    <t>ETo</t>
  </si>
  <si>
    <t>kc</t>
  </si>
  <si>
    <t>ETr</t>
  </si>
  <si>
    <t>rain-corrected</t>
  </si>
  <si>
    <t>corrections</t>
  </si>
  <si>
    <t>weather</t>
  </si>
  <si>
    <t>soil</t>
  </si>
  <si>
    <t>retention</t>
  </si>
  <si>
    <t>percolation</t>
  </si>
  <si>
    <t>runoff</t>
  </si>
  <si>
    <t>water-need</t>
  </si>
  <si>
    <t>deficit</t>
  </si>
  <si>
    <t>mm/day</t>
  </si>
  <si>
    <t>Weather Data</t>
  </si>
  <si>
    <t>Corrections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</si>
</sst>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Font="1" applyBorder="1" applyAlignment="1">
      <alignment horizontal="center" vertical="top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 vertical="top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/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169" fontId="0" fillId="0" borderId="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2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Monthly-rain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Sheet1!$C$14:$C$25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Sheet1!$F$14:$F$25</c:f>
              <c:numCache>
                <c:formatCode>0.00</c:formatCode>
                <c:ptCount val="12"/>
                <c:pt idx="0">
                  <c:v>21.963181818181784</c:v>
                </c:pt>
                <c:pt idx="1">
                  <c:v>26.464090909090888</c:v>
                </c:pt>
                <c:pt idx="2">
                  <c:v>46.14363636363629</c:v>
                </c:pt>
                <c:pt idx="3">
                  <c:v>88.195909090908927</c:v>
                </c:pt>
                <c:pt idx="4">
                  <c:v>116.33454545454549</c:v>
                </c:pt>
                <c:pt idx="5">
                  <c:v>125.20045454545476</c:v>
                </c:pt>
                <c:pt idx="6">
                  <c:v>92.027665198237756</c:v>
                </c:pt>
                <c:pt idx="7">
                  <c:v>108.60772727272727</c:v>
                </c:pt>
                <c:pt idx="8">
                  <c:v>84.759545454545375</c:v>
                </c:pt>
                <c:pt idx="9">
                  <c:v>71.137272727272574</c:v>
                </c:pt>
                <c:pt idx="10">
                  <c:v>42.428767123287599</c:v>
                </c:pt>
                <c:pt idx="11">
                  <c:v>37.775454545454501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1-48A0-9497-16C9F5200CBC}"/>
            </c:ext>
          </c:extLst>
        </c:ser>
        <c:ser>
          <c:idx val="1"/>
          <c:order val="1"/>
          <c:tx>
            <c:v>ETo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Sheet1!$G$14:$G$25</c:f>
              <c:numCache>
                <c:formatCode>0.00</c:formatCode>
                <c:ptCount val="12"/>
                <c:pt idx="0">
                  <c:v>14.095322614683761</c:v>
                </c:pt>
                <c:pt idx="1">
                  <c:v>21.19107712579785</c:v>
                </c:pt>
                <c:pt idx="2">
                  <c:v>55.529126436756712</c:v>
                </c:pt>
                <c:pt idx="3">
                  <c:v>95.150926087055353</c:v>
                </c:pt>
                <c:pt idx="4">
                  <c:v>133.83807086361412</c:v>
                </c:pt>
                <c:pt idx="5">
                  <c:v>155.90713214078511</c:v>
                </c:pt>
                <c:pt idx="6">
                  <c:v>164.2739857984962</c:v>
                </c:pt>
                <c:pt idx="7">
                  <c:v>145.06940007980521</c:v>
                </c:pt>
                <c:pt idx="8">
                  <c:v>106.60780580697777</c:v>
                </c:pt>
                <c:pt idx="9">
                  <c:v>61.668128653206701</c:v>
                </c:pt>
                <c:pt idx="10">
                  <c:v>29.490749119635094</c:v>
                </c:pt>
                <c:pt idx="11">
                  <c:v>14.927748398485075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41-48A0-9497-16C9F520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469983"/>
        <c:axId val="1171480799"/>
      </c:lineChart>
      <c:catAx>
        <c:axId val="117146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80799"/>
        <c:crosses val="autoZero"/>
        <c:auto val="1"/>
        <c:lblAlgn val="ctr"/>
        <c:lblOffset val="100"/>
        <c:noMultiLvlLbl val="0"/>
      </c:catAx>
      <c:valAx>
        <c:axId val="11714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mm-month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6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Rain-effective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Sheet1!$C$14:$C$25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Sheet1!$I$14:$I$25</c:f>
              <c:numCache>
                <c:formatCode>0.0</c:formatCode>
                <c:ptCount val="12"/>
                <c:pt idx="0">
                  <c:v>16.472386363636339</c:v>
                </c:pt>
                <c:pt idx="1">
                  <c:v>19.848068181818167</c:v>
                </c:pt>
                <c:pt idx="2">
                  <c:v>34.607727272727217</c:v>
                </c:pt>
                <c:pt idx="3">
                  <c:v>66.146931818181699</c:v>
                </c:pt>
                <c:pt idx="4">
                  <c:v>87.250909090909119</c:v>
                </c:pt>
                <c:pt idx="5">
                  <c:v>93.900340909091071</c:v>
                </c:pt>
                <c:pt idx="6">
                  <c:v>69.02074889867832</c:v>
                </c:pt>
                <c:pt idx="7">
                  <c:v>81.455795454545452</c:v>
                </c:pt>
                <c:pt idx="8">
                  <c:v>63.569659090909028</c:v>
                </c:pt>
                <c:pt idx="9">
                  <c:v>53.352954545454431</c:v>
                </c:pt>
                <c:pt idx="10">
                  <c:v>31.8215753424657</c:v>
                </c:pt>
                <c:pt idx="11">
                  <c:v>28.331590909090878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9-47C9-B60C-84187C0FBF56}"/>
            </c:ext>
          </c:extLst>
        </c:ser>
        <c:ser>
          <c:idx val="1"/>
          <c:order val="1"/>
          <c:tx>
            <c:v>ETr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Sheet1!$C$14:$C$25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Sheet1!$H$14:$H$25</c:f>
              <c:numCache>
                <c:formatCode>0.0</c:formatCode>
                <c:ptCount val="12"/>
                <c:pt idx="0">
                  <c:v>16.209621006886323</c:v>
                </c:pt>
                <c:pt idx="1">
                  <c:v>24.369738694667525</c:v>
                </c:pt>
                <c:pt idx="2">
                  <c:v>63.858495402270215</c:v>
                </c:pt>
                <c:pt idx="3">
                  <c:v>109.42356500011365</c:v>
                </c:pt>
                <c:pt idx="4">
                  <c:v>153.91378149315622</c:v>
                </c:pt>
                <c:pt idx="5">
                  <c:v>179.29320196190287</c:v>
                </c:pt>
                <c:pt idx="6">
                  <c:v>188.91508366827063</c:v>
                </c:pt>
                <c:pt idx="7">
                  <c:v>166.82981009177598</c:v>
                </c:pt>
                <c:pt idx="8">
                  <c:v>122.59897667802441</c:v>
                </c:pt>
                <c:pt idx="9">
                  <c:v>70.918347951187698</c:v>
                </c:pt>
                <c:pt idx="10">
                  <c:v>33.914361487580358</c:v>
                </c:pt>
                <c:pt idx="11">
                  <c:v>17.166910658257834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9-47C9-B60C-84187C0FB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950911"/>
        <c:axId val="1415950079"/>
      </c:lineChart>
      <c:catAx>
        <c:axId val="141595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50079"/>
        <c:crosses val="autoZero"/>
        <c:auto val="1"/>
        <c:lblAlgn val="ctr"/>
        <c:lblOffset val="100"/>
        <c:noMultiLvlLbl val="0"/>
      </c:catAx>
      <c:valAx>
        <c:axId val="141595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mm-month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5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year-deficit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Sheet1!$C$14:$C$25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Sheet1!$M$14:$M$25</c:f>
              <c:numCache>
                <c:formatCode>0.0</c:formatCode>
                <c:ptCount val="12"/>
                <c:pt idx="0">
                  <c:v>0</c:v>
                </c:pt>
                <c:pt idx="1">
                  <c:v>-4.2589051560993418</c:v>
                </c:pt>
                <c:pt idx="2">
                  <c:v>-29.250768129542998</c:v>
                </c:pt>
                <c:pt idx="3">
                  <c:v>-43.276633181931956</c:v>
                </c:pt>
                <c:pt idx="4">
                  <c:v>-66.662872402247103</c:v>
                </c:pt>
                <c:pt idx="5">
                  <c:v>-85.392861052811796</c:v>
                </c:pt>
                <c:pt idx="6">
                  <c:v>-119.89433476959231</c:v>
                </c:pt>
                <c:pt idx="7">
                  <c:v>-85.37401463723053</c:v>
                </c:pt>
                <c:pt idx="8">
                  <c:v>-59.029317587115386</c:v>
                </c:pt>
                <c:pt idx="9">
                  <c:v>-17.565393405733268</c:v>
                </c:pt>
                <c:pt idx="10">
                  <c:v>-2.0927861451146583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9-4FBD-B34C-5F44FA1D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167487"/>
        <c:axId val="897163327"/>
      </c:barChart>
      <c:catAx>
        <c:axId val="8971674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63327"/>
        <c:crosses val="autoZero"/>
        <c:auto val="1"/>
        <c:lblAlgn val="ctr"/>
        <c:lblOffset val="100"/>
        <c:noMultiLvlLbl val="0"/>
      </c:catAx>
      <c:valAx>
        <c:axId val="8971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6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28</xdr:row>
      <xdr:rowOff>23812</xdr:rowOff>
    </xdr:from>
    <xdr:to>
      <xdr:col>10</xdr:col>
      <xdr:colOff>695326</xdr:colOff>
      <xdr:row>44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D987A-DA16-4163-BEC2-4AEB5E282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23811</xdr:colOff>
      <xdr:row>28</xdr:row>
      <xdr:rowOff>33336</xdr:rowOff>
    </xdr:from>
    <xdr:to>
      <xdr:col>20</xdr:col>
      <xdr:colOff>314325</xdr:colOff>
      <xdr:row>43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1F24B-6037-8D48-D6D9-CD408C45E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371475</xdr:colOff>
      <xdr:row>10</xdr:row>
      <xdr:rowOff>138112</xdr:rowOff>
    </xdr:from>
    <xdr:to>
      <xdr:col>23</xdr:col>
      <xdr:colOff>66675</xdr:colOff>
      <xdr:row>24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DA2A57-B3AD-3819-089E-25D3577B7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floresg\Documents\Irrigation%20automatization\water_balance_data.xlsx" TargetMode="External"/><Relationship Id="rId1" Type="http://schemas.openxmlformats.org/officeDocument/2006/relationships/externalLinkPath" Target="water_balanc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month</v>
          </cell>
          <cell r="B1" t="str">
            <v>TOA_SW_DWN</v>
          </cell>
          <cell r="C1" t="str">
            <v>T2M_MAX</v>
          </cell>
          <cell r="D1" t="str">
            <v>T2M_MIN</v>
          </cell>
          <cell r="E1" t="str">
            <v>PRECTOTCORR</v>
          </cell>
          <cell r="F1" t="str">
            <v>WS2M</v>
          </cell>
        </row>
        <row r="2">
          <cell r="A2" t="str">
            <v>january</v>
          </cell>
          <cell r="B2">
            <v>13.85482404692082</v>
          </cell>
          <cell r="C2">
            <v>-1.670601173020529</v>
          </cell>
          <cell r="D2">
            <v>-10.83948680351908</v>
          </cell>
          <cell r="E2">
            <v>0.70848973607038013</v>
          </cell>
          <cell r="F2">
            <v>3.8822434017595291</v>
          </cell>
        </row>
        <row r="3">
          <cell r="A3" t="str">
            <v>february</v>
          </cell>
          <cell r="B3">
            <v>19.296525974025961</v>
          </cell>
          <cell r="C3">
            <v>0.3436038961038963</v>
          </cell>
          <cell r="D3">
            <v>-10.15253246753247</v>
          </cell>
          <cell r="E3">
            <v>0.94514610389610321</v>
          </cell>
          <cell r="F3">
            <v>3.8948863636363642</v>
          </cell>
        </row>
        <row r="4">
          <cell r="A4" t="str">
            <v>march</v>
          </cell>
          <cell r="B4">
            <v>26.74501466275661</v>
          </cell>
          <cell r="C4">
            <v>8.9278152492668568</v>
          </cell>
          <cell r="D4">
            <v>-2.7205865102639279</v>
          </cell>
          <cell r="E4">
            <v>1.488504398826977</v>
          </cell>
          <cell r="F4">
            <v>3.9970527859237501</v>
          </cell>
        </row>
        <row r="5">
          <cell r="A5" t="str">
            <v>april</v>
          </cell>
          <cell r="B5">
            <v>34.143893939393941</v>
          </cell>
          <cell r="C5">
            <v>16.178151515151509</v>
          </cell>
          <cell r="D5">
            <v>3.239454545454548</v>
          </cell>
          <cell r="E5">
            <v>2.939863636363631</v>
          </cell>
          <cell r="F5">
            <v>4.093121212121213</v>
          </cell>
        </row>
        <row r="6">
          <cell r="A6" t="str">
            <v>may</v>
          </cell>
          <cell r="B6">
            <v>39.429868035190623</v>
          </cell>
          <cell r="C6">
            <v>21.85186217008799</v>
          </cell>
          <cell r="D6">
            <v>9.8319794721407483</v>
          </cell>
          <cell r="E6">
            <v>3.7527272727272738</v>
          </cell>
          <cell r="F6">
            <v>3.50196480938417</v>
          </cell>
        </row>
        <row r="7">
          <cell r="A7" t="str">
            <v>june</v>
          </cell>
          <cell r="B7">
            <v>41.610181818181808</v>
          </cell>
          <cell r="C7">
            <v>27.39190909090906</v>
          </cell>
          <cell r="D7">
            <v>16.06369696969697</v>
          </cell>
          <cell r="E7">
            <v>4.1733484848484919</v>
          </cell>
          <cell r="F7">
            <v>2.855696969696969</v>
          </cell>
        </row>
        <row r="8">
          <cell r="A8" t="str">
            <v>july</v>
          </cell>
          <cell r="B8">
            <v>40.326563876651981</v>
          </cell>
          <cell r="C8">
            <v>29.674889867841411</v>
          </cell>
          <cell r="D8">
            <v>18.5106167400881</v>
          </cell>
          <cell r="E8">
            <v>2.9686343612334758</v>
          </cell>
          <cell r="F8">
            <v>2.4128193832599099</v>
          </cell>
        </row>
        <row r="9">
          <cell r="A9" t="str">
            <v>august</v>
          </cell>
          <cell r="B9">
            <v>35.823709677419323</v>
          </cell>
          <cell r="C9">
            <v>28.851759530791782</v>
          </cell>
          <cell r="D9">
            <v>17.248621700879738</v>
          </cell>
          <cell r="E9">
            <v>3.5034750733137829</v>
          </cell>
          <cell r="F9">
            <v>2.390293255131966</v>
          </cell>
        </row>
        <row r="10">
          <cell r="A10" t="str">
            <v>september</v>
          </cell>
          <cell r="B10">
            <v>29.098303030303061</v>
          </cell>
          <cell r="C10">
            <v>25.179893939393921</v>
          </cell>
          <cell r="D10">
            <v>12.612969696969691</v>
          </cell>
          <cell r="E10">
            <v>2.825318181818179</v>
          </cell>
          <cell r="F10">
            <v>2.833257575757576</v>
          </cell>
        </row>
        <row r="11">
          <cell r="A11" t="str">
            <v>october</v>
          </cell>
          <cell r="B11">
            <v>21.50913489736071</v>
          </cell>
          <cell r="C11">
            <v>16.756158357771231</v>
          </cell>
          <cell r="D11">
            <v>4.9232404692082152</v>
          </cell>
          <cell r="E11">
            <v>2.2947507331378252</v>
          </cell>
          <cell r="F11">
            <v>3.2305571847507339</v>
          </cell>
        </row>
        <row r="12">
          <cell r="A12" t="str">
            <v>november</v>
          </cell>
          <cell r="B12">
            <v>15.15500761035007</v>
          </cell>
          <cell r="C12">
            <v>8.8876712328767074</v>
          </cell>
          <cell r="D12">
            <v>-1.3968340943683411</v>
          </cell>
          <cell r="E12">
            <v>1.4142922374429201</v>
          </cell>
          <cell r="F12">
            <v>3.539756468797564</v>
          </cell>
        </row>
        <row r="13">
          <cell r="A13" t="str">
            <v>december</v>
          </cell>
          <cell r="B13">
            <v>12.1965542521994</v>
          </cell>
          <cell r="C13">
            <v>0.8842521994134902</v>
          </cell>
          <cell r="D13">
            <v>-7.5901466275659706</v>
          </cell>
          <cell r="E13">
            <v>1.218563049853371</v>
          </cell>
          <cell r="F13">
            <v>3.6674046920821119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29"/>
  <sheetViews>
    <sheetView tabSelected="1" topLeftCell="B1" workbookViewId="0">
      <selection activeCell="T49" sqref="T49"/>
    </sheetView>
  </sheetViews>
  <sheetFormatPr defaultRowHeight="15" x14ac:dyDescent="0.25"/>
  <cols>
    <col min="3" max="3" width="12" bestFit="1" customWidth="1"/>
    <col min="4" max="4" width="11.5703125" bestFit="1" customWidth="1"/>
    <col min="5" max="6" width="11.140625" bestFit="1" customWidth="1"/>
    <col min="9" max="9" width="13.7109375" bestFit="1" customWidth="1"/>
    <col min="10" max="10" width="9.42578125" bestFit="1" customWidth="1"/>
    <col min="11" max="11" width="11.140625" bestFit="1" customWidth="1"/>
    <col min="13" max="13" width="11.140625" bestFit="1" customWidth="1"/>
  </cols>
  <sheetData>
    <row r="3" spans="3:15" x14ac:dyDescent="0.25">
      <c r="C3" t="s">
        <v>0</v>
      </c>
      <c r="D3" s="40">
        <v>24.2</v>
      </c>
      <c r="E3" s="41" t="s">
        <v>1</v>
      </c>
    </row>
    <row r="4" spans="3:15" x14ac:dyDescent="0.25">
      <c r="C4" t="s">
        <v>2</v>
      </c>
      <c r="D4" s="42">
        <v>10</v>
      </c>
      <c r="E4" s="43" t="s">
        <v>1</v>
      </c>
    </row>
    <row r="5" spans="3:15" x14ac:dyDescent="0.25">
      <c r="C5" t="s">
        <v>3</v>
      </c>
      <c r="D5" s="42">
        <v>1.55</v>
      </c>
      <c r="E5" s="43" t="s">
        <v>4</v>
      </c>
    </row>
    <row r="6" spans="3:15" x14ac:dyDescent="0.25">
      <c r="C6" t="s">
        <v>5</v>
      </c>
      <c r="D6" s="42">
        <v>400</v>
      </c>
      <c r="E6" s="43" t="s">
        <v>6</v>
      </c>
    </row>
    <row r="7" spans="3:15" x14ac:dyDescent="0.25">
      <c r="C7" t="s">
        <v>7</v>
      </c>
      <c r="D7" s="42">
        <f>+((D3-D4)/100)*D5*D6</f>
        <v>88.039999999999992</v>
      </c>
      <c r="E7" s="43" t="s">
        <v>6</v>
      </c>
    </row>
    <row r="10" spans="3:15" ht="15.75" thickBot="1" x14ac:dyDescent="0.3"/>
    <row r="11" spans="3:15" ht="15.75" thickBot="1" x14ac:dyDescent="0.3">
      <c r="F11" s="22" t="s">
        <v>29</v>
      </c>
      <c r="G11" s="24"/>
      <c r="H11" s="22" t="s">
        <v>28</v>
      </c>
      <c r="I11" s="24"/>
      <c r="J11" s="22" t="s">
        <v>30</v>
      </c>
      <c r="K11" s="23"/>
      <c r="L11" s="24"/>
      <c r="M11" s="22" t="s">
        <v>34</v>
      </c>
      <c r="N11" s="23"/>
      <c r="O11" s="24"/>
    </row>
    <row r="12" spans="3:15" ht="15.75" thickBot="1" x14ac:dyDescent="0.3">
      <c r="F12" s="12" t="s">
        <v>23</v>
      </c>
      <c r="G12" s="13"/>
      <c r="H12" s="12" t="s">
        <v>6</v>
      </c>
      <c r="I12" s="13"/>
      <c r="J12" s="12" t="s">
        <v>6</v>
      </c>
      <c r="K12" s="16"/>
      <c r="L12" s="13"/>
      <c r="M12" s="36" t="s">
        <v>23</v>
      </c>
      <c r="N12" s="37" t="s">
        <v>1</v>
      </c>
      <c r="O12" s="19" t="s">
        <v>36</v>
      </c>
    </row>
    <row r="13" spans="3:15" ht="15.75" thickBot="1" x14ac:dyDescent="0.3">
      <c r="C13" s="7" t="s">
        <v>8</v>
      </c>
      <c r="D13" s="8" t="s">
        <v>20</v>
      </c>
      <c r="E13" s="11" t="s">
        <v>25</v>
      </c>
      <c r="F13" s="14" t="s">
        <v>22</v>
      </c>
      <c r="G13" s="15" t="s">
        <v>24</v>
      </c>
      <c r="H13" s="25" t="s">
        <v>26</v>
      </c>
      <c r="I13" s="17" t="s">
        <v>27</v>
      </c>
      <c r="J13" s="25" t="s">
        <v>31</v>
      </c>
      <c r="K13" s="26" t="s">
        <v>32</v>
      </c>
      <c r="L13" s="17" t="s">
        <v>33</v>
      </c>
      <c r="M13" s="25" t="s">
        <v>35</v>
      </c>
      <c r="N13" s="44"/>
      <c r="O13" s="17" t="s">
        <v>35</v>
      </c>
    </row>
    <row r="14" spans="3:15" x14ac:dyDescent="0.25">
      <c r="C14" s="3" t="s">
        <v>9</v>
      </c>
      <c r="D14" s="4">
        <v>31</v>
      </c>
      <c r="E14" s="9">
        <v>1.1499999999999999</v>
      </c>
      <c r="F14" s="18">
        <f>+VLOOKUP(C14,[1]Sheet1!$A$1:$F$13,5,FALSE)*D14</f>
        <v>21.963181818181784</v>
      </c>
      <c r="G14" s="27">
        <f>(0.0023*(VLOOKUP(C14,[1]Sheet1!$A$1:$F$13,2,FALSE)/2.45)*(([1]Sheet1!C2+[1]Sheet1!D2)/2+17.8)*(SQRT([1]Sheet1!C2-[1]Sheet1!D2))*D14)</f>
        <v>14.095322614683761</v>
      </c>
      <c r="H14" s="30">
        <f>+G14*E14</f>
        <v>16.209621006886323</v>
      </c>
      <c r="I14" s="31">
        <f>+IF(F14&gt;(0.9*G14^0.75),0.75*F14,F14)</f>
        <v>16.472386363636339</v>
      </c>
      <c r="J14" s="30">
        <f>+IF(I14&gt;H14, IF((I14-H14)&gt;$D$7,$D$7,I14-H14),0)</f>
        <v>0.26276535675001611</v>
      </c>
      <c r="K14" s="32">
        <f>+IF(I14&gt;H14,IF(J14=$D$7,I14-H14-$D$7,0),0)</f>
        <v>0</v>
      </c>
      <c r="L14" s="31">
        <f>+F14-I14</f>
        <v>5.4907954545454452</v>
      </c>
      <c r="M14" s="30">
        <f>+IF(I14&gt;H14,0,I14-H14)</f>
        <v>0</v>
      </c>
      <c r="N14" s="38">
        <f>+ABS(M14/H14)</f>
        <v>0</v>
      </c>
      <c r="O14" s="31">
        <f>+M14/D14</f>
        <v>0</v>
      </c>
    </row>
    <row r="15" spans="3:15" x14ac:dyDescent="0.25">
      <c r="C15" s="3" t="s">
        <v>10</v>
      </c>
      <c r="D15" s="4">
        <v>28</v>
      </c>
      <c r="E15" s="9">
        <v>1.1499999999999999</v>
      </c>
      <c r="F15" s="20">
        <f>+VLOOKUP(C15,[1]Sheet1!$A$1:$F$13,5,FALSE)*D15</f>
        <v>26.464090909090888</v>
      </c>
      <c r="G15" s="28">
        <f>(0.0023*(VLOOKUP(C15,[1]Sheet1!$A$1:$F$13,2,FALSE)/2.45)*(([1]Sheet1!C3+[1]Sheet1!D3)/2+17.8)*(SQRT([1]Sheet1!C3-[1]Sheet1!D3))*D15)</f>
        <v>21.19107712579785</v>
      </c>
      <c r="H15" s="30">
        <f t="shared" ref="H15:H25" si="0">+G15*E15</f>
        <v>24.369738694667525</v>
      </c>
      <c r="I15" s="31">
        <f t="shared" ref="I15:I25" si="1">+IF(F15&gt;(0.9*G15^0.75),0.75*F15,F15)</f>
        <v>19.848068181818167</v>
      </c>
      <c r="J15" s="30">
        <f>+IF(I15&gt;H15, IF(((I15+J14)-H15)&gt;$D$7,$D$7,(I15+J14)-H15),0)</f>
        <v>0</v>
      </c>
      <c r="K15" s="32">
        <f>+IF((I15+J14)&gt;H15,IF(J15=$D$7,I15+J14-H15-$D$7,0),0)</f>
        <v>0</v>
      </c>
      <c r="L15" s="31">
        <f t="shared" ref="L15:L25" si="2">+F15-I15</f>
        <v>6.6160227272727212</v>
      </c>
      <c r="M15" s="30">
        <f>+IF((I15+J14)&gt;H15,0,(I15+J14)-H15)</f>
        <v>-4.2589051560993418</v>
      </c>
      <c r="N15" s="38">
        <f t="shared" ref="N15:N25" si="3">+ABS(M15/H15)</f>
        <v>0.17476203620645533</v>
      </c>
      <c r="O15" s="31">
        <f t="shared" ref="O15:O25" si="4">+M15/D15</f>
        <v>-0.15210375557497649</v>
      </c>
    </row>
    <row r="16" spans="3:15" x14ac:dyDescent="0.25">
      <c r="C16" s="3" t="s">
        <v>11</v>
      </c>
      <c r="D16" s="4">
        <v>31</v>
      </c>
      <c r="E16" s="9">
        <v>1.1499999999999999</v>
      </c>
      <c r="F16" s="20">
        <f>+VLOOKUP(C16,[1]Sheet1!$A$1:$F$13,5,FALSE)*D16</f>
        <v>46.14363636363629</v>
      </c>
      <c r="G16" s="28">
        <f>(0.0023*(VLOOKUP(C16,[1]Sheet1!$A$1:$F$13,2,FALSE)/2.45)*(([1]Sheet1!C4+[1]Sheet1!D4)/2+17.8)*(SQRT([1]Sheet1!C4-[1]Sheet1!D4))*D16)</f>
        <v>55.529126436756712</v>
      </c>
      <c r="H16" s="30">
        <f t="shared" si="0"/>
        <v>63.858495402270215</v>
      </c>
      <c r="I16" s="31">
        <f t="shared" si="1"/>
        <v>34.607727272727217</v>
      </c>
      <c r="J16" s="30">
        <f t="shared" ref="J16:J25" si="5">+IF(I16&gt;H16, IF(((I16+J15)-H16)&gt;$D$7,$D$7,(I16+J15)-H16),0)</f>
        <v>0</v>
      </c>
      <c r="K16" s="32">
        <f t="shared" ref="K16:K25" si="6">+IF((I16+J15)&gt;H16,IF(J16=$D$7,I16+J15-H16-$D$7,0),0)</f>
        <v>0</v>
      </c>
      <c r="L16" s="31">
        <f t="shared" si="2"/>
        <v>11.535909090909072</v>
      </c>
      <c r="M16" s="30">
        <f t="shared" ref="M16:M25" si="7">+IF((I16+J15)&gt;H16,0,(I16+J15)-H16)</f>
        <v>-29.250768129542998</v>
      </c>
      <c r="N16" s="38">
        <f t="shared" si="3"/>
        <v>0.45805601815828428</v>
      </c>
      <c r="O16" s="31">
        <f t="shared" si="4"/>
        <v>-0.94357316546912895</v>
      </c>
    </row>
    <row r="17" spans="3:15" x14ac:dyDescent="0.25">
      <c r="C17" s="3" t="s">
        <v>12</v>
      </c>
      <c r="D17" s="4">
        <v>30</v>
      </c>
      <c r="E17" s="9">
        <v>1.1499999999999999</v>
      </c>
      <c r="F17" s="20">
        <f>+VLOOKUP(C17,[1]Sheet1!$A$1:$F$13,5,FALSE)*D17</f>
        <v>88.195909090908927</v>
      </c>
      <c r="G17" s="28">
        <f>(0.0023*(VLOOKUP(C17,[1]Sheet1!$A$1:$F$13,2,FALSE)/2.45)*(([1]Sheet1!C5+[1]Sheet1!D5)/2+17.8)*(SQRT([1]Sheet1!C5-[1]Sheet1!D5))*D17)</f>
        <v>95.150926087055353</v>
      </c>
      <c r="H17" s="30">
        <f t="shared" si="0"/>
        <v>109.42356500011365</v>
      </c>
      <c r="I17" s="31">
        <f t="shared" si="1"/>
        <v>66.146931818181699</v>
      </c>
      <c r="J17" s="30">
        <f t="shared" si="5"/>
        <v>0</v>
      </c>
      <c r="K17" s="32">
        <f t="shared" si="6"/>
        <v>0</v>
      </c>
      <c r="L17" s="31">
        <f t="shared" si="2"/>
        <v>22.048977272727228</v>
      </c>
      <c r="M17" s="30">
        <f t="shared" si="7"/>
        <v>-43.276633181931956</v>
      </c>
      <c r="N17" s="38">
        <f t="shared" si="3"/>
        <v>0.39549646533529598</v>
      </c>
      <c r="O17" s="31">
        <f t="shared" si="4"/>
        <v>-1.4425544393977319</v>
      </c>
    </row>
    <row r="18" spans="3:15" x14ac:dyDescent="0.25">
      <c r="C18" s="3" t="s">
        <v>21</v>
      </c>
      <c r="D18" s="4">
        <v>31</v>
      </c>
      <c r="E18" s="9">
        <v>1.1499999999999999</v>
      </c>
      <c r="F18" s="20">
        <f>+VLOOKUP(C18,[1]Sheet1!$A$1:$F$13,5,FALSE)*D18</f>
        <v>116.33454545454549</v>
      </c>
      <c r="G18" s="28">
        <f>(0.0023*(VLOOKUP(C18,[1]Sheet1!$A$1:$F$13,2,FALSE)/2.45)*(([1]Sheet1!C6+[1]Sheet1!D6)/2+17.8)*(SQRT([1]Sheet1!C6-[1]Sheet1!D6))*D18)</f>
        <v>133.83807086361412</v>
      </c>
      <c r="H18" s="30">
        <f t="shared" si="0"/>
        <v>153.91378149315622</v>
      </c>
      <c r="I18" s="31">
        <f t="shared" si="1"/>
        <v>87.250909090909119</v>
      </c>
      <c r="J18" s="30">
        <f t="shared" si="5"/>
        <v>0</v>
      </c>
      <c r="K18" s="32">
        <f t="shared" si="6"/>
        <v>0</v>
      </c>
      <c r="L18" s="31">
        <f t="shared" si="2"/>
        <v>29.083636363636373</v>
      </c>
      <c r="M18" s="30">
        <f t="shared" si="7"/>
        <v>-66.662872402247103</v>
      </c>
      <c r="N18" s="38">
        <f t="shared" si="3"/>
        <v>0.43311828060836299</v>
      </c>
      <c r="O18" s="31">
        <f t="shared" si="4"/>
        <v>-2.1504152387821645</v>
      </c>
    </row>
    <row r="19" spans="3:15" x14ac:dyDescent="0.25">
      <c r="C19" s="3" t="s">
        <v>13</v>
      </c>
      <c r="D19" s="4">
        <v>30</v>
      </c>
      <c r="E19" s="9">
        <v>1.1499999999999999</v>
      </c>
      <c r="F19" s="20">
        <f>+VLOOKUP(C19,[1]Sheet1!$A$1:$F$13,5,FALSE)*D19</f>
        <v>125.20045454545476</v>
      </c>
      <c r="G19" s="28">
        <f>(0.0023*(VLOOKUP(C19,[1]Sheet1!$A$1:$F$13,2,FALSE)/2.45)*(([1]Sheet1!C7+[1]Sheet1!D7)/2+17.8)*(SQRT([1]Sheet1!C7-[1]Sheet1!D7))*D19)</f>
        <v>155.90713214078511</v>
      </c>
      <c r="H19" s="30">
        <f t="shared" si="0"/>
        <v>179.29320196190287</v>
      </c>
      <c r="I19" s="31">
        <f t="shared" si="1"/>
        <v>93.900340909091071</v>
      </c>
      <c r="J19" s="30">
        <f t="shared" si="5"/>
        <v>0</v>
      </c>
      <c r="K19" s="32">
        <f t="shared" si="6"/>
        <v>0</v>
      </c>
      <c r="L19" s="31">
        <f t="shared" si="2"/>
        <v>31.30011363636369</v>
      </c>
      <c r="M19" s="30">
        <f t="shared" si="7"/>
        <v>-85.392861052811796</v>
      </c>
      <c r="N19" s="38">
        <f t="shared" si="3"/>
        <v>0.47627495141146792</v>
      </c>
      <c r="O19" s="31">
        <f t="shared" si="4"/>
        <v>-2.8464287017603933</v>
      </c>
    </row>
    <row r="20" spans="3:15" x14ac:dyDescent="0.25">
      <c r="C20" s="3" t="s">
        <v>14</v>
      </c>
      <c r="D20" s="4">
        <v>31</v>
      </c>
      <c r="E20" s="9">
        <v>1.1499999999999999</v>
      </c>
      <c r="F20" s="20">
        <f>+VLOOKUP(C20,[1]Sheet1!$A$1:$F$13,5,FALSE)*D20</f>
        <v>92.027665198237756</v>
      </c>
      <c r="G20" s="28">
        <f>(0.0023*(VLOOKUP(C20,[1]Sheet1!$A$1:$F$13,2,FALSE)/2.45)*(([1]Sheet1!C8+[1]Sheet1!D8)/2+17.8)*(SQRT([1]Sheet1!C8-[1]Sheet1!D8))*D20)</f>
        <v>164.2739857984962</v>
      </c>
      <c r="H20" s="30">
        <f t="shared" si="0"/>
        <v>188.91508366827063</v>
      </c>
      <c r="I20" s="31">
        <f t="shared" si="1"/>
        <v>69.02074889867832</v>
      </c>
      <c r="J20" s="30">
        <f t="shared" si="5"/>
        <v>0</v>
      </c>
      <c r="K20" s="32">
        <f t="shared" si="6"/>
        <v>0</v>
      </c>
      <c r="L20" s="31">
        <f t="shared" si="2"/>
        <v>23.006916299559435</v>
      </c>
      <c r="M20" s="30">
        <f t="shared" si="7"/>
        <v>-119.89433476959231</v>
      </c>
      <c r="N20" s="38">
        <f t="shared" si="3"/>
        <v>0.63464670179604743</v>
      </c>
      <c r="O20" s="31">
        <f t="shared" si="4"/>
        <v>-3.8675591861158809</v>
      </c>
    </row>
    <row r="21" spans="3:15" x14ac:dyDescent="0.25">
      <c r="C21" s="3" t="s">
        <v>15</v>
      </c>
      <c r="D21" s="4">
        <v>31</v>
      </c>
      <c r="E21" s="9">
        <v>1.1499999999999999</v>
      </c>
      <c r="F21" s="20">
        <f>+VLOOKUP(C21,[1]Sheet1!$A$1:$F$13,5,FALSE)*D21</f>
        <v>108.60772727272727</v>
      </c>
      <c r="G21" s="28">
        <f>(0.0023*(VLOOKUP(C21,[1]Sheet1!$A$1:$F$13,2,FALSE)/2.45)*(([1]Sheet1!C9+[1]Sheet1!D9)/2+17.8)*(SQRT([1]Sheet1!C9-[1]Sheet1!D9))*D21)</f>
        <v>145.06940007980521</v>
      </c>
      <c r="H21" s="30">
        <f t="shared" si="0"/>
        <v>166.82981009177598</v>
      </c>
      <c r="I21" s="31">
        <f t="shared" si="1"/>
        <v>81.455795454545452</v>
      </c>
      <c r="J21" s="30">
        <f t="shared" si="5"/>
        <v>0</v>
      </c>
      <c r="K21" s="32">
        <f t="shared" si="6"/>
        <v>0</v>
      </c>
      <c r="L21" s="31">
        <f t="shared" si="2"/>
        <v>27.151931818181822</v>
      </c>
      <c r="M21" s="30">
        <f t="shared" si="7"/>
        <v>-85.37401463723053</v>
      </c>
      <c r="N21" s="38">
        <f t="shared" si="3"/>
        <v>0.51174316262941733</v>
      </c>
      <c r="O21" s="31">
        <f t="shared" si="4"/>
        <v>-2.7540004721687268</v>
      </c>
    </row>
    <row r="22" spans="3:15" x14ac:dyDescent="0.25">
      <c r="C22" s="3" t="s">
        <v>16</v>
      </c>
      <c r="D22" s="4">
        <v>30</v>
      </c>
      <c r="E22" s="9">
        <v>1.1499999999999999</v>
      </c>
      <c r="F22" s="20">
        <f>+VLOOKUP(C22,[1]Sheet1!$A$1:$F$13,5,FALSE)*D22</f>
        <v>84.759545454545375</v>
      </c>
      <c r="G22" s="28">
        <f>(0.0023*(VLOOKUP(C22,[1]Sheet1!$A$1:$F$13,2,FALSE)/2.45)*(([1]Sheet1!C10+[1]Sheet1!D10)/2+17.8)*(SQRT([1]Sheet1!C10-[1]Sheet1!D10))*D22)</f>
        <v>106.60780580697777</v>
      </c>
      <c r="H22" s="30">
        <f t="shared" si="0"/>
        <v>122.59897667802441</v>
      </c>
      <c r="I22" s="31">
        <f t="shared" si="1"/>
        <v>63.569659090909028</v>
      </c>
      <c r="J22" s="30">
        <f t="shared" si="5"/>
        <v>0</v>
      </c>
      <c r="K22" s="32">
        <f t="shared" si="6"/>
        <v>0</v>
      </c>
      <c r="L22" s="31">
        <f t="shared" si="2"/>
        <v>21.189886363636347</v>
      </c>
      <c r="M22" s="30">
        <f t="shared" si="7"/>
        <v>-59.029317587115386</v>
      </c>
      <c r="N22" s="38">
        <f t="shared" si="3"/>
        <v>0.48148295513217165</v>
      </c>
      <c r="O22" s="31">
        <f t="shared" si="4"/>
        <v>-1.9676439195705129</v>
      </c>
    </row>
    <row r="23" spans="3:15" x14ac:dyDescent="0.25">
      <c r="C23" s="3" t="s">
        <v>17</v>
      </c>
      <c r="D23" s="4">
        <v>31</v>
      </c>
      <c r="E23" s="9">
        <v>1.1499999999999999</v>
      </c>
      <c r="F23" s="20">
        <f>+VLOOKUP(C23,[1]Sheet1!$A$1:$F$13,5,FALSE)*D23</f>
        <v>71.137272727272574</v>
      </c>
      <c r="G23" s="28">
        <f>(0.0023*(VLOOKUP(C23,[1]Sheet1!$A$1:$F$13,2,FALSE)/2.45)*(([1]Sheet1!C11+[1]Sheet1!D11)/2+17.8)*(SQRT([1]Sheet1!C11-[1]Sheet1!D11))*D23)</f>
        <v>61.668128653206701</v>
      </c>
      <c r="H23" s="30">
        <f t="shared" si="0"/>
        <v>70.918347951187698</v>
      </c>
      <c r="I23" s="31">
        <f t="shared" si="1"/>
        <v>53.352954545454431</v>
      </c>
      <c r="J23" s="30">
        <f t="shared" si="5"/>
        <v>0</v>
      </c>
      <c r="K23" s="32">
        <f t="shared" si="6"/>
        <v>0</v>
      </c>
      <c r="L23" s="31">
        <f t="shared" si="2"/>
        <v>17.784318181818144</v>
      </c>
      <c r="M23" s="30">
        <f t="shared" si="7"/>
        <v>-17.565393405733268</v>
      </c>
      <c r="N23" s="38">
        <f t="shared" si="3"/>
        <v>0.24768475173481663</v>
      </c>
      <c r="O23" s="31">
        <f t="shared" si="4"/>
        <v>-0.56662559373333121</v>
      </c>
    </row>
    <row r="24" spans="3:15" x14ac:dyDescent="0.25">
      <c r="C24" s="3" t="s">
        <v>18</v>
      </c>
      <c r="D24" s="4">
        <v>30</v>
      </c>
      <c r="E24" s="9">
        <v>1.1499999999999999</v>
      </c>
      <c r="F24" s="20">
        <f>+VLOOKUP(C24,[1]Sheet1!$A$1:$F$13,5,FALSE)*D24</f>
        <v>42.428767123287599</v>
      </c>
      <c r="G24" s="28">
        <f>(0.0023*(VLOOKUP(C24,[1]Sheet1!$A$1:$F$13,2,FALSE)/2.45)*(([1]Sheet1!C12+[1]Sheet1!D12)/2+17.8)*(SQRT([1]Sheet1!C12-[1]Sheet1!D12))*D24)</f>
        <v>29.490749119635094</v>
      </c>
      <c r="H24" s="30">
        <f t="shared" si="0"/>
        <v>33.914361487580358</v>
      </c>
      <c r="I24" s="31">
        <f t="shared" si="1"/>
        <v>31.8215753424657</v>
      </c>
      <c r="J24" s="30">
        <f t="shared" si="5"/>
        <v>0</v>
      </c>
      <c r="K24" s="32">
        <f t="shared" si="6"/>
        <v>0</v>
      </c>
      <c r="L24" s="31">
        <f t="shared" si="2"/>
        <v>10.6071917808219</v>
      </c>
      <c r="M24" s="30">
        <f t="shared" si="7"/>
        <v>-2.0927861451146583</v>
      </c>
      <c r="N24" s="38">
        <f t="shared" si="3"/>
        <v>6.1707962447739115E-2</v>
      </c>
      <c r="O24" s="31">
        <f t="shared" si="4"/>
        <v>-6.9759538170488605E-2</v>
      </c>
    </row>
    <row r="25" spans="3:15" ht="15.75" thickBot="1" x14ac:dyDescent="0.3">
      <c r="C25" s="5" t="s">
        <v>19</v>
      </c>
      <c r="D25" s="6">
        <v>31</v>
      </c>
      <c r="E25" s="10">
        <v>1.1499999999999999</v>
      </c>
      <c r="F25" s="21">
        <f>+VLOOKUP(C25,[1]Sheet1!$A$1:$F$13,5,FALSE)*D25</f>
        <v>37.775454545454501</v>
      </c>
      <c r="G25" s="29">
        <f>(0.0023*(VLOOKUP(C25,[1]Sheet1!$A$1:$F$13,2,FALSE)/2.45)*(([1]Sheet1!C13+[1]Sheet1!D13)/2+17.8)*(SQRT([1]Sheet1!C13-[1]Sheet1!D13))*D25)</f>
        <v>14.927748398485075</v>
      </c>
      <c r="H25" s="33">
        <f t="shared" si="0"/>
        <v>17.166910658257834</v>
      </c>
      <c r="I25" s="34">
        <f t="shared" si="1"/>
        <v>28.331590909090878</v>
      </c>
      <c r="J25" s="33">
        <f t="shared" si="5"/>
        <v>11.164680250833044</v>
      </c>
      <c r="K25" s="35">
        <f t="shared" si="6"/>
        <v>0</v>
      </c>
      <c r="L25" s="34">
        <f t="shared" si="2"/>
        <v>9.4438636363636235</v>
      </c>
      <c r="M25" s="33">
        <f t="shared" si="7"/>
        <v>0</v>
      </c>
      <c r="N25" s="39">
        <f t="shared" si="3"/>
        <v>0</v>
      </c>
      <c r="O25" s="34">
        <f t="shared" si="4"/>
        <v>0</v>
      </c>
    </row>
    <row r="28" spans="3:15" x14ac:dyDescent="0.25">
      <c r="E28" s="1" t="s">
        <v>37</v>
      </c>
      <c r="F28" s="1"/>
      <c r="G28" s="1"/>
      <c r="M28" s="1" t="s">
        <v>38</v>
      </c>
      <c r="N28" s="1"/>
      <c r="O28" s="1"/>
    </row>
    <row r="29" spans="3:15" x14ac:dyDescent="0.25">
      <c r="M29" s="2"/>
      <c r="N29" s="2"/>
      <c r="O29" s="2"/>
    </row>
  </sheetData>
  <mergeCells count="10">
    <mergeCell ref="J12:L12"/>
    <mergeCell ref="J11:L11"/>
    <mergeCell ref="M11:O11"/>
    <mergeCell ref="N12:N13"/>
    <mergeCell ref="E28:G28"/>
    <mergeCell ref="M28:O28"/>
    <mergeCell ref="F12:G12"/>
    <mergeCell ref="H12:I12"/>
    <mergeCell ref="F11:G11"/>
    <mergeCell ref="H11:I1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 Godoy, Arturo J [AGRON]</dc:creator>
  <cp:lastModifiedBy>Flores Godoy, Arturo J</cp:lastModifiedBy>
  <dcterms:created xsi:type="dcterms:W3CDTF">2015-06-05T18:17:20Z</dcterms:created>
  <dcterms:modified xsi:type="dcterms:W3CDTF">2023-01-24T19:57:59Z</dcterms:modified>
</cp:coreProperties>
</file>