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oresg\Documents\irrigation\Irrigation automatization\water balance\"/>
    </mc:Choice>
  </mc:AlternateContent>
  <xr:revisionPtr revIDLastSave="0" documentId="13_ncr:1_{D7BB0D43-20C7-4675-9D33-273CDAB0D4A3}" xr6:coauthVersionLast="47" xr6:coauthVersionMax="47" xr10:uidLastSave="{00000000-0000-0000-0000-000000000000}"/>
  <bookViews>
    <workbookView xWindow="-110" yWindow="-110" windowWidth="19420" windowHeight="10420" activeTab="1" xr2:uid="{816EB181-6C9C-4FB7-8CDB-D7442D81C590}"/>
  </bookViews>
  <sheets>
    <sheet name="raw_data" sheetId="2" r:id="rId1"/>
    <sheet name="Water 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E13" i="1"/>
  <c r="F13" i="1"/>
  <c r="I13" i="1" s="1"/>
  <c r="L13" i="1" s="1"/>
  <c r="E14" i="1"/>
  <c r="F14" i="1"/>
  <c r="I14" i="1" s="1"/>
  <c r="L14" i="1" s="1"/>
  <c r="E15" i="1"/>
  <c r="F15" i="1"/>
  <c r="I15" i="1" s="1"/>
  <c r="L15" i="1" s="1"/>
  <c r="E16" i="1"/>
  <c r="F16" i="1"/>
  <c r="H16" i="1" s="1"/>
  <c r="E17" i="1"/>
  <c r="F17" i="1"/>
  <c r="H17" i="1" s="1"/>
  <c r="E18" i="1"/>
  <c r="F18" i="1"/>
  <c r="H18" i="1" s="1"/>
  <c r="E19" i="1"/>
  <c r="F19" i="1"/>
  <c r="H19" i="1" s="1"/>
  <c r="E20" i="1"/>
  <c r="F20" i="1"/>
  <c r="H20" i="1" s="1"/>
  <c r="E21" i="1"/>
  <c r="F21" i="1"/>
  <c r="H21" i="1" s="1"/>
  <c r="E22" i="1"/>
  <c r="F22" i="1"/>
  <c r="H22" i="1" s="1"/>
  <c r="E23" i="1"/>
  <c r="F23" i="1"/>
  <c r="H23" i="1" s="1"/>
  <c r="H12" i="1"/>
  <c r="I12" i="1"/>
  <c r="I20" i="1"/>
  <c r="L20" i="1" s="1"/>
  <c r="I21" i="1"/>
  <c r="L21" i="1" s="1"/>
  <c r="I22" i="1"/>
  <c r="L22" i="1" s="1"/>
  <c r="I23" i="1"/>
  <c r="L23" i="1" s="1"/>
  <c r="C7" i="1"/>
  <c r="H13" i="1"/>
  <c r="I3" i="2"/>
  <c r="I4" i="2"/>
  <c r="I5" i="2"/>
  <c r="I6" i="2"/>
  <c r="I7" i="2"/>
  <c r="I8" i="2"/>
  <c r="I9" i="2"/>
  <c r="I10" i="2"/>
  <c r="I11" i="2"/>
  <c r="I12" i="2"/>
  <c r="I13" i="2"/>
  <c r="I2" i="2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J2" i="2"/>
  <c r="H15" i="1" l="1"/>
  <c r="H14" i="1"/>
  <c r="I19" i="1"/>
  <c r="L19" i="1" s="1"/>
  <c r="I18" i="1"/>
  <c r="L18" i="1" s="1"/>
  <c r="I17" i="1"/>
  <c r="L17" i="1" s="1"/>
  <c r="I16" i="1"/>
  <c r="L16" i="1" s="1"/>
  <c r="E24" i="1"/>
  <c r="I24" i="1"/>
  <c r="L12" i="1"/>
  <c r="M12" i="1"/>
  <c r="O12" i="1" s="1"/>
  <c r="J12" i="1"/>
  <c r="K12" i="1" s="1"/>
  <c r="L24" i="1" l="1"/>
  <c r="J13" i="1"/>
  <c r="M14" i="1" s="1"/>
  <c r="M13" i="1"/>
  <c r="N12" i="1"/>
  <c r="O14" i="1" l="1"/>
  <c r="J14" i="1"/>
  <c r="J15" i="1" s="1"/>
  <c r="K15" i="1" s="1"/>
  <c r="K13" i="1"/>
  <c r="O13" i="1"/>
  <c r="N13" i="1"/>
  <c r="N14" i="1"/>
  <c r="M15" i="1" l="1"/>
  <c r="O15" i="1" s="1"/>
  <c r="J16" i="1"/>
  <c r="K16" i="1" s="1"/>
  <c r="K14" i="1"/>
  <c r="N15" i="1"/>
  <c r="M16" i="1"/>
  <c r="O16" i="1" s="1"/>
  <c r="J17" i="1" l="1"/>
  <c r="K17" i="1" s="1"/>
  <c r="M17" i="1"/>
  <c r="O17" i="1" s="1"/>
  <c r="N16" i="1"/>
  <c r="J18" i="1" l="1"/>
  <c r="K18" i="1" s="1"/>
  <c r="N17" i="1"/>
  <c r="M18" i="1"/>
  <c r="O18" i="1" s="1"/>
  <c r="J19" i="1" l="1"/>
  <c r="K19" i="1" s="1"/>
  <c r="M19" i="1"/>
  <c r="O19" i="1" s="1"/>
  <c r="N18" i="1"/>
  <c r="J20" i="1" l="1"/>
  <c r="K20" i="1" s="1"/>
  <c r="M20" i="1"/>
  <c r="O20" i="1" s="1"/>
  <c r="N19" i="1"/>
  <c r="J21" i="1" l="1"/>
  <c r="K21" i="1" s="1"/>
  <c r="M21" i="1"/>
  <c r="O21" i="1" s="1"/>
  <c r="N20" i="1"/>
  <c r="J22" i="1" l="1"/>
  <c r="K22" i="1" s="1"/>
  <c r="M22" i="1"/>
  <c r="O22" i="1" s="1"/>
  <c r="N21" i="1"/>
  <c r="J23" i="1" l="1"/>
  <c r="J24" i="1" s="1"/>
  <c r="N22" i="1"/>
  <c r="M23" i="1"/>
  <c r="K23" i="1" l="1"/>
  <c r="K24" i="1" s="1"/>
  <c r="O23" i="1"/>
  <c r="O24" i="1" s="1"/>
  <c r="M24" i="1"/>
  <c r="N23" i="1"/>
</calcChain>
</file>

<file path=xl/sharedStrings.xml><?xml version="1.0" encoding="utf-8"?>
<sst xmlns="http://schemas.openxmlformats.org/spreadsheetml/2006/main" count="71" uniqueCount="51">
  <si>
    <t>FC</t>
  </si>
  <si>
    <t>% (W/W)</t>
  </si>
  <si>
    <t>PWP</t>
  </si>
  <si>
    <t>root depth</t>
  </si>
  <si>
    <t>mm</t>
  </si>
  <si>
    <t>max water level</t>
  </si>
  <si>
    <t>ETo</t>
  </si>
  <si>
    <t>rain</t>
  </si>
  <si>
    <t>kc</t>
  </si>
  <si>
    <t>mm-month</t>
  </si>
  <si>
    <t>ETr</t>
  </si>
  <si>
    <t>effective-rain</t>
  </si>
  <si>
    <t>retention</t>
  </si>
  <si>
    <t>percolation</t>
  </si>
  <si>
    <t>runoff</t>
  </si>
  <si>
    <t>deficit</t>
  </si>
  <si>
    <t>%</t>
  </si>
  <si>
    <t>mm-day</t>
  </si>
  <si>
    <t>days-month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</si>
  <si>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</si>
  <si>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</si>
  <si>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</si>
  <si>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</si>
  <si>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</si>
  <si>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</si>
  <si>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</si>
  <si>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</si>
  <si>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</si>
  <si>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</si>
  <si>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</si>
  <si>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</si>
  <si>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</si>
  <si>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TOA_SW_DWN</t>
  </si>
  <si>
    <t>T2M_MAX</t>
  </si>
  <si>
    <t>T2M_MIN</t>
  </si>
  <si>
    <t>PRECTOTCORR</t>
  </si>
  <si>
    <t>WS2M</t>
  </si>
  <si>
    <t>Ra (mm-day)</t>
  </si>
  <si>
    <t>T°m (°C)</t>
  </si>
  <si>
    <t>∆T° (°C)</t>
  </si>
  <si>
    <t>rain (mm-month)</t>
  </si>
  <si>
    <t>bulk density</t>
  </si>
  <si>
    <t>g/cm3</t>
  </si>
  <si>
    <t>eto vs etr</t>
  </si>
  <si>
    <t>***** Copy your data obtained from the POWER website obtained previosly*****</t>
  </si>
  <si>
    <t>***Copy all the data, including the headings***</t>
  </si>
  <si>
    <t>***Click on the yellow cell on this document (A1) and paste your data****</t>
  </si>
  <si>
    <t>***Go to sheet labeled as "Water Balance" and fill the soil/crop information***</t>
  </si>
  <si>
    <t>WATER BALANCE FORMAT</t>
  </si>
  <si>
    <t>REQUIRED DATA</t>
  </si>
  <si>
    <t xml:space="preserve">** introduce the data on the required data box**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</si>
</sst>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0" fontId="1" fillId="2" borderId="15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4" borderId="16" xfId="0" applyFont="1" applyFill="1" applyBorder="1" applyAlignment="1">
      <alignment horizontal="center" vertical="top"/>
    </xf>
    <xf numFmtId="0" fontId="1" fillId="4" borderId="17" xfId="0" applyFont="1" applyFill="1" applyBorder="1" applyAlignment="1">
      <alignment horizontal="center" vertical="top"/>
    </xf>
    <xf numFmtId="0" fontId="1" fillId="4" borderId="18" xfId="0" applyFont="1" applyFill="1" applyBorder="1" applyAlignment="1">
      <alignment horizontal="center" vertical="top"/>
    </xf>
    <xf numFmtId="164" fontId="0" fillId="4" borderId="0" xfId="0" applyNumberFormat="1" applyFill="1" applyBorder="1"/>
    <xf numFmtId="164" fontId="0" fillId="4" borderId="6" xfId="0" applyNumberFormat="1" applyFill="1" applyBorder="1"/>
    <xf numFmtId="0" fontId="1" fillId="4" borderId="19" xfId="0" applyFont="1" applyFill="1" applyBorder="1" applyAlignment="1">
      <alignment horizontal="center" vertical="top"/>
    </xf>
    <xf numFmtId="164" fontId="0" fillId="4" borderId="8" xfId="0" applyNumberFormat="1" applyFill="1" applyBorder="1"/>
    <xf numFmtId="164" fontId="0" fillId="4" borderId="9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'Water Balance'!$C$12:$C$23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Balance'!$E$12:$E$23</c:f>
              <c:numCache>
                <c:formatCode>0.00</c:formatCode>
                <c:ptCount val="12"/>
                <c:pt idx="0">
                  <c:v>21.963181818181784</c:v>
                </c:pt>
                <c:pt idx="1">
                  <c:v>26.464090909090888</c:v>
                </c:pt>
                <c:pt idx="2">
                  <c:v>46.14363636363629</c:v>
                </c:pt>
                <c:pt idx="3">
                  <c:v>88.195909090908927</c:v>
                </c:pt>
                <c:pt idx="4">
                  <c:v>116.33454545454549</c:v>
                </c:pt>
                <c:pt idx="5">
                  <c:v>125.20045454545476</c:v>
                </c:pt>
                <c:pt idx="6">
                  <c:v>92.027665198237756</c:v>
                </c:pt>
                <c:pt idx="7">
                  <c:v>108.60772727272727</c:v>
                </c:pt>
                <c:pt idx="8">
                  <c:v>84.759545454545375</c:v>
                </c:pt>
                <c:pt idx="9">
                  <c:v>71.137272727272574</c:v>
                </c:pt>
                <c:pt idx="10">
                  <c:v>42.428767123287599</c:v>
                </c:pt>
                <c:pt idx="11">
                  <c:v>37.775454545454501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396-A083-7DBDD4AF163A}"/>
            </c:ext>
          </c:extLst>
        </c:ser>
        <c:ser>
          <c:idx val="1"/>
          <c:order val="1"/>
          <c:tx>
            <c:v>effective 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'Water Balance'!$I$12:$I$23</c:f>
              <c:numCache>
                <c:formatCode>0.0</c:formatCode>
                <c:ptCount val="12"/>
                <c:pt idx="0">
                  <c:v>16.472386363636339</c:v>
                </c:pt>
                <c:pt idx="1">
                  <c:v>19.848068181818167</c:v>
                </c:pt>
                <c:pt idx="2">
                  <c:v>34.607727272727217</c:v>
                </c:pt>
                <c:pt idx="3">
                  <c:v>66.146931818181699</c:v>
                </c:pt>
                <c:pt idx="4">
                  <c:v>87.250909090909119</c:v>
                </c:pt>
                <c:pt idx="5">
                  <c:v>93.900340909091071</c:v>
                </c:pt>
                <c:pt idx="6">
                  <c:v>69.02074889867832</c:v>
                </c:pt>
                <c:pt idx="7">
                  <c:v>81.455795454545452</c:v>
                </c:pt>
                <c:pt idx="8">
                  <c:v>63.569659090909028</c:v>
                </c:pt>
                <c:pt idx="9">
                  <c:v>53.352954545454431</c:v>
                </c:pt>
                <c:pt idx="10">
                  <c:v>31.8215753424657</c:v>
                </c:pt>
                <c:pt idx="11">
                  <c:v>28.331590909090878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396-A083-7DBDD4AF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51535"/>
        <c:axId val="2023849871"/>
      </c:lineChart>
      <c:catAx>
        <c:axId val="20238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49871"/>
        <c:crosses val="autoZero"/>
        <c:auto val="1"/>
        <c:lblAlgn val="ctr"/>
        <c:lblOffset val="100"/>
        <c:noMultiLvlLbl val="0"/>
      </c:catAx>
      <c:valAx>
        <c:axId val="20238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'Water Balance'!$C$12:$C$23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Balance'!$F$12:$F$23</c:f>
              <c:numCache>
                <c:formatCode>0.00</c:formatCode>
                <c:ptCount val="12"/>
                <c:pt idx="0">
                  <c:v>0.45468782628012133</c:v>
                </c:pt>
                <c:pt idx="1">
                  <c:v>0.75682418306420896</c:v>
                </c:pt>
                <c:pt idx="2">
                  <c:v>1.7912621431211844</c:v>
                </c:pt>
                <c:pt idx="3">
                  <c:v>3.1716975362351785</c:v>
                </c:pt>
                <c:pt idx="4">
                  <c:v>4.3173571246327134</c:v>
                </c:pt>
                <c:pt idx="5">
                  <c:v>5.1969044046928374</c:v>
                </c:pt>
                <c:pt idx="6">
                  <c:v>5.2991608322095551</c:v>
                </c:pt>
                <c:pt idx="7">
                  <c:v>4.6796580670904904</c:v>
                </c:pt>
                <c:pt idx="8">
                  <c:v>3.5535935268992587</c:v>
                </c:pt>
                <c:pt idx="9">
                  <c:v>1.9892944726840871</c:v>
                </c:pt>
                <c:pt idx="10">
                  <c:v>0.98302497065450312</c:v>
                </c:pt>
                <c:pt idx="11">
                  <c:v>0.48154027091887341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9-47DC-AB90-65E1E46F42C6}"/>
            </c:ext>
          </c:extLst>
        </c:ser>
        <c:ser>
          <c:idx val="0"/>
          <c:order val="1"/>
          <c:tx>
            <c:v>etr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'Water Balance'!$H$12:$H$23</c:f>
              <c:numCache>
                <c:formatCode>0.00</c:formatCode>
                <c:ptCount val="12"/>
                <c:pt idx="0">
                  <c:v>0.54562539153614553</c:v>
                </c:pt>
                <c:pt idx="1">
                  <c:v>0.90818901967705068</c:v>
                </c:pt>
                <c:pt idx="2">
                  <c:v>2.1495145717454212</c:v>
                </c:pt>
                <c:pt idx="3">
                  <c:v>3.8060370434822142</c:v>
                </c:pt>
                <c:pt idx="4">
                  <c:v>5.1808285495592559</c:v>
                </c:pt>
                <c:pt idx="5">
                  <c:v>6.2362852856314044</c:v>
                </c:pt>
                <c:pt idx="6">
                  <c:v>6.3589929986514662</c:v>
                </c:pt>
                <c:pt idx="7">
                  <c:v>5.6155896805085881</c:v>
                </c:pt>
                <c:pt idx="8">
                  <c:v>4.26431223227911</c:v>
                </c:pt>
                <c:pt idx="9">
                  <c:v>2.3871533672209044</c:v>
                </c:pt>
                <c:pt idx="10">
                  <c:v>1.1796299647854036</c:v>
                </c:pt>
                <c:pt idx="11">
                  <c:v>0.57784832510264805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9-47DC-AB90-65E1E46F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33055"/>
        <c:axId val="2015334303"/>
      </c:lineChart>
      <c:catAx>
        <c:axId val="20153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4303"/>
        <c:crosses val="autoZero"/>
        <c:auto val="1"/>
        <c:lblAlgn val="ctr"/>
        <c:lblOffset val="100"/>
        <c:noMultiLvlLbl val="0"/>
      </c:catAx>
      <c:valAx>
        <c:axId val="20153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deficit (mm-month)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'Water Balance'!$C$12:$C$23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Balance'!$M$12:$M$23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407-BF98-85F231F5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654255"/>
        <c:axId val="1887770351"/>
      </c:lineChart>
      <c:catAx>
        <c:axId val="17846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70351"/>
        <c:crosses val="autoZero"/>
        <c:auto val="1"/>
        <c:lblAlgn val="ctr"/>
        <c:lblOffset val="100"/>
        <c:noMultiLvlLbl val="0"/>
      </c:catAx>
      <c:valAx>
        <c:axId val="18877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974725</xdr:colOff>
      <xdr:row>27</xdr:row>
      <xdr:rowOff>9525</xdr:rowOff>
    </xdr:from>
    <xdr:to>
      <xdr:col>8</xdr:col>
      <xdr:colOff>473075</xdr:colOff>
      <xdr:row>41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7400-6952-A7FD-184F-E54242514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27</xdr:row>
      <xdr:rowOff>28575</xdr:rowOff>
    </xdr:from>
    <xdr:to>
      <xdr:col>17</xdr:col>
      <xdr:colOff>117475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756A7-0229-A72A-AB79-7A66553F0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9</xdr:row>
      <xdr:rowOff>3175</xdr:rowOff>
    </xdr:from>
    <xdr:to>
      <xdr:col>23</xdr:col>
      <xdr:colOff>295275</xdr:colOff>
      <xdr:row>23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25285-C018-3846-6E1D-7ABE6B58B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672E-2C17-4B20-8323-A710AEB25626}">
  <dimension ref="A1:L18"/>
  <sheetViews>
    <sheetView workbookViewId="0">
      <selection activeCell="J21" sqref="J21"/>
    </sheetView>
  </sheetViews>
  <sheetFormatPr defaultRowHeight="14.5" x14ac:dyDescent="0.35"/>
  <cols>
    <col min="2" max="2" width="13.54296875" bestFit="1" customWidth="1"/>
    <col min="3" max="3" width="9.54296875" bestFit="1" customWidth="1"/>
    <col min="4" max="4" width="9.08984375" bestFit="1" customWidth="1"/>
    <col min="5" max="5" width="13.1796875" bestFit="1" customWidth="1"/>
    <col min="6" max="6" width="6.26953125" bestFit="1" customWidth="1"/>
    <col min="8" max="8" width="11.6328125" bestFit="1" customWidth="1"/>
    <col min="9" max="9" width="15.36328125" bestFit="1" customWidth="1"/>
    <col min="10" max="10" width="11.54296875" bestFit="1" customWidth="1"/>
    <col min="11" max="11" width="7.54296875" bestFit="1" customWidth="1"/>
    <col min="12" max="12" width="7" bestFit="1" customWidth="1"/>
  </cols>
  <sheetData>
    <row r="1" spans="1:12" ht="15" thickBot="1" x14ac:dyDescent="0.4">
      <c r="A1" s="27" t="s">
        <v>19</v>
      </c>
      <c r="B1" s="52" t="s">
        <v>32</v>
      </c>
      <c r="C1" s="52" t="s">
        <v>33</v>
      </c>
      <c r="D1" s="52" t="s">
        <v>34</v>
      </c>
      <c r="E1" s="52" t="s">
        <v>35</v>
      </c>
      <c r="F1" s="53" t="s">
        <v>36</v>
      </c>
      <c r="H1" s="30" t="s">
        <v>18</v>
      </c>
      <c r="I1" s="31" t="s">
        <v>40</v>
      </c>
      <c r="J1" s="31" t="s">
        <v>37</v>
      </c>
      <c r="K1" s="31" t="s">
        <v>38</v>
      </c>
      <c r="L1" s="32" t="s">
        <v>39</v>
      </c>
    </row>
    <row r="2" spans="1:12" x14ac:dyDescent="0.35">
      <c r="A2" s="54" t="s">
        <v>20</v>
      </c>
      <c r="B2" s="55">
        <v>13.85482404692082</v>
      </c>
      <c r="C2" s="55">
        <v>-1.670601173020529</v>
      </c>
      <c r="D2" s="55">
        <v>-10.83948680351908</v>
      </c>
      <c r="E2" s="55">
        <v>0.70848973607038013</v>
      </c>
      <c r="F2" s="56">
        <v>3.8822434017595291</v>
      </c>
      <c r="H2" s="39">
        <v>31</v>
      </c>
      <c r="I2" s="40">
        <f>+E2*H2</f>
        <v>21.963181818181784</v>
      </c>
      <c r="J2" s="40">
        <f>+B2/2.45</f>
        <v>5.6550302232329877</v>
      </c>
      <c r="K2" s="40">
        <f>+(C2+D2)/2</f>
        <v>-6.2550439882698043</v>
      </c>
      <c r="L2" s="41">
        <f>+C2-D2</f>
        <v>9.1688856304985507</v>
      </c>
    </row>
    <row r="3" spans="1:12" x14ac:dyDescent="0.35">
      <c r="A3" s="54" t="s">
        <v>21</v>
      </c>
      <c r="B3" s="55">
        <v>19.296525974025961</v>
      </c>
      <c r="C3" s="55">
        <v>0.3436038961038963</v>
      </c>
      <c r="D3" s="55">
        <v>-10.15253246753247</v>
      </c>
      <c r="E3" s="55">
        <v>0.94514610389610321</v>
      </c>
      <c r="F3" s="56">
        <v>3.8948863636363642</v>
      </c>
      <c r="H3" s="33">
        <v>28</v>
      </c>
      <c r="I3" s="35">
        <f t="shared" ref="I3:I13" si="0">+E3*H3</f>
        <v>26.464090909090888</v>
      </c>
      <c r="J3" s="35">
        <f>+B3/2.45</f>
        <v>7.8761330506228404</v>
      </c>
      <c r="K3" s="35">
        <f>+(C3+D3)/2</f>
        <v>-4.9044642857142868</v>
      </c>
      <c r="L3" s="36">
        <f>+C3-D3</f>
        <v>10.496136363636367</v>
      </c>
    </row>
    <row r="4" spans="1:12" x14ac:dyDescent="0.35">
      <c r="A4" s="54" t="s">
        <v>22</v>
      </c>
      <c r="B4" s="55">
        <v>26.74501466275661</v>
      </c>
      <c r="C4" s="55">
        <v>8.9278152492668568</v>
      </c>
      <c r="D4" s="55">
        <v>-2.7205865102639279</v>
      </c>
      <c r="E4" s="55">
        <v>1.488504398826977</v>
      </c>
      <c r="F4" s="56">
        <v>3.9970527859237501</v>
      </c>
      <c r="H4" s="33">
        <v>31</v>
      </c>
      <c r="I4" s="35">
        <f t="shared" si="0"/>
        <v>46.14363636363629</v>
      </c>
      <c r="J4" s="35">
        <f>+B4/2.45</f>
        <v>10.916332515410861</v>
      </c>
      <c r="K4" s="35">
        <f>+(C4+D4)/2</f>
        <v>3.1036143695014644</v>
      </c>
      <c r="L4" s="36">
        <f>+C4-D4</f>
        <v>11.648401759530785</v>
      </c>
    </row>
    <row r="5" spans="1:12" x14ac:dyDescent="0.35">
      <c r="A5" s="54" t="s">
        <v>23</v>
      </c>
      <c r="B5" s="55">
        <v>34.143893939393941</v>
      </c>
      <c r="C5" s="55">
        <v>16.178151515151509</v>
      </c>
      <c r="D5" s="55">
        <v>3.239454545454548</v>
      </c>
      <c r="E5" s="55">
        <v>2.939863636363631</v>
      </c>
      <c r="F5" s="56">
        <v>4.093121212121213</v>
      </c>
      <c r="H5" s="33">
        <v>30</v>
      </c>
      <c r="I5" s="35">
        <f t="shared" si="0"/>
        <v>88.195909090908927</v>
      </c>
      <c r="J5" s="35">
        <f>+B5/2.45</f>
        <v>13.936283240568955</v>
      </c>
      <c r="K5" s="35">
        <f>+(C5+D5)/2</f>
        <v>9.708803030303029</v>
      </c>
      <c r="L5" s="36">
        <f>+C5-D5</f>
        <v>12.938696969696961</v>
      </c>
    </row>
    <row r="6" spans="1:12" x14ac:dyDescent="0.35">
      <c r="A6" s="54" t="s">
        <v>24</v>
      </c>
      <c r="B6" s="55">
        <v>39.429868035190623</v>
      </c>
      <c r="C6" s="55">
        <v>21.85186217008799</v>
      </c>
      <c r="D6" s="55">
        <v>9.8319794721407483</v>
      </c>
      <c r="E6" s="55">
        <v>3.7527272727272738</v>
      </c>
      <c r="F6" s="56">
        <v>3.50196480938417</v>
      </c>
      <c r="H6" s="33">
        <v>31</v>
      </c>
      <c r="I6" s="35">
        <f t="shared" si="0"/>
        <v>116.33454545454549</v>
      </c>
      <c r="J6" s="35">
        <f>+B6/2.45</f>
        <v>16.093823687832906</v>
      </c>
      <c r="K6" s="35">
        <f>+(C6+D6)/2</f>
        <v>15.841920821114369</v>
      </c>
      <c r="L6" s="36">
        <f>+C6-D6</f>
        <v>12.019882697947242</v>
      </c>
    </row>
    <row r="7" spans="1:12" x14ac:dyDescent="0.35">
      <c r="A7" s="54" t="s">
        <v>25</v>
      </c>
      <c r="B7" s="55">
        <v>41.610181818181808</v>
      </c>
      <c r="C7" s="55">
        <v>27.39190909090906</v>
      </c>
      <c r="D7" s="55">
        <v>16.06369696969697</v>
      </c>
      <c r="E7" s="55">
        <v>4.1733484848484919</v>
      </c>
      <c r="F7" s="56">
        <v>2.855696969696969</v>
      </c>
      <c r="H7" s="33">
        <v>30</v>
      </c>
      <c r="I7" s="35">
        <f t="shared" si="0"/>
        <v>125.20045454545476</v>
      </c>
      <c r="J7" s="35">
        <f>+B7/2.45</f>
        <v>16.983747680890531</v>
      </c>
      <c r="K7" s="35">
        <f>+(C7+D7)/2</f>
        <v>21.727803030303015</v>
      </c>
      <c r="L7" s="36">
        <f>+C7-D7</f>
        <v>11.32821212121209</v>
      </c>
    </row>
    <row r="8" spans="1:12" x14ac:dyDescent="0.35">
      <c r="A8" s="54" t="s">
        <v>26</v>
      </c>
      <c r="B8" s="55">
        <v>40.326563876651981</v>
      </c>
      <c r="C8" s="55">
        <v>29.674889867841411</v>
      </c>
      <c r="D8" s="55">
        <v>18.5106167400881</v>
      </c>
      <c r="E8" s="55">
        <v>2.9686343612334758</v>
      </c>
      <c r="F8" s="56">
        <v>2.4128193832599099</v>
      </c>
      <c r="H8" s="33">
        <v>31</v>
      </c>
      <c r="I8" s="35">
        <f t="shared" si="0"/>
        <v>92.027665198237756</v>
      </c>
      <c r="J8" s="35">
        <f>+B8/2.45</f>
        <v>16.459821990470196</v>
      </c>
      <c r="K8" s="35">
        <f>+(C8+D8)/2</f>
        <v>24.092753303964756</v>
      </c>
      <c r="L8" s="36">
        <f>+C8-D8</f>
        <v>11.164273127753312</v>
      </c>
    </row>
    <row r="9" spans="1:12" x14ac:dyDescent="0.35">
      <c r="A9" s="54" t="s">
        <v>27</v>
      </c>
      <c r="B9" s="55">
        <v>35.823709677419323</v>
      </c>
      <c r="C9" s="55">
        <v>28.851759530791782</v>
      </c>
      <c r="D9" s="55">
        <v>17.248621700879738</v>
      </c>
      <c r="E9" s="55">
        <v>3.5034750733137829</v>
      </c>
      <c r="F9" s="56">
        <v>2.390293255131966</v>
      </c>
      <c r="H9" s="33">
        <v>31</v>
      </c>
      <c r="I9" s="35">
        <f t="shared" si="0"/>
        <v>108.60772727272727</v>
      </c>
      <c r="J9" s="35">
        <f>+B9/2.45</f>
        <v>14.621922317314008</v>
      </c>
      <c r="K9" s="35">
        <f>+(C9+D9)/2</f>
        <v>23.05019061583576</v>
      </c>
      <c r="L9" s="36">
        <f>+C9-D9</f>
        <v>11.603137829912043</v>
      </c>
    </row>
    <row r="10" spans="1:12" x14ac:dyDescent="0.35">
      <c r="A10" s="54" t="s">
        <v>28</v>
      </c>
      <c r="B10" s="55">
        <v>29.098303030303061</v>
      </c>
      <c r="C10" s="55">
        <v>25.179893939393921</v>
      </c>
      <c r="D10" s="55">
        <v>12.612969696969691</v>
      </c>
      <c r="E10" s="55">
        <v>2.825318181818179</v>
      </c>
      <c r="F10" s="56">
        <v>2.833257575757576</v>
      </c>
      <c r="H10" s="33">
        <v>30</v>
      </c>
      <c r="I10" s="35">
        <f t="shared" si="0"/>
        <v>84.759545454545375</v>
      </c>
      <c r="J10" s="35">
        <f>+B10/2.45</f>
        <v>11.876858379715534</v>
      </c>
      <c r="K10" s="35">
        <f>+(C10+D10)/2</f>
        <v>18.896431818181807</v>
      </c>
      <c r="L10" s="36">
        <f>+C10-D10</f>
        <v>12.56692424242423</v>
      </c>
    </row>
    <row r="11" spans="1:12" x14ac:dyDescent="0.35">
      <c r="A11" s="54" t="s">
        <v>29</v>
      </c>
      <c r="B11" s="55">
        <v>21.50913489736071</v>
      </c>
      <c r="C11" s="55">
        <v>16.756158357771231</v>
      </c>
      <c r="D11" s="55">
        <v>4.9232404692082152</v>
      </c>
      <c r="E11" s="55">
        <v>2.2947507331378252</v>
      </c>
      <c r="F11" s="56">
        <v>3.2305571847507339</v>
      </c>
      <c r="H11" s="33">
        <v>31</v>
      </c>
      <c r="I11" s="35">
        <f t="shared" si="0"/>
        <v>71.137272727272574</v>
      </c>
      <c r="J11" s="35">
        <f>+B11/2.45</f>
        <v>8.7792387336166158</v>
      </c>
      <c r="K11" s="35">
        <f>+(C11+D11)/2</f>
        <v>10.839699413489722</v>
      </c>
      <c r="L11" s="36">
        <f>+C11-D11</f>
        <v>11.832917888563015</v>
      </c>
    </row>
    <row r="12" spans="1:12" x14ac:dyDescent="0.35">
      <c r="A12" s="54" t="s">
        <v>30</v>
      </c>
      <c r="B12" s="55">
        <v>15.15500761035007</v>
      </c>
      <c r="C12" s="55">
        <v>8.8876712328767074</v>
      </c>
      <c r="D12" s="55">
        <v>-1.3968340943683411</v>
      </c>
      <c r="E12" s="55">
        <v>1.4142922374429201</v>
      </c>
      <c r="F12" s="56">
        <v>3.539756468797564</v>
      </c>
      <c r="H12" s="33">
        <v>30</v>
      </c>
      <c r="I12" s="35">
        <f t="shared" si="0"/>
        <v>42.428767123287599</v>
      </c>
      <c r="J12" s="35">
        <f>+B12/2.45</f>
        <v>6.1857173919796198</v>
      </c>
      <c r="K12" s="35">
        <f>+(C12+D12)/2</f>
        <v>3.7454185692541833</v>
      </c>
      <c r="L12" s="36">
        <f>+C12-D12</f>
        <v>10.284505327245048</v>
      </c>
    </row>
    <row r="13" spans="1:12" ht="15" thickBot="1" x14ac:dyDescent="0.4">
      <c r="A13" s="57" t="s">
        <v>31</v>
      </c>
      <c r="B13" s="58">
        <v>12.1965542521994</v>
      </c>
      <c r="C13" s="58">
        <v>0.8842521994134902</v>
      </c>
      <c r="D13" s="58">
        <v>-7.5901466275659706</v>
      </c>
      <c r="E13" s="58">
        <v>1.218563049853371</v>
      </c>
      <c r="F13" s="59">
        <v>3.6674046920821119</v>
      </c>
      <c r="H13" s="34">
        <v>31</v>
      </c>
      <c r="I13" s="37">
        <f t="shared" si="0"/>
        <v>37.775454545454501</v>
      </c>
      <c r="J13" s="37">
        <f>+B13/2.45</f>
        <v>4.9781854090609796</v>
      </c>
      <c r="K13" s="37">
        <f>+(C13+D13)/2</f>
        <v>-3.3529472140762402</v>
      </c>
      <c r="L13" s="38">
        <f>+C13-D13</f>
        <v>8.4743988269794599</v>
      </c>
    </row>
    <row r="15" spans="1:12" x14ac:dyDescent="0.35">
      <c r="A15" s="1" t="s">
        <v>44</v>
      </c>
      <c r="B15" s="1"/>
      <c r="C15" s="1"/>
      <c r="D15" s="1"/>
      <c r="E15" s="1"/>
      <c r="F15" s="1"/>
      <c r="G15" s="1"/>
    </row>
    <row r="16" spans="1:12" x14ac:dyDescent="0.35">
      <c r="A16" s="1" t="s">
        <v>45</v>
      </c>
      <c r="B16" s="1"/>
      <c r="C16" s="1"/>
      <c r="D16" s="1"/>
      <c r="E16" s="1"/>
      <c r="F16" s="1"/>
      <c r="G16" s="1"/>
    </row>
    <row r="17" spans="1:7" x14ac:dyDescent="0.35">
      <c r="A17" s="1" t="s">
        <v>46</v>
      </c>
      <c r="B17" s="1"/>
      <c r="C17" s="1"/>
      <c r="D17" s="1"/>
      <c r="E17" s="1"/>
      <c r="F17" s="1"/>
      <c r="G17" s="1"/>
    </row>
    <row r="18" spans="1:7" x14ac:dyDescent="0.35">
      <c r="A18" s="1" t="s">
        <v>47</v>
      </c>
      <c r="B18" s="1"/>
      <c r="C18" s="1"/>
      <c r="D18" s="1"/>
      <c r="E18" s="1"/>
      <c r="F18" s="1"/>
      <c r="G18" s="1"/>
    </row>
  </sheetData>
  <mergeCells count="4">
    <mergeCell ref="A15:G15"/>
    <mergeCell ref="A16:G16"/>
    <mergeCell ref="A17:G17"/>
    <mergeCell ref="A18:G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EA3F-D6EE-48FE-81F3-ACA5B5D612F4}">
  <dimension ref="B1:O27"/>
  <sheetViews>
    <sheetView tabSelected="1" topLeftCell="A3" workbookViewId="0">
      <selection activeCell="E7" sqref="E7"/>
    </sheetView>
  </sheetViews>
  <sheetFormatPr defaultRowHeight="14.5" x14ac:dyDescent="0.35"/>
  <cols>
    <col min="2" max="2" width="14" bestFit="1" customWidth="1"/>
    <col min="3" max="3" width="9.81640625" bestFit="1" customWidth="1"/>
    <col min="4" max="4" width="10.81640625" bestFit="1" customWidth="1"/>
    <col min="7" max="7" width="11.81640625" bestFit="1" customWidth="1"/>
    <col min="9" max="9" width="11.81640625" bestFit="1" customWidth="1"/>
    <col min="11" max="11" width="10.26953125" bestFit="1" customWidth="1"/>
    <col min="13" max="13" width="10.26953125" bestFit="1" customWidth="1"/>
  </cols>
  <sheetData>
    <row r="1" spans="2:15" ht="15" thickBot="1" x14ac:dyDescent="0.4"/>
    <row r="2" spans="2:15" ht="15" thickBot="1" x14ac:dyDescent="0.4">
      <c r="B2" s="71" t="s">
        <v>49</v>
      </c>
      <c r="C2" s="72"/>
      <c r="D2" s="73"/>
    </row>
    <row r="3" spans="2:15" x14ac:dyDescent="0.35">
      <c r="B3" s="68" t="s">
        <v>0</v>
      </c>
      <c r="C3" s="28">
        <v>10</v>
      </c>
      <c r="D3" s="29" t="s">
        <v>1</v>
      </c>
      <c r="G3" s="60" t="s">
        <v>48</v>
      </c>
      <c r="H3" s="61"/>
      <c r="I3" s="61"/>
      <c r="J3" s="61"/>
      <c r="K3" s="62"/>
    </row>
    <row r="4" spans="2:15" ht="15" thickBot="1" x14ac:dyDescent="0.4">
      <c r="B4" s="69" t="s">
        <v>2</v>
      </c>
      <c r="C4" s="5">
        <v>3.3</v>
      </c>
      <c r="D4" s="6" t="s">
        <v>1</v>
      </c>
      <c r="G4" s="63"/>
      <c r="H4" s="64"/>
      <c r="I4" s="64"/>
      <c r="J4" s="64"/>
      <c r="K4" s="65"/>
    </row>
    <row r="5" spans="2:15" x14ac:dyDescent="0.35">
      <c r="B5" s="69" t="s">
        <v>41</v>
      </c>
      <c r="C5" s="5">
        <v>1.55</v>
      </c>
      <c r="D5" s="6" t="s">
        <v>42</v>
      </c>
      <c r="G5" s="74" t="s">
        <v>50</v>
      </c>
      <c r="H5" s="74"/>
      <c r="I5" s="74"/>
      <c r="J5" s="74"/>
      <c r="K5" s="74"/>
    </row>
    <row r="6" spans="2:15" x14ac:dyDescent="0.35">
      <c r="B6" s="69" t="s">
        <v>3</v>
      </c>
      <c r="C6" s="5">
        <v>400</v>
      </c>
      <c r="D6" s="6" t="s">
        <v>4</v>
      </c>
    </row>
    <row r="7" spans="2:15" ht="15" thickBot="1" x14ac:dyDescent="0.4">
      <c r="B7" s="70" t="s">
        <v>5</v>
      </c>
      <c r="C7" s="66">
        <f>+((C3-C4)/100)*(C5/1)*C6</f>
        <v>41.540000000000006</v>
      </c>
      <c r="D7" s="67" t="s">
        <v>4</v>
      </c>
    </row>
    <row r="9" spans="2:15" ht="15" thickBot="1" x14ac:dyDescent="0.4"/>
    <row r="10" spans="2:15" ht="15" thickBot="1" x14ac:dyDescent="0.4">
      <c r="E10" s="7" t="s">
        <v>9</v>
      </c>
      <c r="F10" s="8"/>
      <c r="G10" s="8"/>
      <c r="H10" s="8"/>
      <c r="I10" s="9"/>
      <c r="J10" s="7" t="s">
        <v>4</v>
      </c>
      <c r="K10" s="8"/>
      <c r="L10" s="9"/>
      <c r="M10" s="2" t="s">
        <v>9</v>
      </c>
      <c r="N10" s="3"/>
      <c r="O10" s="4" t="s">
        <v>17</v>
      </c>
    </row>
    <row r="11" spans="2:15" ht="15" thickBot="1" x14ac:dyDescent="0.4">
      <c r="C11" s="10" t="s">
        <v>19</v>
      </c>
      <c r="D11" s="23" t="s">
        <v>18</v>
      </c>
      <c r="E11" s="11" t="s">
        <v>7</v>
      </c>
      <c r="F11" s="12" t="s">
        <v>6</v>
      </c>
      <c r="G11" s="12" t="s">
        <v>8</v>
      </c>
      <c r="H11" s="12" t="s">
        <v>10</v>
      </c>
      <c r="I11" s="13" t="s">
        <v>11</v>
      </c>
      <c r="J11" s="14" t="s">
        <v>12</v>
      </c>
      <c r="K11" s="12" t="s">
        <v>13</v>
      </c>
      <c r="L11" s="13" t="s">
        <v>14</v>
      </c>
      <c r="M11" s="11" t="s">
        <v>15</v>
      </c>
      <c r="N11" s="12" t="s">
        <v>16</v>
      </c>
      <c r="O11" s="13" t="s">
        <v>15</v>
      </c>
    </row>
    <row r="12" spans="2:15" x14ac:dyDescent="0.35">
      <c r="C12" s="24" t="s">
        <v>20</v>
      </c>
      <c r="D12" s="6">
        <v>31</v>
      </c>
      <c r="E12" s="43">
        <f>+raw_data!I2</f>
        <v>21.963181818181784</v>
      </c>
      <c r="F12" s="44">
        <f>0.0023*raw_data!J2*(raw_data!K2+17.8)*SQRT(raw_data!L2)</f>
        <v>0.45468782628012133</v>
      </c>
      <c r="G12" s="44">
        <v>1.2</v>
      </c>
      <c r="H12" s="44">
        <f>+F12*G12</f>
        <v>0.54562539153614553</v>
      </c>
      <c r="I12" s="45">
        <f>+IF(E12&gt;0.9*F12^0.75,0.75*E12,E12)</f>
        <v>16.472386363636339</v>
      </c>
      <c r="J12" s="49">
        <f>+IF(I12&gt;H12,IF((I12-H12)&gt;$C$7,$C$7,I12-H12),0)</f>
        <v>15.926760972100194</v>
      </c>
      <c r="K12" s="50">
        <f>+IF(I12&gt;H12,IF(J12=$C$7,I12-H12-$C$7,0),0)</f>
        <v>0</v>
      </c>
      <c r="L12" s="45">
        <f>+E12-I12</f>
        <v>5.4907954545454452</v>
      </c>
      <c r="M12" s="49">
        <f>+IF(I12&gt;H12,0,I12-H12)</f>
        <v>0</v>
      </c>
      <c r="N12" s="51">
        <f>+ABS(M12/H12)</f>
        <v>0</v>
      </c>
      <c r="O12" s="45">
        <f>+M12/D12</f>
        <v>0</v>
      </c>
    </row>
    <row r="13" spans="2:15" x14ac:dyDescent="0.35">
      <c r="C13" s="24" t="s">
        <v>21</v>
      </c>
      <c r="D13" s="6">
        <v>28</v>
      </c>
      <c r="E13" s="46">
        <f>+raw_data!I3</f>
        <v>26.464090909090888</v>
      </c>
      <c r="F13" s="42">
        <f>0.0023*raw_data!J3*(raw_data!K3+17.8)*SQRT(raw_data!L3)</f>
        <v>0.75682418306420896</v>
      </c>
      <c r="G13" s="42">
        <v>1.2</v>
      </c>
      <c r="H13" s="42">
        <f t="shared" ref="H13:H23" si="0">+F13*G13</f>
        <v>0.90818901967705068</v>
      </c>
      <c r="I13" s="15">
        <f t="shared" ref="I13:I23" si="1">+IF(E13&gt;0.9*F13^0.75,0.75*E13,E13)</f>
        <v>19.848068181818167</v>
      </c>
      <c r="J13" s="16">
        <f>+IF((I13+J12)&gt;H13,IF(((I13+J12)-H13)&gt;$C$7,$C$7,(I13+J12)-H13),0)</f>
        <v>34.866640134241308</v>
      </c>
      <c r="K13" s="17">
        <f>+IF((I13+J12)&gt;H13,IF(J13=$C$7,I13+J12-H13-$C$7,0),0)</f>
        <v>0</v>
      </c>
      <c r="L13" s="15">
        <f t="shared" ref="L13:L23" si="2">+E13-I13</f>
        <v>6.6160227272727212</v>
      </c>
      <c r="M13" s="16">
        <f>+IF(I13+J12&gt;H13,0,I13+J12-H13)</f>
        <v>0</v>
      </c>
      <c r="N13" s="18">
        <f>+ABS(M13/H13)</f>
        <v>0</v>
      </c>
      <c r="O13" s="15">
        <f t="shared" ref="O13:O23" si="3">+M13/D13</f>
        <v>0</v>
      </c>
    </row>
    <row r="14" spans="2:15" x14ac:dyDescent="0.35">
      <c r="C14" s="24" t="s">
        <v>22</v>
      </c>
      <c r="D14" s="6">
        <v>31</v>
      </c>
      <c r="E14" s="46">
        <f>+raw_data!I4</f>
        <v>46.14363636363629</v>
      </c>
      <c r="F14" s="42">
        <f>0.0023*raw_data!J4*(raw_data!K4+17.8)*SQRT(raw_data!L4)</f>
        <v>1.7912621431211844</v>
      </c>
      <c r="G14" s="42">
        <v>1.2</v>
      </c>
      <c r="H14" s="42">
        <f t="shared" si="0"/>
        <v>2.1495145717454212</v>
      </c>
      <c r="I14" s="15">
        <f t="shared" si="1"/>
        <v>34.607727272727217</v>
      </c>
      <c r="J14" s="16">
        <f t="shared" ref="J14:J23" si="4">+IF((I14+J13)&gt;H14,IF(((I14+J13)-H14)&gt;$C$7,$C$7,(I14+J13)-H14),0)</f>
        <v>41.540000000000006</v>
      </c>
      <c r="K14" s="17">
        <f t="shared" ref="K14:K23" si="5">+IF((I14+J13)&gt;H14,IF(J14=$C$7,I14+J13-H14-$C$7,0),0)</f>
        <v>25.784852835223091</v>
      </c>
      <c r="L14" s="15">
        <f t="shared" si="2"/>
        <v>11.535909090909072</v>
      </c>
      <c r="M14" s="16">
        <f>+IF(I14+J13&gt;H14,0,I14+J13-H14)</f>
        <v>0</v>
      </c>
      <c r="N14" s="18">
        <f>+ABS(M14/H14)</f>
        <v>0</v>
      </c>
      <c r="O14" s="15">
        <f>+M14/D14</f>
        <v>0</v>
      </c>
    </row>
    <row r="15" spans="2:15" x14ac:dyDescent="0.35">
      <c r="C15" s="24" t="s">
        <v>23</v>
      </c>
      <c r="D15" s="6">
        <v>30</v>
      </c>
      <c r="E15" s="46">
        <f>+raw_data!I5</f>
        <v>88.195909090908927</v>
      </c>
      <c r="F15" s="42">
        <f>0.0023*raw_data!J5*(raw_data!K5+17.8)*SQRT(raw_data!L5)</f>
        <v>3.1716975362351785</v>
      </c>
      <c r="G15" s="42">
        <v>1.2</v>
      </c>
      <c r="H15" s="42">
        <f t="shared" si="0"/>
        <v>3.8060370434822142</v>
      </c>
      <c r="I15" s="15">
        <f t="shared" si="1"/>
        <v>66.146931818181699</v>
      </c>
      <c r="J15" s="16">
        <f t="shared" si="4"/>
        <v>41.540000000000006</v>
      </c>
      <c r="K15" s="17">
        <f t="shared" si="5"/>
        <v>62.340894774699478</v>
      </c>
      <c r="L15" s="15">
        <f t="shared" si="2"/>
        <v>22.048977272727228</v>
      </c>
      <c r="M15" s="16">
        <f>+IF(I15+J14&gt;H15,0,I15+J14-H15)</f>
        <v>0</v>
      </c>
      <c r="N15" s="18">
        <f>+ABS(M15/H15)</f>
        <v>0</v>
      </c>
      <c r="O15" s="15">
        <f t="shared" si="3"/>
        <v>0</v>
      </c>
    </row>
    <row r="16" spans="2:15" x14ac:dyDescent="0.35">
      <c r="C16" s="24" t="s">
        <v>24</v>
      </c>
      <c r="D16" s="6">
        <v>31</v>
      </c>
      <c r="E16" s="46">
        <f>+raw_data!I6</f>
        <v>116.33454545454549</v>
      </c>
      <c r="F16" s="42">
        <f>0.0023*raw_data!J6*(raw_data!K6+17.8)*SQRT(raw_data!L6)</f>
        <v>4.3173571246327134</v>
      </c>
      <c r="G16" s="42">
        <v>1.2</v>
      </c>
      <c r="H16" s="42">
        <f t="shared" si="0"/>
        <v>5.1808285495592559</v>
      </c>
      <c r="I16" s="15">
        <f t="shared" si="1"/>
        <v>87.250909090909119</v>
      </c>
      <c r="J16" s="16">
        <f t="shared" si="4"/>
        <v>41.540000000000006</v>
      </c>
      <c r="K16" s="17">
        <f t="shared" si="5"/>
        <v>82.070080541349853</v>
      </c>
      <c r="L16" s="15">
        <f t="shared" si="2"/>
        <v>29.083636363636373</v>
      </c>
      <c r="M16" s="16">
        <f>+IF(I16+J15&gt;H16,0,I16+J15-H16)</f>
        <v>0</v>
      </c>
      <c r="N16" s="18">
        <f>+ABS(M16/H16)</f>
        <v>0</v>
      </c>
      <c r="O16" s="15">
        <f t="shared" si="3"/>
        <v>0</v>
      </c>
    </row>
    <row r="17" spans="3:15" x14ac:dyDescent="0.35">
      <c r="C17" s="24" t="s">
        <v>25</v>
      </c>
      <c r="D17" s="6">
        <v>30</v>
      </c>
      <c r="E17" s="46">
        <f>+raw_data!I7</f>
        <v>125.20045454545476</v>
      </c>
      <c r="F17" s="42">
        <f>0.0023*raw_data!J7*(raw_data!K7+17.8)*SQRT(raw_data!L7)</f>
        <v>5.1969044046928374</v>
      </c>
      <c r="G17" s="42">
        <v>1.2</v>
      </c>
      <c r="H17" s="42">
        <f t="shared" si="0"/>
        <v>6.2362852856314044</v>
      </c>
      <c r="I17" s="15">
        <f t="shared" si="1"/>
        <v>93.900340909091071</v>
      </c>
      <c r="J17" s="16">
        <f t="shared" si="4"/>
        <v>41.540000000000006</v>
      </c>
      <c r="K17" s="17">
        <f t="shared" si="5"/>
        <v>87.664055623459674</v>
      </c>
      <c r="L17" s="15">
        <f t="shared" si="2"/>
        <v>31.30011363636369</v>
      </c>
      <c r="M17" s="16">
        <f>+IF(I17+J16&gt;H17,0,I17+J16-H17)</f>
        <v>0</v>
      </c>
      <c r="N17" s="18">
        <f>+ABS(M17/H17)</f>
        <v>0</v>
      </c>
      <c r="O17" s="15">
        <f t="shared" si="3"/>
        <v>0</v>
      </c>
    </row>
    <row r="18" spans="3:15" x14ac:dyDescent="0.35">
      <c r="C18" s="24" t="s">
        <v>26</v>
      </c>
      <c r="D18" s="6">
        <v>31</v>
      </c>
      <c r="E18" s="46">
        <f>+raw_data!I8</f>
        <v>92.027665198237756</v>
      </c>
      <c r="F18" s="42">
        <f>0.0023*raw_data!J8*(raw_data!K8+17.8)*SQRT(raw_data!L8)</f>
        <v>5.2991608322095551</v>
      </c>
      <c r="G18" s="42">
        <v>1.2</v>
      </c>
      <c r="H18" s="42">
        <f t="shared" si="0"/>
        <v>6.3589929986514662</v>
      </c>
      <c r="I18" s="15">
        <f t="shared" si="1"/>
        <v>69.02074889867832</v>
      </c>
      <c r="J18" s="16">
        <f t="shared" si="4"/>
        <v>41.540000000000006</v>
      </c>
      <c r="K18" s="17">
        <f t="shared" si="5"/>
        <v>62.661755900026847</v>
      </c>
      <c r="L18" s="15">
        <f t="shared" si="2"/>
        <v>23.006916299559435</v>
      </c>
      <c r="M18" s="16">
        <f>+IF(I18+J17&gt;H18,0,I18+J17-H18)</f>
        <v>0</v>
      </c>
      <c r="N18" s="18">
        <f>+ABS(M18/H18)</f>
        <v>0</v>
      </c>
      <c r="O18" s="15">
        <f t="shared" si="3"/>
        <v>0</v>
      </c>
    </row>
    <row r="19" spans="3:15" x14ac:dyDescent="0.35">
      <c r="C19" s="24" t="s">
        <v>27</v>
      </c>
      <c r="D19" s="6">
        <v>31</v>
      </c>
      <c r="E19" s="46">
        <f>+raw_data!I9</f>
        <v>108.60772727272727</v>
      </c>
      <c r="F19" s="42">
        <f>0.0023*raw_data!J9*(raw_data!K9+17.8)*SQRT(raw_data!L9)</f>
        <v>4.6796580670904904</v>
      </c>
      <c r="G19" s="42">
        <v>1.2</v>
      </c>
      <c r="H19" s="42">
        <f t="shared" si="0"/>
        <v>5.6155896805085881</v>
      </c>
      <c r="I19" s="15">
        <f t="shared" si="1"/>
        <v>81.455795454545452</v>
      </c>
      <c r="J19" s="16">
        <f t="shared" si="4"/>
        <v>41.540000000000006</v>
      </c>
      <c r="K19" s="17">
        <f t="shared" si="5"/>
        <v>75.84020577403686</v>
      </c>
      <c r="L19" s="15">
        <f t="shared" si="2"/>
        <v>27.151931818181822</v>
      </c>
      <c r="M19" s="16">
        <f>+IF(I19+J18&gt;H19,0,I19+J18-H19)</f>
        <v>0</v>
      </c>
      <c r="N19" s="18">
        <f>+ABS(M19/H19)</f>
        <v>0</v>
      </c>
      <c r="O19" s="15">
        <f t="shared" si="3"/>
        <v>0</v>
      </c>
    </row>
    <row r="20" spans="3:15" x14ac:dyDescent="0.35">
      <c r="C20" s="24" t="s">
        <v>28</v>
      </c>
      <c r="D20" s="6">
        <v>30</v>
      </c>
      <c r="E20" s="46">
        <f>+raw_data!I10</f>
        <v>84.759545454545375</v>
      </c>
      <c r="F20" s="42">
        <f>0.0023*raw_data!J10*(raw_data!K10+17.8)*SQRT(raw_data!L10)</f>
        <v>3.5535935268992587</v>
      </c>
      <c r="G20" s="42">
        <v>1.2</v>
      </c>
      <c r="H20" s="42">
        <f t="shared" si="0"/>
        <v>4.26431223227911</v>
      </c>
      <c r="I20" s="15">
        <f t="shared" si="1"/>
        <v>63.569659090909028</v>
      </c>
      <c r="J20" s="16">
        <f t="shared" si="4"/>
        <v>41.540000000000006</v>
      </c>
      <c r="K20" s="17">
        <f t="shared" si="5"/>
        <v>59.305346858629918</v>
      </c>
      <c r="L20" s="15">
        <f t="shared" si="2"/>
        <v>21.189886363636347</v>
      </c>
      <c r="M20" s="16">
        <f>+IF(I20+J19&gt;H20,0,I20+J19-H20)</f>
        <v>0</v>
      </c>
      <c r="N20" s="18">
        <f>+ABS(M20/H20)</f>
        <v>0</v>
      </c>
      <c r="O20" s="15">
        <f t="shared" si="3"/>
        <v>0</v>
      </c>
    </row>
    <row r="21" spans="3:15" x14ac:dyDescent="0.35">
      <c r="C21" s="24" t="s">
        <v>29</v>
      </c>
      <c r="D21" s="6">
        <v>31</v>
      </c>
      <c r="E21" s="46">
        <f>+raw_data!I11</f>
        <v>71.137272727272574</v>
      </c>
      <c r="F21" s="42">
        <f>0.0023*raw_data!J11*(raw_data!K11+17.8)*SQRT(raw_data!L11)</f>
        <v>1.9892944726840871</v>
      </c>
      <c r="G21" s="42">
        <v>1.2</v>
      </c>
      <c r="H21" s="42">
        <f t="shared" si="0"/>
        <v>2.3871533672209044</v>
      </c>
      <c r="I21" s="15">
        <f t="shared" si="1"/>
        <v>53.352954545454431</v>
      </c>
      <c r="J21" s="16">
        <f t="shared" si="4"/>
        <v>41.540000000000006</v>
      </c>
      <c r="K21" s="17">
        <f t="shared" si="5"/>
        <v>50.965801178233534</v>
      </c>
      <c r="L21" s="15">
        <f t="shared" si="2"/>
        <v>17.784318181818144</v>
      </c>
      <c r="M21" s="16">
        <f>+IF(I21+J20&gt;H21,0,I21+J20-H21)</f>
        <v>0</v>
      </c>
      <c r="N21" s="18">
        <f>+ABS(M21/H21)</f>
        <v>0</v>
      </c>
      <c r="O21" s="15">
        <f t="shared" si="3"/>
        <v>0</v>
      </c>
    </row>
    <row r="22" spans="3:15" x14ac:dyDescent="0.35">
      <c r="C22" s="24" t="s">
        <v>30</v>
      </c>
      <c r="D22" s="6">
        <v>30</v>
      </c>
      <c r="E22" s="46">
        <f>+raw_data!I12</f>
        <v>42.428767123287599</v>
      </c>
      <c r="F22" s="42">
        <f>0.0023*raw_data!J12*(raw_data!K12+17.8)*SQRT(raw_data!L12)</f>
        <v>0.98302497065450312</v>
      </c>
      <c r="G22" s="42">
        <v>1.2</v>
      </c>
      <c r="H22" s="42">
        <f t="shared" si="0"/>
        <v>1.1796299647854036</v>
      </c>
      <c r="I22" s="15">
        <f t="shared" si="1"/>
        <v>31.8215753424657</v>
      </c>
      <c r="J22" s="16">
        <f t="shared" si="4"/>
        <v>41.540000000000006</v>
      </c>
      <c r="K22" s="17">
        <f t="shared" si="5"/>
        <v>30.641945377680287</v>
      </c>
      <c r="L22" s="15">
        <f t="shared" si="2"/>
        <v>10.6071917808219</v>
      </c>
      <c r="M22" s="16">
        <f>+IF(I22+J21&gt;H22,0,I22+J21-H22)</f>
        <v>0</v>
      </c>
      <c r="N22" s="18">
        <f>+ABS(M22/H22)</f>
        <v>0</v>
      </c>
      <c r="O22" s="15">
        <f t="shared" si="3"/>
        <v>0</v>
      </c>
    </row>
    <row r="23" spans="3:15" ht="15" thickBot="1" x14ac:dyDescent="0.4">
      <c r="C23" s="25" t="s">
        <v>31</v>
      </c>
      <c r="D23" s="67">
        <v>31</v>
      </c>
      <c r="E23" s="47">
        <f>+raw_data!I13</f>
        <v>37.775454545454501</v>
      </c>
      <c r="F23" s="48">
        <f>0.0023*raw_data!J13*(raw_data!K13+17.8)*SQRT(raw_data!L13)</f>
        <v>0.48154027091887341</v>
      </c>
      <c r="G23" s="48">
        <v>1.2</v>
      </c>
      <c r="H23" s="48">
        <f t="shared" si="0"/>
        <v>0.57784832510264805</v>
      </c>
      <c r="I23" s="19">
        <f t="shared" si="1"/>
        <v>28.331590909090878</v>
      </c>
      <c r="J23" s="20">
        <f t="shared" si="4"/>
        <v>41.540000000000006</v>
      </c>
      <c r="K23" s="21">
        <f t="shared" si="5"/>
        <v>27.753742583988227</v>
      </c>
      <c r="L23" s="19">
        <f t="shared" si="2"/>
        <v>9.4438636363636235</v>
      </c>
      <c r="M23" s="20">
        <f>+IF(I23+J22&gt;H23,0,I23+J22-H23)</f>
        <v>0</v>
      </c>
      <c r="N23" s="22">
        <f>+ABS(M23/H23)</f>
        <v>0</v>
      </c>
      <c r="O23" s="19">
        <f t="shared" si="3"/>
        <v>0</v>
      </c>
    </row>
    <row r="24" spans="3:15" x14ac:dyDescent="0.35">
      <c r="E24" s="26">
        <f>+SUM(E12:E23)</f>
        <v>861.03825050334319</v>
      </c>
      <c r="F24" s="26"/>
      <c r="G24" s="26"/>
      <c r="H24" s="26"/>
      <c r="I24" s="26">
        <f t="shared" ref="F24:O24" si="6">+SUM(I12:I23)</f>
        <v>645.77868787750742</v>
      </c>
      <c r="J24" s="26">
        <f t="shared" si="6"/>
        <v>466.1934011063417</v>
      </c>
      <c r="K24" s="26">
        <f t="shared" si="6"/>
        <v>565.0286814473277</v>
      </c>
      <c r="L24" s="26">
        <f t="shared" si="6"/>
        <v>215.25956262583583</v>
      </c>
      <c r="M24">
        <f t="shared" si="6"/>
        <v>0</v>
      </c>
      <c r="O24">
        <f t="shared" si="6"/>
        <v>0</v>
      </c>
    </row>
    <row r="27" spans="3:15" x14ac:dyDescent="0.35">
      <c r="C27" t="s">
        <v>7</v>
      </c>
      <c r="K27" t="s">
        <v>43</v>
      </c>
    </row>
  </sheetData>
  <mergeCells count="5">
    <mergeCell ref="E10:I10"/>
    <mergeCell ref="J10:L10"/>
    <mergeCell ref="G3:K4"/>
    <mergeCell ref="B2:D2"/>
    <mergeCell ref="G5:K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Water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Godoy, Arturo J</dc:creator>
  <cp:lastModifiedBy>Flores Godoy, Arturo J</cp:lastModifiedBy>
  <dcterms:created xsi:type="dcterms:W3CDTF">2023-01-28T00:52:12Z</dcterms:created>
  <dcterms:modified xsi:type="dcterms:W3CDTF">2023-01-28T01:29:01Z</dcterms:modified>
</cp:coreProperties>
</file>