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b59d0e3811db11f7/Documents/HiWi-Arbeit/"/>
    </mc:Choice>
  </mc:AlternateContent>
  <xr:revisionPtr revIDLastSave="20" documentId="8_{2DE8BFE8-680E-3643-A1F6-AFF87D046F46}" xr6:coauthVersionLast="47" xr6:coauthVersionMax="47" xr10:uidLastSave="{533503FA-8142-4A4C-B6FE-FA6254774C4D}"/>
  <bookViews>
    <workbookView xWindow="0" yWindow="740" windowWidth="29400" windowHeight="16680" firstSheet="5" activeTab="9" xr2:uid="{00000000-000D-0000-FFFF-FFFF00000000}"/>
  </bookViews>
  <sheets>
    <sheet name="Included studies_pPOD" sheetId="1" r:id="rId1"/>
    <sheet name="Included studies_POD" sheetId="2" r:id="rId2"/>
    <sheet name="Distribution pPoD" sheetId="3" r:id="rId3"/>
    <sheet name="Distribution PoD" sheetId="4" r:id="rId4"/>
    <sheet name="Associated factors pPoD" sheetId="5" r:id="rId5"/>
    <sheet name="Associated factors PoD" sheetId="6" r:id="rId6"/>
    <sheet name="factors PoD home" sheetId="7" r:id="rId7"/>
    <sheet name="tables factors PoD home" sheetId="8" r:id="rId8"/>
    <sheet name="factors PoD hospital" sheetId="9" r:id="rId9"/>
    <sheet name="tables factors PoD hospital" sheetId="10" r:id="rId10"/>
    <sheet name="factors PoD nursing home" sheetId="11" r:id="rId11"/>
    <sheet name="tables factors PoD nursing home" sheetId="12" r:id="rId12"/>
    <sheet name="factors PoD hospice" sheetId="13" r:id="rId13"/>
    <sheet name="tables factors PoD hospice" sheetId="14" r:id="rId14"/>
    <sheet name="Decision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0" l="1"/>
  <c r="H4" i="14"/>
  <c r="F4" i="14"/>
  <c r="F3" i="14"/>
  <c r="AB7" i="13"/>
  <c r="U4" i="12"/>
  <c r="S4" i="12"/>
  <c r="H4" i="12"/>
  <c r="F4" i="12"/>
  <c r="U3" i="12"/>
  <c r="S3" i="12"/>
  <c r="R3" i="12"/>
  <c r="H3" i="12"/>
  <c r="F3" i="12"/>
  <c r="AB7" i="11"/>
  <c r="AJ33" i="10"/>
  <c r="AH33" i="10"/>
  <c r="H32" i="10"/>
  <c r="F32" i="10"/>
  <c r="H31" i="10"/>
  <c r="F31" i="10"/>
  <c r="AJ30" i="10"/>
  <c r="AH30" i="10"/>
  <c r="AG30" i="10"/>
  <c r="AJ29" i="10"/>
  <c r="AH29" i="10"/>
  <c r="H29" i="10"/>
  <c r="F29" i="10"/>
  <c r="V22" i="10"/>
  <c r="T22" i="10"/>
  <c r="V21" i="10"/>
  <c r="T21" i="10"/>
  <c r="AJ18" i="10"/>
  <c r="AH18" i="10"/>
  <c r="H17" i="10"/>
  <c r="G17" i="10"/>
  <c r="F17" i="10"/>
  <c r="E17" i="10"/>
  <c r="V16" i="10"/>
  <c r="T16" i="10"/>
  <c r="H16" i="10"/>
  <c r="G16" i="10"/>
  <c r="F16" i="10"/>
  <c r="E16" i="10"/>
  <c r="AJ15" i="10"/>
  <c r="AI15" i="10"/>
  <c r="AH15" i="10"/>
  <c r="AG15" i="10"/>
  <c r="V15" i="10"/>
  <c r="T15" i="10"/>
  <c r="H15" i="10"/>
  <c r="G15" i="10"/>
  <c r="F15" i="10"/>
  <c r="E15" i="10"/>
  <c r="BZ14" i="10"/>
  <c r="BY14" i="10"/>
  <c r="BX14" i="10"/>
  <c r="BW14" i="10"/>
  <c r="AX14" i="10"/>
  <c r="AW14" i="10"/>
  <c r="AV14" i="10"/>
  <c r="AU14" i="10"/>
  <c r="H14" i="10"/>
  <c r="G14" i="10"/>
  <c r="F14" i="10"/>
  <c r="E14" i="10"/>
  <c r="BZ13" i="10"/>
  <c r="BY13" i="10"/>
  <c r="BX13" i="10"/>
  <c r="BW13" i="10"/>
  <c r="BL13" i="10"/>
  <c r="BK13" i="10"/>
  <c r="BJ13" i="10"/>
  <c r="BI13" i="10"/>
  <c r="AX13" i="10"/>
  <c r="AW13" i="10"/>
  <c r="AV13" i="10"/>
  <c r="AU13" i="10"/>
  <c r="AJ13" i="10"/>
  <c r="AI13" i="10"/>
  <c r="AH13" i="10"/>
  <c r="AG13" i="10"/>
  <c r="H13" i="10"/>
  <c r="G13" i="10"/>
  <c r="F13" i="10"/>
  <c r="E13" i="10"/>
  <c r="BZ12" i="10"/>
  <c r="BY12" i="10"/>
  <c r="BX12" i="10"/>
  <c r="BW12" i="10"/>
  <c r="BL12" i="10"/>
  <c r="BK12" i="10"/>
  <c r="BJ12" i="10"/>
  <c r="BI12" i="10"/>
  <c r="AX12" i="10"/>
  <c r="AW12" i="10"/>
  <c r="AV12" i="10"/>
  <c r="AU12" i="10"/>
  <c r="AJ12" i="10"/>
  <c r="AI12" i="10"/>
  <c r="AH12" i="10"/>
  <c r="AG12" i="10"/>
  <c r="H12" i="10"/>
  <c r="G12" i="10"/>
  <c r="F12" i="10"/>
  <c r="E12" i="10"/>
  <c r="BZ11" i="10"/>
  <c r="BY11" i="10"/>
  <c r="BX11" i="10"/>
  <c r="BW11" i="10"/>
  <c r="BL11" i="10"/>
  <c r="BK11" i="10"/>
  <c r="BJ11" i="10"/>
  <c r="BI11" i="10"/>
  <c r="AX11" i="10"/>
  <c r="AW11" i="10"/>
  <c r="AV11" i="10"/>
  <c r="AU11" i="10"/>
  <c r="G11" i="10"/>
  <c r="F11" i="10"/>
  <c r="E11" i="10"/>
  <c r="BZ10" i="10"/>
  <c r="BY10" i="10"/>
  <c r="BX10" i="10"/>
  <c r="BW10" i="10"/>
  <c r="BL10" i="10"/>
  <c r="BK10" i="10"/>
  <c r="BJ10" i="10"/>
  <c r="BI10" i="10"/>
  <c r="AX10" i="10"/>
  <c r="AW10" i="10"/>
  <c r="AV10" i="10"/>
  <c r="AU10" i="10"/>
  <c r="V10" i="10"/>
  <c r="T10" i="10"/>
  <c r="H10" i="10"/>
  <c r="G10" i="10"/>
  <c r="F10" i="10"/>
  <c r="E10" i="10"/>
  <c r="BL9" i="10"/>
  <c r="BK9" i="10"/>
  <c r="BJ9" i="10"/>
  <c r="BI9" i="10"/>
  <c r="AJ9" i="10"/>
  <c r="AI9" i="10"/>
  <c r="AH9" i="10"/>
  <c r="AG9" i="10"/>
  <c r="V9" i="10"/>
  <c r="T9" i="10"/>
  <c r="H9" i="10"/>
  <c r="G9" i="10"/>
  <c r="F9" i="10"/>
  <c r="E9" i="10"/>
  <c r="BZ8" i="10"/>
  <c r="BY8" i="10"/>
  <c r="BX8" i="10"/>
  <c r="BW8" i="10"/>
  <c r="BL8" i="10"/>
  <c r="BK8" i="10"/>
  <c r="BJ8" i="10"/>
  <c r="BI8" i="10"/>
  <c r="AX8" i="10"/>
  <c r="AW8" i="10"/>
  <c r="AV8" i="10"/>
  <c r="AU8" i="10"/>
  <c r="AJ8" i="10"/>
  <c r="AI8" i="10"/>
  <c r="AH8" i="10"/>
  <c r="AG8" i="10"/>
  <c r="H8" i="10"/>
  <c r="G8" i="10"/>
  <c r="F8" i="10"/>
  <c r="E8" i="10"/>
  <c r="BL7" i="10"/>
  <c r="BK7" i="10"/>
  <c r="BJ7" i="10"/>
  <c r="BI7" i="10"/>
  <c r="AX7" i="10"/>
  <c r="AW7" i="10"/>
  <c r="AV7" i="10"/>
  <c r="AU7" i="10"/>
  <c r="AJ7" i="10"/>
  <c r="AI7" i="10"/>
  <c r="AH7" i="10"/>
  <c r="AG7" i="10"/>
  <c r="H7" i="10"/>
  <c r="G7" i="10"/>
  <c r="F7" i="10"/>
  <c r="E7" i="10"/>
  <c r="BZ6" i="10"/>
  <c r="BY6" i="10"/>
  <c r="BX6" i="10"/>
  <c r="BW6" i="10"/>
  <c r="BL6" i="10"/>
  <c r="BK6" i="10"/>
  <c r="BJ6" i="10"/>
  <c r="BI6" i="10"/>
  <c r="AX6" i="10"/>
  <c r="AW6" i="10"/>
  <c r="AV6" i="10"/>
  <c r="AU6" i="10"/>
  <c r="AJ6" i="10"/>
  <c r="AJ17" i="10" s="1"/>
  <c r="AI6" i="10"/>
  <c r="AI17" i="10" s="1"/>
  <c r="AH6" i="10"/>
  <c r="AH17" i="10" s="1"/>
  <c r="AG6" i="10"/>
  <c r="AG17" i="10" s="1"/>
  <c r="H6" i="10"/>
  <c r="F6" i="10"/>
  <c r="BL5" i="10"/>
  <c r="BK5" i="10"/>
  <c r="BJ5" i="10"/>
  <c r="BI5" i="10"/>
  <c r="AX5" i="10"/>
  <c r="AX15" i="10" s="1"/>
  <c r="AW5" i="10"/>
  <c r="AV5" i="10"/>
  <c r="AU5" i="10"/>
  <c r="AU15" i="10" s="1"/>
  <c r="H5" i="10"/>
  <c r="F5" i="10"/>
  <c r="BZ4" i="10"/>
  <c r="BZ15" i="10" s="1"/>
  <c r="BY4" i="10"/>
  <c r="BY15" i="10" s="1"/>
  <c r="BX4" i="10"/>
  <c r="BX15" i="10" s="1"/>
  <c r="BW4" i="10"/>
  <c r="BW15" i="10" s="1"/>
  <c r="BL4" i="10"/>
  <c r="BK4" i="10"/>
  <c r="BJ4" i="10"/>
  <c r="BI4" i="10"/>
  <c r="AX4" i="10"/>
  <c r="AW4" i="10"/>
  <c r="AW15" i="10" s="1"/>
  <c r="AV4" i="10"/>
  <c r="AV15" i="10" s="1"/>
  <c r="AU4" i="10"/>
  <c r="AJ4" i="10"/>
  <c r="AH4" i="10"/>
  <c r="AG4" i="10"/>
  <c r="V4" i="10"/>
  <c r="T4" i="10"/>
  <c r="BL3" i="10"/>
  <c r="BL14" i="10" s="1"/>
  <c r="BK3" i="10"/>
  <c r="BK14" i="10" s="1"/>
  <c r="BJ3" i="10"/>
  <c r="BJ14" i="10" s="1"/>
  <c r="BI3" i="10"/>
  <c r="BI14" i="10" s="1"/>
  <c r="AJ3" i="10"/>
  <c r="AH3" i="10"/>
  <c r="V3" i="10"/>
  <c r="T3" i="10"/>
  <c r="H3" i="10"/>
  <c r="F3" i="10"/>
  <c r="AB5" i="9"/>
  <c r="U4" i="8"/>
  <c r="S4" i="8"/>
  <c r="H4" i="8"/>
  <c r="F4" i="8"/>
  <c r="U3" i="8"/>
  <c r="S3" i="8"/>
  <c r="R3" i="8"/>
  <c r="H3" i="8"/>
  <c r="F3" i="8"/>
  <c r="AB7" i="7"/>
  <c r="L17" i="4"/>
  <c r="H17" i="4"/>
  <c r="F17" i="4"/>
  <c r="P12" i="4"/>
  <c r="N12" i="4"/>
  <c r="L12" i="4"/>
  <c r="H12" i="4"/>
  <c r="F12" i="4"/>
  <c r="R10" i="4"/>
  <c r="P10" i="4"/>
  <c r="N10" i="4"/>
  <c r="N8" i="4"/>
  <c r="H8" i="4"/>
  <c r="R7" i="4"/>
  <c r="P7" i="4"/>
  <c r="N7" i="4"/>
  <c r="L7" i="4"/>
  <c r="H7" i="4"/>
  <c r="F7" i="4"/>
  <c r="R5" i="4"/>
  <c r="H5" i="4"/>
  <c r="H4" i="4"/>
  <c r="G26" i="2"/>
  <c r="G24" i="2"/>
  <c r="G22" i="2"/>
  <c r="I20" i="2"/>
  <c r="I15" i="2"/>
  <c r="I7" i="2"/>
  <c r="I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tc={F2741CC4-0318-EE37-46FC-8A1EA5F320DB}</author>
    <author>tc={57A8A207-3F03-C6E0-55A3-D3B43AEC9857}</author>
    <author>tc={315CC4F1-6070-EFEB-E090-A83904DFCB32}</author>
    <author>tc={E5F4B1B2-AD4C-F4E0-988C-CA812C1AE25F}</author>
    <author>tc={D0F1FA4B-976E-0317-FDC6-BA56B7E64858}</author>
    <author>tc={ED94C88C-BE78-6053-387E-0A17ACBE217E}</author>
    <author>tc={8FD97489-B891-4871-F00C-391BE06F9E91}</author>
    <author>tc={FB1D1CB7-0324-A560-6765-A0A71F34B396}</author>
    <author>tc={6F6E5000-C92D-0936-AD50-CC6FDA04F9B3}</author>
    <author>tc={44D0DEBF-1458-FA41-C762-B63BA20C8FC9}</author>
    <author>tc={05075970-8478-E4AA-ADBD-4150BCCEC4E5}</author>
    <author>tc={E98E893D-9953-F23B-6BA6-EA91FB5B1BF6}</author>
    <author>tc={7651EC4A-D342-2916-EDAC-C5C276EEEB3E}</author>
    <author>tc={3496B0D0-1814-DCDE-623E-FD4A387EBFAA}</author>
    <author>tc={19412A55-3409-2305-FBE7-5A3B274613E4}</author>
    <author>tc={E6773A57-52E0-ACD5-2A35-84B1E2E91FCB}</author>
    <author>tc={4B44484A-4078-D615-2292-17A8AA1D048F}</author>
    <author>tc={E02AC231-2F02-CFD2-ED3E-D97131AA9886}</author>
    <author>tc={22CA8FF6-B9F1-1862-DB44-EFB499279FF6}</author>
    <author>tc={8E15A93B-9E7C-0223-88BB-38E1E404D610}</author>
  </authors>
  <commentList>
    <comment ref="F4" authorId="0" shapeId="0" xr:uid="{F2741CC4-0318-EE37-46FC-8A1EA5F320D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PD: NA
</t>
      </text>
    </comment>
    <comment ref="G4" authorId="1" shapeId="0" xr:uid="{57A8A207-3F03-C6E0-55A3-D3B43AEC985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PD: NA
</t>
      </text>
    </comment>
    <comment ref="H4" authorId="2" shapeId="0" xr:uid="{315CC4F1-6070-EFEB-E090-A83904DFCB3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Teilpopulation mit PD: 55
</t>
      </text>
    </comment>
    <comment ref="G5" authorId="3" shapeId="0" xr:uid="{E5F4B1B2-AD4C-F4E0-988C-CA812C1AE25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PD: NA
</t>
      </text>
    </comment>
    <comment ref="H5" authorId="4" shapeId="0" xr:uid="{D0F1FA4B-976E-0317-FDC6-BA56B7E6485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PD: 252
</t>
      </text>
    </comment>
    <comment ref="F10" authorId="5" shapeId="0" xr:uid="{ED94C88C-BE78-6053-387E-0A17ACBE217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74.2 bei Eintritt in die Studie, 80.7 Durchschnittsalter bei Tod
</t>
      </text>
    </comment>
    <comment ref="H10" authorId="6" shapeId="0" xr:uid="{8FD97489-B891-4871-F00C-391BE06F9E9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 Kohorten, 166 PD, 102 Kontrolle
</t>
      </text>
    </comment>
    <comment ref="H11" authorId="7" shapeId="0" xr:uid="{FB1D1CB7-0324-A560-6765-A0A71F34B39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Teilpopulation mit M. Parkinson: 23
</t>
      </text>
    </comment>
    <comment ref="H13" authorId="8" shapeId="0" xr:uid="{6F6E5000-C92D-0936-AD50-CC6FDA04F9B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PD: 21402
</t>
      </text>
    </comment>
    <comment ref="H19" authorId="9" shapeId="0" xr:uid="{44D0DEBF-1458-FA41-C762-B63BA20C8FC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for PD: 159
</t>
      </text>
    </comment>
    <comment ref="F20" authorId="10" shapeId="0" xr:uid="{05075970-8478-E4AA-ADBD-4150BCCEC4E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Mean Age at Death: 77.9; Mean Age of Onset: 65.1
</t>
      </text>
    </comment>
    <comment ref="G21" authorId="11" shapeId="0" xr:uid="{E98E893D-9953-F23B-6BA6-EA91FB5B1B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PD: 41.6%
MS: 70.4%
control: 47.1%
</t>
      </text>
    </comment>
    <comment ref="F22" authorId="12" shapeId="0" xr:uid="{7651EC4A-D342-2916-EDAC-C5C276EEEB3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PD: 79.7
MS: 63.8
control: 79.3
</t>
      </text>
    </comment>
    <comment ref="H22" authorId="13" shapeId="0" xr:uid="{3496B0D0-1814-DCDE-623E-FD4A387EBFA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PD: 579
MS: 582
control: 95
</t>
      </text>
    </comment>
    <comment ref="I22" authorId="14" shapeId="0" xr:uid="{19412A55-3409-2305-FBE7-5A3B274613E4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von der Gesamtpopulation nur 54.9% mit iPD
</t>
      </text>
    </comment>
    <comment ref="F25" authorId="15" shapeId="0" xr:uid="{E6773A57-52E0-ACD5-2A35-84B1E2E91FC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83 bei PD
</t>
      </text>
    </comment>
    <comment ref="G25" authorId="16" shapeId="0" xr:uid="{4B44484A-4078-D615-2292-17A8AA1D048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33.9% bei PD
</t>
      </text>
    </comment>
    <comment ref="F26" authorId="17" shapeId="0" xr:uid="{E02AC231-2F02-CFD2-ED3E-D97131AA988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"age at death", nicht bei Aufnahme in die Studie
</t>
      </text>
    </comment>
    <comment ref="F28" authorId="18" shapeId="0" xr:uid="{22CA8FF6-B9F1-1862-DB44-EFB499279FF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83 with PD
</t>
      </text>
    </comment>
    <comment ref="H28" authorId="19" shapeId="0" xr:uid="{8E15A93B-9E7C-0223-88BB-38E1E404D61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12440 with PD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tc={BC4807E2-01A0-88BA-7DFF-C479D9CE27A3}</author>
  </authors>
  <commentList>
    <comment ref="Q5" authorId="0" shapeId="0" xr:uid="{BC4807E2-01A0-88BA-7DFF-C479D9CE27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"none"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tc={6E771FE5-274E-76E3-759D-AE672A409553}</author>
    <author>tc={5CB04AF0-BABE-8042-644E-C973EB98A969}</author>
    <author>tc={12828701-CCCE-202A-0EA7-D8EBBDE6B36A}</author>
    <author>tc={BFE9C513-28E3-72DD-3706-B9AF21A946F8}</author>
    <author>tc={6A04C6C7-E513-639D-2FF5-E81F7A4A4FEE}</author>
    <author>tc={88F77566-7DBF-A90A-ED20-E06D7D35A2A9}</author>
    <author>tc={2A244525-B39E-46BB-F514-04C232F0E0A3}</author>
    <author>tc={1DA290BE-9D48-8CD1-8BA1-6C065E63490F}</author>
    <author>tc={425DF767-32B5-88BB-88BE-C9212A77ABC2}</author>
    <author>tc={0B58C1F1-E3DF-013B-35E4-3F2BF9FC48E9}</author>
    <author>tc={CBA4AE3C-7966-C77A-96A4-D79638A44EB1}</author>
    <author>tc={D2875A69-3965-B7D0-C792-5A6537598C20}</author>
    <author>tc={716F3128-6684-9559-BB77-AA7283FCA7C5}</author>
    <author>tc={83CDA57F-F949-03C2-F26C-4059A40421F7}</author>
  </authors>
  <commentList>
    <comment ref="Q7" authorId="0" shapeId="0" xr:uid="{6E771FE5-274E-76E3-759D-AE672A40955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"no details"
</t>
      </text>
    </comment>
    <comment ref="Q10" authorId="1" shapeId="0" xr:uid="{5CB04AF0-BABE-8042-644E-C973EB98A96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"unkown"
</t>
      </text>
    </comment>
    <comment ref="C11" authorId="2" shapeId="0" xr:uid="{12828701-CCCE-202A-0EA7-D8EBBDE6B36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166 PD, 102 Kontrolle
</t>
      </text>
    </comment>
    <comment ref="N11" authorId="3" shapeId="0" xr:uid="{BFE9C513-28E3-72DD-3706-B9AF21A946F8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"at time of death 52% were living in institutional care"
</t>
      </text>
    </comment>
    <comment ref="M14" authorId="4" shapeId="0" xr:uid="{6A04C6C7-E513-639D-2FF5-E81F7A4A4FE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"social welfare facility"
</t>
      </text>
    </comment>
    <comment ref="M16" authorId="5" shapeId="0" xr:uid="{88F77566-7DBF-A90A-ED20-E06D7D35A2A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"long term care"
</t>
      </text>
    </comment>
    <comment ref="Q16" authorId="6" shapeId="0" xr:uid="{2A244525-B39E-46BB-F514-04C232F0E0A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"unknown"
</t>
      </text>
    </comment>
    <comment ref="D17" authorId="7" shapeId="0" xr:uid="{1DA290BE-9D48-8CD1-8BA1-6C065E63490F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22 died
</t>
      </text>
    </comment>
    <comment ref="H20" authorId="8" shapeId="0" xr:uid="{425DF767-32B5-88BB-88BE-C9212A77AB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"tertiary hospital" + "primary care hospital"
</t>
      </text>
    </comment>
    <comment ref="U21" authorId="9" shapeId="0" xr:uid="{0B58C1F1-E3DF-013B-35E4-3F2BF9FC48E9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"not recorded"
</t>
      </text>
    </comment>
    <comment ref="N25" authorId="10" shapeId="0" xr:uid="{CBA4AE3C-7966-C77A-96A4-D79638A44EB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"long term care facility"
</t>
      </text>
    </comment>
    <comment ref="R26" authorId="11" shapeId="0" xr:uid="{D2875A69-3965-B7D0-C792-5A6537598C2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"not recorded"
</t>
      </text>
    </comment>
    <comment ref="G28" authorId="12" shapeId="0" xr:uid="{716F3128-6684-9559-BB77-AA7283FCA7C5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"acute"
</t>
      </text>
    </comment>
    <comment ref="M28" authorId="13" shapeId="0" xr:uid="{83CDA57F-F949-03C2-F26C-4059A40421F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"subacute"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tc={F7B124B9-8B93-7D66-C063-D6F1F6EE06C7}</author>
    <author>tc={215DAFB9-E908-B860-8A82-FB1569ADF7F0}</author>
  </authors>
  <commentList>
    <comment ref="I37" authorId="0" shapeId="0" xr:uid="{F7B124B9-8B93-7D66-C063-D6F1F6EE06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Alter und CKD beziehen sich auf Gesamtpopulation von 4025, wahrscheinlich so nicht zu verwerten?
</t>
      </text>
    </comment>
    <comment ref="I62" authorId="1" shapeId="0" xr:uid="{215DAFB9-E908-B860-8A82-FB1569ADF7F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für 27 PD Patienten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tc={D1F36198-BCCF-2390-1669-5B33F510311D}</author>
    <author>tc={7C1BA97C-E0FB-6740-80B8-7143FE4A6113}</author>
  </authors>
  <commentList>
    <comment ref="B13" authorId="0" shapeId="0" xr:uid="{D1F36198-BCCF-2390-1669-5B33F510311D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27 Pat.
</t>
      </text>
    </comment>
    <comment ref="Q19" authorId="1" shapeId="0" xr:uid="{7C1BA97C-E0FB-6740-80B8-7143FE4A6113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Wie berechnet / was gegenüber gestellt?
</t>
      </text>
    </comment>
  </commentList>
</comments>
</file>

<file path=xl/sharedStrings.xml><?xml version="1.0" encoding="utf-8"?>
<sst xmlns="http://schemas.openxmlformats.org/spreadsheetml/2006/main" count="2899" uniqueCount="623">
  <si>
    <t>First author</t>
  </si>
  <si>
    <t xml:space="preserve">year </t>
  </si>
  <si>
    <t>publication type</t>
  </si>
  <si>
    <t>Journal</t>
  </si>
  <si>
    <t>Country of origin</t>
  </si>
  <si>
    <t>Mean Age</t>
  </si>
  <si>
    <t>Female (%)</t>
  </si>
  <si>
    <t>n</t>
  </si>
  <si>
    <t>proportion of PD patients</t>
  </si>
  <si>
    <t>factors studied</t>
  </si>
  <si>
    <t>QualSyst</t>
  </si>
  <si>
    <t>Kozáková</t>
  </si>
  <si>
    <t>abstract</t>
  </si>
  <si>
    <t>2019 International Congress of the Parkinson's Disease and Movement Disorders®</t>
  </si>
  <si>
    <t>Czech Republic</t>
  </si>
  <si>
    <t>NA</t>
  </si>
  <si>
    <t>None</t>
  </si>
  <si>
    <t>10 / 20.</t>
  </si>
  <si>
    <t>Klietz</t>
  </si>
  <si>
    <t>journal</t>
  </si>
  <si>
    <t>frontiers in Neurology</t>
  </si>
  <si>
    <t>Germany</t>
  </si>
  <si>
    <t>19 / 20</t>
  </si>
  <si>
    <t>Morris</t>
  </si>
  <si>
    <t>doctoral thesis</t>
  </si>
  <si>
    <t>Institute of Health and Society, Factualy of Medical Science, Newcastle University</t>
  </si>
  <si>
    <t>UK</t>
  </si>
  <si>
    <t>QualSyst Florian</t>
  </si>
  <si>
    <t>Aamondt</t>
  </si>
  <si>
    <t>Neurology: Clincal Practice</t>
  </si>
  <si>
    <t>USA</t>
  </si>
  <si>
    <t>Age, Sex, Ethinicity, Diseases, Residence</t>
  </si>
  <si>
    <t>20 / 20</t>
  </si>
  <si>
    <t>Ceylan</t>
  </si>
  <si>
    <t>Journal of Palliative Care</t>
  </si>
  <si>
    <t>Turkey</t>
  </si>
  <si>
    <t>81 (Median)</t>
  </si>
  <si>
    <t>54.1%</t>
  </si>
  <si>
    <t>Age, Sex, Diseases</t>
  </si>
  <si>
    <t>OMEGA - Journal of Death and Dying</t>
  </si>
  <si>
    <t>81.0 (Median)</t>
  </si>
  <si>
    <t xml:space="preserve">Cohen </t>
  </si>
  <si>
    <t>Health Policy</t>
  </si>
  <si>
    <t>Belgium</t>
  </si>
  <si>
    <t>18 / 20</t>
  </si>
  <si>
    <t>Dasch</t>
  </si>
  <si>
    <t>BMC Palliative Care</t>
  </si>
  <si>
    <t>Giffard</t>
  </si>
  <si>
    <t>poster</t>
  </si>
  <si>
    <t>6th World Parkinson Congress</t>
  </si>
  <si>
    <t>France</t>
  </si>
  <si>
    <t>15 / 18</t>
  </si>
  <si>
    <t>Grose</t>
  </si>
  <si>
    <t>MDS Virtual Congress 2020</t>
  </si>
  <si>
    <t>11 / 20.</t>
  </si>
  <si>
    <t>Hill</t>
  </si>
  <si>
    <t>European Journal of Neurology</t>
  </si>
  <si>
    <t>13 / 20</t>
  </si>
  <si>
    <t>Hobson</t>
  </si>
  <si>
    <t>BMJ Open</t>
  </si>
  <si>
    <t>80.7</t>
  </si>
  <si>
    <t>Krause</t>
  </si>
  <si>
    <t>Medizinische Fakultät der Ludwig-Maximilians-Universität zu München</t>
  </si>
  <si>
    <t>Kumar</t>
  </si>
  <si>
    <t>BMJ Supportive &amp; Palliative Care</t>
  </si>
  <si>
    <t>Age, Sex, Race, Ethinicity, Education, Residence</t>
  </si>
  <si>
    <t>Mai</t>
  </si>
  <si>
    <t>Korea</t>
  </si>
  <si>
    <t xml:space="preserve">20 / 20 </t>
  </si>
  <si>
    <t>Mappilakkandy</t>
  </si>
  <si>
    <t>21st International Congress of Parkinson's Disease and Movement Disorders</t>
  </si>
  <si>
    <t>12 / 18.</t>
  </si>
  <si>
    <t>McKenzie</t>
  </si>
  <si>
    <t>American Academy of Neurology</t>
  </si>
  <si>
    <t>Canada</t>
  </si>
  <si>
    <t>Residence, Diseases, Utilization</t>
  </si>
  <si>
    <t>Miyasaki</t>
  </si>
  <si>
    <t>7th World Research Congress of the European Association for Palliative Care (EAPC)</t>
  </si>
  <si>
    <t>Moens</t>
  </si>
  <si>
    <t>international</t>
  </si>
  <si>
    <t>Beglium 48.0%; France 46.8%; Italy 50.0%; Spain 44.6%; Hungary 41.5%; Czech Repbulic 41.3%; New Zeeland 47.5%; USA 42.4%; Canada 43.7%; Mexico 44.3% South Korea 56.3%; weighted average
44.8%</t>
  </si>
  <si>
    <t>all: 34430; Beglium 837; France 4559; Italy 4034; Spain 352; Hungary 241; Czech Republic 92; New Zeeland 202; USA 20065; Canada 1381; Mexico 1062; South Korea 1565</t>
  </si>
  <si>
    <t>Age, Sex, Education, Martial status, Residence, Health Care System Factors</t>
  </si>
  <si>
    <t>Moscovich</t>
  </si>
  <si>
    <t>Neurology</t>
  </si>
  <si>
    <t>15 /18</t>
  </si>
  <si>
    <t>Parkinsonism and Related Disorders</t>
  </si>
  <si>
    <t>Brazil</t>
  </si>
  <si>
    <t>16/18</t>
  </si>
  <si>
    <t>Nicholas</t>
  </si>
  <si>
    <t>age, disease progression, ACP, recognition of dying</t>
  </si>
  <si>
    <t>Shi</t>
  </si>
  <si>
    <t>Journal of Neurology</t>
  </si>
  <si>
    <t>Sleeman</t>
  </si>
  <si>
    <t>Palliative Medicine</t>
  </si>
  <si>
    <t>Underlying Cause of Death</t>
  </si>
  <si>
    <t>Snell</t>
  </si>
  <si>
    <t>Age and Aging</t>
  </si>
  <si>
    <t>17/22</t>
  </si>
  <si>
    <t>Tuck</t>
  </si>
  <si>
    <t>1.8%</t>
  </si>
  <si>
    <t>POLST, CMO (?)</t>
  </si>
  <si>
    <t>Walker</t>
  </si>
  <si>
    <t>16 / 20</t>
  </si>
  <si>
    <t>Xu</t>
  </si>
  <si>
    <t>Neuromodulation: Technology at the Neural Interface</t>
  </si>
  <si>
    <t>Australia</t>
  </si>
  <si>
    <t>Zwicker</t>
  </si>
  <si>
    <t>Journal of Parkinson's Disease</t>
  </si>
  <si>
    <t>Age, Sex, Residence, Utilization, Income, Diseases</t>
  </si>
  <si>
    <t>First_author</t>
  </si>
  <si>
    <t>total</t>
  </si>
  <si>
    <t>PD</t>
  </si>
  <si>
    <t>PoD</t>
  </si>
  <si>
    <t>Home</t>
  </si>
  <si>
    <t>Home_percentage</t>
  </si>
  <si>
    <t>Hospital_general</t>
  </si>
  <si>
    <t>Hospital_general_percentage</t>
  </si>
  <si>
    <t>NonPCU</t>
  </si>
  <si>
    <t>NonPCU_percentage</t>
  </si>
  <si>
    <t>PCU</t>
  </si>
  <si>
    <t>PCU_percentage</t>
  </si>
  <si>
    <t>NursingHome</t>
  </si>
  <si>
    <t>NursingHome_percentage</t>
  </si>
  <si>
    <t>Hospice</t>
  </si>
  <si>
    <t>Hospice_percentage</t>
  </si>
  <si>
    <t>other</t>
  </si>
  <si>
    <t>other_percentage</t>
  </si>
  <si>
    <t>comments</t>
  </si>
  <si>
    <t>"The others wish to die in a hospital or in other health and social institution."</t>
  </si>
  <si>
    <t>Year</t>
  </si>
  <si>
    <t>PoD Home</t>
  </si>
  <si>
    <t>Comment</t>
  </si>
  <si>
    <t>Aamodt</t>
  </si>
  <si>
    <t>author contacted</t>
  </si>
  <si>
    <t>2022/2023</t>
  </si>
  <si>
    <t>population: dementia</t>
  </si>
  <si>
    <t>population: all participants were living in a nursing home</t>
  </si>
  <si>
    <t>Nursing home --&gt; "at time of death 52% were living in institutional care"</t>
  </si>
  <si>
    <t>"prefered place of deaths was documented on in 38% of patients" --&gt; no further information in the abstract</t>
  </si>
  <si>
    <t>3.6%</t>
  </si>
  <si>
    <t>contact authors to receive information on "other", especially ask for hospice data</t>
  </si>
  <si>
    <t>"other includes hospices and emergency departments"</t>
  </si>
  <si>
    <t>contact authors to receive information on "other"</t>
  </si>
  <si>
    <t>Beglium</t>
  </si>
  <si>
    <t>Italy</t>
  </si>
  <si>
    <t>Spain</t>
  </si>
  <si>
    <t>Hungary</t>
  </si>
  <si>
    <t>New Zeeland</t>
  </si>
  <si>
    <t>Mexico</t>
  </si>
  <si>
    <t>South Korea</t>
  </si>
  <si>
    <t>OR</t>
  </si>
  <si>
    <t>Nursing home</t>
  </si>
  <si>
    <t>other place</t>
  </si>
  <si>
    <t>95% CI</t>
  </si>
  <si>
    <t>Sex</t>
  </si>
  <si>
    <t>Female</t>
  </si>
  <si>
    <t>0.89 - 1.00</t>
  </si>
  <si>
    <t>Ethnicity</t>
  </si>
  <si>
    <t>Black</t>
  </si>
  <si>
    <t>1.00 - 1.24</t>
  </si>
  <si>
    <t>Hispanic</t>
  </si>
  <si>
    <t>1.33 - 1.91</t>
  </si>
  <si>
    <t>Asian</t>
  </si>
  <si>
    <t>2.10 - 2.96</t>
  </si>
  <si>
    <t>Native American</t>
  </si>
  <si>
    <t>1.05 - 2.10</t>
  </si>
  <si>
    <t>Social Deprivation Index</t>
  </si>
  <si>
    <t>deprived</t>
  </si>
  <si>
    <t>1.14 - 1.36</t>
  </si>
  <si>
    <t>Charlson Comorbidity Index</t>
  </si>
  <si>
    <t>kein Cut-Off genannt</t>
  </si>
  <si>
    <t>0.99 - 1.01</t>
  </si>
  <si>
    <t>Residence</t>
  </si>
  <si>
    <t>urban</t>
  </si>
  <si>
    <t>0.98 - 1.10</t>
  </si>
  <si>
    <t>Age</t>
  </si>
  <si>
    <t>0.98</t>
  </si>
  <si>
    <t>0.98 - 0.99</t>
  </si>
  <si>
    <t>Age (reference &lt; 65)</t>
  </si>
  <si>
    <t>65 - 74</t>
  </si>
  <si>
    <t>0.890 - 1.041</t>
  </si>
  <si>
    <t>0.650 - 0.789</t>
  </si>
  <si>
    <t>1.218 - 1.427</t>
  </si>
  <si>
    <t>0.877 - 1.126</t>
  </si>
  <si>
    <t>75 - 84</t>
  </si>
  <si>
    <t>0.888 - 1.031</t>
  </si>
  <si>
    <t>0.495 - 0.594</t>
  </si>
  <si>
    <t>1.440 - 1.673</t>
  </si>
  <si>
    <t>0.811 - 1.028</t>
  </si>
  <si>
    <t>&gt; 84</t>
  </si>
  <si>
    <t>0.903 - 1.048</t>
  </si>
  <si>
    <t>0.381 - 0.458</t>
  </si>
  <si>
    <t>1.589 - 1.846</t>
  </si>
  <si>
    <t>0.711 - 0.903</t>
  </si>
  <si>
    <t>Male</t>
  </si>
  <si>
    <t>0.838 - 0.882</t>
  </si>
  <si>
    <t>1.396 - 1.515</t>
  </si>
  <si>
    <t>0.934 - 0.980</t>
  </si>
  <si>
    <t>1.175 - 1.282</t>
  </si>
  <si>
    <t>Martial Status</t>
  </si>
  <si>
    <t>unmarried</t>
  </si>
  <si>
    <t>0.493 - 0.519</t>
  </si>
  <si>
    <t>0.879 - 0.950</t>
  </si>
  <si>
    <t>1.795 - 1.883</t>
  </si>
  <si>
    <t>0.770 - 0.839</t>
  </si>
  <si>
    <t>1.245 - 1.389</t>
  </si>
  <si>
    <t>1.649 - 1.905</t>
  </si>
  <si>
    <t>0.540 - 0.603</t>
  </si>
  <si>
    <t>1.003 - 1.203</t>
  </si>
  <si>
    <t>0.970 - 1.448</t>
  </si>
  <si>
    <t>1.290 - 2.173</t>
  </si>
  <si>
    <t>0.684 - 1.007</t>
  </si>
  <si>
    <t>0.373 - 0.881</t>
  </si>
  <si>
    <t>Asian or Pacific</t>
  </si>
  <si>
    <t>1.381 - 1.588</t>
  </si>
  <si>
    <t>1.911 - 2.292</t>
  </si>
  <si>
    <t>0.443 - 0.517</t>
  </si>
  <si>
    <t>0.519 - 0.702</t>
  </si>
  <si>
    <t>1.746 - 1.923</t>
  </si>
  <si>
    <t>1.345 - 1.550</t>
  </si>
  <si>
    <t>0.395 - 0.440</t>
  </si>
  <si>
    <t>1.027 - 1.211</t>
  </si>
  <si>
    <t>Education</t>
  </si>
  <si>
    <t>college or more</t>
  </si>
  <si>
    <t>1.086 - 1.138</t>
  </si>
  <si>
    <t>0.900 - 0.968</t>
  </si>
  <si>
    <t>0.824 - 0.861</t>
  </si>
  <si>
    <t>0.986 - 1.067</t>
  </si>
  <si>
    <t>Age - Female (reference 90 - 94)</t>
  </si>
  <si>
    <t>65 - 69</t>
  </si>
  <si>
    <t>1.03 - 2.58</t>
  </si>
  <si>
    <t>70 - 74</t>
  </si>
  <si>
    <t>1.33 - 2.80</t>
  </si>
  <si>
    <t>75 - 79</t>
  </si>
  <si>
    <t>1.00 - 1.94</t>
  </si>
  <si>
    <t>80 - 84</t>
  </si>
  <si>
    <t>1.06 - 2.01</t>
  </si>
  <si>
    <t>85 - 89</t>
  </si>
  <si>
    <t>0.80 - 1.50</t>
  </si>
  <si>
    <t>&gt; 94</t>
  </si>
  <si>
    <t>0.64 - 1.85</t>
  </si>
  <si>
    <t>Age - Male (reference 85 - 89)</t>
  </si>
  <si>
    <t>0.96 - 2.09</t>
  </si>
  <si>
    <t>1.14 - 2.27</t>
  </si>
  <si>
    <t>1.19 - 2.25</t>
  </si>
  <si>
    <t>0.85 - 1.58</t>
  </si>
  <si>
    <t>90 - 94</t>
  </si>
  <si>
    <t>0.79 - 1.88</t>
  </si>
  <si>
    <t>0.40 - 2.89</t>
  </si>
  <si>
    <t>Age - Total (reference 85 - 89)</t>
  </si>
  <si>
    <t>1.06 - 1.89</t>
  </si>
  <si>
    <t>1.31 - 2.11</t>
  </si>
  <si>
    <t>1.15 - 1.77</t>
  </si>
  <si>
    <t>1.01 - 1.53</t>
  </si>
  <si>
    <t>0.78 - 1.31</t>
  </si>
  <si>
    <t>0.66 - 1.62</t>
  </si>
  <si>
    <t>"lower age"</t>
  </si>
  <si>
    <t>1.01 - 1.03</t>
  </si>
  <si>
    <t>Diseases</t>
  </si>
  <si>
    <t>chronic renal failure</t>
  </si>
  <si>
    <t>1.10 - 2.98</t>
  </si>
  <si>
    <t>0.30 - 6.88</t>
  </si>
  <si>
    <t>Utilization</t>
  </si>
  <si>
    <t>outpatient palliative care</t>
  </si>
  <si>
    <t>1.48 - 4.21</t>
  </si>
  <si>
    <t>"more family physician visits"</t>
  </si>
  <si>
    <t>inpatient palliative care</t>
  </si>
  <si>
    <t>8.64 - 28.82</t>
  </si>
  <si>
    <t>"longer duration of home care support"</t>
  </si>
  <si>
    <t>1.0004 - 1.0009</t>
  </si>
  <si>
    <t>"more hospitalizations"</t>
  </si>
  <si>
    <t>1.36 - 1.95</t>
  </si>
  <si>
    <t>3.03 - 10.89</t>
  </si>
  <si>
    <t>"more ICU admissions"</t>
  </si>
  <si>
    <t>1.60 - 9,01</t>
  </si>
  <si>
    <t>rural</t>
  </si>
  <si>
    <t>1.99 - 3.51</t>
  </si>
  <si>
    <t>Underlying Cause of Death (Proportion Ratio)</t>
  </si>
  <si>
    <t>COPD</t>
  </si>
  <si>
    <t>1.20 - 1.50</t>
  </si>
  <si>
    <t>1.17 - 1.31</t>
  </si>
  <si>
    <t>0.69 - 0.79</t>
  </si>
  <si>
    <t>0.29 - 1.49</t>
  </si>
  <si>
    <t>Cancer</t>
  </si>
  <si>
    <t>1.80 - 2.04</t>
  </si>
  <si>
    <t>0.92 - 1.00</t>
  </si>
  <si>
    <t>0.69 - 0.75</t>
  </si>
  <si>
    <t>16.1 - 22.0</t>
  </si>
  <si>
    <t>Cardiovascular disease</t>
  </si>
  <si>
    <t>1.67 - 1.83</t>
  </si>
  <si>
    <t>1.07 - 1.13</t>
  </si>
  <si>
    <t>0.77 - 0.81</t>
  </si>
  <si>
    <t>0.30 - 0.72</t>
  </si>
  <si>
    <t>Cerebrovascular disease</t>
  </si>
  <si>
    <t>0.71 - 0.82</t>
  </si>
  <si>
    <t>1.02 - 1.08</t>
  </si>
  <si>
    <t>0.98 - 1.03</t>
  </si>
  <si>
    <t>0.18 - 0.55</t>
  </si>
  <si>
    <t>Dementia</t>
  </si>
  <si>
    <t>0.45 - 0.64</t>
  </si>
  <si>
    <t>1.19 - 1.32</t>
  </si>
  <si>
    <t>0.35 - 1.75</t>
  </si>
  <si>
    <t>0.59  0.68</t>
  </si>
  <si>
    <t>1.49 - 1.57</t>
  </si>
  <si>
    <t>0.63 - 0.66</t>
  </si>
  <si>
    <t>0.44 - 0.90</t>
  </si>
  <si>
    <t>0.92 - 1.17</t>
  </si>
  <si>
    <t>Age (reference 95+)</t>
  </si>
  <si>
    <t>18 - 44</t>
  </si>
  <si>
    <t>0.19 - 1.50</t>
  </si>
  <si>
    <t>45 - 54</t>
  </si>
  <si>
    <t>0.49 - 2.00</t>
  </si>
  <si>
    <t>55 - 64</t>
  </si>
  <si>
    <t>0.75 - 1.69</t>
  </si>
  <si>
    <t>1.10 - 2.10</t>
  </si>
  <si>
    <t>0.99 - 1.81</t>
  </si>
  <si>
    <t>85 - 94</t>
  </si>
  <si>
    <t>0.88 - 1.60</t>
  </si>
  <si>
    <t>1.17 - 1.72</t>
  </si>
  <si>
    <t>Income (reference lowest)</t>
  </si>
  <si>
    <t>low</t>
  </si>
  <si>
    <t>0.85 - 1.20</t>
  </si>
  <si>
    <t>middle</t>
  </si>
  <si>
    <t>0.74 - 1.05</t>
  </si>
  <si>
    <t>high</t>
  </si>
  <si>
    <t>0.81 - 1.17</t>
  </si>
  <si>
    <t>highest</t>
  </si>
  <si>
    <t>0.80 - 1.140</t>
  </si>
  <si>
    <t>non-palliative homecare</t>
  </si>
  <si>
    <t>1.04 - 1.42</t>
  </si>
  <si>
    <t>palliative homecare</t>
  </si>
  <si>
    <t>0.20 - 0.30</t>
  </si>
  <si>
    <t>palliative physician home visit</t>
  </si>
  <si>
    <t>0.34 - 0.43</t>
  </si>
  <si>
    <t>"Number of active conditions"</t>
  </si>
  <si>
    <t>1.15 - 1.22</t>
  </si>
  <si>
    <t>Moens, Belgium</t>
  </si>
  <si>
    <t>1.5 - 3.5</t>
  </si>
  <si>
    <t>&lt; 80</t>
  </si>
  <si>
    <t>1.2 - 2.7</t>
  </si>
  <si>
    <t>Higher Secondary or Higher</t>
  </si>
  <si>
    <t>0,80 - 1,52</t>
  </si>
  <si>
    <t>married</t>
  </si>
  <si>
    <t>1,12 - 2,08</t>
  </si>
  <si>
    <t>very strong/strong Urbanization</t>
  </si>
  <si>
    <t>0,97 - 1,83</t>
  </si>
  <si>
    <t>Health Care System</t>
  </si>
  <si>
    <t>Hospital beds per 1000 inhabitants</t>
  </si>
  <si>
    <t>ns</t>
  </si>
  <si>
    <t>LTC-beds per 1000 inhabitants</t>
  </si>
  <si>
    <t>Moens, France</t>
  </si>
  <si>
    <t>1.3 - 1.7</t>
  </si>
  <si>
    <t>1.2 - 1.6</t>
  </si>
  <si>
    <t>0,85 - 1,09</t>
  </si>
  <si>
    <t>1.002 - 1.014</t>
  </si>
  <si>
    <t>Moens, Italy</t>
  </si>
  <si>
    <t>1.2 - 1.7</t>
  </si>
  <si>
    <t>0,75 - 1,21</t>
  </si>
  <si>
    <t>0,99 - 1,29</t>
  </si>
  <si>
    <t>4.0 - 7.1</t>
  </si>
  <si>
    <t>Moens, Spain</t>
  </si>
  <si>
    <t>0,71 - 1,69</t>
  </si>
  <si>
    <t>0,78 - 1,88</t>
  </si>
  <si>
    <t>0,62 - 1,89</t>
  </si>
  <si>
    <t>0,96 - 2,27</t>
  </si>
  <si>
    <t>0,61 - 1,45</t>
  </si>
  <si>
    <t>Moens, Hungary</t>
  </si>
  <si>
    <t>0,86 - 2,43</t>
  </si>
  <si>
    <t>0,59 - 1,71</t>
  </si>
  <si>
    <t>0,84 - 2,58</t>
  </si>
  <si>
    <t>1.2 - 3.4</t>
  </si>
  <si>
    <t>0,93 - 2,81</t>
  </si>
  <si>
    <t>Moens, Czech Republic</t>
  </si>
  <si>
    <t>0,42 - 2,28</t>
  </si>
  <si>
    <t>0,40 - 2,15</t>
  </si>
  <si>
    <t>0,65 - 6,94</t>
  </si>
  <si>
    <t>0,54 - 2,93</t>
  </si>
  <si>
    <t>Moens, New Zeeland</t>
  </si>
  <si>
    <t>0,94 - 4,12</t>
  </si>
  <si>
    <t>0,70 - 2,96</t>
  </si>
  <si>
    <t>0.92 - 0.99</t>
  </si>
  <si>
    <t>Moens, USA</t>
  </si>
  <si>
    <t>1.3 - 1.5</t>
  </si>
  <si>
    <t>1.2 - 1.4</t>
  </si>
  <si>
    <t>0,85 - 1,04</t>
  </si>
  <si>
    <t>1.02 - 1.2</t>
  </si>
  <si>
    <t>1.1 -1.2</t>
  </si>
  <si>
    <t>Moens, Canada</t>
  </si>
  <si>
    <t>1.4 - 2.2</t>
  </si>
  <si>
    <t>1,09 - 1,73</t>
  </si>
  <si>
    <t>1.3 - 1.9</t>
  </si>
  <si>
    <t>0,88 - 1,58</t>
  </si>
  <si>
    <t>Moens, Mexico</t>
  </si>
  <si>
    <t>0,71 - 1,26</t>
  </si>
  <si>
    <t>1.1 -1.9</t>
  </si>
  <si>
    <t>1.3 - 2.5</t>
  </si>
  <si>
    <t>0,70 - 1,23</t>
  </si>
  <si>
    <t>Moens, South Korea</t>
  </si>
  <si>
    <t>0,75 - 1,19</t>
  </si>
  <si>
    <t>0.6 - 0.98</t>
  </si>
  <si>
    <t>0.5 - 0.8</t>
  </si>
  <si>
    <t>0,70 - 1,26</t>
  </si>
  <si>
    <t>not dying at home: not possessing ACP</t>
  </si>
  <si>
    <t>HR: 1.215</t>
  </si>
  <si>
    <t>1.107 - 1.335</t>
  </si>
  <si>
    <t>"older age of death"</t>
  </si>
  <si>
    <t>HR: 0.996</t>
  </si>
  <si>
    <t>0.993 - 0.998</t>
  </si>
  <si>
    <t>Disease</t>
  </si>
  <si>
    <t>"progressive dwindling disease course"</t>
  </si>
  <si>
    <t>HR: 0.969</t>
  </si>
  <si>
    <t>0.939 - 1.00</t>
  </si>
  <si>
    <t>possessing ACP</t>
  </si>
  <si>
    <t>HR: 0.710</t>
  </si>
  <si>
    <t>0.623 - 0.809</t>
  </si>
  <si>
    <t>recognition of dying</t>
  </si>
  <si>
    <t>HR: 0.708</t>
  </si>
  <si>
    <t>0.623 - 0.999</t>
  </si>
  <si>
    <t>Study</t>
  </si>
  <si>
    <t>Income</t>
  </si>
  <si>
    <t>martial status</t>
  </si>
  <si>
    <t>Diseases / Cause of Death</t>
  </si>
  <si>
    <t>Environmental factors</t>
  </si>
  <si>
    <t>Care planning</t>
  </si>
  <si>
    <t>college</t>
  </si>
  <si>
    <t>Time trend (2003/2017)</t>
  </si>
  <si>
    <t>POLST+</t>
  </si>
  <si>
    <t>0,78 -1,34</t>
  </si>
  <si>
    <t>2,43 - 2,59</t>
  </si>
  <si>
    <t>1,71 - 1,86</t>
  </si>
  <si>
    <t>1,35 - 2,31</t>
  </si>
  <si>
    <t>0,03 - 0,86</t>
  </si>
  <si>
    <t>0,39 - 1,54</t>
  </si>
  <si>
    <t>1.93 - 2.03</t>
  </si>
  <si>
    <t>0,69 - 4,49</t>
  </si>
  <si>
    <t>neurologic outpatient care</t>
  </si>
  <si>
    <t>1,30 - 2,81</t>
  </si>
  <si>
    <t>1,46 - 4,53</t>
  </si>
  <si>
    <t>Cardiovascular/heart disease</t>
  </si>
  <si>
    <t>0,83 - 2,17</t>
  </si>
  <si>
    <t>0,42 - 1,73</t>
  </si>
  <si>
    <t>0,30 - 1,54</t>
  </si>
  <si>
    <t>Influenza/pneumonia</t>
  </si>
  <si>
    <t>0,06 - 1,11</t>
  </si>
  <si>
    <t>Accident/Fall</t>
  </si>
  <si>
    <t>0,17 - 1,18</t>
  </si>
  <si>
    <t>Sterbeort: Krankenhaus - Variable: cause of death (COPD)</t>
  </si>
  <si>
    <t>Nummer</t>
  </si>
  <si>
    <t>Autor</t>
  </si>
  <si>
    <t>Jahr</t>
  </si>
  <si>
    <t>n_ges</t>
  </si>
  <si>
    <t>tpos</t>
  </si>
  <si>
    <t>tneg</t>
  </si>
  <si>
    <t>cpos</t>
  </si>
  <si>
    <t>cneg</t>
  </si>
  <si>
    <t>CI_lb</t>
  </si>
  <si>
    <t>CI_ub</t>
  </si>
  <si>
    <t>p-Wert</t>
  </si>
  <si>
    <t>Sterbeort: Zuhause - Variable: Geschlecht (männlich)</t>
  </si>
  <si>
    <t>Sterbeort: Zuhause - Variable: Wohnort (städtisch)</t>
  </si>
  <si>
    <t xml:space="preserve">Sterbeort: Zuhause - Variable: cause of death (COPD) </t>
  </si>
  <si>
    <t>&lt; 0,0001</t>
  </si>
  <si>
    <t>&lt; 0,001</t>
  </si>
  <si>
    <t>Sterbeort: Zuhause - Variable: cause of death (cancer)</t>
  </si>
  <si>
    <t xml:space="preserve"> NA</t>
  </si>
  <si>
    <t>Sterbeort: Zuhause - Variable: cause of death (cardiovascular / heart disease)</t>
  </si>
  <si>
    <t>Sterbeort: Zuhause - Variable: cause of death (cerebrovascular disease)</t>
  </si>
  <si>
    <t xml:space="preserve">  NA</t>
  </si>
  <si>
    <t>Sterbeort: Zuhause - Variable: cause of death (dementia)</t>
  </si>
  <si>
    <t>Healt Care System</t>
  </si>
  <si>
    <t>COVID 19-pandemic</t>
  </si>
  <si>
    <t>0.70</t>
  </si>
  <si>
    <t xml:space="preserve">0.58 - 0.85 </t>
  </si>
  <si>
    <t>1.05 - 1.14</t>
  </si>
  <si>
    <t>Tuck (OR)</t>
  </si>
  <si>
    <t>0,25 - 0,52</t>
  </si>
  <si>
    <t>Ceylan (2023)</t>
  </si>
  <si>
    <t>0,35 - 3,18</t>
  </si>
  <si>
    <t>0,29 - 0,70</t>
  </si>
  <si>
    <t>0.38</t>
  </si>
  <si>
    <t>0.29 - 0.50</t>
  </si>
  <si>
    <t>higher secondary or higher</t>
  </si>
  <si>
    <t>Morris (OR)</t>
  </si>
  <si>
    <t>palliative homecare /outpatient palliative care</t>
  </si>
  <si>
    <t xml:space="preserve">Zwicker </t>
  </si>
  <si>
    <t>0,41 -0,87</t>
  </si>
  <si>
    <t>0,44 - 0,49</t>
  </si>
  <si>
    <t>Sleeman (PR)</t>
  </si>
  <si>
    <t>1.00 - 1.12</t>
  </si>
  <si>
    <t>0,40 - 4,94</t>
  </si>
  <si>
    <t>1.1 - 1.2</t>
  </si>
  <si>
    <t>Ceylan (2022)</t>
  </si>
  <si>
    <t>Social deprivation</t>
  </si>
  <si>
    <t>0,07 - 1,15</t>
  </si>
  <si>
    <t>1,14 - 1,36</t>
  </si>
  <si>
    <t>0,5 - 0,8</t>
  </si>
  <si>
    <t>0,69 - 2,52</t>
  </si>
  <si>
    <t>1,2 - 1,6</t>
  </si>
  <si>
    <t>1.0014 - 1.002</t>
  </si>
  <si>
    <t>0,90 - 0,95</t>
  </si>
  <si>
    <t>1,10 - 1,70</t>
  </si>
  <si>
    <t>1,80 - 37,88</t>
  </si>
  <si>
    <t>0,75 -2,31</t>
  </si>
  <si>
    <t>0,53 - 3,12</t>
  </si>
  <si>
    <t>0,10 - 1,87</t>
  </si>
  <si>
    <t>Accidents/falls</t>
  </si>
  <si>
    <t>2,91 - 13.20</t>
  </si>
  <si>
    <t>1,77 - 12,21</t>
  </si>
  <si>
    <t>0,99 - 1,01</t>
  </si>
  <si>
    <t>1.1 - 1.9</t>
  </si>
  <si>
    <t>"Age"</t>
  </si>
  <si>
    <t xml:space="preserve">0.98 </t>
  </si>
  <si>
    <t>Sterbeort: Krankenhaus - Variable: Geschlecht (männlich)</t>
  </si>
  <si>
    <t>Sterbeort: Krankenhaus - Variable: Ethnie (Black)</t>
  </si>
  <si>
    <t>Sterbeort: Krankenhaus - Variable: Wohnort (städtisch)</t>
  </si>
  <si>
    <t>Sterbeort: Krankenhaus - Variable: Familienstand (verheiratet)</t>
  </si>
  <si>
    <t>Sterbeort: Krankenhaus - Variable: Alter</t>
  </si>
  <si>
    <t>Sterbeort: Krankenhaus - Variable: Bildungsniveau (college/higher)</t>
  </si>
  <si>
    <t>Sterbeort: Krankenhaus - Variable: palliative homecare / outpatient palliative care</t>
  </si>
  <si>
    <t>&lt; 0,05</t>
  </si>
  <si>
    <t>Moens, Belgien</t>
  </si>
  <si>
    <t>Moens, Frankreich</t>
  </si>
  <si>
    <t>Moens, Italien</t>
  </si>
  <si>
    <t>Moens, Kanda</t>
  </si>
  <si>
    <t>Sterbeort: Krankenhaus - Variable: cause of death (Cancer)</t>
  </si>
  <si>
    <t>Sterbeort: Krankenhaus - Variable: Ethnie (Hispanic)</t>
  </si>
  <si>
    <t>Moens, Mexiko</t>
  </si>
  <si>
    <t>Moens, Neuseeland</t>
  </si>
  <si>
    <t>Moens, Spanien</t>
  </si>
  <si>
    <t>Moens, Südkorea</t>
  </si>
  <si>
    <t>&lt; 0,01</t>
  </si>
  <si>
    <t>Moens, Tschechien</t>
  </si>
  <si>
    <t>Sterbeort: Krankenhaus - Variable: cause of death (cardiovascular / heart disease)</t>
  </si>
  <si>
    <t>Moens, Ungarn</t>
  </si>
  <si>
    <t>Sterbeort: Krankenhaus - Variable: Ethnie (Asian)</t>
  </si>
  <si>
    <t>Sterbeort: Krankenhaus - Variable: cause of death (cerebrovascular disease)</t>
  </si>
  <si>
    <t>Sterbeort: Krankenhaus - Variable: Ethnie (Native American)</t>
  </si>
  <si>
    <t>Sterbeort: Krankenhaus - Variable: cause of death (dementia)</t>
  </si>
  <si>
    <t>PR</t>
  </si>
  <si>
    <t>0,67 - 0,69</t>
  </si>
  <si>
    <t>1,37 - 2,28</t>
  </si>
  <si>
    <t>0,39 - 0,89</t>
  </si>
  <si>
    <t>0,63 - 0,68</t>
  </si>
  <si>
    <t>0,75 - 1,24</t>
  </si>
  <si>
    <t>0,09 - 1,44</t>
  </si>
  <si>
    <t xml:space="preserve">Walker </t>
  </si>
  <si>
    <t>0,59 - 2,12</t>
  </si>
  <si>
    <t>0.53 - 0.56</t>
  </si>
  <si>
    <t>0,40 - 0,63</t>
  </si>
  <si>
    <t>0,17 - 1,21</t>
  </si>
  <si>
    <t>0,32 - 1,02</t>
  </si>
  <si>
    <t>0,44 - 1,12</t>
  </si>
  <si>
    <t>0,56 - 2,03</t>
  </si>
  <si>
    <t>0,89 - 3,87</t>
  </si>
  <si>
    <t>Accidents/Falls</t>
  </si>
  <si>
    <t>0,12 - 0,58</t>
  </si>
  <si>
    <t>Sterbeort: Pflegeheim - Variable: Geschlecht (männlich)</t>
  </si>
  <si>
    <t>Sterbeort: Pflegeheim - Variable: Wohnort (städtisch)</t>
  </si>
  <si>
    <t xml:space="preserve">Sterbeort: Pflegeheim - Variable: cause of death (COPD) </t>
  </si>
  <si>
    <t>Sterbeort: Pflegeheim - Variable: cause of death (cancer)</t>
  </si>
  <si>
    <t>Sterbeort: Pflegeheim - Variable: cause of death (cardiovascular / heart disease)</t>
  </si>
  <si>
    <t>Sterbeort: Pflegeheim - Variable: cause of death (cerebrovascular disease)</t>
  </si>
  <si>
    <t>Sterbeort: Pflegeheim - Variable: cause of death (dementia)</t>
  </si>
  <si>
    <t>2,42 - 2,69</t>
  </si>
  <si>
    <t>0,28 - 136,54</t>
  </si>
  <si>
    <t>26,81 - 47,79</t>
  </si>
  <si>
    <t>1.19 - 1.30</t>
  </si>
  <si>
    <t>1,81 - 5,40</t>
  </si>
  <si>
    <t>Sterbeort: Hospiz - hospice: Geschlecht (männlich)</t>
  </si>
  <si>
    <t>year</t>
  </si>
  <si>
    <t>DOI</t>
  </si>
  <si>
    <t>Decision</t>
  </si>
  <si>
    <t>found</t>
  </si>
  <si>
    <t>https://dx.doi.org/10.1212/CPJ.0000000000200171</t>
  </si>
  <si>
    <t>included</t>
  </si>
  <si>
    <t>x</t>
  </si>
  <si>
    <t>Asta</t>
  </si>
  <si>
    <t>http://dx.doi.org/10.19191/EP22.1-2.A003.003</t>
  </si>
  <si>
    <t>wrong outcome</t>
  </si>
  <si>
    <t>Berger</t>
  </si>
  <si>
    <t>wrong outcome?</t>
  </si>
  <si>
    <t>Beydoun</t>
  </si>
  <si>
    <t>http://dx.doi.org/10.1016/j.parkreldis.2016.11.005</t>
  </si>
  <si>
    <t>Bradburn</t>
  </si>
  <si>
    <t>wrong outocme</t>
  </si>
  <si>
    <t>Counsell</t>
  </si>
  <si>
    <t>Crispo</t>
  </si>
  <si>
    <t>Cross</t>
  </si>
  <si>
    <t>Cummiskey</t>
  </si>
  <si>
    <t>Fabbri</t>
  </si>
  <si>
    <t>Factor</t>
  </si>
  <si>
    <t>https://doi.org/10.1212/01.WNL.0000068010.82167.CF</t>
  </si>
  <si>
    <t>Na</t>
  </si>
  <si>
    <t>Fleisher</t>
  </si>
  <si>
    <t>http://dx.doi.org/10.1016/j.parkreldis.2022.07.017</t>
  </si>
  <si>
    <t>too small of a population</t>
  </si>
  <si>
    <t>Giffard a/b</t>
  </si>
  <si>
    <t>X</t>
  </si>
  <si>
    <t>Ikeda</t>
  </si>
  <si>
    <t>Khuang Lim</t>
  </si>
  <si>
    <t>Klaptocz</t>
  </si>
  <si>
    <t>included, but not found</t>
  </si>
  <si>
    <t>Loucka</t>
  </si>
  <si>
    <t>wrong population</t>
  </si>
  <si>
    <t>Millett-Spicer</t>
  </si>
  <si>
    <t>data already included</t>
  </si>
  <si>
    <t>Moscovitch</t>
  </si>
  <si>
    <t>2014a/b</t>
  </si>
  <si>
    <t>included, download record</t>
  </si>
  <si>
    <t>Patel</t>
  </si>
  <si>
    <t>Perdomo-Lampignano</t>
  </si>
  <si>
    <t>Persenaire</t>
  </si>
  <si>
    <t>Rosenwax</t>
  </si>
  <si>
    <t>Safarpour</t>
  </si>
  <si>
    <t>Thompson</t>
  </si>
  <si>
    <t xml:space="preserve">Tuck </t>
  </si>
  <si>
    <t>2015 a/b</t>
  </si>
  <si>
    <t>Verne</t>
  </si>
  <si>
    <t>not found</t>
  </si>
  <si>
    <t>ci.lb</t>
  </si>
  <si>
    <t>ci.ub</t>
  </si>
  <si>
    <t>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</si>
</sst>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indexed="2"/>
      <name val="Calibri (Textkörper)"/>
    </font>
    <font>
      <sz val="12"/>
      <color indexed="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indexed="2"/>
      <name val="Calibri (Textkörper)"/>
    </font>
    <font>
      <b/>
      <sz val="12"/>
      <name val="Calibri"/>
      <family val="2"/>
      <scheme val="minor"/>
    </font>
    <font>
      <sz val="12"/>
      <name val="Helvetica"/>
      <family val="2"/>
    </font>
    <font>
      <sz val="14"/>
      <name val="Helvetica Neue"/>
      <family val="2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indexed="2"/>
        <bgColor indexed="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B4C6E7"/>
        <bgColor rgb="FFB4C6E7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Protection="0"/>
    <xf numFmtId="9" fontId="3" fillId="2" borderId="0" applyFont="0" applyFill="0" applyBorder="0"/>
  </cellStyleXfs>
  <cellXfs count="188">
    <xf numFmtId="0" fontId="0" fillId="0" borderId="0" xfId="0"/>
    <xf numFmtId="0" fontId="0" fillId="2" borderId="0" xfId="0" applyFill="1" applyAlignment="1">
      <alignment horizontal="center" wrapText="1"/>
    </xf>
    <xf numFmtId="9" fontId="0" fillId="2" borderId="0" xfId="2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164" fontId="0" fillId="3" borderId="0" xfId="2" applyNumberFormat="1" applyFont="1" applyFill="1" applyAlignment="1">
      <alignment horizontal="center" wrapText="1"/>
    </xf>
    <xf numFmtId="9" fontId="0" fillId="3" borderId="0" xfId="2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164" fontId="0" fillId="2" borderId="0" xfId="2" applyNumberFormat="1" applyFont="1" applyFill="1" applyAlignment="1">
      <alignment horizontal="center" vertical="center" wrapText="1"/>
    </xf>
    <xf numFmtId="9" fontId="0" fillId="2" borderId="0" xfId="2" applyFont="1" applyFill="1" applyAlignment="1">
      <alignment horizontal="center" vertical="center" wrapText="1"/>
    </xf>
    <xf numFmtId="16" fontId="0" fillId="2" borderId="0" xfId="2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9" fontId="0" fillId="2" borderId="0" xfId="2" applyFont="1" applyFill="1"/>
    <xf numFmtId="0" fontId="0" fillId="3" borderId="0" xfId="0" applyFill="1" applyAlignment="1">
      <alignment wrapText="1"/>
    </xf>
    <xf numFmtId="10" fontId="0" fillId="3" borderId="0" xfId="2" applyNumberFormat="1" applyFont="1" applyFill="1" applyAlignment="1">
      <alignment wrapText="1"/>
    </xf>
    <xf numFmtId="164" fontId="0" fillId="3" borderId="0" xfId="2" applyNumberFormat="1" applyFont="1" applyFill="1" applyAlignment="1">
      <alignment wrapText="1"/>
    </xf>
    <xf numFmtId="10" fontId="0" fillId="2" borderId="0" xfId="2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horizontal="center" vertical="center" wrapText="1"/>
    </xf>
    <xf numFmtId="164" fontId="4" fillId="2" borderId="0" xfId="2" applyNumberFormat="1" applyFont="1" applyFill="1" applyAlignment="1">
      <alignment horizontal="center" vertical="center" wrapText="1"/>
    </xf>
    <xf numFmtId="164" fontId="0" fillId="2" borderId="0" xfId="2" applyNumberFormat="1" applyFont="1" applyFill="1" applyAlignment="1">
      <alignment wrapText="1"/>
    </xf>
    <xf numFmtId="0" fontId="0" fillId="3" borderId="0" xfId="0" applyFill="1"/>
    <xf numFmtId="0" fontId="0" fillId="2" borderId="0" xfId="0" applyFill="1"/>
    <xf numFmtId="164" fontId="0" fillId="0" borderId="0" xfId="2" applyNumberFormat="1" applyFont="1" applyFill="1"/>
    <xf numFmtId="164" fontId="0" fillId="2" borderId="0" xfId="2" applyNumberFormat="1" applyFont="1" applyFill="1"/>
    <xf numFmtId="0" fontId="0" fillId="2" borderId="0" xfId="0" applyFill="1" applyAlignment="1">
      <alignment horizontal="right" vertical="center" wrapText="1"/>
    </xf>
    <xf numFmtId="9" fontId="0" fillId="0" borderId="0" xfId="2" applyFont="1" applyFill="1"/>
    <xf numFmtId="0" fontId="0" fillId="2" borderId="0" xfId="0" applyFill="1" applyAlignment="1">
      <alignment horizontal="left"/>
    </xf>
    <xf numFmtId="9" fontId="0" fillId="2" borderId="0" xfId="2" applyFont="1" applyFill="1" applyAlignment="1">
      <alignment horizontal="center"/>
    </xf>
    <xf numFmtId="0" fontId="0" fillId="3" borderId="0" xfId="0" applyFill="1" applyAlignment="1">
      <alignment horizontal="left"/>
    </xf>
    <xf numFmtId="164" fontId="0" fillId="3" borderId="0" xfId="2" applyNumberFormat="1" applyFont="1" applyFill="1" applyAlignment="1">
      <alignment horizontal="left"/>
    </xf>
    <xf numFmtId="9" fontId="0" fillId="3" borderId="0" xfId="2" applyFont="1" applyFill="1" applyAlignment="1">
      <alignment horizontal="left"/>
    </xf>
    <xf numFmtId="164" fontId="0" fillId="2" borderId="0" xfId="2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9" fontId="6" fillId="2" borderId="0" xfId="2" applyFont="1" applyFill="1" applyAlignment="1">
      <alignment horizontal="center"/>
    </xf>
    <xf numFmtId="164" fontId="6" fillId="2" borderId="0" xfId="2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0" fontId="7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2" fontId="0" fillId="2" borderId="0" xfId="0" applyNumberFormat="1" applyFill="1" applyAlignment="1">
      <alignment horizontal="center"/>
    </xf>
    <xf numFmtId="0" fontId="8" fillId="5" borderId="0" xfId="0" applyFont="1" applyFill="1" applyAlignment="1">
      <alignment horizontal="left" vertical="center"/>
    </xf>
    <xf numFmtId="0" fontId="8" fillId="2" borderId="0" xfId="0" applyFont="1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3" fontId="0" fillId="2" borderId="0" xfId="0" applyNumberFormat="1" applyFill="1"/>
    <xf numFmtId="0" fontId="0" fillId="3" borderId="0" xfId="0" applyFill="1" applyAlignment="1">
      <alignment horizontal="center"/>
    </xf>
    <xf numFmtId="0" fontId="10" fillId="7" borderId="0" xfId="0" applyFont="1" applyFill="1"/>
    <xf numFmtId="0" fontId="0" fillId="3" borderId="0" xfId="0" applyFill="1" applyAlignment="1">
      <alignment horizontal="right"/>
    </xf>
    <xf numFmtId="0" fontId="10" fillId="7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6" fillId="9" borderId="0" xfId="0" applyFont="1" applyFill="1"/>
    <xf numFmtId="0" fontId="0" fillId="10" borderId="0" xfId="0" applyFill="1" applyAlignment="1">
      <alignment horizontal="center"/>
    </xf>
    <xf numFmtId="0" fontId="6" fillId="10" borderId="0" xfId="0" applyFont="1" applyFill="1"/>
    <xf numFmtId="2" fontId="6" fillId="10" borderId="0" xfId="0" applyNumberFormat="1" applyFont="1" applyFill="1"/>
    <xf numFmtId="0" fontId="6" fillId="8" borderId="0" xfId="0" applyFont="1" applyFill="1" applyAlignment="1">
      <alignment horizontal="center"/>
    </xf>
    <xf numFmtId="0" fontId="6" fillId="8" borderId="0" xfId="0" applyFont="1" applyFill="1"/>
    <xf numFmtId="2" fontId="0" fillId="0" borderId="0" xfId="0" applyNumberFormat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10" borderId="0" xfId="0" applyFill="1" applyAlignment="1">
      <alignment horizontal="left"/>
    </xf>
    <xf numFmtId="2" fontId="0" fillId="2" borderId="0" xfId="0" applyNumberFormat="1" applyFill="1"/>
    <xf numFmtId="0" fontId="6" fillId="1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6" fillId="10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8" fillId="0" borderId="0" xfId="0" applyFont="1"/>
    <xf numFmtId="0" fontId="0" fillId="12" borderId="2" xfId="0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2" borderId="2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2" borderId="0" xfId="0" applyFill="1" applyAlignment="1">
      <alignment vertical="center"/>
    </xf>
    <xf numFmtId="0" fontId="0" fillId="10" borderId="0" xfId="0" applyFill="1" applyAlignment="1">
      <alignment horizontal="right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right"/>
    </xf>
    <xf numFmtId="2" fontId="0" fillId="2" borderId="0" xfId="0" applyNumberFormat="1" applyFill="1" applyAlignment="1">
      <alignment horizontal="center" vertical="center"/>
    </xf>
    <xf numFmtId="0" fontId="10" fillId="10" borderId="0" xfId="0" applyFont="1" applyFill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5" fillId="0" borderId="0" xfId="0" applyFont="1"/>
    <xf numFmtId="165" fontId="0" fillId="2" borderId="0" xfId="0" applyNumberFormat="1" applyFill="1" applyAlignment="1">
      <alignment horizontal="center"/>
    </xf>
    <xf numFmtId="0" fontId="0" fillId="16" borderId="0" xfId="0" applyFill="1" applyAlignment="1">
      <alignment horizontal="right"/>
    </xf>
    <xf numFmtId="165" fontId="0" fillId="2" borderId="0" xfId="0" applyNumberFormat="1" applyFill="1" applyAlignment="1">
      <alignment horizontal="center" vertical="center"/>
    </xf>
    <xf numFmtId="0" fontId="0" fillId="14" borderId="0" xfId="0" applyFill="1" applyAlignment="1">
      <alignment horizontal="right"/>
    </xf>
    <xf numFmtId="0" fontId="0" fillId="14" borderId="0" xfId="0" applyFill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13" fillId="0" borderId="0" xfId="0" applyFont="1"/>
    <xf numFmtId="0" fontId="6" fillId="15" borderId="0" xfId="0" applyFont="1" applyFill="1" applyAlignment="1">
      <alignment horizontal="right"/>
    </xf>
    <xf numFmtId="0" fontId="6" fillId="2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/>
    </xf>
    <xf numFmtId="0" fontId="6" fillId="9" borderId="0" xfId="0" applyFont="1" applyFill="1" applyAlignment="1">
      <alignment vertical="center"/>
    </xf>
    <xf numFmtId="0" fontId="0" fillId="2" borderId="0" xfId="0" applyFill="1" applyAlignment="1">
      <alignment horizontal="justify"/>
    </xf>
    <xf numFmtId="0" fontId="0" fillId="8" borderId="0" xfId="0" applyFill="1" applyAlignment="1">
      <alignment horizontal="right" vertical="center"/>
    </xf>
    <xf numFmtId="0" fontId="6" fillId="16" borderId="0" xfId="0" applyFont="1" applyFill="1"/>
    <xf numFmtId="1" fontId="0" fillId="0" borderId="0" xfId="0" applyNumberFormat="1"/>
    <xf numFmtId="0" fontId="11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" fontId="6" fillId="0" borderId="0" xfId="0" applyNumberFormat="1" applyFont="1"/>
    <xf numFmtId="2" fontId="0" fillId="0" borderId="0" xfId="0" applyNumberFormat="1" applyAlignment="1">
      <alignment horizontal="center"/>
    </xf>
    <xf numFmtId="0" fontId="9" fillId="2" borderId="0" xfId="0" applyFont="1" applyFill="1" applyAlignment="1">
      <alignment vertic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right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0" fillId="17" borderId="0" xfId="0" applyFill="1"/>
    <xf numFmtId="0" fontId="8" fillId="3" borderId="0" xfId="0" applyFont="1" applyFill="1" applyAlignment="1">
      <alignment horizontal="center"/>
    </xf>
    <xf numFmtId="2" fontId="0" fillId="6" borderId="0" xfId="0" applyNumberFormat="1" applyFill="1"/>
    <xf numFmtId="0" fontId="6" fillId="8" borderId="0" xfId="0" applyFont="1" applyFill="1" applyAlignment="1">
      <alignment horizontal="center" vertical="center"/>
    </xf>
    <xf numFmtId="0" fontId="6" fillId="18" borderId="0" xfId="0" applyFont="1" applyFill="1"/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14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6" fillId="2" borderId="0" xfId="0" applyFont="1" applyFill="1"/>
    <xf numFmtId="0" fontId="0" fillId="2" borderId="8" xfId="0" applyFill="1" applyBorder="1"/>
    <xf numFmtId="0" fontId="12" fillId="12" borderId="9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10" borderId="0" xfId="0" applyFill="1"/>
    <xf numFmtId="0" fontId="2" fillId="0" borderId="0" xfId="1"/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0" fillId="19" borderId="0" xfId="0" applyNumberFormat="1" applyFill="1" applyAlignment="1">
      <alignment horizontal="center"/>
    </xf>
  </cellXfs>
  <cellStyles count="3">
    <cellStyle name="Link" xfId="1" builtinId="8"/>
    <cellStyle name="Prozent" xfId="2" builtinId="5"/>
    <cellStyle name="Standard" xfId="0" builtinId="0"/>
  </cellStyles>
  <dxfs count="216"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bottom" textRotation="0" wrapText="0" relativeIndent="0" shrinkToFit="0"/>
    </dxf>
    <dxf>
      <font>
        <strike val="0"/>
        <u val="none"/>
        <vertAlign val="baseline"/>
        <sz val="12"/>
        <color theme="1"/>
        <name val="Calibri"/>
        <scheme val="minor"/>
      </font>
      <fill>
        <patternFill patternType="none"/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2" formatCode="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2" formatCode="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0" formatCode="General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numFmt numFmtId="0" formatCode="General"/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right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right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2" formatCode="0.00"/>
    </dxf>
    <dxf>
      <numFmt numFmtId="0" formatCode="General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2" formatCode="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2" formatCode="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numFmt numFmtId="0" formatCode="General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right" vertical="bottom" textRotation="0" wrapText="0" relativeIndent="0" shrinkToFit="0"/>
    </dxf>
    <dxf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ont>
        <b val="0"/>
        <i val="0"/>
        <strike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numFmt numFmtId="0" formatCode="General"/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right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right" vertical="bottom" textRotation="0" wrapText="0" relativeIndent="0" shrinkToFit="0"/>
    </dxf>
    <dxf>
      <fill>
        <patternFill patternType="solid">
          <fgColor indexed="65"/>
          <bgColor indexed="65"/>
        </patternFill>
      </fill>
      <alignment horizontal="center" vertical="bottom" textRotation="0" wrapText="0" relativeInden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ian Kuschel" id="{03DA70B6-2540-CEDB-9808-E24C58E1C85D}" userId="b59d0e3811db11f7" providerId="Windows Live"/>
  <person displayName="Florian Kuschel (Guest)" id="{A1A39100-DD89-42F1-32E3-7CBA214ABCFE}" userId="6V5fL7JJTWPBu8nTU722" providerId="Teamlab"/>
  <person displayName="Florian Kuschel" id="{18839A9C-4B7D-4D81-1727-290FB9978D77}" userId="D1Lzaqr7HaNUwdWspuz1" providerId="Teamlab"/>
  <person displayName="Florian Kuschel (Guest)" id="{1E41243A-1456-2A5D-1FDB-B255EF9989D7}" userId="DhTk5BRbyJGLksvqLbSC" providerId="Teamlab"/>
  <person displayName="Florian (Guest)" id="{0A4DCF5E-9253-0025-BAAA-C99AE2336D4C}" userId="Dja6DfppMmH5iNnWsiqz" providerId="Teamlab"/>
  <person displayName="Florian Kuschel (Guest)" id="{7DEFF3D5-94BC-052B-23EC-CE93CC4E0E59}" userId="L8GXmEkQjmhWkLuCm1qN" providerId="Teamlab"/>
  <person displayName="Anonymous" id="{55B29DFA-2995-78B1-0EB8-AD7DC35B524F}" userId="NCL9CKxd8FkijCPM4p7F" providerId="Teamlab"/>
  <person displayName="Florian Kuschel (Guest)" id="{19BB9403-28D6-5907-1CB0-50C02AC16824}" userId="P2RKt15SJVa4X9RsTRVW" providerId="Teamlab"/>
  <person displayName="Anonymous" id="{64882AD7-D43D-FCB7-C87B-0AE03C88199E}" userId="T8FRGAMfsK9F6x5Fy8bd" providerId="Teamlab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2" displayName="Tabelle12" ref="A54:L56">
  <autoFilter ref="A54:L56" xr:uid="{00000000-0009-0000-0100-000001000000}"/>
  <tableColumns count="12">
    <tableColumn id="1" xr3:uid="{00000000-0010-0000-0000-000001000000}" name="Nummer"/>
    <tableColumn id="2" xr3:uid="{00000000-0010-0000-0000-000002000000}" name="Autor"/>
    <tableColumn id="3" xr3:uid="{00000000-0010-0000-0000-000003000000}" name="Jahr"/>
    <tableColumn id="4" xr3:uid="{00000000-0010-0000-0000-000004000000}" name="n_ges"/>
    <tableColumn id="5" xr3:uid="{00000000-0010-0000-0000-000005000000}" name="tpos"/>
    <tableColumn id="6" xr3:uid="{00000000-0010-0000-0000-000006000000}" name="tneg"/>
    <tableColumn id="7" xr3:uid="{00000000-0010-0000-0000-000007000000}" name="cpos"/>
    <tableColumn id="8" xr3:uid="{00000000-0010-0000-0000-000008000000}" name="cneg"/>
    <tableColumn id="9" xr3:uid="{00000000-0010-0000-0000-000009000000}" name="OR"/>
    <tableColumn id="10" xr3:uid="{00000000-0010-0000-0000-00000A000000}" name="CI_lb"/>
    <tableColumn id="11" xr3:uid="{00000000-0010-0000-0000-00000B000000}" name="CI_ub"/>
    <tableColumn id="12" xr3:uid="{00000000-0010-0000-0000-00000C000000}" name="p-Wert"/>
  </tableColumns>
  <tableStyleInfo name="TableStyleMedium1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le2" displayName="Tabelle2" ref="O2:Z4">
  <autoFilter ref="O2:Z4" xr:uid="{00000000-0009-0000-0100-00000A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900-000001000000}" name="Nummer" dataDxfId="203"/>
    <tableColumn id="2" xr3:uid="{00000000-0010-0000-0900-000002000000}" name="Autor" dataDxfId="202"/>
    <tableColumn id="3" xr3:uid="{00000000-0010-0000-0900-000003000000}" name="Jahr" dataDxfId="201"/>
    <tableColumn id="4" xr3:uid="{00000000-0010-0000-0900-000004000000}" name="n_ges" dataDxfId="200"/>
    <tableColumn id="5" xr3:uid="{00000000-0010-0000-0900-000005000000}" name="tpos" dataDxfId="199"/>
    <tableColumn id="6" xr3:uid="{00000000-0010-0000-0900-000006000000}" name="tneg" dataDxfId="198"/>
    <tableColumn id="7" xr3:uid="{00000000-0010-0000-0900-000007000000}" name="cpos" dataDxfId="197"/>
    <tableColumn id="8" xr3:uid="{00000000-0010-0000-0900-000008000000}" name="cneg" dataDxfId="196"/>
    <tableColumn id="9" xr3:uid="{00000000-0010-0000-0900-000009000000}" name="OR" dataDxfId="195"/>
    <tableColumn id="10" xr3:uid="{00000000-0010-0000-0900-00000A000000}" name="ci.lb" dataDxfId="194"/>
    <tableColumn id="11" xr3:uid="{00000000-0010-0000-0900-00000B000000}" name="ci.ub" dataDxfId="193"/>
    <tableColumn id="12" xr3:uid="{00000000-0010-0000-0900-00000C000000}" name="pval" dataDxfId="192"/>
  </tableColumns>
  <tableStyleInfo name="TableStyleMedium1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le3" displayName="Tabelle3" ref="O8:Z10">
  <autoFilter ref="O8:Z10" xr:uid="{00000000-0009-0000-0100-00000B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A00-000001000000}" name="Nummer" dataDxfId="191"/>
    <tableColumn id="2" xr3:uid="{00000000-0010-0000-0A00-000002000000}" name="Autor" dataDxfId="190"/>
    <tableColumn id="3" xr3:uid="{00000000-0010-0000-0A00-000003000000}" name="Jahr" dataDxfId="189"/>
    <tableColumn id="4" xr3:uid="{00000000-0010-0000-0A00-000004000000}" name="n_ges" dataDxfId="188"/>
    <tableColumn id="5" xr3:uid="{00000000-0010-0000-0A00-000005000000}" name="tpos" dataDxfId="187"/>
    <tableColumn id="6" xr3:uid="{00000000-0010-0000-0A00-000006000000}" name="tneg" dataDxfId="186"/>
    <tableColumn id="7" xr3:uid="{00000000-0010-0000-0A00-000007000000}" name="cpos" dataDxfId="185"/>
    <tableColumn id="8" xr3:uid="{00000000-0010-0000-0A00-000008000000}" name="cneg" dataDxfId="184"/>
    <tableColumn id="9" xr3:uid="{00000000-0010-0000-0A00-000009000000}" name="OR" dataDxfId="183"/>
    <tableColumn id="10" xr3:uid="{00000000-0010-0000-0A00-00000A000000}" name="ci.lb" dataDxfId="182"/>
    <tableColumn id="11" xr3:uid="{00000000-0010-0000-0A00-00000B000000}" name="ci.ub" dataDxfId="181"/>
    <tableColumn id="12" xr3:uid="{00000000-0010-0000-0A00-00000C000000}" name="pval" dataDxfId="180"/>
  </tableColumns>
  <tableStyleInfo name="TableStyleMedium1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le35" displayName="Tabelle35" ref="O14:Z16">
  <autoFilter ref="O14:Z16" xr:uid="{00000000-0009-0000-0100-00000C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B00-000001000000}" name="Nummer" dataDxfId="179"/>
    <tableColumn id="2" xr3:uid="{00000000-0010-0000-0B00-000002000000}" name="Autor" dataDxfId="178"/>
    <tableColumn id="3" xr3:uid="{00000000-0010-0000-0B00-000003000000}" name="Jahr" dataDxfId="177"/>
    <tableColumn id="4" xr3:uid="{00000000-0010-0000-0B00-000004000000}" name="n_ges" dataDxfId="176"/>
    <tableColumn id="5" xr3:uid="{00000000-0010-0000-0B00-000005000000}" name="tpos" dataDxfId="175"/>
    <tableColumn id="6" xr3:uid="{00000000-0010-0000-0B00-000006000000}" name="tneg" dataDxfId="174"/>
    <tableColumn id="7" xr3:uid="{00000000-0010-0000-0B00-000007000000}" name="cpos" dataDxfId="173"/>
    <tableColumn id="8" xr3:uid="{00000000-0010-0000-0B00-000008000000}" name="cneg" dataDxfId="172"/>
    <tableColumn id="9" xr3:uid="{00000000-0010-0000-0B00-000009000000}" name="OR" dataDxfId="171"/>
    <tableColumn id="10" xr3:uid="{00000000-0010-0000-0B00-00000A000000}" name="ci.lb" dataDxfId="170"/>
    <tableColumn id="11" xr3:uid="{00000000-0010-0000-0B00-00000B000000}" name="ci.ub" dataDxfId="169"/>
    <tableColumn id="12" xr3:uid="{00000000-0010-0000-0B00-00000C000000}" name="pval" dataDxfId="168"/>
  </tableColumns>
  <tableStyleInfo name="TableStyleMedium1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elle36" displayName="Tabelle36" ref="O20:Z22">
  <autoFilter ref="O20:Z22" xr:uid="{00000000-0009-0000-0100-00000D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C00-000001000000}" name="Nummer" dataDxfId="167"/>
    <tableColumn id="2" xr3:uid="{00000000-0010-0000-0C00-000002000000}" name="Autor" dataDxfId="166"/>
    <tableColumn id="3" xr3:uid="{00000000-0010-0000-0C00-000003000000}" name="Jahr" dataDxfId="165"/>
    <tableColumn id="4" xr3:uid="{00000000-0010-0000-0C00-000004000000}" name="n_ges" dataDxfId="164"/>
    <tableColumn id="5" xr3:uid="{00000000-0010-0000-0C00-000005000000}" name="tpos" dataDxfId="163"/>
    <tableColumn id="6" xr3:uid="{00000000-0010-0000-0C00-000006000000}" name="tneg" dataDxfId="162"/>
    <tableColumn id="7" xr3:uid="{00000000-0010-0000-0C00-000007000000}" name="cpos" dataDxfId="161"/>
    <tableColumn id="8" xr3:uid="{00000000-0010-0000-0C00-000008000000}" name="cneg" dataDxfId="160"/>
    <tableColumn id="9" xr3:uid="{00000000-0010-0000-0C00-000009000000}" name="OR" dataDxfId="159"/>
    <tableColumn id="10" xr3:uid="{00000000-0010-0000-0C00-00000A000000}" name="ci.lb" dataDxfId="158"/>
    <tableColumn id="11" xr3:uid="{00000000-0010-0000-0C00-00000B000000}" name="ci.ub" dataDxfId="157"/>
    <tableColumn id="12" xr3:uid="{00000000-0010-0000-0C00-00000C000000}" name="pval" dataDxfId="156"/>
  </tableColumns>
  <tableStyleInfo name="TableStyleMedium1"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elle6" displayName="Tabelle6" ref="AC2:AN19">
  <autoFilter ref="AC2:AN19" xr:uid="{00000000-0009-0000-0100-00000E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D00-000001000000}" name="Nummer" dataDxfId="155"/>
    <tableColumn id="2" xr3:uid="{00000000-0010-0000-0D00-000002000000}" name="Autor" dataDxfId="154"/>
    <tableColumn id="3" xr3:uid="{00000000-0010-0000-0D00-000003000000}" name="Jahr"/>
    <tableColumn id="4" xr3:uid="{00000000-0010-0000-0D00-000004000000}" name="n_ges" dataDxfId="153"/>
    <tableColumn id="5" xr3:uid="{00000000-0010-0000-0D00-000005000000}" name="tpos" dataDxfId="152"/>
    <tableColumn id="6" xr3:uid="{00000000-0010-0000-0D00-000006000000}" name="tneg" dataDxfId="151"/>
    <tableColumn id="7" xr3:uid="{00000000-0010-0000-0D00-000007000000}" name="cpos" dataDxfId="150"/>
    <tableColumn id="8" xr3:uid="{00000000-0010-0000-0D00-000008000000}" name="cneg" dataDxfId="149"/>
    <tableColumn id="9" xr3:uid="{00000000-0010-0000-0D00-000009000000}" name="OR" dataDxfId="148"/>
    <tableColumn id="10" xr3:uid="{00000000-0010-0000-0D00-00000A000000}" name="ci.lb" dataDxfId="147"/>
    <tableColumn id="11" xr3:uid="{00000000-0010-0000-0D00-00000B000000}" name="ci.ub" dataDxfId="146"/>
    <tableColumn id="12" xr3:uid="{00000000-0010-0000-0D00-00000C000000}" name="pval" dataDxfId="145"/>
  </tableColumns>
  <tableStyleInfo name="TableStyleMedium1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elle68" displayName="Tabelle68" ref="AQ2:BB15">
  <autoFilter ref="AQ2:BB15" xr:uid="{00000000-0009-0000-0100-00000F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E00-000001000000}" name="Nummer" dataDxfId="144"/>
    <tableColumn id="2" xr3:uid="{00000000-0010-0000-0E00-000002000000}" name="Autor" dataDxfId="143"/>
    <tableColumn id="3" xr3:uid="{00000000-0010-0000-0E00-000003000000}" name="Jahr"/>
    <tableColumn id="4" xr3:uid="{00000000-0010-0000-0E00-000004000000}" name="n_ges" dataDxfId="142"/>
    <tableColumn id="5" xr3:uid="{00000000-0010-0000-0E00-000005000000}" name="tpos" dataDxfId="141"/>
    <tableColumn id="6" xr3:uid="{00000000-0010-0000-0E00-000006000000}" name="tneg" dataDxfId="140"/>
    <tableColumn id="7" xr3:uid="{00000000-0010-0000-0E00-000007000000}" name="cpos" dataDxfId="139"/>
    <tableColumn id="8" xr3:uid="{00000000-0010-0000-0E00-000008000000}" name="cneg" dataDxfId="138"/>
    <tableColumn id="9" xr3:uid="{00000000-0010-0000-0E00-000009000000}" name="OR" dataDxfId="137"/>
    <tableColumn id="10" xr3:uid="{00000000-0010-0000-0E00-00000A000000}" name="ci.lb" dataDxfId="136"/>
    <tableColumn id="11" xr3:uid="{00000000-0010-0000-0E00-00000B000000}" name="ci.ub" dataDxfId="135"/>
    <tableColumn id="12" xr3:uid="{00000000-0010-0000-0E00-00000C000000}" name="pval" dataDxfId="134"/>
  </tableColumns>
  <tableStyleInfo name="TableStyleMedium1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elle612" displayName="Tabelle612" ref="BE2:BP18">
  <autoFilter ref="BE2:BP18" xr:uid="{00000000-0009-0000-0100-00001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F00-000001000000}" name="Nummer" dataDxfId="133"/>
    <tableColumn id="2" xr3:uid="{00000000-0010-0000-0F00-000002000000}" name="Autor" dataDxfId="132"/>
    <tableColumn id="3" xr3:uid="{00000000-0010-0000-0F00-000003000000}" name="Jahr"/>
    <tableColumn id="4" xr3:uid="{00000000-0010-0000-0F00-000004000000}" name="n_ges"/>
    <tableColumn id="5" xr3:uid="{00000000-0010-0000-0F00-000005000000}" name="tpos"/>
    <tableColumn id="6" xr3:uid="{00000000-0010-0000-0F00-000006000000}" name="tneg" dataDxfId="131"/>
    <tableColumn id="7" xr3:uid="{00000000-0010-0000-0F00-000007000000}" name="cpos"/>
    <tableColumn id="8" xr3:uid="{00000000-0010-0000-0F00-000008000000}" name="cneg" dataDxfId="130"/>
    <tableColumn id="9" xr3:uid="{00000000-0010-0000-0F00-000009000000}" name="OR" dataDxfId="129"/>
    <tableColumn id="10" xr3:uid="{00000000-0010-0000-0F00-00000A000000}" name="ci.lb" dataDxfId="128"/>
    <tableColumn id="11" xr3:uid="{00000000-0010-0000-0F00-00000B000000}" name="ci.ub" dataDxfId="127"/>
    <tableColumn id="12" xr3:uid="{00000000-0010-0000-0F00-00000C000000}" name="pval" dataDxfId="126"/>
  </tableColumns>
  <tableStyleInfo name="TableStyleMedium1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le61213" displayName="Tabelle61213" ref="BS2:CD15">
  <autoFilter ref="BS2:CD15" xr:uid="{00000000-0009-0000-0100-000011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000-000001000000}" name="Nummer" dataDxfId="125"/>
    <tableColumn id="2" xr3:uid="{00000000-0010-0000-1000-000002000000}" name="Autor" dataDxfId="124"/>
    <tableColumn id="3" xr3:uid="{00000000-0010-0000-1000-000003000000}" name="Jahr"/>
    <tableColumn id="4" xr3:uid="{00000000-0010-0000-1000-000004000000}" name="n_ges"/>
    <tableColumn id="5" xr3:uid="{00000000-0010-0000-1000-000005000000}" name="tpos" dataDxfId="123"/>
    <tableColumn id="6" xr3:uid="{00000000-0010-0000-1000-000006000000}" name="tneg" dataDxfId="122"/>
    <tableColumn id="7" xr3:uid="{00000000-0010-0000-1000-000007000000}" name="cpos" dataDxfId="121"/>
    <tableColumn id="8" xr3:uid="{00000000-0010-0000-1000-000008000000}" name="cneg" dataDxfId="120"/>
    <tableColumn id="9" xr3:uid="{00000000-0010-0000-1000-000009000000}" name="OR" dataDxfId="119"/>
    <tableColumn id="10" xr3:uid="{00000000-0010-0000-1000-00000A000000}" name="ci.lb" dataDxfId="118"/>
    <tableColumn id="11" xr3:uid="{00000000-0010-0000-1000-00000B000000}" name="ci.ub" dataDxfId="117"/>
    <tableColumn id="12" xr3:uid="{00000000-0010-0000-1000-00000C000000}" name="pval" dataDxfId="116"/>
  </tableColumns>
  <tableStyleInfo name="TableStyleMedium1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elle19" displayName="Tabelle19" ref="A28:L34">
  <autoFilter ref="A28:L34" xr:uid="{00000000-0009-0000-0100-000012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100-000001000000}" name="Nummer" dataDxfId="115"/>
    <tableColumn id="2" xr3:uid="{00000000-0010-0000-1100-000002000000}" name="Autor" dataDxfId="114"/>
    <tableColumn id="3" xr3:uid="{00000000-0010-0000-1100-000003000000}" name="Jahr" dataDxfId="113"/>
    <tableColumn id="4" xr3:uid="{00000000-0010-0000-1100-000004000000}" name="n_ges" dataDxfId="112"/>
    <tableColumn id="5" xr3:uid="{00000000-0010-0000-1100-000005000000}" name="tpos" dataDxfId="111"/>
    <tableColumn id="6" xr3:uid="{00000000-0010-0000-1100-000006000000}" name="tneg" dataDxfId="110"/>
    <tableColumn id="7" xr3:uid="{00000000-0010-0000-1100-000007000000}" name="cpos" dataDxfId="109"/>
    <tableColumn id="8" xr3:uid="{00000000-0010-0000-1100-000008000000}" name="cneg" dataDxfId="108"/>
    <tableColumn id="9" xr3:uid="{00000000-0010-0000-1100-000009000000}" name="OR" dataDxfId="107"/>
    <tableColumn id="10" xr3:uid="{00000000-0010-0000-1100-00000A000000}" name="ci.lb" dataDxfId="106"/>
    <tableColumn id="11" xr3:uid="{00000000-0010-0000-1100-00000B000000}" name="ci.ub" dataDxfId="105"/>
    <tableColumn id="12" xr3:uid="{00000000-0010-0000-1100-00000C000000}" name="pval" dataDxfId="104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elle610" displayName="Tabelle610" ref="AC28:AN34">
  <autoFilter ref="AC28:AN34" xr:uid="{00000000-0009-0000-0100-000013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200-000001000000}" name="Nummer" dataDxfId="103"/>
    <tableColumn id="2" xr3:uid="{00000000-0010-0000-1200-000002000000}" name="Autor" dataDxfId="102"/>
    <tableColumn id="3" xr3:uid="{00000000-0010-0000-1200-000003000000}" name="Jahr"/>
    <tableColumn id="4" xr3:uid="{00000000-0010-0000-1200-000004000000}" name="n_ges" dataDxfId="101"/>
    <tableColumn id="5" xr3:uid="{00000000-0010-0000-1200-000005000000}" name="tpos" dataDxfId="100"/>
    <tableColumn id="6" xr3:uid="{00000000-0010-0000-1200-000006000000}" name="tneg" dataDxfId="99"/>
    <tableColumn id="7" xr3:uid="{00000000-0010-0000-1200-000007000000}" name="cpos" dataDxfId="98"/>
    <tableColumn id="8" xr3:uid="{00000000-0010-0000-1200-000008000000}" name="cneg" dataDxfId="97"/>
    <tableColumn id="9" xr3:uid="{00000000-0010-0000-1200-000009000000}" name="OR" dataDxfId="96"/>
    <tableColumn id="10" xr3:uid="{00000000-0010-0000-1200-00000A000000}" name="ci.lb" dataDxfId="95"/>
    <tableColumn id="11" xr3:uid="{00000000-0010-0000-1200-00000B000000}" name="ci.ub" dataDxfId="94"/>
    <tableColumn id="12" xr3:uid="{00000000-0010-0000-1200-00000C000000}" name="pval" dataDxfId="93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2:L4">
  <autoFilter ref="A2:L4" xr:uid="{00000000-0009-0000-0100-000002000000}"/>
  <tableColumns count="12">
    <tableColumn id="1" xr3:uid="{00000000-0010-0000-0100-000001000000}" name="Nummer"/>
    <tableColumn id="2" xr3:uid="{00000000-0010-0000-0100-000002000000}" name="Autor"/>
    <tableColumn id="3" xr3:uid="{00000000-0010-0000-0100-000003000000}" name="Jahr"/>
    <tableColumn id="4" xr3:uid="{00000000-0010-0000-0100-000004000000}" name="n_ges"/>
    <tableColumn id="5" xr3:uid="{00000000-0010-0000-0100-000005000000}" name="tpos"/>
    <tableColumn id="6" xr3:uid="{00000000-0010-0000-0100-000006000000}" name="tneg"/>
    <tableColumn id="7" xr3:uid="{00000000-0010-0000-0100-000007000000}" name="cpos"/>
    <tableColumn id="8" xr3:uid="{00000000-0010-0000-0100-000008000000}" name="cneg"/>
    <tableColumn id="9" xr3:uid="{00000000-0010-0000-0100-000009000000}" name="OR"/>
    <tableColumn id="10" xr3:uid="{00000000-0010-0000-0100-00000A000000}" name="CI_lb"/>
    <tableColumn id="11" xr3:uid="{00000000-0010-0000-0100-00000B000000}" name="CI_ub"/>
    <tableColumn id="12" xr3:uid="{00000000-0010-0000-0100-00000C000000}" name="p-Wert"/>
  </tableColumns>
  <tableStyleInfo name="TableStyleMedium1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elle6814" displayName="Tabelle6814" ref="AQ28:BB30">
  <autoFilter ref="AQ28:BB30" xr:uid="{00000000-0009-0000-0100-000014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300-000001000000}" name="Nummer" dataDxfId="92"/>
    <tableColumn id="2" xr3:uid="{00000000-0010-0000-1300-000002000000}" name="Autor" dataDxfId="91"/>
    <tableColumn id="3" xr3:uid="{00000000-0010-0000-1300-000003000000}" name="Jahr"/>
    <tableColumn id="4" xr3:uid="{00000000-0010-0000-1300-000004000000}" name="n_ges" dataDxfId="90"/>
    <tableColumn id="5" xr3:uid="{00000000-0010-0000-1300-000005000000}" name="tpos" dataDxfId="89"/>
    <tableColumn id="6" xr3:uid="{00000000-0010-0000-1300-000006000000}" name="tneg" dataDxfId="88"/>
    <tableColumn id="7" xr3:uid="{00000000-0010-0000-1300-000007000000}" name="cpos" dataDxfId="87"/>
    <tableColumn id="8" xr3:uid="{00000000-0010-0000-1300-000008000000}" name="cneg" dataDxfId="86"/>
    <tableColumn id="9" xr3:uid="{00000000-0010-0000-1300-000009000000}" name="OR" dataDxfId="85"/>
    <tableColumn id="10" xr3:uid="{00000000-0010-0000-1300-00000A000000}" name="ci.lb" dataDxfId="84"/>
    <tableColumn id="11" xr3:uid="{00000000-0010-0000-1300-00000B000000}" name="ci.ub" dataDxfId="83"/>
    <tableColumn id="12" xr3:uid="{00000000-0010-0000-1300-00000C000000}" name="pval" dataDxfId="82"/>
  </tableColumns>
  <tableStyleInfo name="TableStyleMedium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elle6121315" displayName="Tabelle6121315" ref="BS28:CD30">
  <autoFilter ref="BS28:CD30" xr:uid="{00000000-0009-0000-0100-000015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400-000001000000}" name="Nummer" dataDxfId="81"/>
    <tableColumn id="2" xr3:uid="{00000000-0010-0000-1400-000002000000}" name="Autor" dataDxfId="80"/>
    <tableColumn id="3" xr3:uid="{00000000-0010-0000-1400-000003000000}" name="Jahr"/>
    <tableColumn id="4" xr3:uid="{00000000-0010-0000-1400-000004000000}" name="n_ges"/>
    <tableColumn id="5" xr3:uid="{00000000-0010-0000-1400-000005000000}" name="tpos" dataDxfId="79"/>
    <tableColumn id="6" xr3:uid="{00000000-0010-0000-1400-000006000000}" name="tneg" dataDxfId="78"/>
    <tableColumn id="7" xr3:uid="{00000000-0010-0000-1400-000007000000}" name="cpos" dataDxfId="77"/>
    <tableColumn id="8" xr3:uid="{00000000-0010-0000-1400-000008000000}" name="cneg" dataDxfId="76"/>
    <tableColumn id="9" xr3:uid="{00000000-0010-0000-1400-000009000000}" name="OR" dataDxfId="75"/>
    <tableColumn id="10" xr3:uid="{00000000-0010-0000-1400-00000A000000}" name="ci.lb" dataDxfId="74"/>
    <tableColumn id="11" xr3:uid="{00000000-0010-0000-1400-00000B000000}" name="ci.ub" dataDxfId="73"/>
    <tableColumn id="12" xr3:uid="{00000000-0010-0000-1400-00000C000000}" name="pval" dataDxfId="72"/>
  </tableColumns>
  <tableStyleInfo name="TableStyleMedium1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elle216" displayName="Tabelle216" ref="CG2:CR4">
  <autoFilter ref="CG2:CR4" xr:uid="{00000000-0009-0000-0100-000016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500-000001000000}" name="Nummer" dataDxfId="71"/>
    <tableColumn id="2" xr3:uid="{00000000-0010-0000-1500-000002000000}" name="Autor" dataDxfId="70"/>
    <tableColumn id="3" xr3:uid="{00000000-0010-0000-1500-000003000000}" name="Jahr" dataDxfId="69"/>
    <tableColumn id="4" xr3:uid="{00000000-0010-0000-1500-000004000000}" name="n_ges" dataDxfId="68"/>
    <tableColumn id="5" xr3:uid="{00000000-0010-0000-1500-000005000000}" name="tpos" dataDxfId="67"/>
    <tableColumn id="6" xr3:uid="{00000000-0010-0000-1500-000006000000}" name="tneg" dataDxfId="66"/>
    <tableColumn id="7" xr3:uid="{00000000-0010-0000-1500-000007000000}" name="cpos" dataDxfId="65"/>
    <tableColumn id="8" xr3:uid="{00000000-0010-0000-1500-000008000000}" name="cneg" dataDxfId="64"/>
    <tableColumn id="9" xr3:uid="{00000000-0010-0000-1500-000009000000}" name="OR" dataDxfId="63"/>
    <tableColumn id="10" xr3:uid="{00000000-0010-0000-1500-00000A000000}" name="ci.lb" dataDxfId="62"/>
    <tableColumn id="11" xr3:uid="{00000000-0010-0000-1500-00000B000000}" name="ci.ub" dataDxfId="61"/>
    <tableColumn id="12" xr3:uid="{00000000-0010-0000-1500-00000C000000}" name="pval" dataDxfId="60"/>
  </tableColumns>
  <tableStyleInfo name="TableStyleMedium1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elle21617" displayName="Tabelle21617" ref="CU2:DF4">
  <autoFilter ref="CU2:DF4" xr:uid="{00000000-0009-0000-0100-000017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600-000001000000}" name="Nummer" dataDxfId="59"/>
    <tableColumn id="2" xr3:uid="{00000000-0010-0000-1600-000002000000}" name="Autor" dataDxfId="58"/>
    <tableColumn id="3" xr3:uid="{00000000-0010-0000-1600-000003000000}" name="Jahr" dataDxfId="57"/>
    <tableColumn id="4" xr3:uid="{00000000-0010-0000-1600-000004000000}" name="n_ges" dataDxfId="56"/>
    <tableColumn id="5" xr3:uid="{00000000-0010-0000-1600-000005000000}" name="tpos" dataDxfId="55"/>
    <tableColumn id="6" xr3:uid="{00000000-0010-0000-1600-000006000000}" name="tneg" dataDxfId="54"/>
    <tableColumn id="7" xr3:uid="{00000000-0010-0000-1600-000007000000}" name="cpos" dataDxfId="53"/>
    <tableColumn id="8" xr3:uid="{00000000-0010-0000-1600-000008000000}" name="cneg" dataDxfId="52"/>
    <tableColumn id="9" xr3:uid="{00000000-0010-0000-1600-000009000000}" name="OR" dataDxfId="51"/>
    <tableColumn id="10" xr3:uid="{00000000-0010-0000-1600-00000A000000}" name="ci.lb" dataDxfId="50"/>
    <tableColumn id="11" xr3:uid="{00000000-0010-0000-1600-00000B000000}" name="ci.ub" dataDxfId="49"/>
    <tableColumn id="12" xr3:uid="{00000000-0010-0000-1600-00000C000000}" name="pval" dataDxfId="48"/>
  </tableColumns>
  <tableStyleInfo name="TableStyleMedium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elle2161718" displayName="Tabelle2161718" ref="CU7:DF9">
  <autoFilter ref="CU7:DF9" xr:uid="{00000000-0009-0000-0100-000018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700-000001000000}" name="Nummer" dataDxfId="47"/>
    <tableColumn id="2" xr3:uid="{00000000-0010-0000-1700-000002000000}" name="Autor" dataDxfId="46"/>
    <tableColumn id="3" xr3:uid="{00000000-0010-0000-1700-000003000000}" name="Jahr" dataDxfId="45"/>
    <tableColumn id="4" xr3:uid="{00000000-0010-0000-1700-000004000000}" name="n_ges" dataDxfId="44"/>
    <tableColumn id="5" xr3:uid="{00000000-0010-0000-1700-000005000000}" name="tpos" dataDxfId="43"/>
    <tableColumn id="6" xr3:uid="{00000000-0010-0000-1700-000006000000}" name="tneg" dataDxfId="42"/>
    <tableColumn id="7" xr3:uid="{00000000-0010-0000-1700-000007000000}" name="cpos" dataDxfId="41"/>
    <tableColumn id="8" xr3:uid="{00000000-0010-0000-1700-000008000000}" name="cneg" dataDxfId="40"/>
    <tableColumn id="9" xr3:uid="{00000000-0010-0000-1700-000009000000}" name="OR" dataDxfId="39"/>
    <tableColumn id="10" xr3:uid="{00000000-0010-0000-1700-00000A000000}" name="ci.lb" dataDxfId="38"/>
    <tableColumn id="11" xr3:uid="{00000000-0010-0000-1700-00000B000000}" name="ci.ub" dataDxfId="37"/>
    <tableColumn id="12" xr3:uid="{00000000-0010-0000-1700-00000C000000}" name="pval" dataDxfId="36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le2161719" displayName="Tabelle2161719" ref="CU12:DF14">
  <autoFilter ref="CU12:DF14" xr:uid="{00000000-0009-0000-0100-000019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800-000001000000}" name="Nummer" dataDxfId="35"/>
    <tableColumn id="2" xr3:uid="{00000000-0010-0000-1800-000002000000}" name="Autor" dataDxfId="34"/>
    <tableColumn id="3" xr3:uid="{00000000-0010-0000-1800-000003000000}" name="Jahr" dataDxfId="33"/>
    <tableColumn id="4" xr3:uid="{00000000-0010-0000-1800-000004000000}" name="n_ges" dataDxfId="32"/>
    <tableColumn id="5" xr3:uid="{00000000-0010-0000-1800-000005000000}" name="tpos" dataDxfId="31"/>
    <tableColumn id="6" xr3:uid="{00000000-0010-0000-1800-000006000000}" name="tneg" dataDxfId="30"/>
    <tableColumn id="7" xr3:uid="{00000000-0010-0000-1800-000007000000}" name="cpos" dataDxfId="29"/>
    <tableColumn id="8" xr3:uid="{00000000-0010-0000-1800-000008000000}" name="cneg" dataDxfId="28"/>
    <tableColumn id="9" xr3:uid="{00000000-0010-0000-1800-000009000000}" name="OR" dataDxfId="27"/>
    <tableColumn id="10" xr3:uid="{00000000-0010-0000-1800-00000A000000}" name="ci.lb" dataDxfId="26"/>
    <tableColumn id="11" xr3:uid="{00000000-0010-0000-1800-00000B000000}" name="ci.ub" dataDxfId="25"/>
    <tableColumn id="12" xr3:uid="{00000000-0010-0000-1800-00000C000000}" name="pval" dataDxfId="24"/>
  </tableColumns>
  <tableStyleInfo name="TableStyleMedium1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le2161720" displayName="Tabelle2161720" ref="CU17:DF19">
  <autoFilter ref="CU17:DF19" xr:uid="{00000000-0009-0000-0100-00001A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900-000001000000}" name="Nummer" dataDxfId="23"/>
    <tableColumn id="2" xr3:uid="{00000000-0010-0000-1900-000002000000}" name="Autor" dataDxfId="22"/>
    <tableColumn id="3" xr3:uid="{00000000-0010-0000-1900-000003000000}" name="Jahr" dataDxfId="21"/>
    <tableColumn id="4" xr3:uid="{00000000-0010-0000-1900-000004000000}" name="n_ges" dataDxfId="20"/>
    <tableColumn id="5" xr3:uid="{00000000-0010-0000-1900-000005000000}" name="tpos" dataDxfId="19"/>
    <tableColumn id="6" xr3:uid="{00000000-0010-0000-1900-000006000000}" name="tneg" dataDxfId="18"/>
    <tableColumn id="7" xr3:uid="{00000000-0010-0000-1900-000007000000}" name="cpos" dataDxfId="17"/>
    <tableColumn id="8" xr3:uid="{00000000-0010-0000-1900-000008000000}" name="cneg" dataDxfId="16"/>
    <tableColumn id="9" xr3:uid="{00000000-0010-0000-1900-000009000000}" name="OR" dataDxfId="15"/>
    <tableColumn id="10" xr3:uid="{00000000-0010-0000-1900-00000A000000}" name="ci.lb" dataDxfId="14"/>
    <tableColumn id="11" xr3:uid="{00000000-0010-0000-1900-00000B000000}" name="ci.ub" dataDxfId="13"/>
    <tableColumn id="12" xr3:uid="{00000000-0010-0000-1900-00000C000000}" name="pval" dataDxfId="12"/>
  </tableColumns>
  <tableStyleInfo name="TableStyleMedium1" showFirstColumn="0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elle216172021" displayName="Tabelle216172021" ref="CU22:DF24">
  <autoFilter ref="CU22:DF24" xr:uid="{00000000-0009-0000-0100-00001B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1A00-000001000000}" name="Nummer" dataDxfId="11"/>
    <tableColumn id="2" xr3:uid="{00000000-0010-0000-1A00-000002000000}" name="Autor" dataDxfId="10"/>
    <tableColumn id="3" xr3:uid="{00000000-0010-0000-1A00-000003000000}" name="Jahr" dataDxfId="9"/>
    <tableColumn id="4" xr3:uid="{00000000-0010-0000-1A00-000004000000}" name="n_ges" dataDxfId="8"/>
    <tableColumn id="5" xr3:uid="{00000000-0010-0000-1A00-000005000000}" name="tpos" dataDxfId="7"/>
    <tableColumn id="6" xr3:uid="{00000000-0010-0000-1A00-000006000000}" name="tneg" dataDxfId="6"/>
    <tableColumn id="7" xr3:uid="{00000000-0010-0000-1A00-000007000000}" name="cpos" dataDxfId="5"/>
    <tableColumn id="8" xr3:uid="{00000000-0010-0000-1A00-000008000000}" name="cneg" dataDxfId="4"/>
    <tableColumn id="9" xr3:uid="{00000000-0010-0000-1A00-000009000000}" name="OR" dataDxfId="3"/>
    <tableColumn id="10" xr3:uid="{00000000-0010-0000-1A00-00000A000000}" name="ci.lb" dataDxfId="2"/>
    <tableColumn id="11" xr3:uid="{00000000-0010-0000-1A00-00000B000000}" name="ci.ub" dataDxfId="1"/>
    <tableColumn id="12" xr3:uid="{00000000-0010-0000-1A00-00000C000000}" name="pval" dataDxfId="0"/>
  </tableColumns>
  <tableStyleInfo name="TableStyleMedium1" showFirstColumn="0" showLastColumn="0" showRowStripes="0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elle13" displayName="Tabelle13" ref="A2:L4">
  <autoFilter ref="A2:L4" xr:uid="{00000000-0009-0000-0100-00001C000000}"/>
  <tableColumns count="12">
    <tableColumn id="1" xr3:uid="{00000000-0010-0000-1B00-000001000000}" name="Nummer"/>
    <tableColumn id="2" xr3:uid="{00000000-0010-0000-1B00-000002000000}" name="Autor"/>
    <tableColumn id="3" xr3:uid="{00000000-0010-0000-1B00-000003000000}" name="Jahr"/>
    <tableColumn id="4" xr3:uid="{00000000-0010-0000-1B00-000004000000}" name="n_ges"/>
    <tableColumn id="5" xr3:uid="{00000000-0010-0000-1B00-000005000000}" name="tpos"/>
    <tableColumn id="6" xr3:uid="{00000000-0010-0000-1B00-000006000000}" name="tneg"/>
    <tableColumn id="7" xr3:uid="{00000000-0010-0000-1B00-000007000000}" name="cpos"/>
    <tableColumn id="8" xr3:uid="{00000000-0010-0000-1B00-000008000000}" name="cneg"/>
    <tableColumn id="9" xr3:uid="{00000000-0010-0000-1B00-000009000000}" name="OR"/>
    <tableColumn id="10" xr3:uid="{00000000-0010-0000-1B00-00000A000000}" name="CI_lb"/>
    <tableColumn id="11" xr3:uid="{00000000-0010-0000-1B00-00000B000000}" name="CI_ub"/>
    <tableColumn id="12" xr3:uid="{00000000-0010-0000-1B00-00000C000000}" name="p-Wert"/>
  </tableColumns>
  <tableStyleInfo name="TableStyleMedium1" showFirstColumn="0" showLastColumn="0" showRowStripes="0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le14" displayName="Tabelle14" ref="N2:Y4">
  <autoFilter ref="N2:Y4" xr:uid="{00000000-0009-0000-0100-00001D000000}"/>
  <tableColumns count="12">
    <tableColumn id="1" xr3:uid="{00000000-0010-0000-1C00-000001000000}" name="Nummer"/>
    <tableColumn id="2" xr3:uid="{00000000-0010-0000-1C00-000002000000}" name="Autor"/>
    <tableColumn id="3" xr3:uid="{00000000-0010-0000-1C00-000003000000}" name="Jahr"/>
    <tableColumn id="4" xr3:uid="{00000000-0010-0000-1C00-000004000000}" name="n_ges"/>
    <tableColumn id="5" xr3:uid="{00000000-0010-0000-1C00-000005000000}" name="tpos"/>
    <tableColumn id="6" xr3:uid="{00000000-0010-0000-1C00-000006000000}" name="tneg"/>
    <tableColumn id="7" xr3:uid="{00000000-0010-0000-1C00-000007000000}" name="cpos"/>
    <tableColumn id="8" xr3:uid="{00000000-0010-0000-1C00-000008000000}" name="cneg"/>
    <tableColumn id="9" xr3:uid="{00000000-0010-0000-1C00-000009000000}" name="OR"/>
    <tableColumn id="10" xr3:uid="{00000000-0010-0000-1C00-00000A000000}" name="CI_lb"/>
    <tableColumn id="11" xr3:uid="{00000000-0010-0000-1C00-00000B000000}" name="CI_ub"/>
    <tableColumn id="12" xr3:uid="{00000000-0010-0000-1C00-00000C000000}" name="p-Wert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5" displayName="Tabelle5" ref="N2:Y4">
  <autoFilter ref="N2:Y4" xr:uid="{00000000-0009-0000-0100-000003000000}"/>
  <tableColumns count="12">
    <tableColumn id="1" xr3:uid="{00000000-0010-0000-0200-000001000000}" name="Nummer"/>
    <tableColumn id="2" xr3:uid="{00000000-0010-0000-0200-000002000000}" name="Autor"/>
    <tableColumn id="3" xr3:uid="{00000000-0010-0000-0200-000003000000}" name="Jahr"/>
    <tableColumn id="4" xr3:uid="{00000000-0010-0000-0200-000004000000}" name="n_ges"/>
    <tableColumn id="5" xr3:uid="{00000000-0010-0000-0200-000005000000}" name="tpos"/>
    <tableColumn id="6" xr3:uid="{00000000-0010-0000-0200-000006000000}" name="tneg"/>
    <tableColumn id="7" xr3:uid="{00000000-0010-0000-0200-000007000000}" name="cpos"/>
    <tableColumn id="8" xr3:uid="{00000000-0010-0000-0200-000008000000}" name="cneg"/>
    <tableColumn id="9" xr3:uid="{00000000-0010-0000-0200-000009000000}" name="OR"/>
    <tableColumn id="10" xr3:uid="{00000000-0010-0000-0200-00000A000000}" name="CI_lb"/>
    <tableColumn id="11" xr3:uid="{00000000-0010-0000-0200-00000B000000}" name="CI_ub"/>
    <tableColumn id="12" xr3:uid="{00000000-0010-0000-0200-00000C000000}" name="p-Wert"/>
  </tableColumns>
  <tableStyleInfo name="TableStyleMedium1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le15" displayName="Tabelle15" ref="AA2:AL4">
  <autoFilter ref="AA2:AL4" xr:uid="{00000000-0009-0000-0100-00001E000000}"/>
  <tableColumns count="12">
    <tableColumn id="1" xr3:uid="{00000000-0010-0000-1D00-000001000000}" name="Nummer"/>
    <tableColumn id="2" xr3:uid="{00000000-0010-0000-1D00-000002000000}" name="Autor"/>
    <tableColumn id="3" xr3:uid="{00000000-0010-0000-1D00-000003000000}" name="Jahr"/>
    <tableColumn id="4" xr3:uid="{00000000-0010-0000-1D00-000004000000}" name="n_ges"/>
    <tableColumn id="5" xr3:uid="{00000000-0010-0000-1D00-000005000000}" name="tpos"/>
    <tableColumn id="6" xr3:uid="{00000000-0010-0000-1D00-000006000000}" name="tneg"/>
    <tableColumn id="7" xr3:uid="{00000000-0010-0000-1D00-000007000000}" name="cpos"/>
    <tableColumn id="8" xr3:uid="{00000000-0010-0000-1D00-000008000000}" name="cneg"/>
    <tableColumn id="9" xr3:uid="{00000000-0010-0000-1D00-000009000000}" name="OR"/>
    <tableColumn id="10" xr3:uid="{00000000-0010-0000-1D00-00000A000000}" name="CI_lb"/>
    <tableColumn id="11" xr3:uid="{00000000-0010-0000-1D00-00000B000000}" name="CI_ub"/>
    <tableColumn id="12" xr3:uid="{00000000-0010-0000-1D00-00000C000000}" name="p-Wert"/>
  </tableColumns>
  <tableStyleInfo name="TableStyleMedium1" showFirstColumn="0" showLastColumn="0" showRowStripes="0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le16" displayName="Tabelle16" ref="AA7:AL9">
  <autoFilter ref="AA7:AL9" xr:uid="{00000000-0009-0000-0100-00001F000000}"/>
  <tableColumns count="12">
    <tableColumn id="1" xr3:uid="{00000000-0010-0000-1E00-000001000000}" name="Nummer"/>
    <tableColumn id="2" xr3:uid="{00000000-0010-0000-1E00-000002000000}" name="Autor"/>
    <tableColumn id="3" xr3:uid="{00000000-0010-0000-1E00-000003000000}" name="Jahr"/>
    <tableColumn id="4" xr3:uid="{00000000-0010-0000-1E00-000004000000}" name="n_ges"/>
    <tableColumn id="5" xr3:uid="{00000000-0010-0000-1E00-000005000000}" name="tpos"/>
    <tableColumn id="6" xr3:uid="{00000000-0010-0000-1E00-000006000000}" name="tneg"/>
    <tableColumn id="7" xr3:uid="{00000000-0010-0000-1E00-000007000000}" name="cpos"/>
    <tableColumn id="8" xr3:uid="{00000000-0010-0000-1E00-000008000000}" name="cneg"/>
    <tableColumn id="9" xr3:uid="{00000000-0010-0000-1E00-000009000000}" name="OR"/>
    <tableColumn id="10" xr3:uid="{00000000-0010-0000-1E00-00000A000000}" name="CI_lb"/>
    <tableColumn id="11" xr3:uid="{00000000-0010-0000-1E00-00000B000000}" name="CI_ub"/>
    <tableColumn id="12" xr3:uid="{00000000-0010-0000-1E00-00000C000000}" name="p-Wert"/>
  </tableColumns>
  <tableStyleInfo name="TableStyleMedium1" showFirstColumn="0" showLastColumn="0" showRowStripes="0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le17" displayName="Tabelle17" ref="AA12:AL14">
  <autoFilter ref="AA12:AL14" xr:uid="{00000000-0009-0000-0100-000020000000}"/>
  <tableColumns count="12">
    <tableColumn id="1" xr3:uid="{00000000-0010-0000-1F00-000001000000}" name="Nummer"/>
    <tableColumn id="2" xr3:uid="{00000000-0010-0000-1F00-000002000000}" name="Autor"/>
    <tableColumn id="3" xr3:uid="{00000000-0010-0000-1F00-000003000000}" name="Jahr"/>
    <tableColumn id="4" xr3:uid="{00000000-0010-0000-1F00-000004000000}" name="n_ges"/>
    <tableColumn id="5" xr3:uid="{00000000-0010-0000-1F00-000005000000}" name="tpos"/>
    <tableColumn id="6" xr3:uid="{00000000-0010-0000-1F00-000006000000}" name="tneg"/>
    <tableColumn id="7" xr3:uid="{00000000-0010-0000-1F00-000007000000}" name="cpos"/>
    <tableColumn id="8" xr3:uid="{00000000-0010-0000-1F00-000008000000}" name="cneg"/>
    <tableColumn id="9" xr3:uid="{00000000-0010-0000-1F00-000009000000}" name="OR"/>
    <tableColumn id="10" xr3:uid="{00000000-0010-0000-1F00-00000A000000}" name="CI_lb"/>
    <tableColumn id="11" xr3:uid="{00000000-0010-0000-1F00-00000B000000}" name="CI_ub"/>
    <tableColumn id="12" xr3:uid="{00000000-0010-0000-1F00-00000C000000}" name="p-Wert"/>
  </tableColumns>
  <tableStyleInfo name="TableStyleMedium1" showFirstColumn="0" showLastColumn="0" showRowStripes="0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le18" displayName="Tabelle18" ref="AA17:AL19">
  <autoFilter ref="AA17:AL19" xr:uid="{00000000-0009-0000-0100-000021000000}"/>
  <tableColumns count="12">
    <tableColumn id="1" xr3:uid="{00000000-0010-0000-2000-000001000000}" name="Nummer"/>
    <tableColumn id="2" xr3:uid="{00000000-0010-0000-2000-000002000000}" name="Autor"/>
    <tableColumn id="3" xr3:uid="{00000000-0010-0000-2000-000003000000}" name="Jahr"/>
    <tableColumn id="4" xr3:uid="{00000000-0010-0000-2000-000004000000}" name="n_ges"/>
    <tableColumn id="5" xr3:uid="{00000000-0010-0000-2000-000005000000}" name="tpos"/>
    <tableColumn id="6" xr3:uid="{00000000-0010-0000-2000-000006000000}" name="tneg"/>
    <tableColumn id="7" xr3:uid="{00000000-0010-0000-2000-000007000000}" name="cpos"/>
    <tableColumn id="8" xr3:uid="{00000000-0010-0000-2000-000008000000}" name="cneg"/>
    <tableColumn id="9" xr3:uid="{00000000-0010-0000-2000-000009000000}" name="OR"/>
    <tableColumn id="10" xr3:uid="{00000000-0010-0000-2000-00000A000000}" name="CI_lb"/>
    <tableColumn id="11" xr3:uid="{00000000-0010-0000-2000-00000B000000}" name="CI_ub"/>
    <tableColumn id="12" xr3:uid="{00000000-0010-0000-2000-00000C000000}" name="p-Wert"/>
  </tableColumns>
  <tableStyleInfo name="TableStyleMedium1" showFirstColumn="0" showLastColumn="0" showRowStripes="0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le20" displayName="Tabelle20" ref="A2:L4">
  <autoFilter ref="A2:L4" xr:uid="{00000000-0009-0000-0100-000022000000}"/>
  <tableColumns count="12">
    <tableColumn id="1" xr3:uid="{00000000-0010-0000-2100-000001000000}" name="Nummer"/>
    <tableColumn id="2" xr3:uid="{00000000-0010-0000-2100-000002000000}" name="Autor"/>
    <tableColumn id="3" xr3:uid="{00000000-0010-0000-2100-000003000000}" name="Jahr"/>
    <tableColumn id="4" xr3:uid="{00000000-0010-0000-2100-000004000000}" name="n_ges"/>
    <tableColumn id="5" xr3:uid="{00000000-0010-0000-2100-000005000000}" name="tpos"/>
    <tableColumn id="6" xr3:uid="{00000000-0010-0000-2100-000006000000}" name="tneg"/>
    <tableColumn id="7" xr3:uid="{00000000-0010-0000-2100-000007000000}" name="cpos"/>
    <tableColumn id="8" xr3:uid="{00000000-0010-0000-2100-000008000000}" name="cneg"/>
    <tableColumn id="9" xr3:uid="{00000000-0010-0000-2100-000009000000}" name="OR"/>
    <tableColumn id="10" xr3:uid="{00000000-0010-0000-2100-00000A000000}" name="CI_lb"/>
    <tableColumn id="11" xr3:uid="{00000000-0010-0000-2100-00000B000000}" name="CI_ub"/>
    <tableColumn id="12" xr3:uid="{00000000-0010-0000-2100-00000C000000}" name="p-Wert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7" displayName="Tabelle7" ref="AA2:AL4">
  <autoFilter ref="AA2:AL4" xr:uid="{00000000-0009-0000-0100-000004000000}"/>
  <tableColumns count="12">
    <tableColumn id="1" xr3:uid="{00000000-0010-0000-0300-000001000000}" name="Nummer"/>
    <tableColumn id="2" xr3:uid="{00000000-0010-0000-0300-000002000000}" name="Autor"/>
    <tableColumn id="3" xr3:uid="{00000000-0010-0000-0300-000003000000}" name="Jahr"/>
    <tableColumn id="4" xr3:uid="{00000000-0010-0000-0300-000004000000}" name="n_ges"/>
    <tableColumn id="5" xr3:uid="{00000000-0010-0000-0300-000005000000}" name="tpos"/>
    <tableColumn id="6" xr3:uid="{00000000-0010-0000-0300-000006000000}" name="tneg"/>
    <tableColumn id="7" xr3:uid="{00000000-0010-0000-0300-000007000000}" name="cpos"/>
    <tableColumn id="8" xr3:uid="{00000000-0010-0000-0300-000008000000}" name="cneg"/>
    <tableColumn id="9" xr3:uid="{00000000-0010-0000-0300-000009000000}" name="OR"/>
    <tableColumn id="10" xr3:uid="{00000000-0010-0000-0300-00000A000000}" name="CI_lb"/>
    <tableColumn id="11" xr3:uid="{00000000-0010-0000-0300-00000B000000}" name="CI_ub"/>
    <tableColumn id="12" xr3:uid="{00000000-0010-0000-0300-00000C000000}" name="p-Wert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8" displayName="Tabelle8" ref="AA7:AL9">
  <autoFilter ref="AA7:AL9" xr:uid="{00000000-0009-0000-0100-000005000000}"/>
  <tableColumns count="12">
    <tableColumn id="1" xr3:uid="{00000000-0010-0000-0400-000001000000}" name="Nummer"/>
    <tableColumn id="2" xr3:uid="{00000000-0010-0000-0400-000002000000}" name="Autor"/>
    <tableColumn id="3" xr3:uid="{00000000-0010-0000-0400-000003000000}" name="Jahr"/>
    <tableColumn id="4" xr3:uid="{00000000-0010-0000-0400-000004000000}" name="n_ges"/>
    <tableColumn id="5" xr3:uid="{00000000-0010-0000-0400-000005000000}" name="tpos"/>
    <tableColumn id="6" xr3:uid="{00000000-0010-0000-0400-000006000000}" name="tneg"/>
    <tableColumn id="7" xr3:uid="{00000000-0010-0000-0400-000007000000}" name="cpos"/>
    <tableColumn id="8" xr3:uid="{00000000-0010-0000-0400-000008000000}" name="cneg"/>
    <tableColumn id="9" xr3:uid="{00000000-0010-0000-0400-000009000000}" name="OR"/>
    <tableColumn id="10" xr3:uid="{00000000-0010-0000-0400-00000A000000}" name="CI_lb"/>
    <tableColumn id="11" xr3:uid="{00000000-0010-0000-0400-00000B000000}" name="CI_ub"/>
    <tableColumn id="12" xr3:uid="{00000000-0010-0000-0400-00000C000000}" name="p-Wert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9" displayName="Tabelle9" ref="AA12:AL14">
  <autoFilter ref="AA12:AL14" xr:uid="{00000000-0009-0000-0100-000006000000}"/>
  <tableColumns count="12">
    <tableColumn id="1" xr3:uid="{00000000-0010-0000-0500-000001000000}" name="Nummer"/>
    <tableColumn id="2" xr3:uid="{00000000-0010-0000-0500-000002000000}" name="Autor"/>
    <tableColumn id="3" xr3:uid="{00000000-0010-0000-0500-000003000000}" name="Jahr"/>
    <tableColumn id="4" xr3:uid="{00000000-0010-0000-0500-000004000000}" name="n_ges"/>
    <tableColumn id="5" xr3:uid="{00000000-0010-0000-0500-000005000000}" name="tpos"/>
    <tableColumn id="6" xr3:uid="{00000000-0010-0000-0500-000006000000}" name="tneg"/>
    <tableColumn id="7" xr3:uid="{00000000-0010-0000-0500-000007000000}" name="cpos"/>
    <tableColumn id="8" xr3:uid="{00000000-0010-0000-0500-000008000000}" name="cneg"/>
    <tableColumn id="9" xr3:uid="{00000000-0010-0000-0500-000009000000}" name="OR"/>
    <tableColumn id="10" xr3:uid="{00000000-0010-0000-0500-00000A000000}" name="CI_lb"/>
    <tableColumn id="11" xr3:uid="{00000000-0010-0000-0500-00000B000000}" name="CI_ub"/>
    <tableColumn id="12" xr3:uid="{00000000-0010-0000-0500-00000C000000}" name="p-Wert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10" displayName="Tabelle10" ref="AA17:AL19">
  <autoFilter ref="AA17:AL19" xr:uid="{00000000-0009-0000-0100-000007000000}"/>
  <tableColumns count="12">
    <tableColumn id="1" xr3:uid="{00000000-0010-0000-0600-000001000000}" name="Nummer"/>
    <tableColumn id="2" xr3:uid="{00000000-0010-0000-0600-000002000000}" name="Autor"/>
    <tableColumn id="3" xr3:uid="{00000000-0010-0000-0600-000003000000}" name="Jahr"/>
    <tableColumn id="4" xr3:uid="{00000000-0010-0000-0600-000004000000}" name="n_ges"/>
    <tableColumn id="5" xr3:uid="{00000000-0010-0000-0600-000005000000}" name="tpos"/>
    <tableColumn id="6" xr3:uid="{00000000-0010-0000-0600-000006000000}" name="tneg"/>
    <tableColumn id="7" xr3:uid="{00000000-0010-0000-0600-000007000000}" name="cpos"/>
    <tableColumn id="8" xr3:uid="{00000000-0010-0000-0600-000008000000}" name="cneg"/>
    <tableColumn id="9" xr3:uid="{00000000-0010-0000-0600-000009000000}" name="OR"/>
    <tableColumn id="10" xr3:uid="{00000000-0010-0000-0600-00000A000000}" name="CI_lb"/>
    <tableColumn id="11" xr3:uid="{00000000-0010-0000-0600-00000B000000}" name="CI_ub"/>
    <tableColumn id="12" xr3:uid="{00000000-0010-0000-0600-00000C000000}" name="p-Wert"/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11" displayName="Tabelle11" ref="AA22:AL24">
  <autoFilter ref="AA22:AL24" xr:uid="{00000000-0009-0000-0100-000008000000}"/>
  <tableColumns count="12">
    <tableColumn id="1" xr3:uid="{00000000-0010-0000-0700-000001000000}" name="Nummer"/>
    <tableColumn id="2" xr3:uid="{00000000-0010-0000-0700-000002000000}" name="Autor"/>
    <tableColumn id="3" xr3:uid="{00000000-0010-0000-0700-000003000000}" name="Jahr"/>
    <tableColumn id="4" xr3:uid="{00000000-0010-0000-0700-000004000000}" name="n_ges"/>
    <tableColumn id="5" xr3:uid="{00000000-0010-0000-0700-000005000000}" name="tpos"/>
    <tableColumn id="6" xr3:uid="{00000000-0010-0000-0700-000006000000}" name="tneg"/>
    <tableColumn id="7" xr3:uid="{00000000-0010-0000-0700-000007000000}" name="cpos"/>
    <tableColumn id="8" xr3:uid="{00000000-0010-0000-0700-000008000000}" name="cneg"/>
    <tableColumn id="9" xr3:uid="{00000000-0010-0000-0700-000009000000}" name="OR"/>
    <tableColumn id="10" xr3:uid="{00000000-0010-0000-0700-00000A000000}" name="CI_lb"/>
    <tableColumn id="11" xr3:uid="{00000000-0010-0000-0700-00000B000000}" name="CI_ub"/>
    <tableColumn id="12" xr3:uid="{00000000-0010-0000-0700-00000C000000}" name="p-Wert"/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le1" displayName="Tabelle1" ref="A2:L19">
  <autoFilter ref="A2:L19" xr:uid="{00000000-0009-0000-0100-000009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tableColumns count="12">
    <tableColumn id="1" xr3:uid="{00000000-0010-0000-0800-000001000000}" name="Nummer" dataDxfId="215"/>
    <tableColumn id="2" xr3:uid="{00000000-0010-0000-0800-000002000000}" name="Autor" dataDxfId="214"/>
    <tableColumn id="3" xr3:uid="{00000000-0010-0000-0800-000003000000}" name="Jahr" dataDxfId="213"/>
    <tableColumn id="4" xr3:uid="{00000000-0010-0000-0800-000004000000}" name="n_ges" dataDxfId="212"/>
    <tableColumn id="5" xr3:uid="{00000000-0010-0000-0800-000005000000}" name="tpos" dataDxfId="211"/>
    <tableColumn id="6" xr3:uid="{00000000-0010-0000-0800-000006000000}" name="tneg" dataDxfId="210"/>
    <tableColumn id="7" xr3:uid="{00000000-0010-0000-0800-000007000000}" name="cpos" dataDxfId="209"/>
    <tableColumn id="8" xr3:uid="{00000000-0010-0000-0800-000008000000}" name="cneg" dataDxfId="208"/>
    <tableColumn id="9" xr3:uid="{00000000-0010-0000-0800-000009000000}" name="OR" dataDxfId="207"/>
    <tableColumn id="10" xr3:uid="{00000000-0010-0000-0800-00000A000000}" name="ci.lb" dataDxfId="206"/>
    <tableColumn id="11" xr3:uid="{00000000-0010-0000-0800-00000B000000}" name="ci.ub" dataDxfId="205"/>
    <tableColumn id="12" xr3:uid="{00000000-0010-0000-0800-00000C000000}" name="pval" dataDxfId="204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3-11-27T14:18:58.90" personId="{1E41243A-1456-2A5D-1FDB-B255EF9989D7}" id="{F2741CC4-0318-EE37-46FC-8A1EA5F320DB}">
    <text xml:space="preserve">for PD: NA
</text>
  </threadedComment>
  <threadedComment ref="G4" dT="2023-11-27T14:18:41.04" personId="{1E41243A-1456-2A5D-1FDB-B255EF9989D7}" id="{57A8A207-3F03-C6E0-55A3-D3B43AEC9857}">
    <text xml:space="preserve">for PD: NA
</text>
  </threadedComment>
  <threadedComment ref="H4" dT="2023-11-27T14:17:42.18" personId="{1E41243A-1456-2A5D-1FDB-B255EF9989D7}" id="{315CC4F1-6070-EFEB-E090-A83904DFCB32}">
    <text xml:space="preserve">Teilpopulation mit PD: 55
</text>
  </threadedComment>
  <threadedComment ref="G5" dT="2023-11-27T13:32:17.27" personId="{1E41243A-1456-2A5D-1FDB-B255EF9989D7}" id="{E5F4B1B2-AD4C-F4E0-988C-CA812C1AE25F}">
    <text xml:space="preserve">for PD: NA
</text>
  </threadedComment>
  <threadedComment ref="H5" dT="2023-11-27T13:32:49.78" personId="{1E41243A-1456-2A5D-1FDB-B255EF9989D7}" id="{D0F1FA4B-976E-0317-FDC6-BA56B7E64858}">
    <text xml:space="preserve">for PD: 252
</text>
  </threadedComment>
  <threadedComment ref="F10" dT="2023-11-14T16:49:52.21" personId="{0A4DCF5E-9253-0025-BAAA-C99AE2336D4C}" id="{ED94C88C-BE78-6053-387E-0A17ACBE217E}">
    <text xml:space="preserve">74.2 bei Eintritt in die Studie, 80.7 Durchschnittsalter bei Tod
</text>
  </threadedComment>
  <threadedComment ref="H10" dT="2023-11-14T16:48:45.24" personId="{0A4DCF5E-9253-0025-BAAA-C99AE2336D4C}" id="{8FD97489-B891-4871-F00C-391BE06F9E91}">
    <text xml:space="preserve">2 Kohorten, 166 PD, 102 Kontrolle
</text>
  </threadedComment>
  <threadedComment ref="H11" dT="2023-11-27T14:03:35.95" personId="{1E41243A-1456-2A5D-1FDB-B255EF9989D7}" id="{FB1D1CB7-0324-A560-6765-A0A71F34B396}">
    <text xml:space="preserve">Teilpopulation mit M. Parkinson: 23
</text>
  </threadedComment>
  <threadedComment ref="H13" dT="2023-11-27T13:40:03.89" personId="{1E41243A-1456-2A5D-1FDB-B255EF9989D7}" id="{6F6E5000-C92D-0936-AD50-CC6FDA04F9B3}">
    <text xml:space="preserve">for PD: 21402
</text>
  </threadedComment>
  <threadedComment ref="H19" dT="2023-11-27T14:29:48.98" personId="{1E41243A-1456-2A5D-1FDB-B255EF9989D7}" id="{44D0DEBF-1458-FA41-C762-B63BA20C8FC9}">
    <text xml:space="preserve">for PD: 159
</text>
  </threadedComment>
  <threadedComment ref="F20" dT="2023-12-11T15:56:03.07" personId="{55B29DFA-2995-78B1-0EB8-AD7DC35B524F}" id="{05075970-8478-E4AA-ADBD-4150BCCEC4E5}">
    <text xml:space="preserve">Mean Age at Death: 77.9; Mean Age of Onset: 65.1
</text>
  </threadedComment>
  <threadedComment ref="G21" dT="2023-11-18T12:06:52.29" personId="{19BB9403-28D6-5907-1CB0-50C02AC16824}" id="{E98E893D-9953-F23B-6BA6-EA91FB5B1BF6}">
    <text xml:space="preserve">PD: 41.6%
MS: 70.4%
control: 47.1%
</text>
  </threadedComment>
  <threadedComment ref="F22" dT="2023-11-18T12:06:32.93" personId="{19BB9403-28D6-5907-1CB0-50C02AC16824}" id="{7651EC4A-D342-2916-EDAC-C5C276EEEB3E}">
    <text xml:space="preserve">PD: 79.7
MS: 63.8
control: 79.3
</text>
  </threadedComment>
  <threadedComment ref="H22" dT="2023-11-18T12:07:09.52" personId="{19BB9403-28D6-5907-1CB0-50C02AC16824}" id="{3496B0D0-1814-DCDE-623E-FD4A387EBFAA}">
    <text xml:space="preserve">PD: 579
MS: 582
control: 95
</text>
  </threadedComment>
  <threadedComment ref="I22" dT="2023-11-15T11:29:58.27" personId="{7DEFF3D5-94BC-052B-23EC-CE93CC4E0E59}" id="{19412A55-3409-2305-FBE7-5A3B274613E4}">
    <text xml:space="preserve">von der Gesamtpopulation nur 54.9% mit iPD
</text>
  </threadedComment>
  <threadedComment ref="F25" dT="2023-11-15T11:53:08.90" personId="{7DEFF3D5-94BC-052B-23EC-CE93CC4E0E59}" id="{E6773A57-52E0-ACD5-2A35-84B1E2E91FCB}">
    <text xml:space="preserve">83 bei PD
</text>
  </threadedComment>
  <threadedComment ref="G25" dT="2023-11-15T11:53:21.58" personId="{7DEFF3D5-94BC-052B-23EC-CE93CC4E0E59}" id="{4B44484A-4078-D615-2292-17A8AA1D048F}">
    <text xml:space="preserve">33.9% bei PD
</text>
  </threadedComment>
  <threadedComment ref="F26" dT="2023-11-15T12:04:24.56" personId="{7DEFF3D5-94BC-052B-23EC-CE93CC4E0E59}" id="{E02AC231-2F02-CFD2-ED3E-D97131AA9886}">
    <text xml:space="preserve">"age at death", nicht bei Aufnahme in die Studie
</text>
  </threadedComment>
  <threadedComment ref="F28" dT="2023-11-15T12:08:59.74" personId="{7DEFF3D5-94BC-052B-23EC-CE93CC4E0E59}" id="{22CA8FF6-B9F1-1862-DB44-EFB499279FF6}">
    <text xml:space="preserve">83 with PD
</text>
  </threadedComment>
  <threadedComment ref="H28" dT="2023-11-15T12:08:43.01" personId="{7DEFF3D5-94BC-052B-23EC-CE93CC4E0E59}" id="{8E15A93B-9E7C-0223-88BB-38E1E404D610}">
    <text xml:space="preserve">12440 with PD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5" dT="2023-11-16T11:31:47.80" personId="{A1A39100-DD89-42F1-32E3-7CBA214ABCFE}" id="{BC4807E2-01A0-88BA-7DFF-C479D9CE27A3}">
    <text xml:space="preserve">"none"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7" dT="2023-11-15T10:35:52.73" personId="{64882AD7-D43D-FCB7-C87B-0AE03C88199E}" id="{6E771FE5-274E-76E3-759D-AE672A409553}">
    <text xml:space="preserve">"no details"
</text>
  </threadedComment>
  <threadedComment ref="Q10" dT="2023-11-15T11:08:02.57" personId="{7DEFF3D5-94BC-052B-23EC-CE93CC4E0E59}" id="{5CB04AF0-BABE-8042-644E-C973EB98A969}">
    <text xml:space="preserve">"unkown"
</text>
  </threadedComment>
  <threadedComment ref="C11" dT="2023-11-14T16:51:59.83" personId="{0A4DCF5E-9253-0025-BAAA-C99AE2336D4C}" id="{12828701-CCCE-202A-0EA7-D8EBBDE6B36A}">
    <text xml:space="preserve">166 PD, 102 Kontrolle
</text>
  </threadedComment>
  <threadedComment ref="N11" dT="2023-12-16T14:17:06.27" personId="{64882AD7-D43D-FCB7-C87B-0AE03C88199E}" id="{BFE9C513-28E3-72DD-3706-B9AF21A946F8}">
    <text xml:space="preserve">"at time of death 52% were living in institutional care"
</text>
  </threadedComment>
  <threadedComment ref="M14" dT="2023-11-27T13:43:09.93" personId="{1E41243A-1456-2A5D-1FDB-B255EF9989D7}" id="{6A04C6C7-E513-639D-2FF5-E81F7A4A4FEE}">
    <text xml:space="preserve">"social welfare facility"
</text>
  </threadedComment>
  <threadedComment ref="M16" dT="2023-11-15T10:20:28.78" personId="{7DEFF3D5-94BC-052B-23EC-CE93CC4E0E59}" id="{88F77566-7DBF-A90A-ED20-E06D7D35A2A9}">
    <text xml:space="preserve">"long term care"
</text>
  </threadedComment>
  <threadedComment ref="Q16" dT="2023-11-15T10:19:55.66" personId="{7DEFF3D5-94BC-052B-23EC-CE93CC4E0E59}" id="{2A244525-B39E-46BB-F514-04C232F0E0A3}">
    <text xml:space="preserve">"unknown"
</text>
  </threadedComment>
  <threadedComment ref="D17" dT="2023-11-15T11:20:07.53" personId="{7DEFF3D5-94BC-052B-23EC-CE93CC4E0E59}" id="{1DA290BE-9D48-8CD1-8BA1-6C065E63490F}">
    <text xml:space="preserve">22 died
</text>
  </threadedComment>
  <threadedComment ref="H20" dT="2023-11-27T14:31:52.01" personId="{1E41243A-1456-2A5D-1FDB-B255EF9989D7}" id="{425DF767-32B5-88BB-88BE-C9212A77ABC2}">
    <text xml:space="preserve">"tertiary hospital" + "primary care hospital"
</text>
  </threadedComment>
  <threadedComment ref="U21" dT="2023-11-15T12:01:40.33" personId="{7DEFF3D5-94BC-052B-23EC-CE93CC4E0E59}" id="{0B58C1F1-E3DF-013B-35E4-3F2BF9FC48E9}">
    <text xml:space="preserve">"not recorded"
</text>
  </threadedComment>
  <threadedComment ref="N25" dT="2023-11-15T11:56:09.63" personId="{7DEFF3D5-94BC-052B-23EC-CE93CC4E0E59}" id="{CBA4AE3C-7966-C77A-96A4-D79638A44EB1}">
    <text xml:space="preserve">"long term care facility"
</text>
  </threadedComment>
  <threadedComment ref="R26" dT="2023-11-15T12:01:40.33" personId="{7DEFF3D5-94BC-052B-23EC-CE93CC4E0E59}" id="{D2875A69-3965-B7D0-C792-5A6537598C20}">
    <text xml:space="preserve">"not recorded"
</text>
  </threadedComment>
  <threadedComment ref="G28" dT="2023-11-15T12:12:20.96" personId="{7DEFF3D5-94BC-052B-23EC-CE93CC4E0E59}" id="{716F3128-6684-9559-BB77-AA7283FCA7C5}">
    <text xml:space="preserve">"acute"
</text>
  </threadedComment>
  <threadedComment ref="M28" dT="2023-11-15T12:12:15.42" personId="{7DEFF3D5-94BC-052B-23EC-CE93CC4E0E59}" id="{83CDA57F-F949-03C2-F26C-4059A40421F7}">
    <text xml:space="preserve">"subacute"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37" dT="2023-12-13T04:58:42.86" personId="{18839A9C-4B7D-4D81-1727-290FB9978D77}" id="{F7B124B9-8B93-7D66-C063-D6F1F6EE06C7}">
    <text xml:space="preserve">Alter und CKD beziehen sich auf Gesamtpopulation von 4025, wahrscheinlich so nicht zu verwerten?
</text>
  </threadedComment>
  <threadedComment ref="I62" dT="2023-12-13T04:58:13.59" personId="{18839A9C-4B7D-4D81-1727-290FB9978D77}" id="{215DAFB9-E908-B860-8A82-FB1569ADF7F0}">
    <text xml:space="preserve">berechnet für 27 PD Patienten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3" dT="2023-12-16T14:31:53.96" personId="{64882AD7-D43D-FCB7-C87B-0AE03C88199E}" id="{D1F36198-BCCF-2390-1669-5B33F510311D}">
    <text xml:space="preserve">27 Pat.
</text>
  </threadedComment>
  <threadedComment ref="Q19" dT="2024-01-20T15:08:49.34" personId="{03DA70B6-2540-CEDB-9808-E24C58E1C85D}" id="{7C1BA97C-E0FB-6740-80B8-7143FE4A6113}">
    <text xml:space="preserve">Wie berechnet / was gegenüber gestellt?
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016/j.parkreldis.2016.11.005" TargetMode="External"/><Relationship Id="rId2" Type="http://schemas.openxmlformats.org/officeDocument/2006/relationships/hyperlink" Target="http://dx.doi.org/10.19191/EP22.1-2.A003.003" TargetMode="External"/><Relationship Id="rId1" Type="http://schemas.openxmlformats.org/officeDocument/2006/relationships/hyperlink" Target="https://dx.doi.org/10.1212/CPJ.0000000000200171" TargetMode="External"/><Relationship Id="rId4" Type="http://schemas.openxmlformats.org/officeDocument/2006/relationships/hyperlink" Target="http://dx.doi.org/10.1016/j.parkreldis.2022.07.01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M9" sqref="M9"/>
    </sheetView>
  </sheetViews>
  <sheetFormatPr baseColWidth="10" defaultColWidth="11" defaultRowHeight="16" x14ac:dyDescent="0.2"/>
  <cols>
    <col min="1" max="6" width="11" style="1"/>
    <col min="7" max="7" width="11" style="2"/>
    <col min="8" max="8" width="11" style="1"/>
    <col min="9" max="9" width="11" style="2"/>
    <col min="10" max="16384" width="11" style="1"/>
  </cols>
  <sheetData>
    <row r="1" spans="1:13" ht="5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3" t="s">
        <v>9</v>
      </c>
      <c r="K1" s="3" t="s">
        <v>10</v>
      </c>
      <c r="L1" s="3"/>
    </row>
    <row r="2" spans="1:13" s="6" customFormat="1" ht="136" x14ac:dyDescent="0.2">
      <c r="A2" s="7" t="s">
        <v>11</v>
      </c>
      <c r="B2" s="7">
        <v>2019</v>
      </c>
      <c r="C2" s="7" t="s">
        <v>12</v>
      </c>
      <c r="D2" s="8" t="s">
        <v>13</v>
      </c>
      <c r="E2" s="7" t="s">
        <v>14</v>
      </c>
      <c r="F2" s="7">
        <v>71.400000000000006</v>
      </c>
      <c r="G2" s="9" t="s">
        <v>15</v>
      </c>
      <c r="H2" s="7">
        <v>134</v>
      </c>
      <c r="I2" s="10">
        <v>1</v>
      </c>
      <c r="J2" s="7" t="s">
        <v>16</v>
      </c>
      <c r="K2" s="11" t="s">
        <v>17</v>
      </c>
      <c r="L2" s="7"/>
      <c r="M2" s="7"/>
    </row>
    <row r="3" spans="1:13" ht="34" x14ac:dyDescent="0.2">
      <c r="A3" s="7" t="s">
        <v>18</v>
      </c>
      <c r="B3" s="7">
        <v>2018</v>
      </c>
      <c r="C3" s="7" t="s">
        <v>19</v>
      </c>
      <c r="D3" s="7" t="s">
        <v>20</v>
      </c>
      <c r="E3" s="7" t="s">
        <v>21</v>
      </c>
      <c r="F3" s="7">
        <v>76</v>
      </c>
      <c r="G3" s="9">
        <v>0.53900000000000003</v>
      </c>
      <c r="H3" s="7">
        <v>76</v>
      </c>
      <c r="I3" s="10">
        <v>1</v>
      </c>
      <c r="J3" s="7" t="s">
        <v>16</v>
      </c>
      <c r="K3" s="7" t="s">
        <v>22</v>
      </c>
      <c r="L3" s="7"/>
      <c r="M3" s="7"/>
    </row>
    <row r="4" spans="1:13" ht="104" x14ac:dyDescent="0.2">
      <c r="A4" s="7" t="s">
        <v>23</v>
      </c>
      <c r="B4" s="7">
        <v>2019</v>
      </c>
      <c r="C4" s="7" t="s">
        <v>24</v>
      </c>
      <c r="D4" s="12" t="s">
        <v>25</v>
      </c>
      <c r="E4" s="7" t="s">
        <v>26</v>
      </c>
      <c r="F4" s="7"/>
      <c r="G4" s="9">
        <v>0.4</v>
      </c>
      <c r="H4" s="7">
        <v>2029</v>
      </c>
      <c r="I4" s="10">
        <v>1</v>
      </c>
      <c r="J4" s="7" t="s">
        <v>16</v>
      </c>
      <c r="K4" s="7" t="s">
        <v>22</v>
      </c>
      <c r="L4" s="7"/>
      <c r="M4" s="7"/>
    </row>
    <row r="5" spans="1:13" x14ac:dyDescent="0.2">
      <c r="A5" s="7"/>
      <c r="B5" s="7"/>
      <c r="C5" s="7"/>
      <c r="D5" s="7"/>
      <c r="E5" s="7"/>
      <c r="F5" s="7"/>
      <c r="G5" s="9"/>
      <c r="H5" s="7"/>
      <c r="I5" s="10"/>
      <c r="J5" s="7"/>
      <c r="K5" s="7"/>
      <c r="L5" s="7"/>
      <c r="M5" s="7"/>
    </row>
    <row r="6" spans="1:13" x14ac:dyDescent="0.2">
      <c r="A6" s="7"/>
      <c r="B6" s="7"/>
      <c r="C6" s="7"/>
      <c r="D6" s="7"/>
      <c r="E6" s="7"/>
      <c r="F6" s="7"/>
      <c r="G6" s="9"/>
      <c r="H6" s="7"/>
      <c r="I6" s="10"/>
      <c r="J6" s="7"/>
      <c r="K6" s="7"/>
      <c r="L6" s="7"/>
      <c r="M6" s="7"/>
    </row>
    <row r="7" spans="1:13" x14ac:dyDescent="0.2">
      <c r="A7" s="7"/>
      <c r="B7" s="7"/>
      <c r="C7" s="7"/>
      <c r="D7" s="7"/>
      <c r="E7" s="7"/>
      <c r="F7" s="7"/>
      <c r="G7" s="9"/>
      <c r="H7" s="7"/>
      <c r="I7" s="10"/>
      <c r="J7" s="7"/>
      <c r="K7" s="7"/>
      <c r="L7" s="7"/>
      <c r="M7" s="7"/>
    </row>
    <row r="8" spans="1:13" x14ac:dyDescent="0.2">
      <c r="A8" s="7"/>
      <c r="B8" s="7"/>
      <c r="C8" s="7"/>
      <c r="D8" s="7"/>
      <c r="E8" s="7"/>
      <c r="F8" s="7"/>
      <c r="G8" s="9"/>
      <c r="H8" s="7"/>
      <c r="I8" s="10"/>
      <c r="J8" s="7"/>
      <c r="K8" s="7"/>
      <c r="L8" s="7"/>
      <c r="M8" s="7"/>
    </row>
    <row r="9" spans="1:13" x14ac:dyDescent="0.2">
      <c r="A9" s="7"/>
      <c r="B9" s="7"/>
      <c r="C9" s="7"/>
      <c r="D9" s="7"/>
      <c r="E9" s="7"/>
      <c r="F9" s="7"/>
      <c r="G9" s="9"/>
      <c r="H9" s="7"/>
      <c r="I9" s="10"/>
      <c r="J9" s="7"/>
      <c r="K9" s="7"/>
      <c r="L9" s="7"/>
      <c r="M9" s="7"/>
    </row>
    <row r="10" spans="1:13" x14ac:dyDescent="0.2">
      <c r="A10" s="7"/>
      <c r="B10" s="7"/>
      <c r="C10" s="7"/>
      <c r="D10" s="7"/>
      <c r="E10" s="7"/>
      <c r="F10" s="7"/>
      <c r="G10" s="9"/>
      <c r="H10" s="7"/>
      <c r="I10" s="10"/>
      <c r="J10" s="7"/>
      <c r="K10" s="7"/>
      <c r="L10" s="7"/>
      <c r="M10" s="7"/>
    </row>
    <row r="11" spans="1:13" x14ac:dyDescent="0.2">
      <c r="A11" s="7"/>
      <c r="B11" s="7"/>
      <c r="C11" s="7"/>
      <c r="D11" s="7"/>
      <c r="E11" s="7"/>
      <c r="F11" s="7"/>
      <c r="G11" s="9"/>
      <c r="H11" s="7"/>
      <c r="I11" s="10"/>
      <c r="J11" s="7"/>
      <c r="K11" s="7"/>
      <c r="L11" s="7"/>
      <c r="M11" s="7"/>
    </row>
    <row r="12" spans="1:13" x14ac:dyDescent="0.2">
      <c r="A12" s="7"/>
      <c r="B12" s="7"/>
      <c r="C12" s="7"/>
      <c r="D12" s="7"/>
      <c r="E12" s="7"/>
      <c r="F12" s="7"/>
      <c r="G12" s="9"/>
      <c r="H12" s="7"/>
      <c r="I12" s="10"/>
      <c r="J12" s="7"/>
      <c r="K12" s="7"/>
      <c r="L12" s="7"/>
      <c r="M12" s="7"/>
    </row>
    <row r="13" spans="1:13" x14ac:dyDescent="0.2">
      <c r="A13" s="7"/>
      <c r="B13" s="7"/>
      <c r="C13" s="7"/>
      <c r="D13" s="7"/>
      <c r="E13" s="7"/>
      <c r="F13" s="7"/>
      <c r="G13" s="9"/>
      <c r="H13" s="7"/>
      <c r="I13" s="10"/>
      <c r="J13" s="7"/>
      <c r="K13" s="7"/>
      <c r="L13" s="7"/>
      <c r="M13" s="7"/>
    </row>
    <row r="14" spans="1:13" x14ac:dyDescent="0.2">
      <c r="A14" s="7"/>
      <c r="B14" s="7"/>
      <c r="C14" s="7"/>
      <c r="D14" s="7"/>
      <c r="E14" s="7"/>
      <c r="F14" s="7"/>
      <c r="G14" s="9"/>
      <c r="H14" s="7"/>
      <c r="I14" s="10"/>
      <c r="J14" s="7"/>
      <c r="K14" s="7"/>
      <c r="L14" s="7"/>
      <c r="M14" s="7"/>
    </row>
    <row r="15" spans="1:13" x14ac:dyDescent="0.2">
      <c r="A15" s="7"/>
      <c r="B15" s="7"/>
      <c r="C15" s="7"/>
      <c r="D15" s="7"/>
      <c r="E15" s="7"/>
      <c r="F15" s="7"/>
      <c r="G15" s="9"/>
      <c r="H15" s="7"/>
      <c r="I15" s="10"/>
      <c r="J15" s="7"/>
      <c r="K15" s="7"/>
      <c r="L15" s="7"/>
      <c r="M15" s="7"/>
    </row>
    <row r="16" spans="1:13" x14ac:dyDescent="0.2">
      <c r="A16" s="7"/>
      <c r="B16" s="7"/>
      <c r="C16" s="7"/>
      <c r="D16" s="7"/>
      <c r="E16" s="7"/>
      <c r="F16" s="7"/>
      <c r="G16" s="9"/>
      <c r="H16" s="7"/>
      <c r="I16" s="10"/>
      <c r="J16" s="7"/>
      <c r="K16" s="7"/>
      <c r="L16" s="7"/>
      <c r="M16" s="7"/>
    </row>
    <row r="17" spans="1:13" x14ac:dyDescent="0.2">
      <c r="A17" s="7"/>
      <c r="B17" s="7"/>
      <c r="C17" s="7"/>
      <c r="D17" s="7"/>
      <c r="E17" s="7"/>
      <c r="F17" s="7"/>
      <c r="G17" s="9"/>
      <c r="H17" s="7"/>
      <c r="I17" s="10"/>
      <c r="J17" s="7"/>
      <c r="K17" s="7"/>
      <c r="L17" s="7"/>
      <c r="M17" s="7"/>
    </row>
    <row r="18" spans="1:13" x14ac:dyDescent="0.2">
      <c r="A18" s="7"/>
      <c r="B18" s="7"/>
      <c r="C18" s="7"/>
      <c r="D18" s="7"/>
      <c r="E18" s="7"/>
      <c r="F18" s="7"/>
      <c r="G18" s="9"/>
      <c r="H18" s="7"/>
      <c r="I18" s="10"/>
      <c r="J18" s="7"/>
      <c r="K18" s="7"/>
      <c r="L18" s="7"/>
      <c r="M18" s="7"/>
    </row>
    <row r="19" spans="1:13" x14ac:dyDescent="0.2">
      <c r="A19" s="7"/>
      <c r="B19" s="7"/>
      <c r="C19" s="7"/>
      <c r="D19" s="7"/>
      <c r="E19" s="7"/>
      <c r="F19" s="7"/>
      <c r="G19" s="9"/>
      <c r="H19" s="7"/>
      <c r="I19" s="10"/>
      <c r="J19" s="7"/>
      <c r="K19" s="7"/>
      <c r="L19" s="7"/>
      <c r="M19" s="7"/>
    </row>
    <row r="20" spans="1:13" x14ac:dyDescent="0.2">
      <c r="A20" s="7"/>
      <c r="B20" s="7"/>
      <c r="C20" s="7"/>
      <c r="D20" s="7"/>
      <c r="E20" s="7"/>
      <c r="F20" s="7"/>
      <c r="G20" s="9"/>
      <c r="H20" s="7"/>
      <c r="I20" s="10"/>
      <c r="J20" s="7"/>
      <c r="K20" s="7"/>
      <c r="L20" s="7"/>
      <c r="M20" s="7"/>
    </row>
    <row r="21" spans="1:13" x14ac:dyDescent="0.2">
      <c r="A21" s="7"/>
      <c r="B21" s="7"/>
      <c r="C21" s="7"/>
      <c r="D21" s="7"/>
      <c r="E21" s="7"/>
      <c r="F21" s="7"/>
      <c r="G21" s="9"/>
      <c r="H21" s="7"/>
      <c r="I21" s="10"/>
      <c r="J21" s="7"/>
      <c r="K21" s="7"/>
      <c r="L21" s="7"/>
      <c r="M21" s="7"/>
    </row>
    <row r="22" spans="1:13" x14ac:dyDescent="0.2">
      <c r="A22" s="7"/>
      <c r="B22" s="7"/>
      <c r="C22" s="7"/>
      <c r="D22" s="7"/>
      <c r="E22" s="7"/>
      <c r="F22" s="7"/>
      <c r="G22" s="9"/>
      <c r="H22" s="7"/>
      <c r="I22" s="10"/>
      <c r="J22" s="7"/>
      <c r="K22" s="7"/>
      <c r="L22" s="7"/>
      <c r="M22" s="7"/>
    </row>
    <row r="23" spans="1:13" x14ac:dyDescent="0.2">
      <c r="A23" s="7"/>
      <c r="B23" s="7"/>
      <c r="C23" s="7"/>
      <c r="D23" s="7"/>
      <c r="E23" s="7"/>
      <c r="F23" s="7"/>
      <c r="G23" s="9"/>
      <c r="H23" s="7"/>
      <c r="I23" s="10"/>
      <c r="J23" s="7"/>
      <c r="K23" s="7"/>
      <c r="L23" s="7"/>
      <c r="M23" s="7"/>
    </row>
    <row r="24" spans="1:13" x14ac:dyDescent="0.2">
      <c r="A24" s="7"/>
      <c r="B24" s="7"/>
      <c r="C24" s="7"/>
      <c r="D24" s="7"/>
      <c r="E24" s="7"/>
      <c r="F24" s="7"/>
      <c r="G24" s="9"/>
      <c r="H24" s="7"/>
      <c r="I24" s="10"/>
      <c r="J24" s="7"/>
      <c r="K24" s="7"/>
      <c r="L24" s="7"/>
      <c r="M24" s="7"/>
    </row>
    <row r="25" spans="1:13" x14ac:dyDescent="0.2">
      <c r="A25" s="7"/>
      <c r="B25" s="7"/>
      <c r="C25" s="7"/>
      <c r="D25" s="7"/>
      <c r="E25" s="7"/>
      <c r="F25" s="7"/>
      <c r="G25" s="9"/>
      <c r="H25" s="7"/>
      <c r="I25" s="10"/>
      <c r="J25" s="7"/>
      <c r="K25" s="7"/>
      <c r="L25" s="7"/>
      <c r="M25" s="7"/>
    </row>
    <row r="26" spans="1:13" x14ac:dyDescent="0.2">
      <c r="A26" s="7"/>
      <c r="B26" s="7"/>
      <c r="C26" s="7"/>
      <c r="D26" s="7"/>
      <c r="E26" s="7"/>
      <c r="F26" s="7"/>
      <c r="G26" s="9"/>
      <c r="H26" s="7"/>
      <c r="I26" s="10"/>
      <c r="J26" s="7"/>
      <c r="K26" s="7"/>
      <c r="L26" s="7"/>
      <c r="M26" s="7"/>
    </row>
    <row r="27" spans="1:13" x14ac:dyDescent="0.2">
      <c r="A27" s="7"/>
      <c r="B27" s="7"/>
      <c r="C27" s="7"/>
      <c r="D27" s="7"/>
      <c r="E27" s="7"/>
      <c r="F27" s="7"/>
      <c r="G27" s="9"/>
      <c r="H27" s="7"/>
      <c r="I27" s="10"/>
      <c r="J27" s="7"/>
      <c r="K27" s="7"/>
      <c r="L27" s="7"/>
      <c r="M27" s="7"/>
    </row>
    <row r="28" spans="1:13" x14ac:dyDescent="0.2">
      <c r="A28" s="7"/>
      <c r="B28" s="7"/>
      <c r="C28" s="7"/>
      <c r="D28" s="7"/>
      <c r="E28" s="7"/>
      <c r="F28" s="7"/>
      <c r="G28" s="9"/>
      <c r="H28" s="7"/>
      <c r="I28" s="10"/>
      <c r="J28" s="7"/>
      <c r="K28" s="7"/>
      <c r="L28" s="7"/>
      <c r="M28" s="7"/>
    </row>
    <row r="29" spans="1:13" x14ac:dyDescent="0.2">
      <c r="A29" s="7"/>
      <c r="B29" s="7"/>
      <c r="C29" s="7"/>
      <c r="D29" s="7"/>
      <c r="E29" s="7"/>
      <c r="F29" s="7"/>
      <c r="G29" s="9"/>
      <c r="H29" s="7"/>
      <c r="I29" s="10"/>
      <c r="J29" s="7"/>
      <c r="K29" s="7"/>
      <c r="L29" s="7"/>
      <c r="M29" s="7"/>
    </row>
    <row r="30" spans="1:13" x14ac:dyDescent="0.2">
      <c r="A30" s="7"/>
      <c r="B30" s="7"/>
      <c r="C30" s="7"/>
      <c r="D30" s="7"/>
      <c r="E30" s="7"/>
      <c r="F30" s="7"/>
      <c r="G30" s="9"/>
      <c r="H30" s="7"/>
      <c r="I30" s="10"/>
      <c r="J30" s="7"/>
      <c r="K30" s="7"/>
      <c r="L30" s="7"/>
      <c r="M30" s="7"/>
    </row>
  </sheetData>
  <pageMargins left="0.7" right="0.7" top="0.78740157500000008" bottom="0.78740157500000008" header="0.3" footer="0.3"/>
  <pageSetup paperSize="9" firstPageNumber="214748364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F77"/>
  <sheetViews>
    <sheetView tabSelected="1" zoomScale="94" workbookViewId="0">
      <selection activeCell="A19" sqref="A19"/>
    </sheetView>
  </sheetViews>
  <sheetFormatPr baseColWidth="10" defaultRowHeight="16" x14ac:dyDescent="0.2"/>
  <cols>
    <col min="1" max="1" width="8.5" bestFit="1" customWidth="1"/>
    <col min="2" max="2" width="17.5" bestFit="1" customWidth="1"/>
    <col min="3" max="3" width="5.5" bestFit="1" customWidth="1"/>
    <col min="4" max="4" width="7.6640625" bestFit="1" customWidth="1"/>
    <col min="5" max="5" width="13.5" bestFit="1" customWidth="1"/>
    <col min="6" max="6" width="14.5" bestFit="1" customWidth="1"/>
    <col min="7" max="7" width="13.5" bestFit="1" customWidth="1"/>
    <col min="8" max="8" width="14.5" bestFit="1" customWidth="1"/>
    <col min="9" max="11" width="6.5" bestFit="1" customWidth="1"/>
    <col min="12" max="13" width="8.33203125" bestFit="1" customWidth="1"/>
    <col min="14" max="14" width="8" bestFit="1" customWidth="1"/>
    <col min="15" max="15" width="8.5" bestFit="1" customWidth="1"/>
    <col min="16" max="16" width="7.6640625" bestFit="1" customWidth="1"/>
    <col min="17" max="17" width="5.5" bestFit="1" customWidth="1"/>
    <col min="18" max="18" width="7.6640625" bestFit="1" customWidth="1"/>
    <col min="19" max="19" width="5.5" bestFit="1" customWidth="1"/>
    <col min="20" max="21" width="6.5" bestFit="1" customWidth="1"/>
    <col min="22" max="22" width="7.6640625" bestFit="1" customWidth="1"/>
    <col min="23" max="25" width="6.5" bestFit="1" customWidth="1"/>
    <col min="26" max="26" width="7.33203125" bestFit="1" customWidth="1"/>
    <col min="29" max="29" width="8.5" bestFit="1" customWidth="1"/>
    <col min="30" max="30" width="17.5" bestFit="1" customWidth="1"/>
    <col min="31" max="31" width="5.5" bestFit="1" customWidth="1"/>
    <col min="32" max="32" width="7.6640625" bestFit="1" customWidth="1"/>
    <col min="33" max="33" width="6.5" bestFit="1" customWidth="1"/>
    <col min="34" max="34" width="7.6640625" bestFit="1" customWidth="1"/>
    <col min="35" max="35" width="5.5" bestFit="1" customWidth="1"/>
    <col min="36" max="36" width="6.5" bestFit="1" customWidth="1"/>
    <col min="37" max="38" width="5.5" bestFit="1" customWidth="1"/>
    <col min="39" max="39" width="5.83203125" bestFit="1" customWidth="1"/>
    <col min="40" max="40" width="8.33203125" bestFit="1" customWidth="1"/>
    <col min="43" max="43" width="8.5" bestFit="1" customWidth="1"/>
    <col min="44" max="44" width="17.5" bestFit="1" customWidth="1"/>
    <col min="45" max="45" width="5.5" bestFit="1" customWidth="1"/>
    <col min="46" max="46" width="7.6640625" bestFit="1" customWidth="1"/>
    <col min="47" max="47" width="5.5" bestFit="1" customWidth="1"/>
    <col min="48" max="48" width="6.5" bestFit="1" customWidth="1"/>
    <col min="49" max="49" width="5.5" bestFit="1" customWidth="1"/>
    <col min="50" max="50" width="6.5" bestFit="1" customWidth="1"/>
    <col min="51" max="52" width="5.5" bestFit="1" customWidth="1"/>
    <col min="53" max="53" width="5.83203125" bestFit="1" customWidth="1"/>
    <col min="54" max="54" width="8.33203125" bestFit="1" customWidth="1"/>
    <col min="57" max="57" width="8.5" bestFit="1" customWidth="1"/>
    <col min="58" max="58" width="17.5" bestFit="1" customWidth="1"/>
    <col min="59" max="59" width="5.5" bestFit="1" customWidth="1"/>
    <col min="60" max="60" width="6.5" bestFit="1" customWidth="1"/>
    <col min="61" max="63" width="5.5" bestFit="1" customWidth="1"/>
    <col min="64" max="64" width="6.5" bestFit="1" customWidth="1"/>
    <col min="65" max="66" width="5.5" bestFit="1" customWidth="1"/>
    <col min="67" max="67" width="5.83203125" bestFit="1" customWidth="1"/>
    <col min="68" max="68" width="8.33203125" bestFit="1" customWidth="1"/>
    <col min="71" max="71" width="8.5" bestFit="1" customWidth="1"/>
    <col min="72" max="72" width="17.5" bestFit="1" customWidth="1"/>
    <col min="73" max="73" width="5.5" bestFit="1" customWidth="1"/>
    <col min="74" max="74" width="7.6640625" bestFit="1" customWidth="1"/>
    <col min="75" max="75" width="5.5" bestFit="1" customWidth="1"/>
    <col min="76" max="76" width="6.5" bestFit="1" customWidth="1"/>
    <col min="77" max="78" width="5.5" bestFit="1" customWidth="1"/>
    <col min="79" max="79" width="6.5" bestFit="1" customWidth="1"/>
    <col min="80" max="80" width="5.5" bestFit="1" customWidth="1"/>
    <col min="81" max="81" width="6.5" bestFit="1" customWidth="1"/>
    <col min="82" max="82" width="8.33203125" bestFit="1" customWidth="1"/>
    <col min="85" max="85" width="8.5" bestFit="1" customWidth="1"/>
    <col min="86" max="86" width="9" bestFit="1" customWidth="1"/>
    <col min="87" max="87" width="5.5" bestFit="1" customWidth="1"/>
    <col min="88" max="88" width="7.6640625" bestFit="1" customWidth="1"/>
    <col min="89" max="89" width="4.83203125" bestFit="1" customWidth="1"/>
    <col min="90" max="91" width="5" bestFit="1" customWidth="1"/>
    <col min="92" max="92" width="5.1640625" bestFit="1" customWidth="1"/>
    <col min="93" max="94" width="5.5" bestFit="1" customWidth="1"/>
    <col min="95" max="95" width="5.83203125" bestFit="1" customWidth="1"/>
    <col min="96" max="96" width="7" bestFit="1" customWidth="1"/>
    <col min="99" max="99" width="8.5" bestFit="1" customWidth="1"/>
    <col min="100" max="100" width="8.33203125" bestFit="1" customWidth="1"/>
    <col min="101" max="101" width="5.5" bestFit="1" customWidth="1"/>
    <col min="102" max="102" width="7.6640625" bestFit="1" customWidth="1"/>
    <col min="103" max="103" width="4.83203125" bestFit="1" customWidth="1"/>
    <col min="104" max="105" width="5" bestFit="1" customWidth="1"/>
    <col min="106" max="106" width="5.1640625" bestFit="1" customWidth="1"/>
    <col min="107" max="108" width="5.5" bestFit="1" customWidth="1"/>
    <col min="109" max="109" width="5.83203125" bestFit="1" customWidth="1"/>
    <col min="110" max="110" width="7" bestFit="1" customWidth="1"/>
  </cols>
  <sheetData>
    <row r="1" spans="1:110" x14ac:dyDescent="0.2">
      <c r="A1" s="184" t="s">
        <v>513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O1" s="184" t="s">
        <v>514</v>
      </c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C1" s="184" t="s">
        <v>515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Q1" s="184" t="s">
        <v>516</v>
      </c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E1" s="184" t="s">
        <v>517</v>
      </c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S1" s="184" t="s">
        <v>518</v>
      </c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G1" s="184" t="s">
        <v>519</v>
      </c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U1" s="184" t="s">
        <v>447</v>
      </c>
      <c r="CV1" s="184"/>
      <c r="CW1" s="184"/>
      <c r="CX1" s="184"/>
      <c r="CY1" s="184"/>
      <c r="CZ1" s="184"/>
      <c r="DA1" s="184"/>
      <c r="DB1" s="184"/>
      <c r="DC1" s="184"/>
      <c r="DD1" s="184"/>
      <c r="DE1" s="184"/>
      <c r="DF1" s="184"/>
    </row>
    <row r="2" spans="1:110" x14ac:dyDescent="0.2">
      <c r="A2" s="58" t="s">
        <v>448</v>
      </c>
      <c r="B2" s="58" t="s">
        <v>449</v>
      </c>
      <c r="C2" s="58" t="s">
        <v>450</v>
      </c>
      <c r="D2" s="58" t="s">
        <v>451</v>
      </c>
      <c r="E2" s="58" t="s">
        <v>452</v>
      </c>
      <c r="F2" s="58" t="s">
        <v>453</v>
      </c>
      <c r="G2" s="58" t="s">
        <v>454</v>
      </c>
      <c r="H2" s="58" t="s">
        <v>455</v>
      </c>
      <c r="I2" s="58" t="s">
        <v>151</v>
      </c>
      <c r="J2" s="183" t="s">
        <v>620</v>
      </c>
      <c r="K2" s="58" t="s">
        <v>621</v>
      </c>
      <c r="L2" s="58" t="s">
        <v>622</v>
      </c>
      <c r="O2" s="58" t="s">
        <v>448</v>
      </c>
      <c r="P2" s="58" t="s">
        <v>449</v>
      </c>
      <c r="Q2" s="58" t="s">
        <v>450</v>
      </c>
      <c r="R2" s="58" t="s">
        <v>451</v>
      </c>
      <c r="S2" s="58" t="s">
        <v>452</v>
      </c>
      <c r="T2" s="58" t="s">
        <v>453</v>
      </c>
      <c r="U2" s="58" t="s">
        <v>454</v>
      </c>
      <c r="V2" s="58" t="s">
        <v>455</v>
      </c>
      <c r="W2" s="58" t="s">
        <v>151</v>
      </c>
      <c r="X2" s="58" t="s">
        <v>620</v>
      </c>
      <c r="Y2" s="58" t="s">
        <v>621</v>
      </c>
      <c r="Z2" s="58" t="s">
        <v>622</v>
      </c>
      <c r="AC2" s="58" t="s">
        <v>448</v>
      </c>
      <c r="AD2" s="58" t="s">
        <v>449</v>
      </c>
      <c r="AE2" s="58" t="s">
        <v>450</v>
      </c>
      <c r="AF2" s="58" t="s">
        <v>451</v>
      </c>
      <c r="AG2" s="58" t="s">
        <v>452</v>
      </c>
      <c r="AH2" s="58" t="s">
        <v>453</v>
      </c>
      <c r="AI2" s="58" t="s">
        <v>454</v>
      </c>
      <c r="AJ2" s="58" t="s">
        <v>455</v>
      </c>
      <c r="AK2" s="58" t="s">
        <v>151</v>
      </c>
      <c r="AL2" s="58" t="s">
        <v>620</v>
      </c>
      <c r="AM2" s="58" t="s">
        <v>621</v>
      </c>
      <c r="AN2" s="58" t="s">
        <v>622</v>
      </c>
      <c r="AQ2" s="58" t="s">
        <v>448</v>
      </c>
      <c r="AR2" s="58" t="s">
        <v>449</v>
      </c>
      <c r="AS2" s="58" t="s">
        <v>450</v>
      </c>
      <c r="AT2" s="58" t="s">
        <v>451</v>
      </c>
      <c r="AU2" s="58" t="s">
        <v>452</v>
      </c>
      <c r="AV2" s="58" t="s">
        <v>453</v>
      </c>
      <c r="AW2" s="58" t="s">
        <v>454</v>
      </c>
      <c r="AX2" s="58" t="s">
        <v>455</v>
      </c>
      <c r="AY2" s="58" t="s">
        <v>151</v>
      </c>
      <c r="AZ2" s="58" t="s">
        <v>620</v>
      </c>
      <c r="BA2" s="58" t="s">
        <v>621</v>
      </c>
      <c r="BB2" s="58" t="s">
        <v>622</v>
      </c>
      <c r="BE2" s="58" t="s">
        <v>448</v>
      </c>
      <c r="BF2" s="58" t="s">
        <v>449</v>
      </c>
      <c r="BG2" s="58" t="s">
        <v>450</v>
      </c>
      <c r="BH2" s="58" t="s">
        <v>451</v>
      </c>
      <c r="BI2" s="58" t="s">
        <v>452</v>
      </c>
      <c r="BJ2" s="58" t="s">
        <v>453</v>
      </c>
      <c r="BK2" s="58" t="s">
        <v>454</v>
      </c>
      <c r="BL2" s="58" t="s">
        <v>455</v>
      </c>
      <c r="BM2" s="58" t="s">
        <v>151</v>
      </c>
      <c r="BN2" s="58" t="s">
        <v>620</v>
      </c>
      <c r="BO2" s="58" t="s">
        <v>621</v>
      </c>
      <c r="BP2" s="58" t="s">
        <v>622</v>
      </c>
      <c r="BS2" s="58" t="s">
        <v>448</v>
      </c>
      <c r="BT2" s="58" t="s">
        <v>449</v>
      </c>
      <c r="BU2" s="58" t="s">
        <v>450</v>
      </c>
      <c r="BV2" s="58" t="s">
        <v>451</v>
      </c>
      <c r="BW2" s="58" t="s">
        <v>452</v>
      </c>
      <c r="BX2" s="58" t="s">
        <v>453</v>
      </c>
      <c r="BY2" s="58" t="s">
        <v>454</v>
      </c>
      <c r="BZ2" s="58" t="s">
        <v>455</v>
      </c>
      <c r="CA2" s="58" t="s">
        <v>151</v>
      </c>
      <c r="CB2" s="58" t="s">
        <v>620</v>
      </c>
      <c r="CC2" s="58" t="s">
        <v>621</v>
      </c>
      <c r="CD2" s="58" t="s">
        <v>622</v>
      </c>
      <c r="CG2" s="58" t="s">
        <v>448</v>
      </c>
      <c r="CH2" s="58" t="s">
        <v>449</v>
      </c>
      <c r="CI2" s="58" t="s">
        <v>450</v>
      </c>
      <c r="CJ2" s="58" t="s">
        <v>451</v>
      </c>
      <c r="CK2" s="58" t="s">
        <v>452</v>
      </c>
      <c r="CL2" s="58" t="s">
        <v>453</v>
      </c>
      <c r="CM2" s="58" t="s">
        <v>454</v>
      </c>
      <c r="CN2" s="58" t="s">
        <v>455</v>
      </c>
      <c r="CO2" s="58" t="s">
        <v>151</v>
      </c>
      <c r="CP2" s="58" t="s">
        <v>620</v>
      </c>
      <c r="CQ2" s="58" t="s">
        <v>621</v>
      </c>
      <c r="CR2" s="58" t="s">
        <v>622</v>
      </c>
      <c r="CU2" s="58" t="s">
        <v>448</v>
      </c>
      <c r="CV2" s="58" t="s">
        <v>449</v>
      </c>
      <c r="CW2" s="58" t="s">
        <v>450</v>
      </c>
      <c r="CX2" s="58" t="s">
        <v>451</v>
      </c>
      <c r="CY2" s="58" t="s">
        <v>452</v>
      </c>
      <c r="CZ2" s="58" t="s">
        <v>453</v>
      </c>
      <c r="DA2" s="58" t="s">
        <v>454</v>
      </c>
      <c r="DB2" s="58" t="s">
        <v>455</v>
      </c>
      <c r="DC2" s="58" t="s">
        <v>151</v>
      </c>
      <c r="DD2" s="58" t="s">
        <v>620</v>
      </c>
      <c r="DE2" s="58" t="s">
        <v>621</v>
      </c>
      <c r="DF2" s="58" t="s">
        <v>622</v>
      </c>
    </row>
    <row r="3" spans="1:110" x14ac:dyDescent="0.2">
      <c r="A3" s="58">
        <v>1</v>
      </c>
      <c r="B3" s="136" t="s">
        <v>133</v>
      </c>
      <c r="C3" s="136">
        <v>2023</v>
      </c>
      <c r="D3" s="58">
        <v>53279</v>
      </c>
      <c r="E3" s="142">
        <v>4831</v>
      </c>
      <c r="F3" s="142">
        <f>19811-4831</f>
        <v>14980</v>
      </c>
      <c r="G3" s="142">
        <v>3139</v>
      </c>
      <c r="H3" s="142">
        <f>13296-3139</f>
        <v>10157</v>
      </c>
      <c r="I3" s="6">
        <v>1.06</v>
      </c>
      <c r="J3" s="6">
        <v>1</v>
      </c>
      <c r="K3" s="58">
        <v>1.1200000000000001</v>
      </c>
      <c r="L3" s="139">
        <v>0.1</v>
      </c>
      <c r="O3" s="6">
        <v>1</v>
      </c>
      <c r="P3" s="6" t="s">
        <v>133</v>
      </c>
      <c r="Q3" s="6">
        <v>2023</v>
      </c>
      <c r="R3" s="6">
        <v>53279</v>
      </c>
      <c r="S3" s="58">
        <v>550</v>
      </c>
      <c r="T3" s="58">
        <f>2873 - 550</f>
        <v>2323</v>
      </c>
      <c r="U3" s="58">
        <v>6757</v>
      </c>
      <c r="V3" s="58">
        <f>47693-6757</f>
        <v>40936</v>
      </c>
      <c r="W3" s="18">
        <v>1.1100000000000001</v>
      </c>
      <c r="X3" s="120">
        <v>1</v>
      </c>
      <c r="Y3" s="58">
        <v>1.24</v>
      </c>
      <c r="Z3" s="58" t="s">
        <v>520</v>
      </c>
      <c r="AC3" s="58">
        <v>1</v>
      </c>
      <c r="AD3" s="136" t="s">
        <v>133</v>
      </c>
      <c r="AE3">
        <v>2023</v>
      </c>
      <c r="AF3" s="58">
        <v>53279</v>
      </c>
      <c r="AG3" s="58">
        <v>6390</v>
      </c>
      <c r="AH3" s="142">
        <f>26386 - 6390</f>
        <v>19996</v>
      </c>
      <c r="AI3" s="142">
        <v>1580</v>
      </c>
      <c r="AJ3" s="142">
        <f>6721 - 1580</f>
        <v>5141</v>
      </c>
      <c r="AK3" s="48">
        <v>1.04</v>
      </c>
      <c r="AL3" s="6">
        <v>0.98</v>
      </c>
      <c r="AM3" s="58">
        <v>1.1000000000000001</v>
      </c>
      <c r="AN3" s="58">
        <v>0.23</v>
      </c>
      <c r="AQ3" s="58">
        <v>1</v>
      </c>
      <c r="AR3" s="136" t="s">
        <v>63</v>
      </c>
      <c r="AS3">
        <v>2021</v>
      </c>
      <c r="AT3" s="58">
        <v>346141</v>
      </c>
      <c r="AU3" s="58" t="s">
        <v>15</v>
      </c>
      <c r="AV3" s="58" t="s">
        <v>15</v>
      </c>
      <c r="AW3" s="58" t="s">
        <v>15</v>
      </c>
      <c r="AX3" s="139" t="s">
        <v>15</v>
      </c>
      <c r="AY3" s="48">
        <v>1.1000000000000001</v>
      </c>
      <c r="AZ3" s="6">
        <v>1.05</v>
      </c>
      <c r="BA3" s="58">
        <v>1.1399999999999999</v>
      </c>
      <c r="BB3" s="58" t="s">
        <v>463</v>
      </c>
      <c r="BE3" s="58">
        <v>1</v>
      </c>
      <c r="BF3" s="136" t="s">
        <v>521</v>
      </c>
      <c r="BG3">
        <v>2015</v>
      </c>
      <c r="BH3" s="58">
        <v>837</v>
      </c>
      <c r="BI3" s="142">
        <f>(837*0.014*0.5)+(837*0.369*0.362)</f>
        <v>117.66378599999999</v>
      </c>
      <c r="BJ3" s="142">
        <f>(837*0.014*0.5)+(837*0.369*(1-0.362))</f>
        <v>202.90721400000001</v>
      </c>
      <c r="BK3" s="142">
        <f>837*0.616*0.207</f>
        <v>106.72754399999999</v>
      </c>
      <c r="BL3" s="142">
        <f>837*0.616*(1-0.207)</f>
        <v>408.86445600000002</v>
      </c>
      <c r="BM3" s="18">
        <v>1.8</v>
      </c>
      <c r="BN3" s="18">
        <v>1.2</v>
      </c>
      <c r="BO3" s="58">
        <v>2.7</v>
      </c>
      <c r="BP3" s="58" t="s">
        <v>463</v>
      </c>
      <c r="BS3" s="58">
        <v>1</v>
      </c>
      <c r="BT3" s="143" t="s">
        <v>63</v>
      </c>
      <c r="BU3">
        <v>2021</v>
      </c>
      <c r="BV3">
        <v>346141</v>
      </c>
      <c r="BW3" s="142" t="s">
        <v>15</v>
      </c>
      <c r="BX3" s="142" t="s">
        <v>15</v>
      </c>
      <c r="BY3" s="142" t="s">
        <v>15</v>
      </c>
      <c r="BZ3" s="142" t="s">
        <v>15</v>
      </c>
      <c r="CA3" s="18">
        <v>0.93300000000000005</v>
      </c>
      <c r="CB3" s="18">
        <v>0.9</v>
      </c>
      <c r="CC3" s="58">
        <v>0.96799999999999997</v>
      </c>
      <c r="CD3" s="58" t="s">
        <v>15</v>
      </c>
      <c r="CG3" s="6">
        <v>1</v>
      </c>
      <c r="CH3" s="6" t="s">
        <v>72</v>
      </c>
      <c r="CI3">
        <v>2022</v>
      </c>
      <c r="CJ3" s="58">
        <v>1226</v>
      </c>
      <c r="CK3" s="58" t="s">
        <v>15</v>
      </c>
      <c r="CL3" s="58" t="s">
        <v>15</v>
      </c>
      <c r="CM3" s="58" t="s">
        <v>15</v>
      </c>
      <c r="CN3" s="58" t="s">
        <v>15</v>
      </c>
      <c r="CO3" s="144">
        <v>0.59</v>
      </c>
      <c r="CP3" s="144">
        <v>0.41</v>
      </c>
      <c r="CQ3" s="144">
        <v>0.87</v>
      </c>
      <c r="CR3" s="58" t="s">
        <v>15</v>
      </c>
      <c r="CU3" s="6">
        <v>1</v>
      </c>
      <c r="CV3" s="6" t="s">
        <v>93</v>
      </c>
      <c r="CW3" s="6">
        <v>2013</v>
      </c>
      <c r="CX3" s="6">
        <v>125242</v>
      </c>
      <c r="CY3" s="58" t="s">
        <v>15</v>
      </c>
      <c r="CZ3" s="58" t="s">
        <v>15</v>
      </c>
      <c r="DA3" s="58" t="s">
        <v>15</v>
      </c>
      <c r="DB3" s="58" t="s">
        <v>15</v>
      </c>
      <c r="DC3" s="145">
        <v>1.24</v>
      </c>
      <c r="DD3" s="144">
        <v>1.17</v>
      </c>
      <c r="DE3" s="144">
        <v>1.31</v>
      </c>
      <c r="DF3" s="58" t="s">
        <v>15</v>
      </c>
    </row>
    <row r="4" spans="1:110" x14ac:dyDescent="0.2">
      <c r="A4" s="58">
        <v>2</v>
      </c>
      <c r="B4" s="136" t="s">
        <v>33</v>
      </c>
      <c r="C4" s="136">
        <v>2022</v>
      </c>
      <c r="D4" s="58">
        <v>27</v>
      </c>
      <c r="E4" s="142">
        <v>10</v>
      </c>
      <c r="F4" s="142">
        <v>5</v>
      </c>
      <c r="G4" s="142">
        <v>7</v>
      </c>
      <c r="H4" s="142">
        <v>5</v>
      </c>
      <c r="I4" s="18">
        <v>1.43</v>
      </c>
      <c r="J4" s="18">
        <v>0.3</v>
      </c>
      <c r="K4" s="58">
        <v>6.88</v>
      </c>
      <c r="L4" s="58">
        <v>0.24</v>
      </c>
      <c r="O4" s="6">
        <v>2</v>
      </c>
      <c r="P4" s="6" t="s">
        <v>63</v>
      </c>
      <c r="Q4" s="6">
        <v>2021</v>
      </c>
      <c r="R4" s="6">
        <v>346141</v>
      </c>
      <c r="S4" s="58">
        <v>2748</v>
      </c>
      <c r="T4" s="58">
        <f>13878-2748</f>
        <v>11130</v>
      </c>
      <c r="U4" s="58">
        <v>40083</v>
      </c>
      <c r="V4" s="58">
        <f>324194 - 40083</f>
        <v>284111</v>
      </c>
      <c r="W4" s="18">
        <v>1.7729999999999999</v>
      </c>
      <c r="X4" s="18">
        <v>1.649</v>
      </c>
      <c r="Y4" s="58">
        <v>1.905</v>
      </c>
      <c r="Z4" s="146" t="s">
        <v>463</v>
      </c>
      <c r="AC4" s="58">
        <v>2</v>
      </c>
      <c r="AD4" s="147" t="s">
        <v>63</v>
      </c>
      <c r="AE4" s="148">
        <v>2021</v>
      </c>
      <c r="AF4" s="149">
        <v>346141</v>
      </c>
      <c r="AG4" s="54">
        <f>23616+8751+4171</f>
        <v>36538</v>
      </c>
      <c r="AH4" s="54">
        <f>(173114-23616)+(77376-8751)+(36679-4171)</f>
        <v>250631</v>
      </c>
      <c r="AI4" s="54">
        <v>8049</v>
      </c>
      <c r="AJ4" s="149">
        <f>58972-8049</f>
        <v>50923</v>
      </c>
      <c r="AK4" s="54">
        <v>0.92</v>
      </c>
      <c r="AL4" s="54">
        <v>0.9</v>
      </c>
      <c r="AM4" s="58">
        <v>0.95</v>
      </c>
      <c r="AN4" s="146" t="s">
        <v>462</v>
      </c>
      <c r="AQ4" s="58">
        <v>2</v>
      </c>
      <c r="AR4" s="136" t="s">
        <v>521</v>
      </c>
      <c r="AS4">
        <v>2015</v>
      </c>
      <c r="AT4" s="58">
        <v>837</v>
      </c>
      <c r="AU4" s="142">
        <f>837*0.485*0.311</f>
        <v>126.24889499999999</v>
      </c>
      <c r="AV4" s="142">
        <f>837*0.485*(1-0.311)</f>
        <v>279.69610500000005</v>
      </c>
      <c r="AW4" s="142">
        <f>(837*(0.059*0.245))+(837*(0.406*0.227))+(837*(0.05*0.214))</f>
        <v>98.194328999999996</v>
      </c>
      <c r="AX4" s="142">
        <f>(837*(0.059*(1-0.245)))+(837*(0.406*(1-0.227)))+(837*(0.05*(1-0.214)))</f>
        <v>332.86067100000002</v>
      </c>
      <c r="AY4" s="6">
        <v>1.53</v>
      </c>
      <c r="AZ4" s="6">
        <v>1.1200000000000001</v>
      </c>
      <c r="BA4" s="58">
        <v>2.08</v>
      </c>
      <c r="BB4" s="58">
        <v>6.8999999999999999E-3</v>
      </c>
      <c r="BE4" s="58">
        <v>2</v>
      </c>
      <c r="BF4" s="136" t="s">
        <v>522</v>
      </c>
      <c r="BG4">
        <v>2015</v>
      </c>
      <c r="BH4" s="58">
        <v>4599</v>
      </c>
      <c r="BI4" s="142">
        <f>(4599*0.015*0.493)+(4599*0.27*0.476)</f>
        <v>625.07308499999999</v>
      </c>
      <c r="BJ4" s="142">
        <f>(4599*0.015*(1-0.493))+(4599*0.27*(1-0.476))</f>
        <v>685.64191500000004</v>
      </c>
      <c r="BK4" s="142">
        <f>4599*0.715*0.366</f>
        <v>1203.5123099999998</v>
      </c>
      <c r="BL4" s="142">
        <f>4599*0.715*(1-0.366)</f>
        <v>2084.7726899999998</v>
      </c>
      <c r="BM4" s="18">
        <v>1.4</v>
      </c>
      <c r="BN4" s="18">
        <v>1.2</v>
      </c>
      <c r="BO4" s="58">
        <v>1.6</v>
      </c>
      <c r="BP4" s="58" t="s">
        <v>463</v>
      </c>
      <c r="BS4" s="58">
        <v>2</v>
      </c>
      <c r="BT4" s="136" t="s">
        <v>521</v>
      </c>
      <c r="BU4">
        <v>2015</v>
      </c>
      <c r="BV4" s="136">
        <v>837</v>
      </c>
      <c r="BW4" s="142">
        <f>(837*0.224*0.327)+(837*0.089*0.273)</f>
        <v>81.645165000000006</v>
      </c>
      <c r="BX4" s="142">
        <f>(837*0.224*(1-0.327))+(837*0.089*(1-0.273))</f>
        <v>180.335835</v>
      </c>
      <c r="BY4" s="142">
        <f>(837*0.449*0.258)+(837*0.238*0.359)</f>
        <v>168.47470799999999</v>
      </c>
      <c r="BZ4" s="142">
        <f>(837*0.449*(1-0.258))+(837*0.238*(1-0.359))</f>
        <v>406.54429200000004</v>
      </c>
      <c r="CA4" s="6">
        <v>1.1000000000000001</v>
      </c>
      <c r="CB4" s="58">
        <v>0.8</v>
      </c>
      <c r="CC4" s="58">
        <v>1.52</v>
      </c>
      <c r="CD4" s="58">
        <v>0.54200000000000004</v>
      </c>
      <c r="CG4" s="6">
        <v>2</v>
      </c>
      <c r="CH4" s="6" t="s">
        <v>107</v>
      </c>
      <c r="CI4" s="136">
        <v>2022</v>
      </c>
      <c r="CJ4" s="58">
        <v>291276</v>
      </c>
      <c r="CK4" s="58" t="s">
        <v>15</v>
      </c>
      <c r="CL4" s="58" t="s">
        <v>15</v>
      </c>
      <c r="CM4" s="58" t="s">
        <v>15</v>
      </c>
      <c r="CN4" s="58" t="s">
        <v>15</v>
      </c>
      <c r="CO4" s="58">
        <v>0.24</v>
      </c>
      <c r="CP4" s="58">
        <v>0.2</v>
      </c>
      <c r="CQ4" s="58">
        <v>0.3</v>
      </c>
      <c r="CR4" s="146" t="s">
        <v>15</v>
      </c>
      <c r="CU4" s="6">
        <v>2</v>
      </c>
      <c r="CV4" s="6" t="s">
        <v>99</v>
      </c>
      <c r="CW4" s="136">
        <v>2015</v>
      </c>
      <c r="CX4" s="6">
        <v>1073</v>
      </c>
      <c r="CY4" s="58" t="s">
        <v>15</v>
      </c>
      <c r="CZ4" s="58" t="s">
        <v>15</v>
      </c>
      <c r="DA4" s="58" t="s">
        <v>15</v>
      </c>
      <c r="DB4" s="58" t="s">
        <v>15</v>
      </c>
      <c r="DC4">
        <v>1.41</v>
      </c>
      <c r="DD4">
        <v>0.4</v>
      </c>
      <c r="DE4" s="58">
        <v>4.9400000000000004</v>
      </c>
      <c r="DF4" s="146" t="s">
        <v>15</v>
      </c>
    </row>
    <row r="5" spans="1:110" x14ac:dyDescent="0.2">
      <c r="A5" s="58">
        <v>3</v>
      </c>
      <c r="B5" s="136" t="s">
        <v>61</v>
      </c>
      <c r="C5" s="136">
        <v>2021</v>
      </c>
      <c r="D5" s="58">
        <v>40</v>
      </c>
      <c r="E5" s="39">
        <v>8</v>
      </c>
      <c r="F5" s="39">
        <f>19-8</f>
        <v>11</v>
      </c>
      <c r="G5" s="39">
        <v>2</v>
      </c>
      <c r="H5" s="39">
        <f>21-2</f>
        <v>19</v>
      </c>
      <c r="I5" s="58">
        <v>8.25</v>
      </c>
      <c r="J5" s="58">
        <v>1.8</v>
      </c>
      <c r="K5" s="58">
        <v>37.880000000000003</v>
      </c>
      <c r="L5" s="58">
        <v>2.75E-2</v>
      </c>
      <c r="O5" s="6"/>
      <c r="P5" s="6"/>
      <c r="Q5" s="6"/>
      <c r="R5" s="6"/>
      <c r="AC5" s="58">
        <v>3</v>
      </c>
      <c r="AD5" s="136" t="s">
        <v>72</v>
      </c>
      <c r="AE5">
        <v>2022</v>
      </c>
      <c r="AF5" s="58">
        <v>1226</v>
      </c>
      <c r="AG5" s="58" t="s">
        <v>15</v>
      </c>
      <c r="AH5" s="58" t="s">
        <v>15</v>
      </c>
      <c r="AI5" s="58" t="s">
        <v>15</v>
      </c>
      <c r="AJ5" s="139" t="s">
        <v>15</v>
      </c>
      <c r="AK5" s="6">
        <v>0.38</v>
      </c>
      <c r="AL5" s="6">
        <v>0.28999999999999998</v>
      </c>
      <c r="AM5" s="58">
        <v>0.5</v>
      </c>
      <c r="AN5" s="58" t="s">
        <v>463</v>
      </c>
      <c r="AQ5" s="58">
        <v>3</v>
      </c>
      <c r="AR5" s="136" t="s">
        <v>522</v>
      </c>
      <c r="AS5">
        <v>2015</v>
      </c>
      <c r="AT5" s="58">
        <v>4599</v>
      </c>
      <c r="AU5" s="142">
        <f>4599*0.464*0.47</f>
        <v>1002.94992</v>
      </c>
      <c r="AV5" s="142">
        <f>4599*0.464*(1-0.47)</f>
        <v>1130.9860800000001</v>
      </c>
      <c r="AW5" s="142">
        <f>(4599*(0.088*0.329))+(4599*(0.408*0.333))+(4599*(0.039*0.405))</f>
        <v>830.62998900000014</v>
      </c>
      <c r="AX5" s="142">
        <f>(4599*(0.088*(1-0.329)))+(4599*(0.408*(1-0.333)))+(4599*(0.039*(1-0.405)))</f>
        <v>1629.8350109999999</v>
      </c>
      <c r="AY5" s="139">
        <v>1.4</v>
      </c>
      <c r="AZ5" s="58">
        <v>1.2</v>
      </c>
      <c r="BA5" s="58">
        <v>1.6</v>
      </c>
      <c r="BB5" s="58" t="s">
        <v>463</v>
      </c>
      <c r="BE5" s="58">
        <v>3</v>
      </c>
      <c r="BF5" s="136" t="s">
        <v>523</v>
      </c>
      <c r="BG5">
        <v>2015</v>
      </c>
      <c r="BH5" s="58">
        <v>4034</v>
      </c>
      <c r="BI5" s="142">
        <f>(4034*0.016*0.367)+(4034*0.308*0.359)</f>
        <v>469.735096</v>
      </c>
      <c r="BJ5" s="142">
        <f>(4034*0.016*(1-0.367))+(4034*0.308*(1-0.359))</f>
        <v>837.28090399999996</v>
      </c>
      <c r="BK5" s="142">
        <f>4034*0.676*0.291</f>
        <v>793.55234400000006</v>
      </c>
      <c r="BL5" s="142">
        <f>4034*0.676*(1-0.291)</f>
        <v>1933.4316560000004</v>
      </c>
      <c r="BM5" s="18">
        <v>1.4</v>
      </c>
      <c r="BN5" s="18">
        <v>1.2</v>
      </c>
      <c r="BO5" s="58">
        <v>1.7</v>
      </c>
      <c r="BP5" s="58" t="s">
        <v>463</v>
      </c>
      <c r="BS5" s="58">
        <v>3</v>
      </c>
      <c r="BT5" s="136" t="s">
        <v>522</v>
      </c>
      <c r="BU5">
        <v>2015</v>
      </c>
      <c r="BV5" s="136">
        <v>4599</v>
      </c>
      <c r="BW5" s="142" t="s">
        <v>15</v>
      </c>
      <c r="BX5" s="142" t="s">
        <v>15</v>
      </c>
      <c r="BY5" s="142" t="s">
        <v>15</v>
      </c>
      <c r="BZ5" s="142" t="s">
        <v>15</v>
      </c>
      <c r="CA5" s="6" t="s">
        <v>15</v>
      </c>
      <c r="CB5" s="58" t="s">
        <v>15</v>
      </c>
      <c r="CC5" s="58" t="s">
        <v>15</v>
      </c>
      <c r="CD5" s="58" t="s">
        <v>15</v>
      </c>
    </row>
    <row r="6" spans="1:110" x14ac:dyDescent="0.2">
      <c r="A6" s="58">
        <v>4</v>
      </c>
      <c r="B6" s="147" t="s">
        <v>63</v>
      </c>
      <c r="C6" s="147">
        <v>2021</v>
      </c>
      <c r="D6" s="54">
        <v>346141</v>
      </c>
      <c r="E6" s="149">
        <v>30250</v>
      </c>
      <c r="F6" s="149">
        <f>204134 - 30250</f>
        <v>173884</v>
      </c>
      <c r="G6" s="149">
        <v>14337</v>
      </c>
      <c r="H6" s="149">
        <f>142007 - 14337</f>
        <v>127670</v>
      </c>
      <c r="I6" s="56">
        <v>1.454</v>
      </c>
      <c r="J6" s="56">
        <v>1.3959999999999999</v>
      </c>
      <c r="K6" s="58">
        <v>1.5149999999999999</v>
      </c>
      <c r="L6" s="146" t="s">
        <v>463</v>
      </c>
      <c r="O6" s="6"/>
      <c r="P6" s="6"/>
      <c r="Q6" s="6"/>
      <c r="R6" s="6"/>
      <c r="AC6" s="58">
        <v>4</v>
      </c>
      <c r="AD6" s="136" t="s">
        <v>521</v>
      </c>
      <c r="AE6">
        <v>2015</v>
      </c>
      <c r="AF6" s="58">
        <v>837</v>
      </c>
      <c r="AG6" s="142">
        <f>837*0.576*0.293</f>
        <v>141.258816</v>
      </c>
      <c r="AH6" s="142">
        <f>837*0.576*(1-0.293)</f>
        <v>340.853184</v>
      </c>
      <c r="AI6" s="142">
        <f>(837*(0.253*0.245))+(837*(0.171*0.224))</f>
        <v>83.941892999999993</v>
      </c>
      <c r="AJ6" s="142">
        <f>(837*(0.253*(1-0.245)))+(837*(0.171*(1-0.224)))</f>
        <v>270.94610699999998</v>
      </c>
      <c r="AK6" s="58">
        <v>1.33</v>
      </c>
      <c r="AL6" s="58">
        <v>0.97</v>
      </c>
      <c r="AM6" s="58">
        <v>1.83</v>
      </c>
      <c r="AN6" s="58">
        <v>7.1999999999999995E-2</v>
      </c>
      <c r="AQ6" s="58">
        <v>4</v>
      </c>
      <c r="AR6" s="136" t="s">
        <v>523</v>
      </c>
      <c r="AS6">
        <v>2015</v>
      </c>
      <c r="AT6" s="58">
        <v>4034</v>
      </c>
      <c r="AU6" s="142">
        <f>4034*0.457*0.327</f>
        <v>602.83692600000006</v>
      </c>
      <c r="AV6" s="142">
        <f>4034*0.457*(1-0.327)</f>
        <v>1240.7010740000001</v>
      </c>
      <c r="AW6" s="142">
        <f>(4043*0.087*0.353)+(4034*0.44*0.358)+(4034*0.009*0.246)</f>
        <v>768.53152899999998</v>
      </c>
      <c r="AX6" s="142">
        <f>(4043*0.087*(1-0.353))+(4034*0.44*(1-0.358))+(4034*0.009*(1-0.246))</f>
        <v>1394.475471</v>
      </c>
      <c r="AY6" s="58">
        <v>1.1299999999999999</v>
      </c>
      <c r="AZ6" s="58">
        <v>0.99</v>
      </c>
      <c r="BA6" s="58">
        <v>1.29</v>
      </c>
      <c r="BB6" s="58">
        <v>5.8000000000000003E-2</v>
      </c>
      <c r="BE6" s="58">
        <v>4</v>
      </c>
      <c r="BF6" s="136" t="s">
        <v>524</v>
      </c>
      <c r="BG6">
        <v>2015</v>
      </c>
      <c r="BH6" s="58">
        <v>1381</v>
      </c>
      <c r="BI6" s="142">
        <f>(1381*0.022*0.6)+(1381*0.303*0.469)</f>
        <v>214.47896699999998</v>
      </c>
      <c r="BJ6" s="142">
        <f>(1381*0.022*(1-0.6))+(1381*0.303*(1-0.469))</f>
        <v>234.34603299999998</v>
      </c>
      <c r="BK6" s="142">
        <f>1381*0.676*0.399</f>
        <v>372.48884400000003</v>
      </c>
      <c r="BL6" s="142">
        <f>1381*0.676*(1-0.399)</f>
        <v>561.06715599999995</v>
      </c>
      <c r="BM6" s="6">
        <v>1.38</v>
      </c>
      <c r="BN6" s="18">
        <v>1.0900000000000001</v>
      </c>
      <c r="BO6" s="58">
        <v>1.73</v>
      </c>
      <c r="BP6" s="58" t="s">
        <v>463</v>
      </c>
      <c r="BS6" s="58">
        <v>4</v>
      </c>
      <c r="BT6" s="136" t="s">
        <v>523</v>
      </c>
      <c r="BU6">
        <v>2015</v>
      </c>
      <c r="BV6" s="136">
        <v>4034</v>
      </c>
      <c r="BW6" s="142">
        <f>(4034*0.052*0.317)+(4034*0.033*0.282)</f>
        <v>104.03685999999999</v>
      </c>
      <c r="BX6" s="142">
        <f>(4034*0.052*(1-0.317))+(4034*0.033*(1-0.282))</f>
        <v>238.85314</v>
      </c>
      <c r="BY6" s="142">
        <f>(4034*0.806*0.307)+(4034*0.109*0.366)</f>
        <v>1159.1134239999999</v>
      </c>
      <c r="BZ6" s="142">
        <f>(4034*0.806*(1-0.307))+(4034*0.109*(1-0.366))</f>
        <v>2531.996576</v>
      </c>
      <c r="CA6" s="6">
        <v>0.95</v>
      </c>
      <c r="CB6" s="58">
        <v>0.75</v>
      </c>
      <c r="CC6" s="58">
        <v>1.21</v>
      </c>
      <c r="CD6" s="58">
        <v>0.68</v>
      </c>
      <c r="CU6" s="184" t="s">
        <v>525</v>
      </c>
      <c r="CV6" s="184"/>
      <c r="CW6" s="184"/>
      <c r="CX6" s="184"/>
      <c r="CY6" s="184"/>
      <c r="CZ6" s="184"/>
      <c r="DA6" s="184"/>
      <c r="DB6" s="184"/>
      <c r="DC6" s="184"/>
      <c r="DD6" s="184"/>
      <c r="DE6" s="184"/>
      <c r="DF6" s="184"/>
    </row>
    <row r="7" spans="1:110" x14ac:dyDescent="0.2">
      <c r="A7" s="58">
        <v>5</v>
      </c>
      <c r="B7" s="136" t="s">
        <v>521</v>
      </c>
      <c r="C7" s="136">
        <v>2015</v>
      </c>
      <c r="D7" s="58">
        <v>837</v>
      </c>
      <c r="E7" s="142">
        <f>837*0.52*0.331</f>
        <v>144.06444000000002</v>
      </c>
      <c r="F7" s="142">
        <f>837*0.52*(1-0.331)</f>
        <v>291.17556000000002</v>
      </c>
      <c r="G7" s="142">
        <f>837*0.48*0.201</f>
        <v>80.75376</v>
      </c>
      <c r="H7" s="142">
        <f>837*0.48*(1-0.201)</f>
        <v>321.00623999999999</v>
      </c>
      <c r="I7" s="6">
        <v>2.2999999999999998</v>
      </c>
      <c r="J7" s="6">
        <v>1.5</v>
      </c>
      <c r="K7" s="58">
        <v>3.5</v>
      </c>
      <c r="L7" s="58" t="s">
        <v>463</v>
      </c>
      <c r="O7" s="184" t="s">
        <v>526</v>
      </c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C7" s="58">
        <v>5</v>
      </c>
      <c r="AD7" s="136" t="s">
        <v>522</v>
      </c>
      <c r="AE7">
        <v>2015</v>
      </c>
      <c r="AF7" s="58">
        <v>4599</v>
      </c>
      <c r="AG7" s="142">
        <f>4599*0.328*0.392</f>
        <v>591.32102399999997</v>
      </c>
      <c r="AH7" s="142">
        <f>4599*0.328*(1-0.392)</f>
        <v>917.15097600000001</v>
      </c>
      <c r="AI7" s="142">
        <f>(4599*(0.322*0.395))+(4599*(0.35*0.405))</f>
        <v>1236.8550599999999</v>
      </c>
      <c r="AJ7" s="142">
        <f>(4599*(0.322*(1-0.395)))+(4599*(0.35*(1-0.405)))</f>
        <v>1853.6729399999999</v>
      </c>
      <c r="AK7" s="58">
        <v>0.97</v>
      </c>
      <c r="AL7" s="58">
        <v>0.85</v>
      </c>
      <c r="AM7" s="58">
        <v>1.0900000000000001</v>
      </c>
      <c r="AN7" s="58">
        <v>0.59</v>
      </c>
      <c r="AQ7" s="58">
        <v>5</v>
      </c>
      <c r="AR7" s="136" t="s">
        <v>524</v>
      </c>
      <c r="AS7">
        <v>2015</v>
      </c>
      <c r="AT7" s="58">
        <v>1381</v>
      </c>
      <c r="AU7" s="142">
        <f>1381*0.488*0.503</f>
        <v>338.98578400000002</v>
      </c>
      <c r="AV7" s="142">
        <f>1381*0.488*(1-0.503)</f>
        <v>334.94221599999997</v>
      </c>
      <c r="AW7" s="142">
        <f>(1381*0.063*0.372)+(1381*0.4*0.336)+(1381*0.049*0.463)</f>
        <v>249.30226300000001</v>
      </c>
      <c r="AX7" s="142">
        <f>(1381*0.063*(1-0.372))+(1381*0.4*(1-0.336))+(1381*0.049*(1-0.463))</f>
        <v>457.76973699999996</v>
      </c>
      <c r="AY7" s="48">
        <v>1.5</v>
      </c>
      <c r="AZ7" s="6">
        <v>1.3</v>
      </c>
      <c r="BA7" s="58">
        <v>1.9</v>
      </c>
      <c r="BB7" s="58" t="s">
        <v>463</v>
      </c>
      <c r="BE7" s="58">
        <v>5</v>
      </c>
      <c r="BF7" s="136" t="s">
        <v>527</v>
      </c>
      <c r="BG7">
        <v>2015</v>
      </c>
      <c r="BH7" s="58">
        <v>1062</v>
      </c>
      <c r="BI7" s="142">
        <f>(1062*0.083*0.233)+(1062*0.402*0.282)</f>
        <v>140.93058600000001</v>
      </c>
      <c r="BJ7" s="142">
        <f>(1062*0.083*(1-0.233))+(1062*0.402*(1-0.282))</f>
        <v>374.13941399999999</v>
      </c>
      <c r="BK7" s="142">
        <f>1062*0.515*0.212</f>
        <v>115.94916000000001</v>
      </c>
      <c r="BL7" s="142">
        <f>1062*0.515*(1-0.212)</f>
        <v>430.98084000000006</v>
      </c>
      <c r="BM7" s="18">
        <v>1.4</v>
      </c>
      <c r="BN7" s="18">
        <v>1.1000000000000001</v>
      </c>
      <c r="BO7" s="58">
        <v>1.9</v>
      </c>
      <c r="BP7" s="58">
        <v>1.9199999999999998E-2</v>
      </c>
      <c r="BS7" s="58">
        <v>5</v>
      </c>
      <c r="BT7" s="136" t="s">
        <v>524</v>
      </c>
      <c r="BU7">
        <v>2015</v>
      </c>
      <c r="BV7" s="136">
        <v>1381</v>
      </c>
      <c r="BW7" s="142" t="s">
        <v>15</v>
      </c>
      <c r="BX7" s="142" t="s">
        <v>15</v>
      </c>
      <c r="BY7" s="142" t="s">
        <v>15</v>
      </c>
      <c r="BZ7" s="142" t="s">
        <v>15</v>
      </c>
      <c r="CA7" s="6" t="s">
        <v>15</v>
      </c>
      <c r="CB7" s="6" t="s">
        <v>15</v>
      </c>
      <c r="CC7" s="58" t="s">
        <v>15</v>
      </c>
      <c r="CD7" s="58" t="s">
        <v>15</v>
      </c>
      <c r="CU7" s="58" t="s">
        <v>448</v>
      </c>
      <c r="CV7" s="58" t="s">
        <v>449</v>
      </c>
      <c r="CW7" s="58" t="s">
        <v>450</v>
      </c>
      <c r="CX7" s="58" t="s">
        <v>451</v>
      </c>
      <c r="CY7" s="58" t="s">
        <v>452</v>
      </c>
      <c r="CZ7" s="58" t="s">
        <v>453</v>
      </c>
      <c r="DA7" s="58" t="s">
        <v>454</v>
      </c>
      <c r="DB7" s="58" t="s">
        <v>455</v>
      </c>
      <c r="DC7" s="58" t="s">
        <v>151</v>
      </c>
      <c r="DD7" s="58" t="s">
        <v>620</v>
      </c>
      <c r="DE7" s="58" t="s">
        <v>621</v>
      </c>
      <c r="DF7" s="58" t="s">
        <v>622</v>
      </c>
    </row>
    <row r="8" spans="1:110" x14ac:dyDescent="0.2">
      <c r="A8" s="58">
        <v>6</v>
      </c>
      <c r="B8" s="136" t="s">
        <v>522</v>
      </c>
      <c r="C8" s="136">
        <v>2015</v>
      </c>
      <c r="D8" s="58">
        <v>4599</v>
      </c>
      <c r="E8" s="142">
        <f>4599*0.532*0.463</f>
        <v>1132.8072840000002</v>
      </c>
      <c r="F8" s="142">
        <f>4599*0.532*(1-0.463)</f>
        <v>1313.8607159999999</v>
      </c>
      <c r="G8" s="142">
        <f>4599*0.468*0.323</f>
        <v>695.20323600000017</v>
      </c>
      <c r="H8" s="142">
        <f>4599*0.468*(1-0.323)</f>
        <v>1457.1287640000003</v>
      </c>
      <c r="I8" s="118">
        <v>1.5</v>
      </c>
      <c r="J8" s="6">
        <v>1.3</v>
      </c>
      <c r="K8" s="58">
        <v>1.7</v>
      </c>
      <c r="L8" s="58" t="s">
        <v>463</v>
      </c>
      <c r="O8" s="58" t="s">
        <v>448</v>
      </c>
      <c r="P8" s="58" t="s">
        <v>449</v>
      </c>
      <c r="Q8" s="58" t="s">
        <v>450</v>
      </c>
      <c r="R8" s="58" t="s">
        <v>451</v>
      </c>
      <c r="S8" s="58" t="s">
        <v>452</v>
      </c>
      <c r="T8" s="58" t="s">
        <v>453</v>
      </c>
      <c r="U8" s="58" t="s">
        <v>454</v>
      </c>
      <c r="V8" s="58" t="s">
        <v>455</v>
      </c>
      <c r="W8" s="58" t="s">
        <v>151</v>
      </c>
      <c r="X8" s="58" t="s">
        <v>620</v>
      </c>
      <c r="Y8" s="58" t="s">
        <v>621</v>
      </c>
      <c r="Z8" s="58" t="s">
        <v>622</v>
      </c>
      <c r="AC8" s="58">
        <v>6</v>
      </c>
      <c r="AD8" s="136" t="s">
        <v>523</v>
      </c>
      <c r="AE8">
        <v>2015</v>
      </c>
      <c r="AF8" s="58">
        <v>4034</v>
      </c>
      <c r="AG8" s="142">
        <f>4034*0.428*0.353</f>
        <v>609.47285599999998</v>
      </c>
      <c r="AH8" s="142">
        <f>4034*0.428*(1-0.353)</f>
        <v>1117.079144</v>
      </c>
      <c r="AI8" s="142">
        <f>(4034*(0.195*0.358))+(4034*(0.376*0.246))</f>
        <v>654.74240399999996</v>
      </c>
      <c r="AJ8" s="142">
        <f>(4034*(0.195*(1-0.358)))+(4034*(0.376*(1-0.246)))</f>
        <v>1648.6715959999999</v>
      </c>
      <c r="AK8" s="48">
        <v>1.4</v>
      </c>
      <c r="AL8" s="6">
        <v>1.2</v>
      </c>
      <c r="AM8" s="58">
        <v>1.6</v>
      </c>
      <c r="AN8" s="58" t="s">
        <v>463</v>
      </c>
      <c r="AQ8" s="58">
        <v>6</v>
      </c>
      <c r="AR8" s="136" t="s">
        <v>527</v>
      </c>
      <c r="AS8">
        <v>2015</v>
      </c>
      <c r="AT8" s="58">
        <v>1062</v>
      </c>
      <c r="AU8" s="142">
        <f>1062*0.516*0.231</f>
        <v>126.586152</v>
      </c>
      <c r="AV8" s="142">
        <f>1062*0.516*(1-0.231)</f>
        <v>421.40584799999999</v>
      </c>
      <c r="AW8" s="142">
        <f>(1062*0.112*0.211)+(1062*0.355*0.253)+(1062*0.017*0.294)</f>
        <v>125.78859</v>
      </c>
      <c r="AX8" s="142">
        <f>(1062*0.112*(1-0.211))+(1062*0.355*(1-0.253))+(1062*0.017*(1-0.294))</f>
        <v>388.21940999999998</v>
      </c>
      <c r="AY8" s="58">
        <v>0.93</v>
      </c>
      <c r="AZ8" s="58">
        <v>0.7</v>
      </c>
      <c r="BA8" s="58">
        <v>1.23</v>
      </c>
      <c r="BB8" s="58">
        <v>0.51200000000000001</v>
      </c>
      <c r="BE8" s="58">
        <v>6</v>
      </c>
      <c r="BF8" s="136" t="s">
        <v>528</v>
      </c>
      <c r="BG8">
        <v>2015</v>
      </c>
      <c r="BH8" s="58">
        <v>202</v>
      </c>
      <c r="BI8" s="142">
        <f>(202*0.04*0.25)+(202*0.312*0.222)</f>
        <v>16.011328000000002</v>
      </c>
      <c r="BJ8" s="142">
        <f>(202*0.04*(1-0.25))+(202*0.312*(1-0.222))</f>
        <v>55.092672000000007</v>
      </c>
      <c r="BK8" s="142">
        <f>202*0.649*0.168</f>
        <v>22.024464000000002</v>
      </c>
      <c r="BL8" s="142">
        <f>202*0.649*(1-0.168)</f>
        <v>109.073536</v>
      </c>
      <c r="BM8" s="18">
        <v>1.44</v>
      </c>
      <c r="BN8" s="18">
        <v>0.7</v>
      </c>
      <c r="BO8" s="58">
        <v>2.96</v>
      </c>
      <c r="BP8" s="58">
        <v>0.32</v>
      </c>
      <c r="BS8" s="58">
        <v>6</v>
      </c>
      <c r="BT8" s="136" t="s">
        <v>527</v>
      </c>
      <c r="BU8">
        <v>2015</v>
      </c>
      <c r="BV8" s="136">
        <v>1062</v>
      </c>
      <c r="BW8" s="142">
        <f>(1062*0.075*0.24)+(1062*0.125*0.384)</f>
        <v>70.091999999999999</v>
      </c>
      <c r="BX8" s="142">
        <f>(1062*0.075*(1-0.24))+(1062*0.125*(1-0.384))</f>
        <v>142.30799999999999</v>
      </c>
      <c r="BY8" s="142">
        <f>(1062*0.784*0.215)+(1062*0.016*0.313)</f>
        <v>184.32921600000003</v>
      </c>
      <c r="BZ8" s="142">
        <f>(1062*0.784*(1-0.215))+(1062*0.016*(1-0.313))</f>
        <v>665.27078400000005</v>
      </c>
      <c r="CA8" s="6">
        <v>1.8</v>
      </c>
      <c r="CB8" s="6">
        <v>1.2</v>
      </c>
      <c r="CC8" s="58">
        <v>2.5</v>
      </c>
      <c r="CD8" s="58" t="s">
        <v>463</v>
      </c>
      <c r="CU8" s="6">
        <v>1</v>
      </c>
      <c r="CV8" s="6" t="s">
        <v>93</v>
      </c>
      <c r="CW8" s="6">
        <v>2013</v>
      </c>
      <c r="CX8" s="6">
        <v>125242</v>
      </c>
      <c r="CY8" s="58" t="s">
        <v>15</v>
      </c>
      <c r="CZ8" s="58" t="s">
        <v>15</v>
      </c>
      <c r="DA8" s="58" t="s">
        <v>15</v>
      </c>
      <c r="DB8" s="58" t="s">
        <v>15</v>
      </c>
      <c r="DC8" s="145">
        <v>0.96</v>
      </c>
      <c r="DD8" s="18">
        <v>0.92</v>
      </c>
      <c r="DE8" s="144">
        <v>1</v>
      </c>
      <c r="DF8" s="58" t="s">
        <v>15</v>
      </c>
    </row>
    <row r="9" spans="1:110" x14ac:dyDescent="0.2">
      <c r="A9" s="58">
        <v>7</v>
      </c>
      <c r="B9" s="136" t="s">
        <v>523</v>
      </c>
      <c r="C9" s="136">
        <v>2015</v>
      </c>
      <c r="D9" s="58">
        <v>4034</v>
      </c>
      <c r="E9" s="142">
        <f>4034*0.5*0.346</f>
        <v>697.88199999999995</v>
      </c>
      <c r="F9" s="142">
        <f>4034*0.5*(1-0.346)</f>
        <v>1319.1180000000002</v>
      </c>
      <c r="G9" s="142">
        <f>4034*0.5*0.281</f>
        <v>566.77700000000004</v>
      </c>
      <c r="H9" s="142">
        <f>4034*0.5*(1-0.281)</f>
        <v>1450.223</v>
      </c>
      <c r="I9" s="6">
        <v>1.4</v>
      </c>
      <c r="J9" s="6">
        <v>1.2</v>
      </c>
      <c r="K9" s="58">
        <v>1.6</v>
      </c>
      <c r="L9" s="58" t="s">
        <v>463</v>
      </c>
      <c r="O9" s="6">
        <v>1</v>
      </c>
      <c r="P9" s="6" t="s">
        <v>133</v>
      </c>
      <c r="Q9" s="6">
        <v>2023</v>
      </c>
      <c r="R9" s="6">
        <v>53279</v>
      </c>
      <c r="S9" s="58">
        <v>189</v>
      </c>
      <c r="T9" s="58">
        <f>834 - 189</f>
        <v>645</v>
      </c>
      <c r="U9" s="58">
        <v>6757</v>
      </c>
      <c r="V9" s="58">
        <f>47693-6757</f>
        <v>40936</v>
      </c>
      <c r="W9" s="18">
        <v>1.59</v>
      </c>
      <c r="X9" s="18">
        <v>1.33</v>
      </c>
      <c r="Y9" s="58">
        <v>1.91</v>
      </c>
      <c r="Z9" s="58" t="s">
        <v>520</v>
      </c>
      <c r="AC9" s="58">
        <v>7</v>
      </c>
      <c r="AD9" s="136" t="s">
        <v>524</v>
      </c>
      <c r="AE9">
        <v>2015</v>
      </c>
      <c r="AF9" s="58">
        <v>1381</v>
      </c>
      <c r="AG9" s="142">
        <f>1381*0.828*0.429</f>
        <v>490.54777199999995</v>
      </c>
      <c r="AH9" s="142">
        <f>1381*0.828*(1-0.429)</f>
        <v>652.92022799999984</v>
      </c>
      <c r="AI9" s="142">
        <f>1381*0.167*0.39</f>
        <v>89.94453</v>
      </c>
      <c r="AJ9" s="142">
        <f>1381*0.167*(1-0.39)</f>
        <v>140.68247</v>
      </c>
      <c r="AK9" s="58">
        <v>1.18</v>
      </c>
      <c r="AL9" s="58">
        <v>0.88</v>
      </c>
      <c r="AM9" s="58">
        <v>1.58</v>
      </c>
      <c r="AN9" s="58">
        <v>0.26700000000000002</v>
      </c>
      <c r="AQ9" s="58">
        <v>7</v>
      </c>
      <c r="AR9" s="136" t="s">
        <v>528</v>
      </c>
      <c r="AS9">
        <v>2015</v>
      </c>
      <c r="AT9" s="58">
        <v>202</v>
      </c>
      <c r="AU9" s="142" t="s">
        <v>15</v>
      </c>
      <c r="AV9" s="142" t="s">
        <v>15</v>
      </c>
      <c r="AW9" s="58" t="s">
        <v>15</v>
      </c>
      <c r="AX9" s="139" t="s">
        <v>15</v>
      </c>
      <c r="AY9" s="58" t="s">
        <v>15</v>
      </c>
      <c r="AZ9" s="58" t="s">
        <v>15</v>
      </c>
      <c r="BA9" s="58" t="s">
        <v>15</v>
      </c>
      <c r="BB9" s="58" t="s">
        <v>15</v>
      </c>
      <c r="BE9" s="58">
        <v>7</v>
      </c>
      <c r="BF9" s="136" t="s">
        <v>529</v>
      </c>
      <c r="BG9">
        <v>2015</v>
      </c>
      <c r="BH9" s="58">
        <v>352</v>
      </c>
      <c r="BI9" s="142">
        <f>(352*0.02*0.429)+(352*0.352*0.395)</f>
        <v>51.962240000000001</v>
      </c>
      <c r="BJ9" s="142">
        <f>(352*0.02*(1-0.429))+(352*0.352*(1-0.395))</f>
        <v>78.981759999999994</v>
      </c>
      <c r="BK9" s="142">
        <f>352*0.628*0.371</f>
        <v>82.011775999999998</v>
      </c>
      <c r="BL9" s="142">
        <f>352*0.682*(1-0.371)</f>
        <v>151.00025600000001</v>
      </c>
      <c r="BM9" s="18">
        <v>1.21</v>
      </c>
      <c r="BN9" s="18">
        <v>0.78</v>
      </c>
      <c r="BO9" s="58">
        <v>1.88</v>
      </c>
      <c r="BP9" s="58">
        <v>0.39300000000000002</v>
      </c>
      <c r="BS9" s="58">
        <v>7</v>
      </c>
      <c r="BT9" s="136" t="s">
        <v>528</v>
      </c>
      <c r="BU9">
        <v>2015</v>
      </c>
      <c r="BV9" s="136">
        <v>202</v>
      </c>
      <c r="BW9" s="142" t="s">
        <v>15</v>
      </c>
      <c r="BX9" s="142" t="s">
        <v>15</v>
      </c>
      <c r="BY9" s="142" t="s">
        <v>15</v>
      </c>
      <c r="BZ9" s="142" t="s">
        <v>15</v>
      </c>
      <c r="CA9" s="6" t="s">
        <v>15</v>
      </c>
      <c r="CB9" s="6" t="s">
        <v>15</v>
      </c>
      <c r="CC9" s="58" t="s">
        <v>15</v>
      </c>
      <c r="CD9" s="58" t="s">
        <v>15</v>
      </c>
      <c r="CU9" s="6">
        <v>2</v>
      </c>
      <c r="CV9" s="6" t="s">
        <v>99</v>
      </c>
      <c r="CW9" s="136">
        <v>2015</v>
      </c>
      <c r="CX9" s="6">
        <v>1073</v>
      </c>
      <c r="CY9" s="58" t="s">
        <v>15</v>
      </c>
      <c r="CZ9" s="58" t="s">
        <v>15</v>
      </c>
      <c r="DA9" s="58" t="s">
        <v>15</v>
      </c>
      <c r="DB9" s="58" t="s">
        <v>15</v>
      </c>
      <c r="DC9">
        <v>0.28000000000000003</v>
      </c>
      <c r="DD9">
        <v>7.0000000000000007E-2</v>
      </c>
      <c r="DE9" s="58">
        <v>1.1499999999999999</v>
      </c>
      <c r="DF9" s="146" t="s">
        <v>15</v>
      </c>
    </row>
    <row r="10" spans="1:110" x14ac:dyDescent="0.2">
      <c r="A10" s="58">
        <v>8</v>
      </c>
      <c r="B10" s="136" t="s">
        <v>524</v>
      </c>
      <c r="C10" s="136">
        <v>2015</v>
      </c>
      <c r="D10" s="58">
        <v>1381</v>
      </c>
      <c r="E10" s="142">
        <f>1381*0.563*0.5</f>
        <v>388.75149999999996</v>
      </c>
      <c r="F10" s="142">
        <f>1381*0.563*0.5</f>
        <v>388.75149999999996</v>
      </c>
      <c r="G10" s="142">
        <f>1381*0.437*0.327</f>
        <v>197.34351899999999</v>
      </c>
      <c r="H10" s="142">
        <f>1381*0.437*(1-0.327)</f>
        <v>406.153481</v>
      </c>
      <c r="I10" s="6">
        <v>1.7</v>
      </c>
      <c r="J10" s="6">
        <v>1.4</v>
      </c>
      <c r="K10" s="58">
        <v>2.2000000000000002</v>
      </c>
      <c r="L10" s="58" t="s">
        <v>463</v>
      </c>
      <c r="O10" s="6">
        <v>2</v>
      </c>
      <c r="P10" s="6" t="s">
        <v>63</v>
      </c>
      <c r="Q10" s="6">
        <v>2021</v>
      </c>
      <c r="R10" s="6">
        <v>346141</v>
      </c>
      <c r="S10" s="58">
        <v>2642</v>
      </c>
      <c r="T10" s="58">
        <f>15847 - 2642</f>
        <v>13205</v>
      </c>
      <c r="U10" s="58">
        <v>41853</v>
      </c>
      <c r="V10" s="58">
        <f>329811 - 41853</f>
        <v>287958</v>
      </c>
      <c r="W10" s="18">
        <v>1.444</v>
      </c>
      <c r="X10" s="18">
        <v>1.345</v>
      </c>
      <c r="Y10" s="58">
        <v>1.55</v>
      </c>
      <c r="Z10" s="146" t="s">
        <v>463</v>
      </c>
      <c r="AC10" s="58">
        <v>8</v>
      </c>
      <c r="AD10" s="136" t="s">
        <v>527</v>
      </c>
      <c r="AE10">
        <v>2015</v>
      </c>
      <c r="AF10" s="58">
        <v>1062</v>
      </c>
      <c r="AG10" s="142" t="s">
        <v>15</v>
      </c>
      <c r="AH10" s="142" t="s">
        <v>15</v>
      </c>
      <c r="AI10" s="142" t="s">
        <v>15</v>
      </c>
      <c r="AJ10" s="139" t="s">
        <v>15</v>
      </c>
      <c r="AK10" s="58" t="s">
        <v>15</v>
      </c>
      <c r="AL10" s="58" t="s">
        <v>15</v>
      </c>
      <c r="AM10" s="58" t="s">
        <v>15</v>
      </c>
      <c r="AN10" s="58" t="s">
        <v>15</v>
      </c>
      <c r="AQ10" s="58">
        <v>8</v>
      </c>
      <c r="AR10" s="136" t="s">
        <v>529</v>
      </c>
      <c r="AS10">
        <v>2015</v>
      </c>
      <c r="AT10" s="58">
        <v>352</v>
      </c>
      <c r="AU10" s="142">
        <f>352*0.477*0.427</f>
        <v>71.695008000000001</v>
      </c>
      <c r="AV10" s="142">
        <f>352*0.477*(1-0.427)</f>
        <v>96.208991999999995</v>
      </c>
      <c r="AW10" s="142">
        <f>(352*0.087*0.267)+(352*0.424*0.342)+(352*0.012*0.75)</f>
        <v>62.387424000000003</v>
      </c>
      <c r="AX10" s="142">
        <f>(352*0.087*(1-0.267))+(352*0.424*(1-0.342))+(352*0.012*(1-0.75))</f>
        <v>121.70857599999998</v>
      </c>
      <c r="AY10" s="58">
        <v>1.48</v>
      </c>
      <c r="AZ10" s="58">
        <v>0.96</v>
      </c>
      <c r="BA10" s="58">
        <v>2.27</v>
      </c>
      <c r="BB10" s="58">
        <v>7.7600000000000002E-2</v>
      </c>
      <c r="BE10" s="58">
        <v>8</v>
      </c>
      <c r="BF10" s="136" t="s">
        <v>530</v>
      </c>
      <c r="BG10">
        <v>2015</v>
      </c>
      <c r="BH10" s="58">
        <v>1565</v>
      </c>
      <c r="BI10" s="142">
        <f>(1565*0.077*0.8)+(1565*0.581*0.717)</f>
        <v>748.34700499999997</v>
      </c>
      <c r="BJ10" s="142">
        <f>(1565*0.077*(1-0.8))+(1565*0.581*(1-0.717))</f>
        <v>281.42299500000001</v>
      </c>
      <c r="BK10" s="142">
        <f>1565*0.342*0.785</f>
        <v>420.15555000000001</v>
      </c>
      <c r="BL10" s="142">
        <f>1565*0.342*(1-0.785)</f>
        <v>115.07444999999998</v>
      </c>
      <c r="BM10" s="18">
        <v>0.8</v>
      </c>
      <c r="BN10" s="18">
        <v>0.6</v>
      </c>
      <c r="BO10" s="58">
        <v>0.98</v>
      </c>
      <c r="BP10" s="58" t="s">
        <v>531</v>
      </c>
      <c r="BS10" s="58">
        <v>8</v>
      </c>
      <c r="BT10" s="136" t="s">
        <v>529</v>
      </c>
      <c r="BU10">
        <v>2015</v>
      </c>
      <c r="BV10" s="136">
        <v>352</v>
      </c>
      <c r="BW10" s="142">
        <f>(352*0.136*0.419)+(352*0.038*0.333)</f>
        <v>24.512575999999999</v>
      </c>
      <c r="BX10" s="142">
        <f>(352*0.136*(1-0.419))+(352*0.038*(1-0.333))</f>
        <v>36.735423999999995</v>
      </c>
      <c r="BY10" s="142">
        <f>(352*0.546*0.358)+(352*0.281*0.438)</f>
        <v>112.12819200000001</v>
      </c>
      <c r="BZ10" s="142">
        <f>(352*0.546*(1-0.358))+(352*0.281*(1-0.438))</f>
        <v>178.975808</v>
      </c>
      <c r="CA10" s="6">
        <v>1.08</v>
      </c>
      <c r="CB10" s="58">
        <v>0.62</v>
      </c>
      <c r="CC10" s="58">
        <v>1.89</v>
      </c>
      <c r="CD10" s="58">
        <v>0.78800000000000003</v>
      </c>
    </row>
    <row r="11" spans="1:110" x14ac:dyDescent="0.2">
      <c r="A11" s="58">
        <v>9</v>
      </c>
      <c r="B11" s="136" t="s">
        <v>527</v>
      </c>
      <c r="C11" s="136">
        <v>2015</v>
      </c>
      <c r="D11" s="58">
        <v>1062</v>
      </c>
      <c r="E11" s="142">
        <f>1062*0.557*0.237</f>
        <v>140.19355800000002</v>
      </c>
      <c r="F11" s="142">
        <f>1062*0.557*(1-0.237)</f>
        <v>451.34044200000011</v>
      </c>
      <c r="G11" s="142">
        <f>1062*0.443*0.246</f>
        <v>115.73463599999999</v>
      </c>
      <c r="H11" s="142">
        <f>1062*0.443*(1-0.246)</f>
        <v>354.73136399999999</v>
      </c>
      <c r="I11" s="58">
        <v>0.95</v>
      </c>
      <c r="J11" s="58">
        <v>0.71</v>
      </c>
      <c r="K11" s="58">
        <v>1.26</v>
      </c>
      <c r="L11" s="58">
        <v>0.72</v>
      </c>
      <c r="O11" s="6"/>
      <c r="P11" s="6"/>
      <c r="Q11" s="6"/>
      <c r="R11" s="6"/>
      <c r="AC11" s="58">
        <v>9</v>
      </c>
      <c r="AD11" s="136" t="s">
        <v>528</v>
      </c>
      <c r="AE11">
        <v>2015</v>
      </c>
      <c r="AF11" s="58">
        <v>202</v>
      </c>
      <c r="AG11" s="142" t="s">
        <v>15</v>
      </c>
      <c r="AH11" s="142" t="s">
        <v>15</v>
      </c>
      <c r="AI11" s="142" t="s">
        <v>15</v>
      </c>
      <c r="AJ11" s="139" t="s">
        <v>15</v>
      </c>
      <c r="AK11" s="58" t="s">
        <v>15</v>
      </c>
      <c r="AL11" s="58" t="s">
        <v>15</v>
      </c>
      <c r="AM11" s="58" t="s">
        <v>15</v>
      </c>
      <c r="AN11" s="58" t="s">
        <v>15</v>
      </c>
      <c r="AQ11" s="58">
        <v>9</v>
      </c>
      <c r="AR11" s="136" t="s">
        <v>530</v>
      </c>
      <c r="AS11">
        <v>2015</v>
      </c>
      <c r="AT11" s="58">
        <v>1565</v>
      </c>
      <c r="AU11" s="142">
        <f>1565*0.496*0.707</f>
        <v>548.80168000000003</v>
      </c>
      <c r="AV11" s="142">
        <f>1565*0.496*(1-0.707)</f>
        <v>227.43832000000003</v>
      </c>
      <c r="AW11" s="142">
        <f>(1565*0.019*0.655)+(1565*0.463*0.793)+(1565*0.023*0.75)</f>
        <v>621.07650999999998</v>
      </c>
      <c r="AX11" s="142">
        <f>(1565*0.019*(1-0.655))+(1565*0.463*(1-0.793))+(1565*0.023*(1-0.75))</f>
        <v>169.24848999999998</v>
      </c>
      <c r="AY11" s="58">
        <v>0.6</v>
      </c>
      <c r="AZ11" s="58">
        <v>0.5</v>
      </c>
      <c r="BA11" s="58">
        <v>0.8</v>
      </c>
      <c r="BB11" s="58" t="s">
        <v>463</v>
      </c>
      <c r="BE11" s="58">
        <v>9</v>
      </c>
      <c r="BF11" s="136" t="s">
        <v>532</v>
      </c>
      <c r="BG11">
        <v>2015</v>
      </c>
      <c r="BH11" s="58">
        <v>92</v>
      </c>
      <c r="BI11" s="142">
        <f>(92*0.098*0.444)+(92*0.413*0.368)</f>
        <v>17.985631999999999</v>
      </c>
      <c r="BJ11" s="142">
        <f>(92*0.098*(1-0.444))+(92*0.413*(1-0.368))</f>
        <v>29.026367999999998</v>
      </c>
      <c r="BK11" s="142">
        <f>92*0.489*0.4</f>
        <v>17.995200000000001</v>
      </c>
      <c r="BL11" s="142">
        <f>92*0.489*(1-0.4)</f>
        <v>26.992799999999999</v>
      </c>
      <c r="BM11" s="18">
        <v>0.93</v>
      </c>
      <c r="BN11" s="18">
        <v>0.4</v>
      </c>
      <c r="BO11" s="58">
        <v>2.15</v>
      </c>
      <c r="BP11" s="58">
        <v>0.86699999999999999</v>
      </c>
      <c r="BS11" s="58">
        <v>9</v>
      </c>
      <c r="BT11" s="136" t="s">
        <v>530</v>
      </c>
      <c r="BU11">
        <v>2015</v>
      </c>
      <c r="BV11" s="136">
        <v>1565</v>
      </c>
      <c r="BW11" s="142">
        <f>(1565*0.231*0.778)+(1565*0.093*0.797)</f>
        <v>397.25803500000006</v>
      </c>
      <c r="BX11" s="142">
        <f>(1565*0.231*(1-0.778))+(1565*0.093*(1-0.7979))</f>
        <v>109.6709745</v>
      </c>
      <c r="BY11" s="142">
        <f>1565*0.676*0.732</f>
        <v>774.41208000000006</v>
      </c>
      <c r="BZ11" s="142">
        <f>1565*0.676*(1-0.732)</f>
        <v>283.52792000000005</v>
      </c>
      <c r="CA11" s="6">
        <v>0.6</v>
      </c>
      <c r="CB11" s="58">
        <v>0.5</v>
      </c>
      <c r="CC11" s="58">
        <v>0.8</v>
      </c>
      <c r="CD11" s="58">
        <v>2.8000000000000001E-2</v>
      </c>
      <c r="CU11" s="184" t="s">
        <v>533</v>
      </c>
      <c r="CV11" s="184"/>
      <c r="CW11" s="184"/>
      <c r="CX11" s="184"/>
      <c r="CY11" s="184"/>
      <c r="CZ11" s="184"/>
      <c r="DA11" s="184"/>
      <c r="DB11" s="184"/>
      <c r="DC11" s="184"/>
      <c r="DD11" s="184"/>
      <c r="DE11" s="184"/>
      <c r="DF11" s="184"/>
    </row>
    <row r="12" spans="1:110" x14ac:dyDescent="0.2">
      <c r="A12" s="58">
        <v>10</v>
      </c>
      <c r="B12" s="136" t="s">
        <v>528</v>
      </c>
      <c r="C12" s="136">
        <v>2015</v>
      </c>
      <c r="D12" s="58">
        <v>202</v>
      </c>
      <c r="E12" s="142">
        <f>202*0.525*0.236</f>
        <v>25.027800000000003</v>
      </c>
      <c r="F12" s="142">
        <f>202*0.525*(1-0.236)</f>
        <v>81.022200000000012</v>
      </c>
      <c r="G12" s="142">
        <f>202*0.475*0.135</f>
        <v>12.953249999999999</v>
      </c>
      <c r="H12" s="142">
        <f>202*0.475*(1-0.135)</f>
        <v>82.996749999999992</v>
      </c>
      <c r="I12" s="58">
        <v>1.97</v>
      </c>
      <c r="J12" s="58">
        <v>0.94</v>
      </c>
      <c r="K12" s="58">
        <v>4.12</v>
      </c>
      <c r="L12" s="58">
        <v>7.0999999999999994E-2</v>
      </c>
      <c r="O12" s="6"/>
      <c r="P12" s="6"/>
      <c r="Q12" s="6"/>
      <c r="R12" s="6"/>
      <c r="AC12" s="58">
        <v>10</v>
      </c>
      <c r="AD12" s="136" t="s">
        <v>529</v>
      </c>
      <c r="AE12">
        <v>2015</v>
      </c>
      <c r="AF12" s="58">
        <v>352</v>
      </c>
      <c r="AG12" s="142">
        <f>352*0.554*0.374</f>
        <v>72.932991999999999</v>
      </c>
      <c r="AH12" s="142">
        <f>352*0.554*(1-0.374)</f>
        <v>122.07500800000001</v>
      </c>
      <c r="AI12" s="142">
        <f>(352*(0.395*0.381))+(352*(0.051*0.444))</f>
        <v>60.944928000000004</v>
      </c>
      <c r="AJ12" s="142">
        <f>(352*(0.395*(1-0.381)))+(352*(0.051*(1-0.444)))</f>
        <v>96.047072</v>
      </c>
      <c r="AK12" s="58">
        <v>0.94</v>
      </c>
      <c r="AL12" s="58">
        <v>0.61</v>
      </c>
      <c r="AM12" s="58">
        <v>1.45</v>
      </c>
      <c r="AN12" s="58">
        <v>0.78539999999999999</v>
      </c>
      <c r="AQ12" s="58">
        <v>10</v>
      </c>
      <c r="AR12" s="136" t="s">
        <v>532</v>
      </c>
      <c r="AS12">
        <v>2015</v>
      </c>
      <c r="AT12" s="58">
        <v>92</v>
      </c>
      <c r="AU12" s="142">
        <f>92*0.543*0.42</f>
        <v>20.98152</v>
      </c>
      <c r="AV12" s="142">
        <f>92*0.543*(1-0.42)</f>
        <v>28.974480000000007</v>
      </c>
      <c r="AW12" s="142">
        <f>(92*0.011*0)+(92*0.348*0.406)+(92*0.098*0.222)</f>
        <v>15.000048</v>
      </c>
      <c r="AX12" s="142">
        <f>(92*0.011*0)+(92*0.348*(1-0.406))+(92*0.098*(1-0.222))</f>
        <v>26.031951999999997</v>
      </c>
      <c r="AY12" s="58">
        <v>1.26</v>
      </c>
      <c r="AZ12" s="58">
        <v>0.54</v>
      </c>
      <c r="BA12" s="58">
        <v>2.93</v>
      </c>
      <c r="BB12" s="58">
        <v>0.59899999999999998</v>
      </c>
      <c r="BE12" s="58">
        <v>10</v>
      </c>
      <c r="BF12" s="136" t="s">
        <v>534</v>
      </c>
      <c r="BG12">
        <v>2015</v>
      </c>
      <c r="BH12" s="58">
        <v>241</v>
      </c>
      <c r="BI12" s="142">
        <f>(241*0.025*0.667)+(241*0.581*0.6)</f>
        <v>88.031274999999994</v>
      </c>
      <c r="BJ12" s="142">
        <f>(241*0.025*(1-0.667))+(241*0.581*(1-0.6))</f>
        <v>58.014724999999991</v>
      </c>
      <c r="BK12" s="142">
        <f>241*0.393*0.6</f>
        <v>56.827800000000003</v>
      </c>
      <c r="BL12" s="142">
        <f>241*0.393*(1-0.6)</f>
        <v>37.885200000000005</v>
      </c>
      <c r="BM12" s="18">
        <v>1.01</v>
      </c>
      <c r="BN12" s="18">
        <v>0.59</v>
      </c>
      <c r="BO12" s="58">
        <v>1.71</v>
      </c>
      <c r="BP12" s="58">
        <v>0.96599999999999997</v>
      </c>
      <c r="BS12" s="58">
        <v>10</v>
      </c>
      <c r="BT12" s="136" t="s">
        <v>532</v>
      </c>
      <c r="BU12">
        <v>2015</v>
      </c>
      <c r="BV12" s="136">
        <v>92</v>
      </c>
      <c r="BW12" s="142">
        <f>(92*0.101*0.444)+(92*0.045*0.75)</f>
        <v>7.2306479999999995</v>
      </c>
      <c r="BX12" s="142">
        <f>(92*0.101*(1-0.444))+(92*0.045*(1-0.75))</f>
        <v>6.2013520000000009</v>
      </c>
      <c r="BY12" s="142">
        <f>(92*0.371*0.303)+(92*0.483*0.395)</f>
        <v>27.894216</v>
      </c>
      <c r="BZ12" s="142">
        <f>(92*0.371*(1-0.303))+(92*0.483*(1-0.395))</f>
        <v>50.673783999999998</v>
      </c>
      <c r="CA12" s="6">
        <v>2.13</v>
      </c>
      <c r="CB12" s="58">
        <v>0.65</v>
      </c>
      <c r="CC12" s="58">
        <v>6.94</v>
      </c>
      <c r="CD12" s="58">
        <v>0.21199999999999999</v>
      </c>
      <c r="CU12" s="58" t="s">
        <v>448</v>
      </c>
      <c r="CV12" s="58" t="s">
        <v>449</v>
      </c>
      <c r="CW12" s="58" t="s">
        <v>450</v>
      </c>
      <c r="CX12" s="58" t="s">
        <v>451</v>
      </c>
      <c r="CY12" s="58" t="s">
        <v>452</v>
      </c>
      <c r="CZ12" s="58" t="s">
        <v>453</v>
      </c>
      <c r="DA12" s="58" t="s">
        <v>454</v>
      </c>
      <c r="DB12" s="58" t="s">
        <v>455</v>
      </c>
      <c r="DC12" s="58" t="s">
        <v>151</v>
      </c>
      <c r="DD12" s="58" t="s">
        <v>620</v>
      </c>
      <c r="DE12" s="58" t="s">
        <v>621</v>
      </c>
      <c r="DF12" s="58" t="s">
        <v>622</v>
      </c>
    </row>
    <row r="13" spans="1:110" x14ac:dyDescent="0.2">
      <c r="A13" s="58">
        <v>11</v>
      </c>
      <c r="B13" s="136" t="s">
        <v>529</v>
      </c>
      <c r="C13" s="136">
        <v>2015</v>
      </c>
      <c r="D13" s="58">
        <v>352</v>
      </c>
      <c r="E13" s="142">
        <f>352*0.554*0.39</f>
        <v>76.053120000000007</v>
      </c>
      <c r="F13" s="142">
        <f>352*0.554*(1-0.39)</f>
        <v>118.95488</v>
      </c>
      <c r="G13" s="142">
        <f>352*0.446*0.369</f>
        <v>57.930047999999992</v>
      </c>
      <c r="H13" s="142">
        <f>352*0.446*(1-0.369)</f>
        <v>99.061951999999991</v>
      </c>
      <c r="I13" s="58">
        <v>1.0900000000000001</v>
      </c>
      <c r="J13" s="58">
        <v>0.71</v>
      </c>
      <c r="K13" s="58">
        <v>1.69</v>
      </c>
      <c r="L13" s="58">
        <v>0.69599999999999995</v>
      </c>
      <c r="O13" s="184" t="s">
        <v>535</v>
      </c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C13" s="58">
        <v>11</v>
      </c>
      <c r="AD13" s="136" t="s">
        <v>530</v>
      </c>
      <c r="AE13">
        <v>2015</v>
      </c>
      <c r="AF13" s="58">
        <v>1565</v>
      </c>
      <c r="AG13" s="142">
        <f>1565*0.178*0.737</f>
        <v>205.30608999999998</v>
      </c>
      <c r="AH13" s="142">
        <f>1565*0.178*(1-0.737)</f>
        <v>73.263909999999996</v>
      </c>
      <c r="AI13" s="142">
        <f>(1565*(0.209*0.826))+(1565*(0.613*0.723))</f>
        <v>963.77864499999987</v>
      </c>
      <c r="AJ13" s="142">
        <f>(1565*(0.209*(1-0.826)))+(1565*(0.613*(1-0.723)))</f>
        <v>322.65135500000002</v>
      </c>
      <c r="AK13" s="58">
        <v>0.94</v>
      </c>
      <c r="AL13" s="58">
        <v>0.7</v>
      </c>
      <c r="AM13" s="58">
        <v>1.26</v>
      </c>
      <c r="AN13" s="58">
        <v>0.68600000000000005</v>
      </c>
      <c r="AQ13" s="58">
        <v>11</v>
      </c>
      <c r="AR13" s="136" t="s">
        <v>534</v>
      </c>
      <c r="AS13">
        <v>2015</v>
      </c>
      <c r="AT13" s="58">
        <v>241</v>
      </c>
      <c r="AU13" s="142">
        <f>241*0.515*0.677</f>
        <v>84.025855000000007</v>
      </c>
      <c r="AV13" s="142">
        <f>241*0.515*(1-0.677)</f>
        <v>40.089144999999995</v>
      </c>
      <c r="AW13" s="142">
        <f>(241*0.058*0.571)+(241*0.373*0.522)+(241*0.054*0.462)</f>
        <v>60.918051999999996</v>
      </c>
      <c r="AX13" s="142">
        <f>(241*0.058*(1-0.571))+(241*0.373*(1-0.522))+(241*0.054*(1-0.462))</f>
        <v>55.966948000000002</v>
      </c>
      <c r="AY13" s="141">
        <v>2</v>
      </c>
      <c r="AZ13" s="58">
        <v>1.2</v>
      </c>
      <c r="BA13" s="58">
        <v>3.4</v>
      </c>
      <c r="BB13" s="58">
        <v>1.3899999999999999E-2</v>
      </c>
      <c r="BE13" s="58">
        <v>11</v>
      </c>
      <c r="BF13" s="136" t="s">
        <v>382</v>
      </c>
      <c r="BG13">
        <v>2015</v>
      </c>
      <c r="BH13" s="58">
        <v>20065</v>
      </c>
      <c r="BI13" s="142">
        <f>(20065*0.024*0.297)+(20065*0.3*0.198)</f>
        <v>1334.8843200000001</v>
      </c>
      <c r="BJ13" s="142">
        <f>(20065*0.024*(1-0.297))+(20065*0.3*(1-0.198))</f>
        <v>5166.1756800000003</v>
      </c>
      <c r="BK13" s="142">
        <f>20065*0.676*0.158</f>
        <v>2143.1025199999999</v>
      </c>
      <c r="BL13" s="142">
        <f>20065*0.677*(1-0.158)</f>
        <v>11437.73221</v>
      </c>
      <c r="BM13" s="18">
        <v>1.3</v>
      </c>
      <c r="BN13" s="18">
        <v>1.2</v>
      </c>
      <c r="BO13" s="58">
        <v>1.4</v>
      </c>
      <c r="BP13" s="58" t="s">
        <v>463</v>
      </c>
      <c r="BS13" s="58">
        <v>11</v>
      </c>
      <c r="BT13" s="136" t="s">
        <v>534</v>
      </c>
      <c r="BU13">
        <v>2015</v>
      </c>
      <c r="BV13" s="136">
        <v>241</v>
      </c>
      <c r="BW13" s="142">
        <f>(241*0.181*0.643)+(241*0.142*0.697)</f>
        <v>51.901036999999988</v>
      </c>
      <c r="BX13" s="142">
        <f>(241*0.181*(1-0.643))+(241*0.142*(1-0.697))</f>
        <v>25.941962999999998</v>
      </c>
      <c r="BY13" s="142">
        <f>(241*0.672*0.551)+(241*0.04*1)</f>
        <v>98.875552000000013</v>
      </c>
      <c r="BZ13" s="142">
        <f>(241*0.672*(1-0.551))+(241*0.04*(1-1))</f>
        <v>72.716447999999986</v>
      </c>
      <c r="CA13" s="6">
        <v>1.47</v>
      </c>
      <c r="CB13" s="58">
        <v>0.84</v>
      </c>
      <c r="CC13" s="58">
        <v>2.58</v>
      </c>
      <c r="CD13" s="58">
        <v>0.17599999999999999</v>
      </c>
      <c r="CU13" s="6">
        <v>1</v>
      </c>
      <c r="CV13" s="6" t="s">
        <v>93</v>
      </c>
      <c r="CW13" s="6">
        <v>2013</v>
      </c>
      <c r="CX13" s="6">
        <v>125242</v>
      </c>
      <c r="CY13" s="58" t="s">
        <v>15</v>
      </c>
      <c r="CZ13" s="58" t="s">
        <v>15</v>
      </c>
      <c r="DA13" s="58" t="s">
        <v>15</v>
      </c>
      <c r="DB13" s="58" t="s">
        <v>15</v>
      </c>
      <c r="DC13" s="145">
        <v>1.1000000000000001</v>
      </c>
      <c r="DD13" s="144">
        <v>1.07</v>
      </c>
      <c r="DE13" s="144">
        <v>1.1299999999999999</v>
      </c>
      <c r="DF13" s="58" t="s">
        <v>15</v>
      </c>
    </row>
    <row r="14" spans="1:110" x14ac:dyDescent="0.2">
      <c r="A14" s="58">
        <v>12</v>
      </c>
      <c r="B14" s="136" t="s">
        <v>530</v>
      </c>
      <c r="C14" s="136">
        <v>2015</v>
      </c>
      <c r="D14" s="58">
        <v>1565</v>
      </c>
      <c r="E14" s="142">
        <f>1565*0.437*0.741</f>
        <v>506.77360499999998</v>
      </c>
      <c r="F14" s="142">
        <f>1565*0.437*(1-0.741)</f>
        <v>177.131395</v>
      </c>
      <c r="G14" s="142">
        <f>1565*0.563*0.751</f>
        <v>661.70234499999992</v>
      </c>
      <c r="H14" s="142">
        <f>1565*0.563*(1-0.751)</f>
        <v>219.39265499999999</v>
      </c>
      <c r="I14" s="58">
        <v>0.95</v>
      </c>
      <c r="J14" s="58">
        <v>0.75</v>
      </c>
      <c r="K14" s="58">
        <v>1.19</v>
      </c>
      <c r="L14" s="58">
        <v>0.64700000000000002</v>
      </c>
      <c r="O14" s="58" t="s">
        <v>448</v>
      </c>
      <c r="P14" s="58" t="s">
        <v>449</v>
      </c>
      <c r="Q14" s="58" t="s">
        <v>450</v>
      </c>
      <c r="R14" s="58" t="s">
        <v>451</v>
      </c>
      <c r="S14" s="58" t="s">
        <v>452</v>
      </c>
      <c r="T14" s="58" t="s">
        <v>453</v>
      </c>
      <c r="U14" s="58" t="s">
        <v>454</v>
      </c>
      <c r="V14" s="58" t="s">
        <v>455</v>
      </c>
      <c r="W14" s="58" t="s">
        <v>151</v>
      </c>
      <c r="X14" s="58" t="s">
        <v>620</v>
      </c>
      <c r="Y14" s="58" t="s">
        <v>621</v>
      </c>
      <c r="Z14" s="58" t="s">
        <v>622</v>
      </c>
      <c r="AC14" s="58">
        <v>12</v>
      </c>
      <c r="AD14" s="136" t="s">
        <v>532</v>
      </c>
      <c r="AE14">
        <v>2015</v>
      </c>
      <c r="AF14" s="58">
        <v>92</v>
      </c>
      <c r="AG14" s="142" t="s">
        <v>15</v>
      </c>
      <c r="AH14" s="142" t="s">
        <v>15</v>
      </c>
      <c r="AI14" s="142" t="s">
        <v>15</v>
      </c>
      <c r="AJ14" s="139" t="s">
        <v>15</v>
      </c>
      <c r="AK14" s="58" t="s">
        <v>15</v>
      </c>
      <c r="AL14" s="58" t="s">
        <v>15</v>
      </c>
      <c r="AM14" s="58" t="s">
        <v>15</v>
      </c>
      <c r="AN14" s="58" t="s">
        <v>15</v>
      </c>
      <c r="AQ14" s="58">
        <v>12</v>
      </c>
      <c r="AR14" s="136" t="s">
        <v>382</v>
      </c>
      <c r="AS14">
        <v>2015</v>
      </c>
      <c r="AT14" s="58">
        <v>20065</v>
      </c>
      <c r="AU14" s="142">
        <f>20065*0.484*0.194</f>
        <v>1884.02324</v>
      </c>
      <c r="AV14" s="142">
        <f>20065*0.484*(1-0.194)</f>
        <v>7827.4367599999996</v>
      </c>
      <c r="AW14" s="142">
        <f>(20065*0.049*0.203)+(20065*0.4*0.142)+(20065*0.067*0.192)</f>
        <v>1597.3947150000001</v>
      </c>
      <c r="AX14" s="142">
        <f>(20065*0.049*(1-0.203))+(20065*0.4*(1-0.142))+(20065*0.067*(1-0.192))</f>
        <v>8756.1452849999987</v>
      </c>
      <c r="AY14" s="139">
        <v>1.1000000000000001</v>
      </c>
      <c r="AZ14" s="58">
        <v>1.02</v>
      </c>
      <c r="BA14" s="58">
        <v>1.2</v>
      </c>
      <c r="BB14" s="58" t="s">
        <v>463</v>
      </c>
      <c r="BE14" s="150">
        <v>12</v>
      </c>
      <c r="BF14" s="151" t="s">
        <v>78</v>
      </c>
      <c r="BG14" s="151">
        <v>2015</v>
      </c>
      <c r="BH14" s="71">
        <v>34459</v>
      </c>
      <c r="BI14" s="152">
        <f>SUM(BI3:BI13)</f>
        <v>3825.1033199999997</v>
      </c>
      <c r="BJ14" s="152">
        <f t="shared" ref="BJ14:BL14" si="0">SUM(BJ3:BJ13)</f>
        <v>8003.0296800000006</v>
      </c>
      <c r="BK14" s="152">
        <f t="shared" si="0"/>
        <v>5334.3475120000003</v>
      </c>
      <c r="BL14" s="152">
        <f t="shared" si="0"/>
        <v>17296.875250000001</v>
      </c>
      <c r="BM14" s="150">
        <v>1.55</v>
      </c>
      <c r="BN14" s="150">
        <v>1.48</v>
      </c>
      <c r="BO14" s="150">
        <v>1.63</v>
      </c>
      <c r="BP14" s="150" t="s">
        <v>462</v>
      </c>
      <c r="BS14" s="58">
        <v>12</v>
      </c>
      <c r="BT14" s="136" t="s">
        <v>382</v>
      </c>
      <c r="BU14">
        <v>2015</v>
      </c>
      <c r="BV14" s="136">
        <v>20065</v>
      </c>
      <c r="BW14" s="142">
        <f>(20065*0.432*0.172)+(20065*0.405*0.173)</f>
        <v>2896.7639849999996</v>
      </c>
      <c r="BX14" s="142">
        <f>(20065*0.432*(1-0.172))+(20065*0.405*(1-0.173))</f>
        <v>13897.641015000001</v>
      </c>
      <c r="BY14" s="142">
        <f>(20065*0.074*0.196)+(20065*0.089*0.169)</f>
        <v>592.820425</v>
      </c>
      <c r="BZ14" s="142">
        <f>(20065*0.074*(1-0.196))+(20065*0.089*(1-0.169))</f>
        <v>2677.7745749999999</v>
      </c>
      <c r="CA14" s="6">
        <v>0.94</v>
      </c>
      <c r="CB14" s="58">
        <v>0.85</v>
      </c>
      <c r="CC14" s="58">
        <v>1.04</v>
      </c>
      <c r="CD14" s="58">
        <v>0.22500000000000001</v>
      </c>
      <c r="CU14" s="6">
        <v>2</v>
      </c>
      <c r="CV14" s="6" t="s">
        <v>99</v>
      </c>
      <c r="CW14" s="136">
        <v>2015</v>
      </c>
      <c r="CX14" s="6">
        <v>1073</v>
      </c>
      <c r="CY14" s="58" t="s">
        <v>15</v>
      </c>
      <c r="CZ14" s="58" t="s">
        <v>15</v>
      </c>
      <c r="DA14" s="58" t="s">
        <v>15</v>
      </c>
      <c r="DB14" s="58" t="s">
        <v>15</v>
      </c>
      <c r="DC14">
        <v>1.32</v>
      </c>
      <c r="DD14">
        <v>0.69</v>
      </c>
      <c r="DE14" s="58">
        <v>2.52</v>
      </c>
      <c r="DF14" s="146" t="s">
        <v>15</v>
      </c>
    </row>
    <row r="15" spans="1:110" x14ac:dyDescent="0.2">
      <c r="A15" s="58">
        <v>13</v>
      </c>
      <c r="B15" s="136" t="s">
        <v>532</v>
      </c>
      <c r="C15" s="136">
        <v>2015</v>
      </c>
      <c r="D15" s="58">
        <v>92</v>
      </c>
      <c r="E15" s="142">
        <f>92*0.587*0.389</f>
        <v>21.007556000000001</v>
      </c>
      <c r="F15" s="142">
        <f>92*0.587*(1-0.389)</f>
        <v>32.996443999999997</v>
      </c>
      <c r="G15" s="142">
        <f>92*0.413*0.395</f>
        <v>15.008419999999999</v>
      </c>
      <c r="H15" s="142">
        <f>92*0.413*(1-0.395)</f>
        <v>22.987579999999998</v>
      </c>
      <c r="I15" s="58">
        <v>0.97</v>
      </c>
      <c r="J15" s="58">
        <v>0.42</v>
      </c>
      <c r="K15" s="58">
        <v>2.2799999999999998</v>
      </c>
      <c r="L15" s="58">
        <v>0.95499999999999996</v>
      </c>
      <c r="O15" s="6">
        <v>1</v>
      </c>
      <c r="P15" s="6" t="s">
        <v>133</v>
      </c>
      <c r="Q15" s="6">
        <v>2023</v>
      </c>
      <c r="R15" s="6">
        <v>53279</v>
      </c>
      <c r="S15" s="58">
        <v>240</v>
      </c>
      <c r="T15" s="58">
        <f>816 - 240</f>
        <v>576</v>
      </c>
      <c r="U15" s="58">
        <v>6757</v>
      </c>
      <c r="V15" s="58">
        <f>47693-6757</f>
        <v>40936</v>
      </c>
      <c r="W15" s="18">
        <v>2.4900000000000002</v>
      </c>
      <c r="X15" s="18">
        <v>2.1</v>
      </c>
      <c r="Y15" s="58">
        <v>2.96</v>
      </c>
      <c r="Z15" s="58" t="s">
        <v>520</v>
      </c>
      <c r="AC15" s="58">
        <v>13</v>
      </c>
      <c r="AD15" s="136" t="s">
        <v>534</v>
      </c>
      <c r="AE15">
        <v>2015</v>
      </c>
      <c r="AF15" s="58">
        <v>241</v>
      </c>
      <c r="AG15" s="142">
        <f>241*0.357*0.674</f>
        <v>57.988937999999997</v>
      </c>
      <c r="AH15" s="142">
        <f>241*0.357*(1-0.674)</f>
        <v>28.048061999999994</v>
      </c>
      <c r="AI15" s="142">
        <f>(241*(0.373*0.511))+(241*(0.27*0.631))</f>
        <v>86.994493000000006</v>
      </c>
      <c r="AJ15" s="142">
        <f>(241*(0.373*(1-0.511)))+(241*(0.27*(1-0.631)))</f>
        <v>67.968507000000002</v>
      </c>
      <c r="AK15" s="58">
        <v>1.62</v>
      </c>
      <c r="AL15" s="58">
        <v>0.93</v>
      </c>
      <c r="AM15" s="58">
        <v>2.81</v>
      </c>
      <c r="AN15" s="58">
        <v>8.6800000000000002E-2</v>
      </c>
      <c r="AQ15" s="150">
        <v>13</v>
      </c>
      <c r="AR15" s="153" t="s">
        <v>78</v>
      </c>
      <c r="AS15" s="69">
        <v>2015</v>
      </c>
      <c r="AT15" s="150">
        <v>34196</v>
      </c>
      <c r="AU15" s="152">
        <f>SUM(AU4:AU14)</f>
        <v>4807.1349799999998</v>
      </c>
      <c r="AV15" s="152">
        <f t="shared" ref="AV15:AX15" si="1">SUM(AV4:AV14)</f>
        <v>11627.87902</v>
      </c>
      <c r="AW15" s="152">
        <f t="shared" si="1"/>
        <v>4429.2234490000001</v>
      </c>
      <c r="AX15" s="152">
        <f t="shared" si="1"/>
        <v>13332.261551</v>
      </c>
      <c r="AY15" s="154">
        <v>1.24</v>
      </c>
      <c r="AZ15" s="150">
        <v>1.19</v>
      </c>
      <c r="BA15" s="150">
        <v>1.31</v>
      </c>
      <c r="BB15" s="150" t="s">
        <v>462</v>
      </c>
      <c r="BE15" s="58">
        <v>13</v>
      </c>
      <c r="BF15" s="113"/>
      <c r="BG15" s="6"/>
      <c r="BH15" s="6"/>
      <c r="BL15" s="81"/>
      <c r="BM15" s="58"/>
      <c r="BN15" s="58"/>
      <c r="BO15" s="58"/>
      <c r="BP15" s="58"/>
      <c r="BS15" s="58">
        <v>13</v>
      </c>
      <c r="BT15" s="151" t="s">
        <v>78</v>
      </c>
      <c r="BU15" s="71">
        <v>2015</v>
      </c>
      <c r="BV15" s="71">
        <v>28257</v>
      </c>
      <c r="BW15" s="155">
        <f t="shared" ref="BW15:BZ15" si="2">SUM(BW4:BW14)</f>
        <v>3633.4403059999995</v>
      </c>
      <c r="BX15" s="155">
        <f t="shared" si="2"/>
        <v>14637.687703500002</v>
      </c>
      <c r="BY15" s="155">
        <f t="shared" si="2"/>
        <v>3118.0478130000001</v>
      </c>
      <c r="BZ15" s="155">
        <f t="shared" si="2"/>
        <v>6867.480187000001</v>
      </c>
      <c r="CA15" s="150">
        <v>0.55000000000000004</v>
      </c>
      <c r="CB15" s="150">
        <v>0.52</v>
      </c>
      <c r="CC15" s="150">
        <v>0.57999999999999996</v>
      </c>
      <c r="CD15" s="150" t="s">
        <v>462</v>
      </c>
    </row>
    <row r="16" spans="1:110" x14ac:dyDescent="0.2">
      <c r="A16" s="58">
        <v>14</v>
      </c>
      <c r="B16" s="136" t="s">
        <v>534</v>
      </c>
      <c r="C16" s="136">
        <v>2015</v>
      </c>
      <c r="D16" s="58">
        <v>241</v>
      </c>
      <c r="E16" s="142">
        <f>241*0.585*0.638</f>
        <v>89.948429999999988</v>
      </c>
      <c r="F16" s="142">
        <f>241*0.585*(1-0.638)</f>
        <v>51.03656999999999</v>
      </c>
      <c r="G16" s="142">
        <f>241*0.415*0.55</f>
        <v>55.008250000000004</v>
      </c>
      <c r="H16" s="142">
        <f>241*0.415*(1-0.55)</f>
        <v>45.006749999999997</v>
      </c>
      <c r="I16" s="58">
        <v>1.44</v>
      </c>
      <c r="J16" s="58">
        <v>0.86</v>
      </c>
      <c r="K16" s="58">
        <v>2.4300000000000002</v>
      </c>
      <c r="L16" s="58">
        <v>0.16800000000000001</v>
      </c>
      <c r="O16" s="6">
        <v>2</v>
      </c>
      <c r="P16" s="6" t="s">
        <v>63</v>
      </c>
      <c r="Q16" s="6">
        <v>2021</v>
      </c>
      <c r="R16" s="6">
        <v>346141</v>
      </c>
      <c r="S16" s="58">
        <v>1543</v>
      </c>
      <c r="T16" s="58">
        <f>6996-1543</f>
        <v>5453</v>
      </c>
      <c r="U16" s="58">
        <v>40083</v>
      </c>
      <c r="V16" s="58">
        <f>324194 - 40083</f>
        <v>284111</v>
      </c>
      <c r="W16" s="18">
        <v>2.093</v>
      </c>
      <c r="X16" s="18">
        <v>1.911</v>
      </c>
      <c r="Y16" s="58">
        <v>2.2919999999999998</v>
      </c>
      <c r="Z16" s="146" t="s">
        <v>463</v>
      </c>
      <c r="AC16" s="58">
        <v>14</v>
      </c>
      <c r="AD16" s="136" t="s">
        <v>382</v>
      </c>
      <c r="AE16">
        <v>2015</v>
      </c>
      <c r="AF16" s="58">
        <v>20065</v>
      </c>
      <c r="AG16" s="58" t="s">
        <v>15</v>
      </c>
      <c r="AH16" s="58" t="s">
        <v>15</v>
      </c>
      <c r="AI16" s="58" t="s">
        <v>15</v>
      </c>
      <c r="AJ16" s="139" t="s">
        <v>15</v>
      </c>
      <c r="AK16" s="58" t="s">
        <v>15</v>
      </c>
      <c r="AL16" s="58" t="s">
        <v>15</v>
      </c>
      <c r="AM16" s="58" t="s">
        <v>15</v>
      </c>
      <c r="AN16" s="58" t="s">
        <v>15</v>
      </c>
      <c r="BE16" s="58">
        <v>14</v>
      </c>
      <c r="BF16" s="113"/>
      <c r="BG16" s="6"/>
      <c r="BH16" s="6"/>
      <c r="BL16" s="81"/>
      <c r="BM16" s="58"/>
      <c r="BN16" s="58"/>
      <c r="BO16" s="58"/>
      <c r="BP16" s="58"/>
      <c r="CU16" s="184" t="s">
        <v>536</v>
      </c>
      <c r="CV16" s="184"/>
      <c r="CW16" s="184"/>
      <c r="CX16" s="184"/>
      <c r="CY16" s="184"/>
      <c r="CZ16" s="184"/>
      <c r="DA16" s="184"/>
      <c r="DB16" s="184"/>
      <c r="DC16" s="184"/>
      <c r="DD16" s="184"/>
      <c r="DE16" s="184"/>
      <c r="DF16" s="184"/>
    </row>
    <row r="17" spans="1:110" x14ac:dyDescent="0.2">
      <c r="A17" s="58">
        <v>15</v>
      </c>
      <c r="B17" s="136" t="s">
        <v>382</v>
      </c>
      <c r="C17" s="136">
        <v>2015</v>
      </c>
      <c r="D17" s="58">
        <v>20065</v>
      </c>
      <c r="E17" s="142">
        <f>20065*0.576*0.198</f>
        <v>2288.3731199999997</v>
      </c>
      <c r="F17" s="142">
        <f>20065*0.576*(1-0.198)</f>
        <v>9269.0668800000003</v>
      </c>
      <c r="G17" s="142">
        <f>20065*0.424*0.141</f>
        <v>1199.5659599999999</v>
      </c>
      <c r="H17" s="142">
        <f>20065*0.424*(1-0.141)</f>
        <v>7307.9940399999996</v>
      </c>
      <c r="I17" s="6">
        <v>1.4</v>
      </c>
      <c r="J17" s="6">
        <v>1.3</v>
      </c>
      <c r="K17" s="58">
        <v>1.5</v>
      </c>
      <c r="L17" s="58" t="s">
        <v>463</v>
      </c>
      <c r="O17" s="6"/>
      <c r="P17" s="6"/>
      <c r="Q17" s="6"/>
      <c r="R17" s="6"/>
      <c r="AC17" s="150">
        <v>15</v>
      </c>
      <c r="AD17" s="153" t="s">
        <v>78</v>
      </c>
      <c r="AE17" s="69">
        <v>2015</v>
      </c>
      <c r="AF17" s="150">
        <v>12998</v>
      </c>
      <c r="AG17" s="152">
        <f>SUM(AG6:AG16)</f>
        <v>2168.8284879999997</v>
      </c>
      <c r="AH17" s="152">
        <f t="shared" ref="AH17:AJ17" si="3">SUM(AH6:AH16)</f>
        <v>3251.3905119999995</v>
      </c>
      <c r="AI17" s="152">
        <f t="shared" si="3"/>
        <v>3177.2019529999998</v>
      </c>
      <c r="AJ17" s="152">
        <f t="shared" si="3"/>
        <v>4400.6400469999999</v>
      </c>
      <c r="AK17" s="150">
        <v>0.92</v>
      </c>
      <c r="AL17" s="150">
        <v>0.86</v>
      </c>
      <c r="AM17" s="150">
        <v>0.99</v>
      </c>
      <c r="AN17" s="150">
        <v>2.9499999999999998E-2</v>
      </c>
      <c r="BE17" s="58">
        <v>15</v>
      </c>
      <c r="BF17" s="136"/>
      <c r="BI17" s="142"/>
      <c r="BJ17" s="142"/>
      <c r="BK17" s="142"/>
      <c r="BL17" s="142"/>
      <c r="BM17" s="58"/>
      <c r="BN17" s="58"/>
      <c r="BO17" s="58"/>
      <c r="BP17" s="58"/>
      <c r="CU17" s="58" t="s">
        <v>448</v>
      </c>
      <c r="CV17" s="58" t="s">
        <v>449</v>
      </c>
      <c r="CW17" s="58" t="s">
        <v>450</v>
      </c>
      <c r="CX17" s="58" t="s">
        <v>451</v>
      </c>
      <c r="CY17" s="58" t="s">
        <v>452</v>
      </c>
      <c r="CZ17" s="58" t="s">
        <v>453</v>
      </c>
      <c r="DA17" s="58" t="s">
        <v>454</v>
      </c>
      <c r="DB17" s="58" t="s">
        <v>455</v>
      </c>
      <c r="DC17" s="58" t="s">
        <v>151</v>
      </c>
      <c r="DD17" s="58" t="s">
        <v>620</v>
      </c>
      <c r="DE17" s="58" t="s">
        <v>621</v>
      </c>
      <c r="DF17" s="58" t="s">
        <v>622</v>
      </c>
    </row>
    <row r="18" spans="1:110" x14ac:dyDescent="0.2">
      <c r="A18" s="58">
        <v>16</v>
      </c>
      <c r="B18" s="136" t="s">
        <v>107</v>
      </c>
      <c r="C18" s="136">
        <v>2022</v>
      </c>
      <c r="D18" s="58">
        <v>291276</v>
      </c>
      <c r="E18" s="58" t="s">
        <v>15</v>
      </c>
      <c r="F18" s="58" t="s">
        <v>15</v>
      </c>
      <c r="G18" s="58" t="s">
        <v>15</v>
      </c>
      <c r="H18" s="58" t="s">
        <v>15</v>
      </c>
      <c r="I18" s="18">
        <v>1.04</v>
      </c>
      <c r="J18" s="18">
        <v>0.92</v>
      </c>
      <c r="K18" s="58">
        <v>1.17</v>
      </c>
      <c r="L18" s="58" t="s">
        <v>15</v>
      </c>
      <c r="O18" s="6"/>
      <c r="P18" s="6"/>
      <c r="Q18" s="6"/>
      <c r="R18" s="6"/>
      <c r="AC18" s="58">
        <v>16</v>
      </c>
      <c r="AD18" s="136" t="s">
        <v>102</v>
      </c>
      <c r="AE18">
        <v>2013</v>
      </c>
      <c r="AF18" s="58">
        <v>236</v>
      </c>
      <c r="AG18" s="142">
        <v>35</v>
      </c>
      <c r="AH18" s="142">
        <f>68-35</f>
        <v>33</v>
      </c>
      <c r="AI18" s="142">
        <v>75</v>
      </c>
      <c r="AJ18" s="142">
        <f>168-75</f>
        <v>93</v>
      </c>
      <c r="AK18" s="58">
        <v>1.31</v>
      </c>
      <c r="AL18" s="58">
        <v>0.75</v>
      </c>
      <c r="AM18" s="58">
        <v>2.31</v>
      </c>
      <c r="AN18" s="58">
        <v>0.34100000000000003</v>
      </c>
      <c r="BE18" s="58">
        <v>16</v>
      </c>
      <c r="BF18" s="136"/>
      <c r="BI18" s="58"/>
      <c r="BJ18" s="58"/>
      <c r="BK18" s="58"/>
      <c r="BL18" s="139"/>
      <c r="BM18" s="48"/>
      <c r="BN18" s="6"/>
      <c r="BO18" s="58"/>
      <c r="BP18" s="58"/>
      <c r="CU18" s="6">
        <v>1</v>
      </c>
      <c r="CV18" s="6" t="s">
        <v>93</v>
      </c>
      <c r="CW18" s="6">
        <v>2013</v>
      </c>
      <c r="CX18" s="6">
        <v>125242</v>
      </c>
      <c r="CY18" s="58" t="s">
        <v>15</v>
      </c>
      <c r="CZ18" s="58" t="s">
        <v>15</v>
      </c>
      <c r="DA18" s="58" t="s">
        <v>15</v>
      </c>
      <c r="DB18" s="58" t="s">
        <v>15</v>
      </c>
      <c r="DC18" s="145">
        <v>1.05</v>
      </c>
      <c r="DD18" s="144">
        <v>1.02</v>
      </c>
      <c r="DE18" s="144">
        <v>1.08</v>
      </c>
      <c r="DF18" s="58" t="s">
        <v>15</v>
      </c>
    </row>
    <row r="19" spans="1:110" x14ac:dyDescent="0.2">
      <c r="A19" s="185"/>
      <c r="B19" s="186"/>
      <c r="C19" s="186"/>
      <c r="D19" s="185"/>
      <c r="E19" s="185"/>
      <c r="F19" s="187"/>
      <c r="G19" s="185"/>
      <c r="H19" s="185"/>
      <c r="I19" s="185"/>
      <c r="J19" s="185"/>
      <c r="K19" s="185"/>
      <c r="L19" s="185"/>
      <c r="O19" s="184" t="s">
        <v>537</v>
      </c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C19" s="58">
        <v>17</v>
      </c>
      <c r="AD19" s="136" t="s">
        <v>107</v>
      </c>
      <c r="AE19">
        <v>2022</v>
      </c>
      <c r="AF19" s="58">
        <v>291276</v>
      </c>
      <c r="AG19" s="58" t="s">
        <v>15</v>
      </c>
      <c r="AH19" s="58" t="s">
        <v>15</v>
      </c>
      <c r="AI19" s="58" t="s">
        <v>15</v>
      </c>
      <c r="AJ19" s="139" t="s">
        <v>15</v>
      </c>
      <c r="AK19" s="48">
        <v>0.7</v>
      </c>
      <c r="AL19" s="6">
        <v>0.57999999999999996</v>
      </c>
      <c r="AM19" s="58">
        <v>0.85</v>
      </c>
      <c r="AN19" s="58" t="s">
        <v>15</v>
      </c>
      <c r="CU19" s="6">
        <v>2</v>
      </c>
      <c r="CV19" s="6" t="s">
        <v>99</v>
      </c>
      <c r="CW19" s="136">
        <v>2015</v>
      </c>
      <c r="CX19" s="6">
        <v>1073</v>
      </c>
      <c r="CY19" s="58" t="s">
        <v>15</v>
      </c>
      <c r="CZ19" s="58" t="s">
        <v>15</v>
      </c>
      <c r="DA19" s="58" t="s">
        <v>15</v>
      </c>
      <c r="DB19" s="58" t="s">
        <v>15</v>
      </c>
      <c r="DC19" s="144">
        <v>1.28</v>
      </c>
      <c r="DD19" s="144">
        <v>0.52</v>
      </c>
      <c r="DE19" s="58">
        <v>3.12</v>
      </c>
      <c r="DF19" s="146" t="s">
        <v>15</v>
      </c>
    </row>
    <row r="20" spans="1:110" x14ac:dyDescent="0.2">
      <c r="O20" s="58" t="s">
        <v>448</v>
      </c>
      <c r="P20" s="58" t="s">
        <v>449</v>
      </c>
      <c r="Q20" s="58" t="s">
        <v>450</v>
      </c>
      <c r="R20" s="58" t="s">
        <v>451</v>
      </c>
      <c r="S20" s="58" t="s">
        <v>452</v>
      </c>
      <c r="T20" s="58" t="s">
        <v>453</v>
      </c>
      <c r="U20" s="58" t="s">
        <v>454</v>
      </c>
      <c r="V20" s="58" t="s">
        <v>455</v>
      </c>
      <c r="W20" s="58" t="s">
        <v>151</v>
      </c>
      <c r="X20" s="58" t="s">
        <v>620</v>
      </c>
      <c r="Y20" s="58" t="s">
        <v>621</v>
      </c>
      <c r="Z20" s="58" t="s">
        <v>622</v>
      </c>
    </row>
    <row r="21" spans="1:110" x14ac:dyDescent="0.2">
      <c r="O21" s="6">
        <v>1</v>
      </c>
      <c r="P21" s="6" t="s">
        <v>133</v>
      </c>
      <c r="Q21" s="6">
        <v>2023</v>
      </c>
      <c r="R21" s="6">
        <v>53279</v>
      </c>
      <c r="S21" s="58">
        <v>48</v>
      </c>
      <c r="T21" s="58">
        <f>227 - 48</f>
        <v>179</v>
      </c>
      <c r="U21" s="58">
        <v>6757</v>
      </c>
      <c r="V21" s="58">
        <f>47693-6757</f>
        <v>40936</v>
      </c>
      <c r="W21" s="18">
        <v>1.49</v>
      </c>
      <c r="X21" s="18">
        <v>1.05</v>
      </c>
      <c r="Y21" s="139">
        <v>2.1</v>
      </c>
      <c r="Z21" s="58" t="s">
        <v>520</v>
      </c>
      <c r="CU21" s="184" t="s">
        <v>538</v>
      </c>
      <c r="CV21" s="184"/>
      <c r="CW21" s="184"/>
      <c r="CX21" s="184"/>
      <c r="CY21" s="184"/>
      <c r="CZ21" s="184"/>
      <c r="DA21" s="184"/>
      <c r="DB21" s="184"/>
      <c r="DC21" s="184"/>
      <c r="DD21" s="184"/>
      <c r="DE21" s="184"/>
      <c r="DF21" s="184"/>
    </row>
    <row r="22" spans="1:110" x14ac:dyDescent="0.2">
      <c r="O22" s="6">
        <v>2</v>
      </c>
      <c r="P22" s="6" t="s">
        <v>63</v>
      </c>
      <c r="Q22" s="6">
        <v>2021</v>
      </c>
      <c r="R22" s="6">
        <v>346141</v>
      </c>
      <c r="S22" s="58">
        <v>213</v>
      </c>
      <c r="T22" s="58">
        <f>1073 - 213</f>
        <v>860</v>
      </c>
      <c r="U22" s="58">
        <v>40083</v>
      </c>
      <c r="V22" s="58">
        <f>324194 - 40083</f>
        <v>284111</v>
      </c>
      <c r="W22" s="18">
        <v>1.6739999999999999</v>
      </c>
      <c r="X22" s="18">
        <v>1.29</v>
      </c>
      <c r="Y22" s="58">
        <v>2.173</v>
      </c>
      <c r="Z22" s="146" t="s">
        <v>463</v>
      </c>
      <c r="CU22" s="58" t="s">
        <v>448</v>
      </c>
      <c r="CV22" s="58" t="s">
        <v>449</v>
      </c>
      <c r="CW22" s="58" t="s">
        <v>450</v>
      </c>
      <c r="CX22" s="58" t="s">
        <v>451</v>
      </c>
      <c r="CY22" s="58" t="s">
        <v>452</v>
      </c>
      <c r="CZ22" s="58" t="s">
        <v>453</v>
      </c>
      <c r="DA22" s="58" t="s">
        <v>454</v>
      </c>
      <c r="DB22" s="58" t="s">
        <v>455</v>
      </c>
      <c r="DC22" s="58" t="s">
        <v>151</v>
      </c>
      <c r="DD22" s="58" t="s">
        <v>620</v>
      </c>
      <c r="DE22" s="58" t="s">
        <v>621</v>
      </c>
      <c r="DF22" s="58" t="s">
        <v>622</v>
      </c>
    </row>
    <row r="23" spans="1:110" x14ac:dyDescent="0.2">
      <c r="CU23" s="6">
        <v>1</v>
      </c>
      <c r="CV23" s="6" t="s">
        <v>93</v>
      </c>
      <c r="CW23" s="6">
        <v>2013</v>
      </c>
      <c r="CX23" s="6">
        <v>125242</v>
      </c>
      <c r="CY23" s="58" t="s">
        <v>15</v>
      </c>
      <c r="CZ23" s="58" t="s">
        <v>15</v>
      </c>
      <c r="DA23" s="58" t="s">
        <v>15</v>
      </c>
      <c r="DB23" s="58" t="s">
        <v>15</v>
      </c>
      <c r="DC23" s="145">
        <v>0.76</v>
      </c>
      <c r="DD23" s="18">
        <v>0.71</v>
      </c>
      <c r="DE23" s="144">
        <v>0.82</v>
      </c>
      <c r="DF23" s="58" t="s">
        <v>15</v>
      </c>
    </row>
    <row r="24" spans="1:110" x14ac:dyDescent="0.2">
      <c r="CU24" s="6">
        <v>2</v>
      </c>
      <c r="CV24" s="6" t="s">
        <v>99</v>
      </c>
      <c r="CW24" s="136">
        <v>2015</v>
      </c>
      <c r="CX24" s="6">
        <v>1073</v>
      </c>
      <c r="CY24" s="58" t="s">
        <v>15</v>
      </c>
      <c r="CZ24" s="58" t="s">
        <v>15</v>
      </c>
      <c r="DA24" s="58" t="s">
        <v>15</v>
      </c>
      <c r="DB24" s="58" t="s">
        <v>15</v>
      </c>
      <c r="DC24" s="58">
        <v>0.44</v>
      </c>
      <c r="DD24" s="58">
        <v>0.1</v>
      </c>
      <c r="DE24" s="58">
        <v>1.87</v>
      </c>
      <c r="DF24" s="146" t="s">
        <v>15</v>
      </c>
    </row>
    <row r="26" spans="1:110" s="157" customFormat="1" x14ac:dyDescent="0.2"/>
    <row r="27" spans="1:110" x14ac:dyDescent="0.2">
      <c r="A27" s="184" t="s">
        <v>513</v>
      </c>
      <c r="B27" s="184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AC27" s="184" t="s">
        <v>515</v>
      </c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Q27" s="184" t="s">
        <v>516</v>
      </c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S27" s="184" t="s">
        <v>518</v>
      </c>
      <c r="BT27" s="184"/>
      <c r="BU27" s="184"/>
      <c r="BV27" s="184"/>
      <c r="BW27" s="184"/>
      <c r="BX27" s="184"/>
      <c r="BY27" s="184"/>
      <c r="BZ27" s="184"/>
      <c r="CA27" s="184"/>
      <c r="CB27" s="184"/>
      <c r="CC27" s="184"/>
      <c r="CD27" s="184"/>
    </row>
    <row r="28" spans="1:110" x14ac:dyDescent="0.2">
      <c r="A28" s="58" t="s">
        <v>448</v>
      </c>
      <c r="B28" s="58" t="s">
        <v>449</v>
      </c>
      <c r="C28" s="58" t="s">
        <v>450</v>
      </c>
      <c r="D28" s="58" t="s">
        <v>451</v>
      </c>
      <c r="E28" s="58" t="s">
        <v>452</v>
      </c>
      <c r="F28" s="58" t="s">
        <v>453</v>
      </c>
      <c r="G28" s="58" t="s">
        <v>454</v>
      </c>
      <c r="H28" s="58" t="s">
        <v>455</v>
      </c>
      <c r="I28" s="58" t="s">
        <v>151</v>
      </c>
      <c r="J28" s="58" t="s">
        <v>620</v>
      </c>
      <c r="K28" s="58" t="s">
        <v>621</v>
      </c>
      <c r="L28" s="58" t="s">
        <v>622</v>
      </c>
      <c r="AC28" s="58" t="s">
        <v>448</v>
      </c>
      <c r="AD28" s="58" t="s">
        <v>449</v>
      </c>
      <c r="AE28" s="58" t="s">
        <v>450</v>
      </c>
      <c r="AF28" s="58" t="s">
        <v>451</v>
      </c>
      <c r="AG28" s="58" t="s">
        <v>452</v>
      </c>
      <c r="AH28" s="58" t="s">
        <v>453</v>
      </c>
      <c r="AI28" s="58" t="s">
        <v>454</v>
      </c>
      <c r="AJ28" s="58" t="s">
        <v>455</v>
      </c>
      <c r="AK28" s="58" t="s">
        <v>151</v>
      </c>
      <c r="AL28" s="58" t="s">
        <v>620</v>
      </c>
      <c r="AM28" s="58" t="s">
        <v>621</v>
      </c>
      <c r="AN28" s="58" t="s">
        <v>622</v>
      </c>
      <c r="AQ28" s="58" t="s">
        <v>448</v>
      </c>
      <c r="AR28" s="58" t="s">
        <v>449</v>
      </c>
      <c r="AS28" s="58" t="s">
        <v>450</v>
      </c>
      <c r="AT28" s="58" t="s">
        <v>451</v>
      </c>
      <c r="AU28" s="58" t="s">
        <v>452</v>
      </c>
      <c r="AV28" s="58" t="s">
        <v>453</v>
      </c>
      <c r="AW28" s="58" t="s">
        <v>454</v>
      </c>
      <c r="AX28" s="58" t="s">
        <v>455</v>
      </c>
      <c r="AY28" s="58" t="s">
        <v>151</v>
      </c>
      <c r="AZ28" s="58" t="s">
        <v>620</v>
      </c>
      <c r="BA28" s="58" t="s">
        <v>621</v>
      </c>
      <c r="BB28" s="58" t="s">
        <v>622</v>
      </c>
      <c r="BS28" s="58" t="s">
        <v>448</v>
      </c>
      <c r="BT28" s="58" t="s">
        <v>449</v>
      </c>
      <c r="BU28" s="58" t="s">
        <v>450</v>
      </c>
      <c r="BV28" s="58" t="s">
        <v>451</v>
      </c>
      <c r="BW28" s="58" t="s">
        <v>452</v>
      </c>
      <c r="BX28" s="58" t="s">
        <v>453</v>
      </c>
      <c r="BY28" s="58" t="s">
        <v>454</v>
      </c>
      <c r="BZ28" s="58" t="s">
        <v>455</v>
      </c>
      <c r="CA28" s="58" t="s">
        <v>151</v>
      </c>
      <c r="CB28" s="58" t="s">
        <v>620</v>
      </c>
      <c r="CC28" s="58" t="s">
        <v>621</v>
      </c>
      <c r="CD28" s="58" t="s">
        <v>622</v>
      </c>
    </row>
    <row r="29" spans="1:110" x14ac:dyDescent="0.2">
      <c r="A29" s="58">
        <v>1</v>
      </c>
      <c r="B29" s="136" t="s">
        <v>133</v>
      </c>
      <c r="C29" s="136">
        <v>2023</v>
      </c>
      <c r="D29" s="58">
        <v>53279</v>
      </c>
      <c r="E29" s="58">
        <v>4831</v>
      </c>
      <c r="F29" s="58">
        <f>19811-4831</f>
        <v>14980</v>
      </c>
      <c r="G29" s="58">
        <v>3139</v>
      </c>
      <c r="H29" s="58">
        <f>13296-3139</f>
        <v>10157</v>
      </c>
      <c r="I29" s="6">
        <v>1.06</v>
      </c>
      <c r="J29" s="6">
        <v>1</v>
      </c>
      <c r="K29" s="58">
        <v>1.1200000000000001</v>
      </c>
      <c r="L29" s="139">
        <v>0.1</v>
      </c>
      <c r="AC29" s="58">
        <v>1</v>
      </c>
      <c r="AD29" s="136" t="s">
        <v>133</v>
      </c>
      <c r="AE29">
        <v>2023</v>
      </c>
      <c r="AF29" s="58">
        <v>53279</v>
      </c>
      <c r="AG29" s="58">
        <v>6390</v>
      </c>
      <c r="AH29" s="142">
        <f>26386 - 6390</f>
        <v>19996</v>
      </c>
      <c r="AI29" s="142">
        <v>1580</v>
      </c>
      <c r="AJ29" s="142">
        <f>6721 - 1580</f>
        <v>5141</v>
      </c>
      <c r="AK29" s="48">
        <v>1.04</v>
      </c>
      <c r="AL29" s="6">
        <v>0.98</v>
      </c>
      <c r="AM29" s="58">
        <v>1.1000000000000001</v>
      </c>
      <c r="AN29" s="58">
        <v>0.23</v>
      </c>
      <c r="AQ29" s="58">
        <v>1</v>
      </c>
      <c r="AR29" s="136" t="s">
        <v>63</v>
      </c>
      <c r="AS29">
        <v>2021</v>
      </c>
      <c r="AT29" s="58">
        <v>346141</v>
      </c>
      <c r="AU29" s="58" t="s">
        <v>15</v>
      </c>
      <c r="AV29" s="58" t="s">
        <v>15</v>
      </c>
      <c r="AW29" s="58" t="s">
        <v>15</v>
      </c>
      <c r="AX29" s="139" t="s">
        <v>15</v>
      </c>
      <c r="AY29" s="48">
        <v>1.1000000000000001</v>
      </c>
      <c r="AZ29" s="6">
        <v>1.05</v>
      </c>
      <c r="BA29" s="58">
        <v>1.1399999999999999</v>
      </c>
      <c r="BB29" s="58" t="s">
        <v>463</v>
      </c>
      <c r="BS29" s="58">
        <v>1</v>
      </c>
      <c r="BT29" s="143" t="s">
        <v>63</v>
      </c>
      <c r="BU29">
        <v>2021</v>
      </c>
      <c r="BV29">
        <v>346141</v>
      </c>
      <c r="BW29" s="142" t="s">
        <v>15</v>
      </c>
      <c r="BX29" s="142" t="s">
        <v>15</v>
      </c>
      <c r="BY29" s="142" t="s">
        <v>15</v>
      </c>
      <c r="BZ29" s="142" t="s">
        <v>15</v>
      </c>
      <c r="CA29" s="18">
        <v>0.93300000000000005</v>
      </c>
      <c r="CB29" s="18">
        <v>0.9</v>
      </c>
      <c r="CC29" s="58">
        <v>0.96799999999999997</v>
      </c>
      <c r="CD29" s="58" t="s">
        <v>15</v>
      </c>
    </row>
    <row r="30" spans="1:110" x14ac:dyDescent="0.2">
      <c r="A30" s="58">
        <v>2</v>
      </c>
      <c r="B30" s="136" t="s">
        <v>33</v>
      </c>
      <c r="C30" s="136">
        <v>2022</v>
      </c>
      <c r="D30" s="58">
        <v>27</v>
      </c>
      <c r="E30" s="58">
        <v>10</v>
      </c>
      <c r="F30" s="58">
        <v>5</v>
      </c>
      <c r="G30" s="58">
        <v>7</v>
      </c>
      <c r="H30" s="58">
        <v>5</v>
      </c>
      <c r="I30" s="18">
        <v>1.43</v>
      </c>
      <c r="J30" s="18">
        <v>0.3</v>
      </c>
      <c r="K30" s="58">
        <v>6.88</v>
      </c>
      <c r="L30" s="58">
        <v>0.24</v>
      </c>
      <c r="AC30" s="58">
        <v>2</v>
      </c>
      <c r="AD30" s="147" t="s">
        <v>63</v>
      </c>
      <c r="AE30" s="148">
        <v>2021</v>
      </c>
      <c r="AF30" s="149">
        <v>346141</v>
      </c>
      <c r="AG30" s="54">
        <f>23616+8751+4171</f>
        <v>36538</v>
      </c>
      <c r="AH30" s="54">
        <f>(173114-23616)+(77376-8751)+(36679-4171)</f>
        <v>250631</v>
      </c>
      <c r="AI30" s="54">
        <v>8049</v>
      </c>
      <c r="AJ30" s="149">
        <f>58972-8049</f>
        <v>50923</v>
      </c>
      <c r="AK30" s="54">
        <v>0.92</v>
      </c>
      <c r="AL30" s="54">
        <v>0.9</v>
      </c>
      <c r="AM30" s="58">
        <v>0.95</v>
      </c>
      <c r="AN30" s="146" t="s">
        <v>462</v>
      </c>
      <c r="AQ30" s="150">
        <v>2</v>
      </c>
      <c r="AR30" s="153" t="s">
        <v>78</v>
      </c>
      <c r="AS30" s="69">
        <v>2015</v>
      </c>
      <c r="AT30" s="150">
        <v>34196</v>
      </c>
      <c r="AU30" s="152">
        <v>4807</v>
      </c>
      <c r="AV30" s="152">
        <v>11628</v>
      </c>
      <c r="AW30" s="152">
        <v>4429</v>
      </c>
      <c r="AX30" s="152">
        <v>13332</v>
      </c>
      <c r="AY30" s="154">
        <v>1.24</v>
      </c>
      <c r="AZ30" s="150">
        <v>1.19</v>
      </c>
      <c r="BA30" s="150">
        <v>1.31</v>
      </c>
      <c r="BB30" s="150" t="s">
        <v>462</v>
      </c>
      <c r="BS30" s="150">
        <v>2</v>
      </c>
      <c r="BT30" s="151" t="s">
        <v>78</v>
      </c>
      <c r="BU30" s="71">
        <v>2015</v>
      </c>
      <c r="BV30" s="71">
        <v>28257</v>
      </c>
      <c r="BW30" s="155">
        <v>3633</v>
      </c>
      <c r="BX30" s="155">
        <v>14638</v>
      </c>
      <c r="BY30" s="155">
        <v>3118</v>
      </c>
      <c r="BZ30" s="155">
        <v>6867</v>
      </c>
      <c r="CA30" s="150">
        <v>0.55000000000000004</v>
      </c>
      <c r="CB30" s="150">
        <v>0.52</v>
      </c>
      <c r="CC30" s="150">
        <v>0.57999999999999996</v>
      </c>
      <c r="CD30" s="150" t="s">
        <v>462</v>
      </c>
    </row>
    <row r="31" spans="1:110" x14ac:dyDescent="0.2">
      <c r="A31" s="58">
        <v>3</v>
      </c>
      <c r="B31" s="136" t="s">
        <v>61</v>
      </c>
      <c r="C31" s="136">
        <v>2021</v>
      </c>
      <c r="D31" s="6">
        <v>40</v>
      </c>
      <c r="E31" s="6">
        <v>8</v>
      </c>
      <c r="F31" s="6">
        <f>19-8</f>
        <v>11</v>
      </c>
      <c r="G31" s="6">
        <v>2</v>
      </c>
      <c r="H31" s="6">
        <f>21-2</f>
        <v>19</v>
      </c>
      <c r="I31" s="58">
        <v>8.25</v>
      </c>
      <c r="J31" s="58">
        <v>1.8</v>
      </c>
      <c r="K31" s="58">
        <v>37.880000000000003</v>
      </c>
      <c r="L31" s="6">
        <v>2.75E-2</v>
      </c>
      <c r="AC31" s="58">
        <v>3</v>
      </c>
      <c r="AD31" s="136" t="s">
        <v>72</v>
      </c>
      <c r="AE31">
        <v>2022</v>
      </c>
      <c r="AF31" s="58">
        <v>1226</v>
      </c>
      <c r="AG31" s="58" t="s">
        <v>15</v>
      </c>
      <c r="AH31" s="58" t="s">
        <v>15</v>
      </c>
      <c r="AI31" s="58" t="s">
        <v>15</v>
      </c>
      <c r="AJ31" s="139" t="s">
        <v>15</v>
      </c>
      <c r="AK31" s="6">
        <v>0.38</v>
      </c>
      <c r="AL31" s="6">
        <v>0.28999999999999998</v>
      </c>
      <c r="AM31" s="58">
        <v>0.5</v>
      </c>
      <c r="AN31" s="58" t="s">
        <v>463</v>
      </c>
    </row>
    <row r="32" spans="1:110" x14ac:dyDescent="0.2">
      <c r="A32" s="58">
        <v>4</v>
      </c>
      <c r="B32" s="147" t="s">
        <v>63</v>
      </c>
      <c r="C32" s="147">
        <v>2021</v>
      </c>
      <c r="D32" s="54">
        <v>346141</v>
      </c>
      <c r="E32" s="54">
        <v>30250</v>
      </c>
      <c r="F32" s="54">
        <f>204134 - 30250</f>
        <v>173884</v>
      </c>
      <c r="G32" s="54">
        <v>14337</v>
      </c>
      <c r="H32" s="54">
        <f>142007 - 14337</f>
        <v>127670</v>
      </c>
      <c r="I32" s="56">
        <v>1.454</v>
      </c>
      <c r="J32" s="56">
        <v>1.3959999999999999</v>
      </c>
      <c r="K32" s="58">
        <v>1.5149999999999999</v>
      </c>
      <c r="L32" s="146" t="s">
        <v>463</v>
      </c>
      <c r="AC32" s="150">
        <v>4</v>
      </c>
      <c r="AD32" s="153" t="s">
        <v>78</v>
      </c>
      <c r="AE32" s="69">
        <v>2015</v>
      </c>
      <c r="AF32" s="150">
        <v>12998</v>
      </c>
      <c r="AG32" s="152">
        <v>2169</v>
      </c>
      <c r="AH32" s="152">
        <v>3251</v>
      </c>
      <c r="AI32" s="152">
        <v>3177</v>
      </c>
      <c r="AJ32" s="152">
        <v>4401</v>
      </c>
      <c r="AK32" s="150">
        <v>0.92</v>
      </c>
      <c r="AL32" s="150">
        <v>0.86</v>
      </c>
      <c r="AM32" s="150">
        <v>0.99</v>
      </c>
      <c r="AN32" s="150">
        <v>2.9499999999999998E-2</v>
      </c>
    </row>
    <row r="33" spans="1:40" x14ac:dyDescent="0.2">
      <c r="A33" s="150">
        <v>5</v>
      </c>
      <c r="B33" s="153" t="s">
        <v>78</v>
      </c>
      <c r="C33" s="153">
        <v>2015</v>
      </c>
      <c r="D33" s="150">
        <v>34430</v>
      </c>
      <c r="E33" s="152">
        <v>5511</v>
      </c>
      <c r="F33" s="152">
        <v>13494</v>
      </c>
      <c r="G33" s="152">
        <v>3658</v>
      </c>
      <c r="H33" s="152">
        <v>11767</v>
      </c>
      <c r="I33" s="156">
        <v>1.31</v>
      </c>
      <c r="J33" s="156">
        <v>1.25</v>
      </c>
      <c r="K33" s="150">
        <v>1.38</v>
      </c>
      <c r="L33" s="150" t="s">
        <v>462</v>
      </c>
      <c r="AC33" s="58">
        <v>5</v>
      </c>
      <c r="AD33" s="136" t="s">
        <v>102</v>
      </c>
      <c r="AE33">
        <v>2013</v>
      </c>
      <c r="AF33" s="58">
        <v>236</v>
      </c>
      <c r="AG33" s="142">
        <v>35</v>
      </c>
      <c r="AH33" s="142">
        <f>68-35</f>
        <v>33</v>
      </c>
      <c r="AI33" s="142">
        <v>75</v>
      </c>
      <c r="AJ33" s="142">
        <f>168-75</f>
        <v>93</v>
      </c>
      <c r="AK33" s="58">
        <v>1.31</v>
      </c>
      <c r="AL33" s="58">
        <v>0.75</v>
      </c>
      <c r="AM33" s="58">
        <v>2.31</v>
      </c>
      <c r="AN33" s="58">
        <v>0.34100000000000003</v>
      </c>
    </row>
    <row r="34" spans="1:40" x14ac:dyDescent="0.2">
      <c r="A34" s="58">
        <v>6</v>
      </c>
      <c r="B34" s="136" t="s">
        <v>107</v>
      </c>
      <c r="C34" s="136">
        <v>2022</v>
      </c>
      <c r="D34" s="58">
        <v>291276</v>
      </c>
      <c r="E34" s="58" t="s">
        <v>15</v>
      </c>
      <c r="F34" s="58" t="s">
        <v>15</v>
      </c>
      <c r="G34" s="58" t="s">
        <v>15</v>
      </c>
      <c r="H34" s="58" t="s">
        <v>15</v>
      </c>
      <c r="I34" s="18">
        <v>1.04</v>
      </c>
      <c r="J34" s="18">
        <v>0.92</v>
      </c>
      <c r="K34" s="58">
        <v>1.17</v>
      </c>
      <c r="L34" s="58" t="s">
        <v>15</v>
      </c>
      <c r="AC34" s="58">
        <v>6</v>
      </c>
      <c r="AD34" s="136" t="s">
        <v>107</v>
      </c>
      <c r="AE34">
        <v>2022</v>
      </c>
      <c r="AF34" s="58">
        <v>291276</v>
      </c>
      <c r="AG34" s="58" t="s">
        <v>15</v>
      </c>
      <c r="AH34" s="58" t="s">
        <v>15</v>
      </c>
      <c r="AI34" s="58" t="s">
        <v>15</v>
      </c>
      <c r="AJ34" s="139" t="s">
        <v>15</v>
      </c>
      <c r="AK34" s="48">
        <v>0.7</v>
      </c>
      <c r="AL34" s="6">
        <v>0.57999999999999996</v>
      </c>
      <c r="AM34" s="58">
        <v>0.85</v>
      </c>
      <c r="AN34" s="58" t="s">
        <v>15</v>
      </c>
    </row>
    <row r="77" spans="13:13" x14ac:dyDescent="0.2">
      <c r="M77" s="135"/>
    </row>
  </sheetData>
  <mergeCells count="19">
    <mergeCell ref="A27:L27"/>
    <mergeCell ref="AC27:AN27"/>
    <mergeCell ref="AQ27:BB27"/>
    <mergeCell ref="BS27:CD27"/>
    <mergeCell ref="CU11:DF11"/>
    <mergeCell ref="O13:Z13"/>
    <mergeCell ref="CU16:DF16"/>
    <mergeCell ref="O19:Z19"/>
    <mergeCell ref="CU21:DF21"/>
    <mergeCell ref="BS1:CD1"/>
    <mergeCell ref="CG1:CR1"/>
    <mergeCell ref="CU1:DF1"/>
    <mergeCell ref="CU6:DF6"/>
    <mergeCell ref="O7:Z7"/>
    <mergeCell ref="A1:L1"/>
    <mergeCell ref="O1:Z1"/>
    <mergeCell ref="AC1:AN1"/>
    <mergeCell ref="AQ1:BB1"/>
    <mergeCell ref="BE1:BP1"/>
  </mergeCells>
  <pageMargins left="0.7" right="0.7" top="0.78740157500000008" bottom="0.78740157500000008" header="0.3" footer="0.3"/>
  <pageSetup paperSize="9" firstPageNumber="2147483648" orientation="portrait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C26"/>
  <sheetViews>
    <sheetView workbookViewId="0">
      <selection activeCell="N23" sqref="N23"/>
    </sheetView>
  </sheetViews>
  <sheetFormatPr baseColWidth="10" defaultColWidth="8.83203125" defaultRowHeight="16" x14ac:dyDescent="0.2"/>
  <sheetData>
    <row r="1" spans="1:55" x14ac:dyDescent="0.2">
      <c r="A1" s="63"/>
      <c r="B1" s="63"/>
      <c r="C1" s="63"/>
      <c r="D1" s="6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Y1" s="64"/>
      <c r="AZ1" s="64"/>
      <c r="BA1" s="64"/>
      <c r="BB1" s="64"/>
      <c r="BC1" s="64"/>
    </row>
    <row r="2" spans="1:55" x14ac:dyDescent="0.2">
      <c r="A2" s="63" t="s">
        <v>155</v>
      </c>
      <c r="B2" s="63" t="s">
        <v>419</v>
      </c>
      <c r="C2" s="63" t="s">
        <v>151</v>
      </c>
      <c r="D2" s="63" t="s">
        <v>154</v>
      </c>
      <c r="E2" s="63"/>
      <c r="F2" s="63" t="s">
        <v>176</v>
      </c>
      <c r="G2" s="63" t="s">
        <v>419</v>
      </c>
      <c r="H2" s="63" t="s">
        <v>151</v>
      </c>
      <c r="I2" s="63" t="s">
        <v>154</v>
      </c>
      <c r="J2" s="63"/>
      <c r="K2" s="63" t="s">
        <v>158</v>
      </c>
      <c r="L2" s="63" t="s">
        <v>419</v>
      </c>
      <c r="M2" s="63" t="s">
        <v>151</v>
      </c>
      <c r="N2" s="63" t="s">
        <v>154</v>
      </c>
      <c r="O2" s="63"/>
      <c r="P2" s="63" t="s">
        <v>173</v>
      </c>
      <c r="Q2" s="63" t="s">
        <v>419</v>
      </c>
      <c r="R2" s="63" t="s">
        <v>151</v>
      </c>
      <c r="S2" s="63" t="s">
        <v>154</v>
      </c>
      <c r="T2" s="63"/>
      <c r="U2" s="63" t="s">
        <v>420</v>
      </c>
      <c r="V2" s="63" t="s">
        <v>419</v>
      </c>
      <c r="W2" s="63" t="s">
        <v>151</v>
      </c>
      <c r="X2" s="63" t="s">
        <v>154</v>
      </c>
      <c r="Y2" s="63"/>
      <c r="Z2" s="65" t="s">
        <v>421</v>
      </c>
      <c r="AA2" s="63" t="s">
        <v>419</v>
      </c>
      <c r="AB2" s="63" t="s">
        <v>151</v>
      </c>
      <c r="AC2" s="63" t="s">
        <v>154</v>
      </c>
      <c r="AD2" s="63"/>
      <c r="AE2" s="63" t="s">
        <v>223</v>
      </c>
      <c r="AF2" s="63" t="s">
        <v>419</v>
      </c>
      <c r="AG2" s="63" t="s">
        <v>151</v>
      </c>
      <c r="AH2" s="63" t="s">
        <v>154</v>
      </c>
      <c r="AI2" s="63"/>
      <c r="AJ2" s="63"/>
      <c r="AK2" s="65" t="s">
        <v>422</v>
      </c>
      <c r="AL2" s="63" t="s">
        <v>419</v>
      </c>
      <c r="AM2" s="158" t="s">
        <v>539</v>
      </c>
      <c r="AN2" s="63" t="s">
        <v>154</v>
      </c>
      <c r="AO2" s="63"/>
      <c r="AP2" s="63" t="s">
        <v>263</v>
      </c>
      <c r="AQ2" s="63" t="s">
        <v>419</v>
      </c>
      <c r="AR2" s="63" t="s">
        <v>151</v>
      </c>
      <c r="AS2" s="63" t="s">
        <v>154</v>
      </c>
      <c r="AU2" s="65" t="s">
        <v>423</v>
      </c>
      <c r="AV2" s="63" t="s">
        <v>419</v>
      </c>
      <c r="AW2" s="63" t="s">
        <v>151</v>
      </c>
      <c r="AX2" s="63" t="s">
        <v>154</v>
      </c>
      <c r="AY2" s="66"/>
      <c r="AZ2" s="66" t="s">
        <v>424</v>
      </c>
      <c r="BA2" s="66" t="s">
        <v>419</v>
      </c>
      <c r="BB2" s="66" t="s">
        <v>151</v>
      </c>
      <c r="BC2" s="66" t="s">
        <v>154</v>
      </c>
    </row>
    <row r="3" spans="1:55" x14ac:dyDescent="0.2">
      <c r="A3" s="63"/>
      <c r="B3" s="63"/>
      <c r="C3" s="22"/>
      <c r="D3" s="22"/>
      <c r="E3" s="22"/>
      <c r="F3" s="22"/>
      <c r="G3" s="22"/>
      <c r="H3" s="22"/>
      <c r="I3" s="22"/>
      <c r="J3" s="22"/>
      <c r="K3" s="63"/>
      <c r="L3" s="63"/>
      <c r="M3" s="63"/>
      <c r="N3" s="63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U3" s="22"/>
      <c r="AV3" s="22"/>
      <c r="AW3" s="22"/>
      <c r="AX3" s="22"/>
      <c r="AY3" s="64"/>
      <c r="AZ3" s="64"/>
      <c r="BA3" s="64"/>
      <c r="BB3" s="64"/>
      <c r="BC3" s="64"/>
    </row>
    <row r="4" spans="1:55" x14ac:dyDescent="0.2">
      <c r="A4" s="87" t="s">
        <v>195</v>
      </c>
      <c r="B4" s="6"/>
      <c r="F4" s="68" t="s">
        <v>180</v>
      </c>
      <c r="G4" s="6"/>
      <c r="K4" s="67" t="s">
        <v>159</v>
      </c>
      <c r="L4" s="23"/>
      <c r="P4" s="67" t="s">
        <v>174</v>
      </c>
      <c r="Q4" s="6"/>
      <c r="Z4" s="47" t="s">
        <v>201</v>
      </c>
      <c r="AA4" s="23"/>
      <c r="AE4" s="50" t="s">
        <v>425</v>
      </c>
      <c r="AF4" s="23"/>
      <c r="AK4" s="90" t="s">
        <v>112</v>
      </c>
      <c r="AP4" s="69" t="s">
        <v>264</v>
      </c>
      <c r="AQ4" s="70"/>
      <c r="AU4" s="69" t="s">
        <v>426</v>
      </c>
      <c r="AY4" s="70"/>
      <c r="AZ4" s="69" t="s">
        <v>427</v>
      </c>
      <c r="BA4" s="72"/>
      <c r="BB4" s="72"/>
      <c r="BC4" s="72"/>
    </row>
    <row r="5" spans="1:55" x14ac:dyDescent="0.2">
      <c r="A5" s="6"/>
      <c r="B5" s="6" t="s">
        <v>63</v>
      </c>
      <c r="C5" s="6">
        <v>0.95699999999999996</v>
      </c>
      <c r="D5" s="28" t="s">
        <v>198</v>
      </c>
      <c r="F5" s="6"/>
      <c r="G5" s="6" t="s">
        <v>63</v>
      </c>
      <c r="H5" s="6">
        <v>1.3180000000000001</v>
      </c>
      <c r="I5" s="28" t="s">
        <v>183</v>
      </c>
      <c r="K5" s="23"/>
      <c r="L5" s="6" t="s">
        <v>63</v>
      </c>
      <c r="M5" s="6">
        <v>0.56999999999999995</v>
      </c>
      <c r="N5" s="28" t="s">
        <v>208</v>
      </c>
      <c r="Q5" s="80" t="s">
        <v>63</v>
      </c>
      <c r="R5" s="70">
        <v>0.68</v>
      </c>
      <c r="S5" s="70" t="s">
        <v>540</v>
      </c>
      <c r="Z5" s="23"/>
      <c r="AA5" s="6" t="s">
        <v>63</v>
      </c>
      <c r="AB5" s="6">
        <v>1.839</v>
      </c>
      <c r="AC5" s="28" t="s">
        <v>204</v>
      </c>
      <c r="AE5" s="23"/>
      <c r="AF5" s="6" t="s">
        <v>63</v>
      </c>
      <c r="AG5" s="6">
        <v>0.84199999999999997</v>
      </c>
      <c r="AH5" s="28" t="s">
        <v>227</v>
      </c>
      <c r="AL5" s="77" t="s">
        <v>99</v>
      </c>
      <c r="AM5" s="77">
        <v>1.77</v>
      </c>
      <c r="AN5" s="77" t="s">
        <v>541</v>
      </c>
      <c r="AP5" s="70"/>
      <c r="AQ5" s="80" t="s">
        <v>72</v>
      </c>
      <c r="AR5" s="70">
        <v>0.59</v>
      </c>
      <c r="AS5" s="70" t="s">
        <v>542</v>
      </c>
      <c r="AV5" s="80" t="s">
        <v>63</v>
      </c>
      <c r="AW5" s="125">
        <v>0.65</v>
      </c>
      <c r="AX5" s="70" t="s">
        <v>543</v>
      </c>
      <c r="AY5" s="72"/>
      <c r="AZ5" s="72"/>
      <c r="BA5" s="70" t="s">
        <v>99</v>
      </c>
      <c r="BB5" s="70">
        <v>0.97</v>
      </c>
      <c r="BC5" s="70" t="s">
        <v>544</v>
      </c>
    </row>
    <row r="6" spans="1:55" x14ac:dyDescent="0.2">
      <c r="B6" s="70" t="s">
        <v>61</v>
      </c>
      <c r="C6" s="70">
        <v>0.36</v>
      </c>
      <c r="D6" s="70" t="s">
        <v>545</v>
      </c>
      <c r="F6" s="68" t="s">
        <v>185</v>
      </c>
      <c r="G6" s="6"/>
      <c r="I6" s="28"/>
      <c r="K6" s="67" t="s">
        <v>161</v>
      </c>
      <c r="L6" s="6"/>
      <c r="N6" s="28"/>
      <c r="Q6" s="75" t="s">
        <v>546</v>
      </c>
      <c r="R6" s="75">
        <v>1.1200000000000001</v>
      </c>
      <c r="S6" s="75" t="s">
        <v>547</v>
      </c>
      <c r="Z6" s="50" t="s">
        <v>343</v>
      </c>
      <c r="AA6" s="23"/>
      <c r="AK6" s="47" t="s">
        <v>279</v>
      </c>
      <c r="AL6" s="6"/>
      <c r="AP6" s="126" t="s">
        <v>436</v>
      </c>
    </row>
    <row r="7" spans="1:55" x14ac:dyDescent="0.2">
      <c r="F7" s="6"/>
      <c r="G7" s="6" t="s">
        <v>63</v>
      </c>
      <c r="H7" s="6">
        <v>1.552</v>
      </c>
      <c r="I7" s="28" t="s">
        <v>188</v>
      </c>
      <c r="K7" s="23"/>
      <c r="L7" s="6" t="s">
        <v>63</v>
      </c>
      <c r="M7" s="6">
        <v>0.41699999999999998</v>
      </c>
      <c r="N7" s="28" t="s">
        <v>221</v>
      </c>
      <c r="AA7" s="51" t="s">
        <v>63</v>
      </c>
      <c r="AB7" s="159">
        <f>1/1.839</f>
        <v>0.54377379010331706</v>
      </c>
      <c r="AC7" s="51" t="s">
        <v>548</v>
      </c>
      <c r="AK7" s="45"/>
      <c r="AL7" s="73" t="s">
        <v>93</v>
      </c>
      <c r="AM7" s="73">
        <v>0.74</v>
      </c>
      <c r="AN7" s="73" t="s">
        <v>282</v>
      </c>
      <c r="AQ7" s="160" t="s">
        <v>72</v>
      </c>
      <c r="AR7" s="70">
        <v>0.5</v>
      </c>
      <c r="AS7" s="70" t="s">
        <v>549</v>
      </c>
    </row>
    <row r="8" spans="1:55" x14ac:dyDescent="0.2">
      <c r="F8" s="68" t="s">
        <v>190</v>
      </c>
      <c r="G8" s="6"/>
      <c r="I8" s="28"/>
      <c r="K8" s="67" t="s">
        <v>163</v>
      </c>
      <c r="L8" s="6"/>
      <c r="N8" s="28"/>
      <c r="AB8" s="85"/>
      <c r="AL8" s="75" t="s">
        <v>99</v>
      </c>
      <c r="AM8" s="75">
        <v>0.45</v>
      </c>
      <c r="AN8" s="75" t="s">
        <v>550</v>
      </c>
    </row>
    <row r="9" spans="1:55" x14ac:dyDescent="0.2">
      <c r="F9" s="6"/>
      <c r="G9" s="6" t="s">
        <v>63</v>
      </c>
      <c r="H9" s="6">
        <v>1.7130000000000001</v>
      </c>
      <c r="I9" s="28" t="s">
        <v>193</v>
      </c>
      <c r="K9" s="23"/>
      <c r="L9" s="6" t="s">
        <v>63</v>
      </c>
      <c r="M9" s="6">
        <v>0.47899999999999998</v>
      </c>
      <c r="N9" s="28" t="s">
        <v>217</v>
      </c>
      <c r="AB9" s="85"/>
      <c r="AK9" s="47" t="s">
        <v>284</v>
      </c>
      <c r="AL9" s="6"/>
    </row>
    <row r="10" spans="1:55" x14ac:dyDescent="0.2">
      <c r="K10" s="87" t="s">
        <v>165</v>
      </c>
      <c r="L10" s="6"/>
      <c r="N10" s="28"/>
      <c r="AK10" s="45"/>
      <c r="AL10" s="73" t="s">
        <v>93</v>
      </c>
      <c r="AM10" s="73">
        <v>0.72</v>
      </c>
      <c r="AN10" s="73" t="s">
        <v>287</v>
      </c>
    </row>
    <row r="11" spans="1:55" x14ac:dyDescent="0.2">
      <c r="K11" s="23"/>
      <c r="L11" s="6" t="s">
        <v>63</v>
      </c>
      <c r="M11" s="6">
        <v>0.83</v>
      </c>
      <c r="N11" s="28" t="s">
        <v>212</v>
      </c>
      <c r="AL11" s="161" t="s">
        <v>99</v>
      </c>
      <c r="AM11" s="161">
        <v>0.56999999999999995</v>
      </c>
      <c r="AN11" s="161" t="s">
        <v>551</v>
      </c>
    </row>
    <row r="12" spans="1:55" x14ac:dyDescent="0.2">
      <c r="AK12" s="47" t="s">
        <v>439</v>
      </c>
      <c r="AL12" s="6"/>
    </row>
    <row r="13" spans="1:55" x14ac:dyDescent="0.2">
      <c r="AK13" s="45"/>
      <c r="AL13" s="73" t="s">
        <v>93</v>
      </c>
      <c r="AM13" s="73">
        <v>0.79</v>
      </c>
      <c r="AN13" s="73" t="s">
        <v>292</v>
      </c>
    </row>
    <row r="14" spans="1:55" x14ac:dyDescent="0.2">
      <c r="AL14" s="80" t="s">
        <v>99</v>
      </c>
      <c r="AM14" s="80">
        <v>0.7</v>
      </c>
      <c r="AN14" s="80" t="s">
        <v>552</v>
      </c>
    </row>
    <row r="15" spans="1:55" x14ac:dyDescent="0.2">
      <c r="AK15" s="47" t="s">
        <v>294</v>
      </c>
      <c r="AL15" s="6"/>
    </row>
    <row r="16" spans="1:55" x14ac:dyDescent="0.2">
      <c r="AL16" s="162" t="s">
        <v>93</v>
      </c>
      <c r="AM16" s="163">
        <v>1</v>
      </c>
      <c r="AN16" s="162" t="s">
        <v>297</v>
      </c>
    </row>
    <row r="17" spans="37:40" x14ac:dyDescent="0.2">
      <c r="AL17" s="75" t="s">
        <v>99</v>
      </c>
      <c r="AM17" s="75">
        <v>1.07</v>
      </c>
      <c r="AN17" s="75" t="s">
        <v>553</v>
      </c>
    </row>
    <row r="18" spans="37:40" x14ac:dyDescent="0.2">
      <c r="AK18" s="50" t="s">
        <v>299</v>
      </c>
      <c r="AL18" s="6"/>
    </row>
    <row r="19" spans="37:40" x14ac:dyDescent="0.2">
      <c r="AL19" s="76" t="s">
        <v>93</v>
      </c>
      <c r="AM19" s="76">
        <v>1.25</v>
      </c>
      <c r="AN19" s="76" t="s">
        <v>301</v>
      </c>
    </row>
    <row r="20" spans="37:40" x14ac:dyDescent="0.2">
      <c r="AL20" s="75" t="s">
        <v>99</v>
      </c>
      <c r="AM20" s="75">
        <v>1.86</v>
      </c>
      <c r="AN20" s="75" t="s">
        <v>554</v>
      </c>
    </row>
    <row r="21" spans="37:40" x14ac:dyDescent="0.2">
      <c r="AK21" s="50" t="s">
        <v>126</v>
      </c>
      <c r="AL21" s="6"/>
    </row>
    <row r="22" spans="37:40" x14ac:dyDescent="0.2">
      <c r="AL22" s="73" t="s">
        <v>93</v>
      </c>
      <c r="AM22" s="73">
        <v>0.64</v>
      </c>
      <c r="AN22" s="73" t="s">
        <v>305</v>
      </c>
    </row>
    <row r="23" spans="37:40" x14ac:dyDescent="0.2">
      <c r="AK23" s="90" t="s">
        <v>555</v>
      </c>
    </row>
    <row r="24" spans="37:40" x14ac:dyDescent="0.2">
      <c r="AL24" s="80" t="s">
        <v>99</v>
      </c>
      <c r="AM24" s="80">
        <v>0.26</v>
      </c>
      <c r="AN24" s="80" t="s">
        <v>556</v>
      </c>
    </row>
    <row r="25" spans="37:40" x14ac:dyDescent="0.2">
      <c r="AK25" s="164" t="s">
        <v>443</v>
      </c>
    </row>
    <row r="26" spans="37:40" x14ac:dyDescent="0.2">
      <c r="AL26" s="161" t="s">
        <v>99</v>
      </c>
      <c r="AM26" s="161">
        <v>0.45</v>
      </c>
      <c r="AN26" s="161" t="s">
        <v>550</v>
      </c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24"/>
  <sheetViews>
    <sheetView workbookViewId="0"/>
  </sheetViews>
  <sheetFormatPr baseColWidth="10" defaultColWidth="8.83203125" defaultRowHeight="16" x14ac:dyDescent="0.2"/>
  <sheetData>
    <row r="1" spans="1:43" x14ac:dyDescent="0.2">
      <c r="A1" s="184" t="s">
        <v>557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23"/>
      <c r="N1" s="184" t="s">
        <v>558</v>
      </c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23"/>
      <c r="AA1" s="184" t="s">
        <v>559</v>
      </c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</row>
    <row r="2" spans="1:43" x14ac:dyDescent="0.2">
      <c r="A2" s="91" t="s">
        <v>448</v>
      </c>
      <c r="B2" s="92" t="s">
        <v>449</v>
      </c>
      <c r="C2" s="92" t="s">
        <v>450</v>
      </c>
      <c r="D2" s="92" t="s">
        <v>451</v>
      </c>
      <c r="E2" s="92" t="s">
        <v>452</v>
      </c>
      <c r="F2" s="92" t="s">
        <v>453</v>
      </c>
      <c r="G2" s="92" t="s">
        <v>454</v>
      </c>
      <c r="H2" s="92" t="s">
        <v>455</v>
      </c>
      <c r="I2" s="92" t="s">
        <v>151</v>
      </c>
      <c r="J2" s="92" t="s">
        <v>456</v>
      </c>
      <c r="K2" s="92" t="s">
        <v>457</v>
      </c>
      <c r="L2" s="93" t="s">
        <v>458</v>
      </c>
      <c r="M2" s="165"/>
      <c r="N2" s="91" t="s">
        <v>448</v>
      </c>
      <c r="O2" s="92" t="s">
        <v>449</v>
      </c>
      <c r="P2" s="92" t="s">
        <v>450</v>
      </c>
      <c r="Q2" s="92" t="s">
        <v>451</v>
      </c>
      <c r="R2" s="92" t="s">
        <v>452</v>
      </c>
      <c r="S2" s="92" t="s">
        <v>453</v>
      </c>
      <c r="T2" s="92" t="s">
        <v>454</v>
      </c>
      <c r="U2" s="92" t="s">
        <v>455</v>
      </c>
      <c r="V2" s="92" t="s">
        <v>151</v>
      </c>
      <c r="W2" s="92" t="s">
        <v>456</v>
      </c>
      <c r="X2" s="92" t="s">
        <v>457</v>
      </c>
      <c r="Y2" s="93" t="s">
        <v>458</v>
      </c>
      <c r="Z2" s="165"/>
      <c r="AA2" s="91" t="s">
        <v>448</v>
      </c>
      <c r="AB2" s="92" t="s">
        <v>449</v>
      </c>
      <c r="AC2" s="92" t="s">
        <v>450</v>
      </c>
      <c r="AD2" s="92" t="s">
        <v>451</v>
      </c>
      <c r="AE2" s="92" t="s">
        <v>452</v>
      </c>
      <c r="AF2" s="92" t="s">
        <v>453</v>
      </c>
      <c r="AG2" s="92" t="s">
        <v>454</v>
      </c>
      <c r="AH2" s="92" t="s">
        <v>455</v>
      </c>
      <c r="AI2" s="92" t="s">
        <v>151</v>
      </c>
      <c r="AJ2" s="92" t="s">
        <v>456</v>
      </c>
      <c r="AK2" s="92" t="s">
        <v>457</v>
      </c>
      <c r="AL2" s="93" t="s">
        <v>458</v>
      </c>
    </row>
    <row r="3" spans="1:43" x14ac:dyDescent="0.2">
      <c r="A3" s="94">
        <v>1</v>
      </c>
      <c r="B3" s="53" t="s">
        <v>61</v>
      </c>
      <c r="C3" s="102">
        <v>2021</v>
      </c>
      <c r="D3" s="53">
        <v>40</v>
      </c>
      <c r="E3" s="53">
        <v>4</v>
      </c>
      <c r="F3" s="53">
        <f>19-4</f>
        <v>15</v>
      </c>
      <c r="G3" s="53">
        <v>9</v>
      </c>
      <c r="H3" s="53">
        <f>21-9</f>
        <v>12</v>
      </c>
      <c r="I3" s="103">
        <v>0.36</v>
      </c>
      <c r="J3" s="101">
        <v>0.09</v>
      </c>
      <c r="K3" s="53">
        <v>1.44</v>
      </c>
      <c r="L3" s="95">
        <v>0.14799999999999999</v>
      </c>
      <c r="M3" s="166"/>
      <c r="N3" s="94">
        <v>1</v>
      </c>
      <c r="O3" s="53" t="s">
        <v>63</v>
      </c>
      <c r="P3" s="102">
        <v>2021</v>
      </c>
      <c r="Q3" s="53">
        <v>346141</v>
      </c>
      <c r="R3" s="53">
        <f>73156+35835+18227</f>
        <v>127218</v>
      </c>
      <c r="S3" s="53">
        <f>(173114-73156)+(77376-35835)+(36679-18227)</f>
        <v>159951</v>
      </c>
      <c r="T3" s="53">
        <v>31759</v>
      </c>
      <c r="U3" s="53">
        <f>58972-31759</f>
        <v>27213</v>
      </c>
      <c r="V3" s="103">
        <v>0.68</v>
      </c>
      <c r="W3" s="103">
        <v>0.67</v>
      </c>
      <c r="X3" s="103">
        <v>0.69</v>
      </c>
      <c r="Y3" s="95" t="s">
        <v>462</v>
      </c>
      <c r="Z3" s="166"/>
      <c r="AA3" s="94">
        <v>1</v>
      </c>
      <c r="AB3" s="53" t="s">
        <v>93</v>
      </c>
      <c r="AC3" s="53">
        <v>2013</v>
      </c>
      <c r="AD3" s="53">
        <v>125242</v>
      </c>
      <c r="AE3" s="53" t="s">
        <v>15</v>
      </c>
      <c r="AF3" s="53" t="s">
        <v>15</v>
      </c>
      <c r="AG3" s="53" t="s">
        <v>15</v>
      </c>
      <c r="AH3" s="53" t="s">
        <v>15</v>
      </c>
      <c r="AI3" s="103">
        <v>0.74</v>
      </c>
      <c r="AJ3" s="103">
        <v>0.69</v>
      </c>
      <c r="AK3" s="103">
        <v>0.79</v>
      </c>
      <c r="AL3" s="95" t="s">
        <v>15</v>
      </c>
      <c r="AN3" s="47"/>
      <c r="AO3" s="6"/>
      <c r="AP3" s="23"/>
      <c r="AQ3" s="23"/>
    </row>
    <row r="4" spans="1:43" x14ac:dyDescent="0.2">
      <c r="A4" s="94">
        <v>2</v>
      </c>
      <c r="B4" s="53" t="s">
        <v>63</v>
      </c>
      <c r="C4" s="102">
        <v>2021</v>
      </c>
      <c r="D4" s="53">
        <v>346141</v>
      </c>
      <c r="E4" s="53">
        <v>86968</v>
      </c>
      <c r="F4" s="53">
        <f>204134-86968</f>
        <v>117166</v>
      </c>
      <c r="G4" s="53">
        <v>72009</v>
      </c>
      <c r="H4" s="53">
        <f>142007-72009</f>
        <v>69998</v>
      </c>
      <c r="I4" s="56">
        <v>0.95699999999999996</v>
      </c>
      <c r="J4" s="56">
        <v>0.93400000000000005</v>
      </c>
      <c r="K4" s="53">
        <v>0.98</v>
      </c>
      <c r="L4" s="95" t="s">
        <v>462</v>
      </c>
      <c r="M4" s="166"/>
      <c r="N4" s="94">
        <v>2</v>
      </c>
      <c r="O4" s="53" t="s">
        <v>102</v>
      </c>
      <c r="P4" s="167">
        <v>2013</v>
      </c>
      <c r="Q4" s="53">
        <v>236</v>
      </c>
      <c r="R4" s="53">
        <v>18</v>
      </c>
      <c r="S4" s="53">
        <f>68-18</f>
        <v>50</v>
      </c>
      <c r="T4" s="53">
        <v>41</v>
      </c>
      <c r="U4" s="53">
        <f>168-41</f>
        <v>127</v>
      </c>
      <c r="V4" s="56">
        <v>1.1200000000000001</v>
      </c>
      <c r="W4" s="56">
        <v>0.59</v>
      </c>
      <c r="X4" s="53">
        <v>2.12</v>
      </c>
      <c r="Y4" s="95">
        <v>0.78100000000000003</v>
      </c>
      <c r="Z4" s="166"/>
      <c r="AA4" s="94">
        <v>2</v>
      </c>
      <c r="AB4" s="53" t="s">
        <v>99</v>
      </c>
      <c r="AC4" s="53">
        <v>2015</v>
      </c>
      <c r="AD4" s="53">
        <v>1073</v>
      </c>
      <c r="AE4" s="53" t="s">
        <v>15</v>
      </c>
      <c r="AF4" s="53" t="s">
        <v>15</v>
      </c>
      <c r="AG4" s="53" t="s">
        <v>15</v>
      </c>
      <c r="AH4" s="53" t="s">
        <v>15</v>
      </c>
      <c r="AI4" s="56">
        <v>0.45</v>
      </c>
      <c r="AJ4" s="56">
        <v>0.17</v>
      </c>
      <c r="AK4" s="53">
        <v>1.21</v>
      </c>
      <c r="AL4" s="95" t="s">
        <v>15</v>
      </c>
      <c r="AN4" s="45"/>
      <c r="AO4" s="6"/>
      <c r="AP4" s="6"/>
      <c r="AQ4" s="6"/>
    </row>
    <row r="5" spans="1:43" x14ac:dyDescent="0.2">
      <c r="A5" s="168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23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23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168"/>
      <c r="AL5" s="168"/>
      <c r="AN5" s="23"/>
      <c r="AO5" s="169"/>
      <c r="AP5" s="169"/>
      <c r="AQ5" s="169"/>
    </row>
    <row r="6" spans="1:43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169"/>
      <c r="R6" s="169"/>
      <c r="S6" s="169"/>
      <c r="T6" s="23"/>
      <c r="U6" s="23"/>
      <c r="V6" s="23"/>
      <c r="W6" s="23"/>
      <c r="X6" s="23"/>
      <c r="Y6" s="23"/>
      <c r="Z6" s="23"/>
      <c r="AA6" s="184" t="s">
        <v>560</v>
      </c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N6" s="47"/>
      <c r="AO6" s="6"/>
      <c r="AP6" s="23"/>
      <c r="AQ6" s="23"/>
    </row>
    <row r="7" spans="1:43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169"/>
      <c r="R7" s="169"/>
      <c r="S7" s="169"/>
      <c r="T7" s="23"/>
      <c r="U7" s="23"/>
      <c r="V7" s="23"/>
      <c r="W7" s="23"/>
      <c r="X7" s="23"/>
      <c r="Y7" s="23"/>
      <c r="Z7" s="23"/>
      <c r="AA7" s="91" t="s">
        <v>448</v>
      </c>
      <c r="AB7" s="92" t="s">
        <v>449</v>
      </c>
      <c r="AC7" s="92" t="s">
        <v>450</v>
      </c>
      <c r="AD7" s="92" t="s">
        <v>451</v>
      </c>
      <c r="AE7" s="92" t="s">
        <v>452</v>
      </c>
      <c r="AF7" s="92" t="s">
        <v>453</v>
      </c>
      <c r="AG7" s="92" t="s">
        <v>454</v>
      </c>
      <c r="AH7" s="92" t="s">
        <v>455</v>
      </c>
      <c r="AI7" s="92" t="s">
        <v>151</v>
      </c>
      <c r="AJ7" s="92" t="s">
        <v>456</v>
      </c>
      <c r="AK7" s="92" t="s">
        <v>457</v>
      </c>
      <c r="AL7" s="93" t="s">
        <v>458</v>
      </c>
      <c r="AN7" s="45"/>
      <c r="AO7" s="6"/>
      <c r="AP7" s="6"/>
      <c r="AQ7" s="6"/>
    </row>
    <row r="8" spans="1:43" x14ac:dyDescent="0.2">
      <c r="A8" s="23"/>
      <c r="B8" s="23"/>
      <c r="C8" s="23"/>
      <c r="D8" s="23"/>
      <c r="E8" s="23"/>
      <c r="F8" s="23"/>
      <c r="G8" s="23"/>
      <c r="H8" s="23"/>
      <c r="I8" s="6"/>
      <c r="J8" s="6"/>
      <c r="K8" s="28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70"/>
      <c r="AA8" s="94">
        <v>1</v>
      </c>
      <c r="AB8" s="53" t="s">
        <v>93</v>
      </c>
      <c r="AC8" s="53">
        <v>2013</v>
      </c>
      <c r="AD8" s="53">
        <v>125242</v>
      </c>
      <c r="AE8" s="53" t="s">
        <v>15</v>
      </c>
      <c r="AF8" s="53" t="s">
        <v>15</v>
      </c>
      <c r="AG8" s="53" t="s">
        <v>15</v>
      </c>
      <c r="AH8" s="53" t="s">
        <v>465</v>
      </c>
      <c r="AI8" s="103">
        <v>0.72</v>
      </c>
      <c r="AJ8" s="103">
        <v>0.69</v>
      </c>
      <c r="AK8" s="103">
        <v>0.75</v>
      </c>
      <c r="AL8" s="95" t="s">
        <v>15</v>
      </c>
      <c r="AN8" s="23"/>
      <c r="AO8" s="169"/>
      <c r="AP8" s="169"/>
      <c r="AQ8" s="169"/>
    </row>
    <row r="9" spans="1:43" x14ac:dyDescent="0.2">
      <c r="A9" s="23"/>
      <c r="B9" s="23"/>
      <c r="C9" s="23"/>
      <c r="D9" s="23"/>
      <c r="E9" s="23"/>
      <c r="F9" s="23"/>
      <c r="G9" s="23"/>
      <c r="H9" s="23"/>
      <c r="I9" s="169"/>
      <c r="J9" s="169"/>
      <c r="K9" s="169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70"/>
      <c r="AA9" s="94">
        <v>2</v>
      </c>
      <c r="AB9" s="53" t="s">
        <v>99</v>
      </c>
      <c r="AC9" s="53">
        <v>2015</v>
      </c>
      <c r="AD9" s="53">
        <v>1073</v>
      </c>
      <c r="AE9" s="53" t="s">
        <v>15</v>
      </c>
      <c r="AF9" s="53" t="s">
        <v>15</v>
      </c>
      <c r="AG9" s="53" t="s">
        <v>15</v>
      </c>
      <c r="AH9" s="53" t="s">
        <v>15</v>
      </c>
      <c r="AI9" s="56">
        <v>0.56999999999999995</v>
      </c>
      <c r="AJ9" s="56">
        <v>0.32</v>
      </c>
      <c r="AK9" s="53">
        <v>1.02</v>
      </c>
      <c r="AL9" s="95" t="s">
        <v>15</v>
      </c>
      <c r="AN9" s="47"/>
      <c r="AO9" s="6"/>
      <c r="AP9" s="23"/>
      <c r="AQ9" s="23"/>
    </row>
    <row r="10" spans="1:43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N10" s="45"/>
      <c r="AO10" s="6"/>
      <c r="AP10" s="6"/>
      <c r="AQ10" s="6"/>
    </row>
    <row r="11" spans="1:43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184" t="s">
        <v>561</v>
      </c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N11" s="23"/>
      <c r="AO11" s="169"/>
      <c r="AP11" s="169"/>
      <c r="AQ11" s="169"/>
    </row>
    <row r="12" spans="1:43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91" t="s">
        <v>448</v>
      </c>
      <c r="AB12" s="92" t="s">
        <v>449</v>
      </c>
      <c r="AC12" s="92" t="s">
        <v>450</v>
      </c>
      <c r="AD12" s="92" t="s">
        <v>451</v>
      </c>
      <c r="AE12" s="92" t="s">
        <v>452</v>
      </c>
      <c r="AF12" s="92" t="s">
        <v>453</v>
      </c>
      <c r="AG12" s="92" t="s">
        <v>454</v>
      </c>
      <c r="AH12" s="92" t="s">
        <v>455</v>
      </c>
      <c r="AI12" s="92" t="s">
        <v>151</v>
      </c>
      <c r="AJ12" s="92" t="s">
        <v>456</v>
      </c>
      <c r="AK12" s="92" t="s">
        <v>457</v>
      </c>
      <c r="AL12" s="93" t="s">
        <v>458</v>
      </c>
      <c r="AN12" s="47"/>
      <c r="AO12" s="6"/>
      <c r="AP12" s="23"/>
      <c r="AQ12" s="23"/>
    </row>
    <row r="13" spans="1:43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170"/>
      <c r="AA13" s="94">
        <v>1</v>
      </c>
      <c r="AB13" s="53" t="s">
        <v>93</v>
      </c>
      <c r="AC13" s="53">
        <v>2013</v>
      </c>
      <c r="AD13" s="53">
        <v>125242</v>
      </c>
      <c r="AE13" s="53" t="s">
        <v>15</v>
      </c>
      <c r="AF13" s="53" t="s">
        <v>15</v>
      </c>
      <c r="AG13" s="53" t="s">
        <v>15</v>
      </c>
      <c r="AH13" s="53" t="s">
        <v>15</v>
      </c>
      <c r="AI13" s="103">
        <v>0.79</v>
      </c>
      <c r="AJ13" s="103">
        <v>0.77</v>
      </c>
      <c r="AK13" s="103">
        <v>0.81</v>
      </c>
      <c r="AL13" s="95" t="s">
        <v>15</v>
      </c>
      <c r="AN13" s="23"/>
      <c r="AO13" s="6"/>
      <c r="AP13" s="48"/>
      <c r="AQ13" s="6"/>
    </row>
    <row r="14" spans="1:43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170"/>
      <c r="AA14" s="94">
        <v>2</v>
      </c>
      <c r="AB14" s="53" t="s">
        <v>99</v>
      </c>
      <c r="AC14" s="53">
        <v>2015</v>
      </c>
      <c r="AD14" s="53">
        <v>1073</v>
      </c>
      <c r="AE14" s="53" t="s">
        <v>15</v>
      </c>
      <c r="AF14" s="53" t="s">
        <v>15</v>
      </c>
      <c r="AG14" s="53" t="s">
        <v>15</v>
      </c>
      <c r="AH14" s="53" t="s">
        <v>15</v>
      </c>
      <c r="AI14" s="56">
        <v>0.7</v>
      </c>
      <c r="AJ14" s="56">
        <v>0.44</v>
      </c>
      <c r="AK14" s="53">
        <v>1.1200000000000001</v>
      </c>
      <c r="AL14" s="95" t="s">
        <v>15</v>
      </c>
      <c r="AN14" s="23"/>
      <c r="AO14" s="169"/>
      <c r="AP14" s="169"/>
      <c r="AQ14" s="169"/>
    </row>
    <row r="15" spans="1:43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N15" s="50"/>
      <c r="AO15" s="6"/>
      <c r="AP15" s="23"/>
      <c r="AQ15" s="23"/>
    </row>
    <row r="16" spans="1:43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184" t="s">
        <v>562</v>
      </c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N16" s="23"/>
      <c r="AO16" s="6"/>
      <c r="AP16" s="6"/>
      <c r="AQ16" s="6"/>
    </row>
    <row r="17" spans="1:43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91" t="s">
        <v>448</v>
      </c>
      <c r="AB17" s="92" t="s">
        <v>449</v>
      </c>
      <c r="AC17" s="92" t="s">
        <v>450</v>
      </c>
      <c r="AD17" s="92" t="s">
        <v>451</v>
      </c>
      <c r="AE17" s="92" t="s">
        <v>452</v>
      </c>
      <c r="AF17" s="92" t="s">
        <v>453</v>
      </c>
      <c r="AG17" s="92" t="s">
        <v>454</v>
      </c>
      <c r="AH17" s="92" t="s">
        <v>455</v>
      </c>
      <c r="AI17" s="92" t="s">
        <v>151</v>
      </c>
      <c r="AJ17" s="92" t="s">
        <v>456</v>
      </c>
      <c r="AK17" s="92" t="s">
        <v>457</v>
      </c>
      <c r="AL17" s="93" t="s">
        <v>458</v>
      </c>
      <c r="AN17" s="23"/>
      <c r="AO17" s="169"/>
      <c r="AP17" s="169"/>
      <c r="AQ17" s="169"/>
    </row>
    <row r="18" spans="1:43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170"/>
      <c r="AA18" s="94">
        <v>1</v>
      </c>
      <c r="AB18" s="53" t="s">
        <v>93</v>
      </c>
      <c r="AC18" s="53">
        <v>2013</v>
      </c>
      <c r="AD18" s="53">
        <v>125242</v>
      </c>
      <c r="AE18" s="53" t="s">
        <v>15</v>
      </c>
      <c r="AF18" s="53" t="s">
        <v>15</v>
      </c>
      <c r="AG18" s="53" t="s">
        <v>15</v>
      </c>
      <c r="AH18" s="53" t="s">
        <v>15</v>
      </c>
      <c r="AI18" s="103">
        <v>1</v>
      </c>
      <c r="AJ18" s="103">
        <v>0.98</v>
      </c>
      <c r="AK18" s="103">
        <v>1.03</v>
      </c>
      <c r="AL18" s="95" t="s">
        <v>15</v>
      </c>
      <c r="AO18" s="23"/>
      <c r="AP18" s="23"/>
      <c r="AQ18" s="23"/>
    </row>
    <row r="19" spans="1:43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170"/>
      <c r="AA19" s="94">
        <v>2</v>
      </c>
      <c r="AB19" s="53" t="s">
        <v>99</v>
      </c>
      <c r="AC19" s="53">
        <v>2015</v>
      </c>
      <c r="AD19" s="53">
        <v>1073</v>
      </c>
      <c r="AE19" s="53" t="s">
        <v>15</v>
      </c>
      <c r="AF19" s="53" t="s">
        <v>15</v>
      </c>
      <c r="AG19" s="53" t="s">
        <v>15</v>
      </c>
      <c r="AH19" s="53" t="s">
        <v>468</v>
      </c>
      <c r="AI19" s="56">
        <v>1.07</v>
      </c>
      <c r="AJ19" s="56">
        <v>0.56000000000000005</v>
      </c>
      <c r="AK19" s="53">
        <v>2.0299999999999998</v>
      </c>
      <c r="AL19" s="95" t="s">
        <v>15</v>
      </c>
    </row>
    <row r="20" spans="1:43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</row>
    <row r="21" spans="1:43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184" t="s">
        <v>563</v>
      </c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</row>
    <row r="22" spans="1:43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171" t="s">
        <v>448</v>
      </c>
      <c r="AB22" s="172" t="s">
        <v>449</v>
      </c>
      <c r="AC22" s="172" t="s">
        <v>450</v>
      </c>
      <c r="AD22" s="172" t="s">
        <v>451</v>
      </c>
      <c r="AE22" s="172" t="s">
        <v>452</v>
      </c>
      <c r="AF22" s="172" t="s">
        <v>453</v>
      </c>
      <c r="AG22" s="172" t="s">
        <v>454</v>
      </c>
      <c r="AH22" s="172" t="s">
        <v>455</v>
      </c>
      <c r="AI22" s="172" t="s">
        <v>151</v>
      </c>
      <c r="AJ22" s="172" t="s">
        <v>456</v>
      </c>
      <c r="AK22" s="172" t="s">
        <v>457</v>
      </c>
      <c r="AL22" s="173" t="s">
        <v>458</v>
      </c>
    </row>
    <row r="23" spans="1:43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170"/>
      <c r="AA23" s="174">
        <v>1</v>
      </c>
      <c r="AB23" s="175" t="s">
        <v>93</v>
      </c>
      <c r="AC23" s="175">
        <v>2013</v>
      </c>
      <c r="AD23" s="175">
        <v>125242</v>
      </c>
      <c r="AE23" s="175" t="s">
        <v>15</v>
      </c>
      <c r="AF23" s="175" t="s">
        <v>15</v>
      </c>
      <c r="AG23" s="175" t="s">
        <v>15</v>
      </c>
      <c r="AH23" s="175" t="s">
        <v>15</v>
      </c>
      <c r="AI23" s="176">
        <v>1.25</v>
      </c>
      <c r="AJ23" s="176">
        <v>1.19</v>
      </c>
      <c r="AK23" s="176">
        <v>1.32</v>
      </c>
      <c r="AL23" s="177" t="s">
        <v>15</v>
      </c>
    </row>
    <row r="24" spans="1:43" x14ac:dyDescent="0.2">
      <c r="AA24" s="174">
        <v>2</v>
      </c>
      <c r="AB24" s="175" t="s">
        <v>99</v>
      </c>
      <c r="AC24" s="178">
        <v>2015</v>
      </c>
      <c r="AD24" s="175">
        <v>1073</v>
      </c>
      <c r="AE24" s="175" t="s">
        <v>15</v>
      </c>
      <c r="AF24" s="175" t="s">
        <v>15</v>
      </c>
      <c r="AG24" s="175" t="s">
        <v>15</v>
      </c>
      <c r="AH24" s="175" t="s">
        <v>15</v>
      </c>
      <c r="AI24" s="175">
        <v>1.86</v>
      </c>
      <c r="AJ24" s="175">
        <v>0.89</v>
      </c>
      <c r="AK24" s="175">
        <v>3.87</v>
      </c>
      <c r="AL24" s="177" t="s">
        <v>15</v>
      </c>
    </row>
  </sheetData>
  <mergeCells count="7">
    <mergeCell ref="AA16:AL16"/>
    <mergeCell ref="AA21:AL21"/>
    <mergeCell ref="A1:L1"/>
    <mergeCell ref="N1:Y1"/>
    <mergeCell ref="AA1:AL1"/>
    <mergeCell ref="AA6:AL6"/>
    <mergeCell ref="AA11:AL11"/>
  </mergeCells>
  <pageMargins left="0.70078740157480324" right="0.70078740157480324" top="0.75196850393700787" bottom="0.75196850393700787" header="0.3" footer="0.3"/>
  <pageSetup paperSize="9" firstPageNumber="2147483648" orientation="portrait"/>
  <tableParts count="6">
    <tablePart r:id="rId1"/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C19"/>
  <sheetViews>
    <sheetView workbookViewId="0">
      <selection activeCell="F19" sqref="F19"/>
    </sheetView>
  </sheetViews>
  <sheetFormatPr baseColWidth="10" defaultColWidth="8.83203125" defaultRowHeight="16" x14ac:dyDescent="0.2"/>
  <cols>
    <col min="12" max="12" width="11" style="6"/>
    <col min="27" max="27" width="11" style="6"/>
    <col min="38" max="38" width="11" style="6"/>
  </cols>
  <sheetData>
    <row r="1" spans="1:55" x14ac:dyDescent="0.2">
      <c r="A1" s="63"/>
      <c r="B1" s="63"/>
      <c r="C1" s="63"/>
      <c r="D1" s="63"/>
      <c r="E1" s="22"/>
      <c r="F1" s="22"/>
      <c r="G1" s="22"/>
      <c r="H1" s="22"/>
      <c r="I1" s="22"/>
      <c r="J1" s="22"/>
      <c r="K1" s="22"/>
      <c r="L1" s="63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63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63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55" x14ac:dyDescent="0.2">
      <c r="A2" s="63" t="s">
        <v>155</v>
      </c>
      <c r="B2" s="63" t="s">
        <v>419</v>
      </c>
      <c r="C2" s="63" t="s">
        <v>151</v>
      </c>
      <c r="D2" s="63" t="s">
        <v>154</v>
      </c>
      <c r="E2" s="63"/>
      <c r="F2" s="63" t="s">
        <v>176</v>
      </c>
      <c r="G2" s="63" t="s">
        <v>419</v>
      </c>
      <c r="H2" s="63" t="s">
        <v>151</v>
      </c>
      <c r="I2" s="63" t="s">
        <v>154</v>
      </c>
      <c r="J2" s="63"/>
      <c r="K2" s="63" t="s">
        <v>158</v>
      </c>
      <c r="L2" s="63" t="s">
        <v>419</v>
      </c>
      <c r="M2" s="63" t="s">
        <v>151</v>
      </c>
      <c r="N2" s="63" t="s">
        <v>154</v>
      </c>
      <c r="O2" s="63"/>
      <c r="P2" s="63" t="s">
        <v>173</v>
      </c>
      <c r="Q2" s="63" t="s">
        <v>419</v>
      </c>
      <c r="R2" s="63" t="s">
        <v>151</v>
      </c>
      <c r="S2" s="63" t="s">
        <v>154</v>
      </c>
      <c r="T2" s="63"/>
      <c r="U2" s="63" t="s">
        <v>420</v>
      </c>
      <c r="V2" s="63" t="s">
        <v>419</v>
      </c>
      <c r="W2" s="63" t="s">
        <v>151</v>
      </c>
      <c r="X2" s="63" t="s">
        <v>154</v>
      </c>
      <c r="Y2" s="63"/>
      <c r="Z2" s="65" t="s">
        <v>421</v>
      </c>
      <c r="AA2" s="63" t="s">
        <v>419</v>
      </c>
      <c r="AB2" s="63" t="s">
        <v>151</v>
      </c>
      <c r="AC2" s="63" t="s">
        <v>154</v>
      </c>
      <c r="AD2" s="63"/>
      <c r="AE2" s="63" t="s">
        <v>223</v>
      </c>
      <c r="AF2" s="63" t="s">
        <v>419</v>
      </c>
      <c r="AG2" s="63" t="s">
        <v>151</v>
      </c>
      <c r="AH2" s="63" t="s">
        <v>154</v>
      </c>
      <c r="AI2" s="63"/>
      <c r="AJ2" s="63"/>
      <c r="AK2" s="65" t="s">
        <v>422</v>
      </c>
      <c r="AL2" s="63" t="s">
        <v>419</v>
      </c>
      <c r="AM2" s="158" t="s">
        <v>539</v>
      </c>
      <c r="AN2" s="63" t="s">
        <v>154</v>
      </c>
      <c r="AO2" s="63"/>
      <c r="AP2" s="63" t="s">
        <v>263</v>
      </c>
      <c r="AQ2" s="63" t="s">
        <v>419</v>
      </c>
      <c r="AR2" s="63" t="s">
        <v>151</v>
      </c>
      <c r="AS2" s="63" t="s">
        <v>154</v>
      </c>
      <c r="AT2" s="63"/>
      <c r="AU2" s="63" t="s">
        <v>424</v>
      </c>
      <c r="AV2" s="63" t="s">
        <v>419</v>
      </c>
      <c r="AW2" s="63" t="s">
        <v>151</v>
      </c>
      <c r="AX2" s="63" t="s">
        <v>154</v>
      </c>
    </row>
    <row r="3" spans="1:55" x14ac:dyDescent="0.2">
      <c r="A3" s="63"/>
      <c r="B3" s="63"/>
      <c r="C3" s="22"/>
      <c r="D3" s="22"/>
      <c r="E3" s="22"/>
      <c r="F3" s="22"/>
      <c r="G3" s="22"/>
      <c r="H3" s="22"/>
      <c r="I3" s="22"/>
      <c r="J3" s="22"/>
      <c r="K3" s="63"/>
      <c r="L3" s="63"/>
      <c r="M3" s="63"/>
      <c r="N3" s="63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63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63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65" t="s">
        <v>423</v>
      </c>
      <c r="AZ3" s="63" t="s">
        <v>419</v>
      </c>
      <c r="BA3" s="63" t="s">
        <v>151</v>
      </c>
      <c r="BB3" s="63" t="s">
        <v>154</v>
      </c>
      <c r="BC3" s="63"/>
    </row>
    <row r="4" spans="1:55" x14ac:dyDescent="0.2">
      <c r="A4" s="50" t="s">
        <v>195</v>
      </c>
      <c r="F4" s="47" t="s">
        <v>180</v>
      </c>
      <c r="G4" s="6"/>
      <c r="K4" s="67" t="s">
        <v>159</v>
      </c>
      <c r="P4" s="67" t="s">
        <v>174</v>
      </c>
      <c r="Q4" s="6"/>
      <c r="Z4" s="50" t="s">
        <v>201</v>
      </c>
      <c r="AE4" s="67" t="s">
        <v>425</v>
      </c>
      <c r="AF4" s="6"/>
      <c r="AK4" s="47" t="s">
        <v>279</v>
      </c>
      <c r="AP4" s="50" t="s">
        <v>267</v>
      </c>
      <c r="AY4" s="22"/>
      <c r="AZ4" s="22"/>
      <c r="BA4" s="22"/>
      <c r="BB4" s="22"/>
      <c r="BC4" s="22"/>
    </row>
    <row r="5" spans="1:55" x14ac:dyDescent="0.2">
      <c r="B5" s="6" t="s">
        <v>63</v>
      </c>
      <c r="C5">
        <v>1.2270000000000001</v>
      </c>
      <c r="D5" t="s">
        <v>199</v>
      </c>
      <c r="F5" s="50"/>
      <c r="G5" s="6" t="s">
        <v>63</v>
      </c>
      <c r="H5" s="6">
        <v>0.99399999999999999</v>
      </c>
      <c r="I5" s="28" t="s">
        <v>184</v>
      </c>
      <c r="K5" s="23"/>
      <c r="L5" s="6" t="s">
        <v>63</v>
      </c>
      <c r="M5" s="6">
        <v>1.0980000000000001</v>
      </c>
      <c r="N5" s="28" t="s">
        <v>209</v>
      </c>
      <c r="Q5" s="77" t="s">
        <v>63</v>
      </c>
      <c r="R5" s="70">
        <v>2.5499999999999998</v>
      </c>
      <c r="S5" s="70" t="s">
        <v>564</v>
      </c>
      <c r="AA5" s="6" t="s">
        <v>63</v>
      </c>
      <c r="AB5" s="6">
        <v>0.80400000000000005</v>
      </c>
      <c r="AC5" s="28" t="s">
        <v>205</v>
      </c>
      <c r="AE5" s="6"/>
      <c r="AF5" s="6" t="s">
        <v>63</v>
      </c>
      <c r="AG5" s="6">
        <v>1.026</v>
      </c>
      <c r="AH5" s="28" t="s">
        <v>228</v>
      </c>
      <c r="AK5" s="23"/>
      <c r="AL5" s="6" t="s">
        <v>93</v>
      </c>
      <c r="AM5" s="6">
        <v>0.66</v>
      </c>
      <c r="AN5" s="6" t="s">
        <v>283</v>
      </c>
      <c r="AQ5" s="179" t="s">
        <v>72</v>
      </c>
      <c r="AR5" s="6">
        <v>15.79</v>
      </c>
      <c r="AS5" s="28" t="s">
        <v>268</v>
      </c>
      <c r="AY5" s="69" t="s">
        <v>426</v>
      </c>
    </row>
    <row r="6" spans="1:55" x14ac:dyDescent="0.2">
      <c r="B6" s="75" t="s">
        <v>61</v>
      </c>
      <c r="C6" s="75">
        <v>6.14</v>
      </c>
      <c r="D6" s="75" t="s">
        <v>565</v>
      </c>
      <c r="F6" s="47" t="s">
        <v>185</v>
      </c>
      <c r="G6" s="6"/>
      <c r="I6" s="28"/>
      <c r="K6" s="67" t="s">
        <v>161</v>
      </c>
      <c r="N6" s="28"/>
      <c r="P6" s="45"/>
      <c r="Q6" s="6"/>
      <c r="R6" s="6"/>
      <c r="Z6" s="50" t="s">
        <v>343</v>
      </c>
      <c r="AK6" s="47" t="s">
        <v>284</v>
      </c>
      <c r="AP6" s="50" t="s">
        <v>264</v>
      </c>
      <c r="AZ6" s="77" t="s">
        <v>63</v>
      </c>
      <c r="BA6" s="125">
        <v>35.79</v>
      </c>
      <c r="BB6" s="70" t="s">
        <v>566</v>
      </c>
      <c r="BC6" s="70"/>
    </row>
    <row r="7" spans="1:55" x14ac:dyDescent="0.2">
      <c r="F7" s="50"/>
      <c r="G7" s="6" t="s">
        <v>63</v>
      </c>
      <c r="H7" s="6">
        <v>0.91300000000000003</v>
      </c>
      <c r="I7" s="28" t="s">
        <v>189</v>
      </c>
      <c r="K7" s="23"/>
      <c r="L7" s="6" t="s">
        <v>63</v>
      </c>
      <c r="M7" s="6">
        <v>1.115</v>
      </c>
      <c r="N7" s="28" t="s">
        <v>222</v>
      </c>
      <c r="P7" s="45"/>
      <c r="Q7" s="6"/>
      <c r="R7" s="6"/>
      <c r="AA7" s="82" t="s">
        <v>63</v>
      </c>
      <c r="AB7" s="83">
        <f>1/0.804</f>
        <v>1.2437810945273631</v>
      </c>
      <c r="AC7" s="51" t="s">
        <v>567</v>
      </c>
      <c r="AK7" s="23"/>
      <c r="AL7" s="6" t="s">
        <v>93</v>
      </c>
      <c r="AM7" s="6">
        <v>18.8</v>
      </c>
      <c r="AN7" s="6" t="s">
        <v>288</v>
      </c>
      <c r="AQ7" s="179" t="s">
        <v>72</v>
      </c>
      <c r="AR7" s="6">
        <v>5.73</v>
      </c>
      <c r="AS7" s="28" t="s">
        <v>273</v>
      </c>
    </row>
    <row r="8" spans="1:55" x14ac:dyDescent="0.2">
      <c r="F8" s="47" t="s">
        <v>190</v>
      </c>
      <c r="G8" s="6"/>
      <c r="I8" s="28"/>
      <c r="K8" s="67" t="s">
        <v>163</v>
      </c>
      <c r="N8" s="28"/>
      <c r="P8" s="47"/>
      <c r="AB8" s="85"/>
      <c r="AK8" s="47" t="s">
        <v>289</v>
      </c>
      <c r="AP8" s="69" t="s">
        <v>436</v>
      </c>
      <c r="AQ8" s="69"/>
    </row>
    <row r="9" spans="1:55" x14ac:dyDescent="0.2">
      <c r="G9" s="6" t="s">
        <v>63</v>
      </c>
      <c r="H9" s="6">
        <v>0.80200000000000005</v>
      </c>
      <c r="I9" s="28" t="s">
        <v>194</v>
      </c>
      <c r="K9" s="23"/>
      <c r="L9" s="6" t="s">
        <v>63</v>
      </c>
      <c r="M9" s="6">
        <v>0.60299999999999998</v>
      </c>
      <c r="N9" s="28" t="s">
        <v>218</v>
      </c>
      <c r="P9" s="45"/>
      <c r="Q9" s="6"/>
      <c r="R9" s="6"/>
      <c r="AB9" s="85"/>
      <c r="AK9" s="23"/>
      <c r="AL9" s="6" t="s">
        <v>93</v>
      </c>
      <c r="AM9" s="6">
        <v>0.46</v>
      </c>
      <c r="AN9" s="6" t="s">
        <v>293</v>
      </c>
      <c r="AP9" s="72"/>
      <c r="AQ9" s="86" t="s">
        <v>72</v>
      </c>
      <c r="AR9" s="70">
        <v>3.12</v>
      </c>
      <c r="AS9" s="70" t="s">
        <v>568</v>
      </c>
    </row>
    <row r="10" spans="1:55" x14ac:dyDescent="0.2">
      <c r="K10" s="87" t="s">
        <v>165</v>
      </c>
      <c r="N10" s="28"/>
      <c r="P10" s="47"/>
      <c r="AK10" s="47" t="s">
        <v>294</v>
      </c>
      <c r="AP10" s="45"/>
    </row>
    <row r="11" spans="1:55" x14ac:dyDescent="0.2">
      <c r="L11" s="6" t="s">
        <v>63</v>
      </c>
      <c r="M11" s="6">
        <v>0.57299999999999995</v>
      </c>
      <c r="N11" s="28" t="s">
        <v>213</v>
      </c>
      <c r="P11" s="45"/>
      <c r="Q11" s="6"/>
      <c r="R11" s="6"/>
      <c r="AK11" s="23"/>
      <c r="AL11" s="6" t="s">
        <v>93</v>
      </c>
      <c r="AM11" s="6">
        <v>0.31</v>
      </c>
      <c r="AN11" s="6" t="s">
        <v>298</v>
      </c>
      <c r="AP11" s="45"/>
    </row>
    <row r="12" spans="1:55" x14ac:dyDescent="0.2">
      <c r="P12" s="47"/>
      <c r="AK12" s="47" t="s">
        <v>299</v>
      </c>
      <c r="AP12" s="45"/>
    </row>
    <row r="13" spans="1:55" x14ac:dyDescent="0.2">
      <c r="P13" s="45"/>
      <c r="Q13" s="6"/>
      <c r="R13" s="6"/>
      <c r="AK13" s="23"/>
      <c r="AL13" s="6" t="s">
        <v>93</v>
      </c>
      <c r="AM13" s="6">
        <v>0.78</v>
      </c>
      <c r="AN13" s="6" t="s">
        <v>302</v>
      </c>
      <c r="AP13" s="45"/>
    </row>
    <row r="14" spans="1:55" x14ac:dyDescent="0.2">
      <c r="P14" s="45"/>
      <c r="Q14" s="6"/>
      <c r="R14" s="6"/>
      <c r="AK14" s="47" t="s">
        <v>126</v>
      </c>
      <c r="AP14" s="45"/>
    </row>
    <row r="15" spans="1:55" x14ac:dyDescent="0.2">
      <c r="P15" s="45"/>
      <c r="Q15" s="6"/>
      <c r="R15" s="6"/>
      <c r="AK15" s="23"/>
      <c r="AL15" s="6" t="s">
        <v>93</v>
      </c>
      <c r="AM15" s="6">
        <v>0.63</v>
      </c>
      <c r="AN15" s="6" t="s">
        <v>306</v>
      </c>
    </row>
    <row r="16" spans="1:55" x14ac:dyDescent="0.2">
      <c r="P16" s="47"/>
    </row>
    <row r="17" spans="16:18" x14ac:dyDescent="0.2">
      <c r="P17" s="45"/>
      <c r="Q17" s="6"/>
      <c r="R17" s="6"/>
    </row>
    <row r="18" spans="16:18" x14ac:dyDescent="0.2">
      <c r="P18" s="47"/>
    </row>
    <row r="19" spans="16:18" x14ac:dyDescent="0.2">
      <c r="P19" s="45"/>
      <c r="Q19" s="6"/>
      <c r="R19" s="6"/>
    </row>
  </sheetData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/>
  </sheetViews>
  <sheetFormatPr baseColWidth="10" defaultColWidth="8.83203125" defaultRowHeight="16" x14ac:dyDescent="0.2"/>
  <sheetData>
    <row r="1" spans="1:14" x14ac:dyDescent="0.2">
      <c r="A1" s="184" t="s">
        <v>569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23"/>
      <c r="N1" s="23"/>
    </row>
    <row r="2" spans="1:14" x14ac:dyDescent="0.2">
      <c r="A2" s="91" t="s">
        <v>448</v>
      </c>
      <c r="B2" s="92" t="s">
        <v>449</v>
      </c>
      <c r="C2" s="92" t="s">
        <v>450</v>
      </c>
      <c r="D2" s="92" t="s">
        <v>451</v>
      </c>
      <c r="E2" s="92" t="s">
        <v>452</v>
      </c>
      <c r="F2" s="92" t="s">
        <v>453</v>
      </c>
      <c r="G2" s="92" t="s">
        <v>454</v>
      </c>
      <c r="H2" s="92" t="s">
        <v>455</v>
      </c>
      <c r="I2" s="92" t="s">
        <v>151</v>
      </c>
      <c r="J2" s="92" t="s">
        <v>456</v>
      </c>
      <c r="K2" s="92" t="s">
        <v>457</v>
      </c>
      <c r="L2" s="93" t="s">
        <v>458</v>
      </c>
      <c r="M2" s="165"/>
      <c r="N2" s="165"/>
    </row>
    <row r="3" spans="1:14" x14ac:dyDescent="0.2">
      <c r="A3" s="94">
        <v>1</v>
      </c>
      <c r="B3" s="53" t="s">
        <v>61</v>
      </c>
      <c r="C3" s="102">
        <v>2021</v>
      </c>
      <c r="D3" s="53">
        <v>40</v>
      </c>
      <c r="E3" s="23">
        <v>2</v>
      </c>
      <c r="F3" s="23">
        <f>19-2</f>
        <v>17</v>
      </c>
      <c r="G3" s="23">
        <v>0</v>
      </c>
      <c r="H3" s="23">
        <v>21</v>
      </c>
      <c r="I3" s="103">
        <v>6.14</v>
      </c>
      <c r="J3" s="101">
        <v>0.28000000000000003</v>
      </c>
      <c r="K3" s="53">
        <v>136.54</v>
      </c>
      <c r="L3" s="95">
        <v>0.251</v>
      </c>
      <c r="M3" s="166"/>
      <c r="N3" s="166"/>
    </row>
    <row r="4" spans="1:14" x14ac:dyDescent="0.2">
      <c r="A4" s="94">
        <v>2</v>
      </c>
      <c r="B4" s="53" t="s">
        <v>63</v>
      </c>
      <c r="C4" s="102">
        <v>2021</v>
      </c>
      <c r="D4" s="53">
        <v>346141</v>
      </c>
      <c r="E4" s="53">
        <v>12955</v>
      </c>
      <c r="F4" s="53">
        <f>204134-12955</f>
        <v>191179</v>
      </c>
      <c r="G4" s="53">
        <v>6503</v>
      </c>
      <c r="H4" s="53">
        <f>142007-6503</f>
        <v>135504</v>
      </c>
      <c r="I4" s="56">
        <v>1.2270000000000001</v>
      </c>
      <c r="J4" s="56">
        <v>1.175</v>
      </c>
      <c r="K4" s="53">
        <v>1.282</v>
      </c>
      <c r="L4" s="95" t="s">
        <v>462</v>
      </c>
      <c r="M4" s="166"/>
      <c r="N4" s="166"/>
    </row>
    <row r="5" spans="1:14" x14ac:dyDescent="0.2">
      <c r="A5" s="168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23"/>
      <c r="N5" s="23"/>
    </row>
    <row r="6" spans="1:14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4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2">
      <c r="A8" s="23"/>
      <c r="B8" s="23"/>
      <c r="C8" s="23"/>
      <c r="D8" s="23"/>
      <c r="E8" s="23"/>
      <c r="F8" s="23"/>
      <c r="G8" s="23"/>
      <c r="H8" s="23"/>
      <c r="I8" s="6"/>
      <c r="J8" s="23"/>
      <c r="K8" s="23"/>
      <c r="L8" s="23"/>
      <c r="M8" s="23"/>
      <c r="N8" s="170"/>
    </row>
    <row r="9" spans="1:14" x14ac:dyDescent="0.2">
      <c r="A9" s="23"/>
      <c r="B9" s="23"/>
      <c r="C9" s="23"/>
      <c r="D9" s="23"/>
      <c r="E9" s="23"/>
      <c r="F9" s="23"/>
      <c r="G9" s="23"/>
      <c r="H9" s="23"/>
      <c r="I9" s="169"/>
      <c r="J9" s="169"/>
      <c r="K9" s="169"/>
      <c r="L9" s="23"/>
      <c r="M9" s="23"/>
      <c r="N9" s="170"/>
    </row>
    <row r="10" spans="1:14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14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170"/>
    </row>
    <row r="14" spans="1:14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170"/>
    </row>
    <row r="15" spans="1:14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170"/>
    </row>
    <row r="19" spans="1:14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170"/>
    </row>
    <row r="20" spans="1:14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70"/>
    </row>
    <row r="24" spans="1:14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170"/>
    </row>
  </sheetData>
  <mergeCells count="1">
    <mergeCell ref="A1:L1"/>
  </mergeCells>
  <pageMargins left="0.70078740157480324" right="0.70078740157480324" top="0.75196850393700787" bottom="0.75196850393700787" header="0.3" footer="0.3"/>
  <pageSetup paperSize="9" firstPageNumber="2147483648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9"/>
  <sheetViews>
    <sheetView workbookViewId="0">
      <selection activeCell="H39" sqref="H39"/>
    </sheetView>
  </sheetViews>
  <sheetFormatPr baseColWidth="10" defaultRowHeight="16" x14ac:dyDescent="0.2"/>
  <cols>
    <col min="3" max="3" width="49.6640625" customWidth="1"/>
  </cols>
  <sheetData>
    <row r="1" spans="1:5" x14ac:dyDescent="0.2">
      <c r="A1" t="s">
        <v>0</v>
      </c>
      <c r="B1" t="s">
        <v>570</v>
      </c>
      <c r="C1" t="s">
        <v>571</v>
      </c>
      <c r="D1" t="s">
        <v>572</v>
      </c>
      <c r="E1" t="s">
        <v>573</v>
      </c>
    </row>
    <row r="2" spans="1:5" x14ac:dyDescent="0.2">
      <c r="A2" t="s">
        <v>133</v>
      </c>
      <c r="B2">
        <v>2023</v>
      </c>
      <c r="C2" s="180" t="s">
        <v>574</v>
      </c>
      <c r="D2" t="s">
        <v>575</v>
      </c>
      <c r="E2" t="s">
        <v>576</v>
      </c>
    </row>
    <row r="3" spans="1:5" x14ac:dyDescent="0.2">
      <c r="A3" t="s">
        <v>577</v>
      </c>
      <c r="B3">
        <v>2022</v>
      </c>
      <c r="C3" s="180" t="s">
        <v>578</v>
      </c>
      <c r="D3" t="s">
        <v>579</v>
      </c>
      <c r="E3" t="s">
        <v>15</v>
      </c>
    </row>
    <row r="4" spans="1:5" x14ac:dyDescent="0.2">
      <c r="A4" t="s">
        <v>580</v>
      </c>
      <c r="B4">
        <v>2000</v>
      </c>
      <c r="D4" t="s">
        <v>581</v>
      </c>
      <c r="E4" t="s">
        <v>15</v>
      </c>
    </row>
    <row r="5" spans="1:5" x14ac:dyDescent="0.2">
      <c r="A5" t="s">
        <v>582</v>
      </c>
      <c r="B5">
        <v>2017</v>
      </c>
      <c r="C5" s="180" t="s">
        <v>583</v>
      </c>
      <c r="D5" t="s">
        <v>581</v>
      </c>
      <c r="E5" t="s">
        <v>15</v>
      </c>
    </row>
    <row r="6" spans="1:5" x14ac:dyDescent="0.2">
      <c r="A6" t="s">
        <v>584</v>
      </c>
      <c r="B6">
        <v>2013</v>
      </c>
      <c r="D6" t="s">
        <v>585</v>
      </c>
      <c r="E6" t="s">
        <v>15</v>
      </c>
    </row>
    <row r="7" spans="1:5" x14ac:dyDescent="0.2">
      <c r="A7" t="s">
        <v>33</v>
      </c>
      <c r="D7" t="s">
        <v>575</v>
      </c>
      <c r="E7" t="s">
        <v>576</v>
      </c>
    </row>
    <row r="8" spans="1:5" x14ac:dyDescent="0.2">
      <c r="A8" t="s">
        <v>586</v>
      </c>
      <c r="B8">
        <v>2022</v>
      </c>
      <c r="D8" t="s">
        <v>579</v>
      </c>
      <c r="E8" t="s">
        <v>15</v>
      </c>
    </row>
    <row r="9" spans="1:5" x14ac:dyDescent="0.2">
      <c r="A9" t="s">
        <v>587</v>
      </c>
      <c r="B9">
        <v>2021</v>
      </c>
      <c r="D9" t="s">
        <v>579</v>
      </c>
      <c r="E9" t="s">
        <v>15</v>
      </c>
    </row>
    <row r="10" spans="1:5" x14ac:dyDescent="0.2">
      <c r="A10" t="s">
        <v>588</v>
      </c>
      <c r="B10">
        <v>2021</v>
      </c>
      <c r="D10" t="s">
        <v>579</v>
      </c>
      <c r="E10" t="s">
        <v>15</v>
      </c>
    </row>
    <row r="11" spans="1:5" x14ac:dyDescent="0.2">
      <c r="A11" t="s">
        <v>589</v>
      </c>
      <c r="D11" t="s">
        <v>579</v>
      </c>
      <c r="E11" t="s">
        <v>15</v>
      </c>
    </row>
    <row r="12" spans="1:5" x14ac:dyDescent="0.2">
      <c r="A12" t="s">
        <v>45</v>
      </c>
      <c r="D12" t="s">
        <v>575</v>
      </c>
      <c r="E12" t="s">
        <v>576</v>
      </c>
    </row>
    <row r="13" spans="1:5" x14ac:dyDescent="0.2">
      <c r="A13" t="s">
        <v>590</v>
      </c>
      <c r="B13">
        <v>2019</v>
      </c>
      <c r="D13" t="s">
        <v>579</v>
      </c>
      <c r="E13" t="s">
        <v>15</v>
      </c>
    </row>
    <row r="14" spans="1:5" x14ac:dyDescent="0.2">
      <c r="A14" t="s">
        <v>591</v>
      </c>
      <c r="B14">
        <v>2003</v>
      </c>
      <c r="C14" t="s">
        <v>592</v>
      </c>
      <c r="D14" t="s">
        <v>579</v>
      </c>
      <c r="E14" t="s">
        <v>593</v>
      </c>
    </row>
    <row r="15" spans="1:5" x14ac:dyDescent="0.2">
      <c r="A15" t="s">
        <v>594</v>
      </c>
      <c r="B15">
        <v>2022</v>
      </c>
      <c r="C15" s="180" t="s">
        <v>595</v>
      </c>
      <c r="D15" t="s">
        <v>596</v>
      </c>
    </row>
    <row r="16" spans="1:5" x14ac:dyDescent="0.2">
      <c r="A16" t="s">
        <v>597</v>
      </c>
      <c r="B16">
        <v>2023</v>
      </c>
      <c r="D16" t="s">
        <v>575</v>
      </c>
      <c r="E16" t="s">
        <v>576</v>
      </c>
    </row>
    <row r="17" spans="1:5" x14ac:dyDescent="0.2">
      <c r="A17" t="s">
        <v>52</v>
      </c>
      <c r="B17">
        <v>2020</v>
      </c>
      <c r="D17" t="s">
        <v>575</v>
      </c>
      <c r="E17" t="s">
        <v>576</v>
      </c>
    </row>
    <row r="18" spans="1:5" x14ac:dyDescent="0.2">
      <c r="A18" t="s">
        <v>55</v>
      </c>
      <c r="B18">
        <v>2012</v>
      </c>
      <c r="D18" t="s">
        <v>575</v>
      </c>
      <c r="E18" t="s">
        <v>576</v>
      </c>
    </row>
    <row r="19" spans="1:5" x14ac:dyDescent="0.2">
      <c r="A19" t="s">
        <v>58</v>
      </c>
      <c r="B19">
        <v>2012</v>
      </c>
      <c r="D19" t="s">
        <v>575</v>
      </c>
      <c r="E19" t="s">
        <v>598</v>
      </c>
    </row>
    <row r="20" spans="1:5" x14ac:dyDescent="0.2">
      <c r="A20" t="s">
        <v>599</v>
      </c>
      <c r="B20">
        <v>2017</v>
      </c>
      <c r="D20" t="s">
        <v>579</v>
      </c>
      <c r="E20" t="s">
        <v>15</v>
      </c>
    </row>
    <row r="21" spans="1:5" x14ac:dyDescent="0.2">
      <c r="A21" t="s">
        <v>600</v>
      </c>
      <c r="B21">
        <v>2021</v>
      </c>
      <c r="D21" t="s">
        <v>596</v>
      </c>
      <c r="E21" t="s">
        <v>15</v>
      </c>
    </row>
    <row r="22" spans="1:5" x14ac:dyDescent="0.2">
      <c r="A22" t="s">
        <v>601</v>
      </c>
      <c r="B22">
        <v>2019</v>
      </c>
      <c r="D22" t="s">
        <v>579</v>
      </c>
      <c r="E22" t="s">
        <v>15</v>
      </c>
    </row>
    <row r="23" spans="1:5" x14ac:dyDescent="0.2">
      <c r="A23" t="s">
        <v>11</v>
      </c>
      <c r="B23">
        <v>2019</v>
      </c>
      <c r="D23" t="s">
        <v>575</v>
      </c>
      <c r="E23" t="s">
        <v>576</v>
      </c>
    </row>
    <row r="24" spans="1:5" x14ac:dyDescent="0.2">
      <c r="A24" t="s">
        <v>63</v>
      </c>
      <c r="B24">
        <v>2021</v>
      </c>
      <c r="D24" t="s">
        <v>602</v>
      </c>
    </row>
    <row r="25" spans="1:5" x14ac:dyDescent="0.2">
      <c r="A25" t="s">
        <v>603</v>
      </c>
      <c r="D25" t="s">
        <v>604</v>
      </c>
      <c r="E25" t="s">
        <v>15</v>
      </c>
    </row>
    <row r="26" spans="1:5" x14ac:dyDescent="0.2">
      <c r="A26" s="181" t="s">
        <v>69</v>
      </c>
      <c r="D26" t="s">
        <v>575</v>
      </c>
      <c r="E26" t="s">
        <v>576</v>
      </c>
    </row>
    <row r="27" spans="1:5" x14ac:dyDescent="0.2">
      <c r="A27" t="s">
        <v>72</v>
      </c>
      <c r="D27" t="s">
        <v>575</v>
      </c>
      <c r="E27" t="s">
        <v>576</v>
      </c>
    </row>
    <row r="28" spans="1:5" ht="18" x14ac:dyDescent="0.2">
      <c r="A28" s="182" t="s">
        <v>605</v>
      </c>
      <c r="D28" t="s">
        <v>579</v>
      </c>
      <c r="E28" t="s">
        <v>15</v>
      </c>
    </row>
    <row r="29" spans="1:5" x14ac:dyDescent="0.2">
      <c r="A29" t="s">
        <v>76</v>
      </c>
      <c r="D29" t="s">
        <v>575</v>
      </c>
      <c r="E29" t="s">
        <v>576</v>
      </c>
    </row>
    <row r="30" spans="1:5" x14ac:dyDescent="0.2">
      <c r="A30" t="s">
        <v>78</v>
      </c>
      <c r="B30">
        <v>2014</v>
      </c>
      <c r="D30" t="s">
        <v>606</v>
      </c>
      <c r="E30" t="s">
        <v>15</v>
      </c>
    </row>
    <row r="31" spans="1:5" x14ac:dyDescent="0.2">
      <c r="A31" t="s">
        <v>78</v>
      </c>
      <c r="B31">
        <v>2015</v>
      </c>
      <c r="D31" t="s">
        <v>575</v>
      </c>
      <c r="E31" t="s">
        <v>576</v>
      </c>
    </row>
    <row r="32" spans="1:5" x14ac:dyDescent="0.2">
      <c r="A32" t="s">
        <v>607</v>
      </c>
      <c r="B32" t="s">
        <v>608</v>
      </c>
      <c r="D32" t="s">
        <v>609</v>
      </c>
      <c r="E32" t="s">
        <v>576</v>
      </c>
    </row>
    <row r="33" spans="1:5" x14ac:dyDescent="0.2">
      <c r="A33" t="s">
        <v>607</v>
      </c>
      <c r="B33">
        <v>2017</v>
      </c>
      <c r="D33" t="s">
        <v>575</v>
      </c>
      <c r="E33" t="s">
        <v>576</v>
      </c>
    </row>
    <row r="34" spans="1:5" x14ac:dyDescent="0.2">
      <c r="A34" t="s">
        <v>89</v>
      </c>
      <c r="D34" t="s">
        <v>575</v>
      </c>
      <c r="E34" t="s">
        <v>576</v>
      </c>
    </row>
    <row r="35" spans="1:5" x14ac:dyDescent="0.2">
      <c r="A35" t="s">
        <v>610</v>
      </c>
      <c r="B35">
        <v>2021</v>
      </c>
      <c r="D35" t="s">
        <v>579</v>
      </c>
      <c r="E35" t="s">
        <v>15</v>
      </c>
    </row>
    <row r="36" spans="1:5" x14ac:dyDescent="0.2">
      <c r="A36" t="s">
        <v>611</v>
      </c>
      <c r="B36">
        <v>2020</v>
      </c>
      <c r="D36" t="s">
        <v>579</v>
      </c>
      <c r="E36" t="s">
        <v>15</v>
      </c>
    </row>
    <row r="37" spans="1:5" x14ac:dyDescent="0.2">
      <c r="A37" t="s">
        <v>612</v>
      </c>
      <c r="B37">
        <v>2016</v>
      </c>
      <c r="D37" t="s">
        <v>579</v>
      </c>
      <c r="E37" t="s">
        <v>15</v>
      </c>
    </row>
    <row r="38" spans="1:5" x14ac:dyDescent="0.2">
      <c r="A38" t="s">
        <v>613</v>
      </c>
      <c r="B38">
        <v>2005</v>
      </c>
      <c r="D38" t="s">
        <v>579</v>
      </c>
      <c r="E38" t="s">
        <v>15</v>
      </c>
    </row>
    <row r="39" spans="1:5" x14ac:dyDescent="0.2">
      <c r="A39" t="s">
        <v>614</v>
      </c>
      <c r="B39">
        <v>2015</v>
      </c>
      <c r="D39" t="s">
        <v>579</v>
      </c>
      <c r="E39" t="s">
        <v>15</v>
      </c>
    </row>
    <row r="40" spans="1:5" x14ac:dyDescent="0.2">
      <c r="A40" t="s">
        <v>91</v>
      </c>
      <c r="B40">
        <v>2021</v>
      </c>
      <c r="D40" t="s">
        <v>575</v>
      </c>
      <c r="E40" t="s">
        <v>576</v>
      </c>
    </row>
    <row r="41" spans="1:5" x14ac:dyDescent="0.2">
      <c r="A41" t="s">
        <v>93</v>
      </c>
      <c r="B41">
        <v>2012</v>
      </c>
      <c r="D41" t="s">
        <v>579</v>
      </c>
      <c r="E41" t="s">
        <v>15</v>
      </c>
    </row>
    <row r="42" spans="1:5" x14ac:dyDescent="0.2">
      <c r="A42" t="s">
        <v>93</v>
      </c>
      <c r="B42">
        <v>2013</v>
      </c>
      <c r="D42" t="s">
        <v>575</v>
      </c>
      <c r="E42" t="s">
        <v>576</v>
      </c>
    </row>
    <row r="43" spans="1:5" x14ac:dyDescent="0.2">
      <c r="A43" t="s">
        <v>96</v>
      </c>
      <c r="B43">
        <v>2009</v>
      </c>
      <c r="D43" t="s">
        <v>575</v>
      </c>
      <c r="E43" t="s">
        <v>576</v>
      </c>
    </row>
    <row r="44" spans="1:5" ht="18" x14ac:dyDescent="0.2">
      <c r="A44" s="182" t="s">
        <v>615</v>
      </c>
      <c r="D44" t="s">
        <v>604</v>
      </c>
      <c r="E44" t="s">
        <v>15</v>
      </c>
    </row>
    <row r="45" spans="1:5" x14ac:dyDescent="0.2">
      <c r="A45" t="s">
        <v>616</v>
      </c>
      <c r="B45" t="s">
        <v>617</v>
      </c>
      <c r="D45" t="s">
        <v>575</v>
      </c>
      <c r="E45" t="s">
        <v>576</v>
      </c>
    </row>
    <row r="46" spans="1:5" x14ac:dyDescent="0.2">
      <c r="A46" t="s">
        <v>618</v>
      </c>
      <c r="B46">
        <v>2022</v>
      </c>
      <c r="D46" t="s">
        <v>604</v>
      </c>
      <c r="E46" t="s">
        <v>15</v>
      </c>
    </row>
    <row r="47" spans="1:5" x14ac:dyDescent="0.2">
      <c r="A47" t="s">
        <v>102</v>
      </c>
      <c r="D47" t="s">
        <v>575</v>
      </c>
      <c r="E47" t="s">
        <v>576</v>
      </c>
    </row>
    <row r="48" spans="1:5" x14ac:dyDescent="0.2">
      <c r="A48" t="s">
        <v>104</v>
      </c>
      <c r="D48" t="s">
        <v>575</v>
      </c>
      <c r="E48" t="s">
        <v>576</v>
      </c>
    </row>
    <row r="49" spans="1:5" x14ac:dyDescent="0.2">
      <c r="A49" t="s">
        <v>107</v>
      </c>
      <c r="D49" t="s">
        <v>575</v>
      </c>
      <c r="E49" t="s">
        <v>619</v>
      </c>
    </row>
  </sheetData>
  <hyperlinks>
    <hyperlink ref="C2" r:id="rId1" xr:uid="{00000000-0004-0000-0E00-000000000000}"/>
    <hyperlink ref="C3" r:id="rId2" xr:uid="{00000000-0004-0000-0E00-000001000000}"/>
    <hyperlink ref="C5" r:id="rId3" xr:uid="{00000000-0004-0000-0E00-000002000000}"/>
    <hyperlink ref="C15" r:id="rId4" xr:uid="{00000000-0004-0000-0E00-000003000000}"/>
  </hyperlinks>
  <pageMargins left="0.7" right="0.7" top="0.78740157500000008" bottom="0.78740157500000008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5"/>
  <sheetViews>
    <sheetView topLeftCell="C1" workbookViewId="0">
      <pane ySplit="1" topLeftCell="A2" activePane="bottomLeft" state="frozen"/>
      <selection activeCell="C1" sqref="C1"/>
      <selection pane="bottomLeft" activeCell="C1" sqref="C1"/>
    </sheetView>
  </sheetViews>
  <sheetFormatPr baseColWidth="10" defaultRowHeight="16" x14ac:dyDescent="0.2"/>
  <cols>
    <col min="7" max="7" width="11" style="13"/>
    <col min="9" max="9" width="11" style="13"/>
  </cols>
  <sheetData>
    <row r="1" spans="1:35" s="8" customFormat="1" ht="5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16" t="s">
        <v>8</v>
      </c>
      <c r="J1" s="14" t="s">
        <v>9</v>
      </c>
      <c r="K1" s="14" t="s">
        <v>27</v>
      </c>
      <c r="L1" s="14"/>
    </row>
    <row r="2" spans="1:35" ht="68" x14ac:dyDescent="0.2">
      <c r="A2" s="7" t="s">
        <v>28</v>
      </c>
      <c r="B2" s="7">
        <v>2023</v>
      </c>
      <c r="C2" s="7" t="s">
        <v>19</v>
      </c>
      <c r="D2" s="7" t="s">
        <v>29</v>
      </c>
      <c r="E2" s="7" t="s">
        <v>30</v>
      </c>
      <c r="F2" s="7">
        <v>83</v>
      </c>
      <c r="G2" s="17">
        <v>0.43049999999999999</v>
      </c>
      <c r="H2" s="7">
        <v>53279</v>
      </c>
      <c r="I2" s="9">
        <v>1</v>
      </c>
      <c r="J2" s="7" t="s">
        <v>31</v>
      </c>
      <c r="K2" s="18" t="s">
        <v>32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51" x14ac:dyDescent="0.2">
      <c r="A3" s="7" t="s">
        <v>33</v>
      </c>
      <c r="B3" s="7">
        <v>2022</v>
      </c>
      <c r="C3" s="7" t="s">
        <v>19</v>
      </c>
      <c r="D3" s="7" t="s">
        <v>34</v>
      </c>
      <c r="E3" s="7" t="s">
        <v>35</v>
      </c>
      <c r="F3" s="7" t="s">
        <v>36</v>
      </c>
      <c r="G3" s="17" t="s">
        <v>37</v>
      </c>
      <c r="H3" s="7">
        <v>4025</v>
      </c>
      <c r="I3" s="17">
        <v>6.9999999999999993E-3</v>
      </c>
      <c r="J3" s="7" t="s">
        <v>38</v>
      </c>
      <c r="K3" s="7" t="s">
        <v>22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68" x14ac:dyDescent="0.2">
      <c r="A4" s="7" t="s">
        <v>33</v>
      </c>
      <c r="B4" s="7">
        <v>2023</v>
      </c>
      <c r="C4" s="7" t="s">
        <v>19</v>
      </c>
      <c r="D4" s="7" t="s">
        <v>39</v>
      </c>
      <c r="E4" s="7" t="s">
        <v>35</v>
      </c>
      <c r="F4" s="7" t="s">
        <v>40</v>
      </c>
      <c r="G4" s="9">
        <v>0.54600000000000004</v>
      </c>
      <c r="H4" s="7">
        <v>6190</v>
      </c>
      <c r="I4" s="9">
        <f>55/6190</f>
        <v>8.8852988691437811E-3</v>
      </c>
      <c r="J4" s="7" t="s">
        <v>16</v>
      </c>
      <c r="K4" s="7" t="s">
        <v>22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34" x14ac:dyDescent="0.2">
      <c r="A5" s="7" t="s">
        <v>41</v>
      </c>
      <c r="B5" s="7">
        <v>2006</v>
      </c>
      <c r="C5" s="7" t="s">
        <v>19</v>
      </c>
      <c r="D5" s="7" t="s">
        <v>42</v>
      </c>
      <c r="E5" s="7" t="s">
        <v>43</v>
      </c>
      <c r="F5" s="7" t="s">
        <v>15</v>
      </c>
      <c r="G5" s="9">
        <v>0.49299999999999999</v>
      </c>
      <c r="H5" s="7">
        <v>55795</v>
      </c>
      <c r="I5" s="9">
        <v>5.0000000000000001E-3</v>
      </c>
      <c r="J5" s="7" t="s">
        <v>16</v>
      </c>
      <c r="K5" s="7" t="s">
        <v>44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51" x14ac:dyDescent="0.2">
      <c r="A6" s="7" t="s">
        <v>45</v>
      </c>
      <c r="B6" s="7">
        <v>2018</v>
      </c>
      <c r="C6" s="7" t="s">
        <v>19</v>
      </c>
      <c r="D6" s="7" t="s">
        <v>46</v>
      </c>
      <c r="E6" s="7" t="s">
        <v>21</v>
      </c>
      <c r="F6" s="7">
        <v>86.3</v>
      </c>
      <c r="G6" s="9">
        <v>0.67299999999999993</v>
      </c>
      <c r="H6" s="7">
        <v>1646</v>
      </c>
      <c r="I6" s="9">
        <v>9.4E-2</v>
      </c>
      <c r="J6" s="7" t="s">
        <v>16</v>
      </c>
      <c r="K6" s="7" t="s">
        <v>32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51" x14ac:dyDescent="0.2">
      <c r="A7" s="7" t="s">
        <v>47</v>
      </c>
      <c r="B7" s="7">
        <v>2023</v>
      </c>
      <c r="C7" s="7" t="s">
        <v>48</v>
      </c>
      <c r="D7" s="7" t="s">
        <v>49</v>
      </c>
      <c r="E7" s="7" t="s">
        <v>50</v>
      </c>
      <c r="F7" s="7">
        <v>87</v>
      </c>
      <c r="G7" s="9" t="s">
        <v>15</v>
      </c>
      <c r="H7" s="7">
        <v>109</v>
      </c>
      <c r="I7" s="9">
        <f>94/109</f>
        <v>0.86238532110091748</v>
      </c>
      <c r="J7" s="7" t="s">
        <v>16</v>
      </c>
      <c r="K7" s="7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68" x14ac:dyDescent="0.2">
      <c r="A8" s="7" t="s">
        <v>52</v>
      </c>
      <c r="B8" s="7">
        <v>2020</v>
      </c>
      <c r="C8" s="7" t="s">
        <v>12</v>
      </c>
      <c r="D8" s="7" t="s">
        <v>53</v>
      </c>
      <c r="E8" s="7" t="s">
        <v>26</v>
      </c>
      <c r="F8" s="7" t="s">
        <v>15</v>
      </c>
      <c r="G8" s="9" t="s">
        <v>15</v>
      </c>
      <c r="H8" s="7" t="s">
        <v>15</v>
      </c>
      <c r="I8" s="9" t="s">
        <v>15</v>
      </c>
      <c r="J8" s="7" t="s">
        <v>16</v>
      </c>
      <c r="K8" s="19" t="s">
        <v>54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51" x14ac:dyDescent="0.2">
      <c r="A9" s="7" t="s">
        <v>55</v>
      </c>
      <c r="B9" s="7">
        <v>2020</v>
      </c>
      <c r="C9" s="7" t="s">
        <v>48</v>
      </c>
      <c r="D9" s="7" t="s">
        <v>56</v>
      </c>
      <c r="E9" s="7" t="s">
        <v>26</v>
      </c>
      <c r="F9" s="7">
        <v>82.7</v>
      </c>
      <c r="G9" s="9" t="s">
        <v>15</v>
      </c>
      <c r="H9" s="7">
        <v>127</v>
      </c>
      <c r="I9" s="10">
        <v>1</v>
      </c>
      <c r="J9" s="7" t="s">
        <v>16</v>
      </c>
      <c r="K9" s="7" t="s">
        <v>57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17" x14ac:dyDescent="0.2">
      <c r="A10" s="7" t="s">
        <v>58</v>
      </c>
      <c r="B10" s="7">
        <v>2018</v>
      </c>
      <c r="C10" s="7" t="s">
        <v>19</v>
      </c>
      <c r="D10" s="7" t="s">
        <v>59</v>
      </c>
      <c r="E10" s="7" t="s">
        <v>26</v>
      </c>
      <c r="F10" s="7" t="s">
        <v>60</v>
      </c>
      <c r="G10" s="9">
        <v>0.44</v>
      </c>
      <c r="H10" s="7">
        <v>166</v>
      </c>
      <c r="I10" s="9">
        <v>1</v>
      </c>
      <c r="J10" s="7" t="s">
        <v>16</v>
      </c>
      <c r="K10" s="7" t="s">
        <v>32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136" x14ac:dyDescent="0.2">
      <c r="A11" s="7" t="s">
        <v>61</v>
      </c>
      <c r="B11" s="7">
        <v>2021</v>
      </c>
      <c r="C11" s="7" t="s">
        <v>24</v>
      </c>
      <c r="D11" s="7" t="s">
        <v>62</v>
      </c>
      <c r="E11" s="7" t="s">
        <v>21</v>
      </c>
      <c r="F11" s="7">
        <v>83.2</v>
      </c>
      <c r="G11" s="9">
        <v>0.39100000000000001</v>
      </c>
      <c r="H11" s="7">
        <v>23</v>
      </c>
      <c r="I11" s="10">
        <v>1</v>
      </c>
      <c r="J11" s="7" t="s">
        <v>16</v>
      </c>
      <c r="K11" s="7" t="s">
        <v>44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85" x14ac:dyDescent="0.2">
      <c r="A12" s="7" t="s">
        <v>63</v>
      </c>
      <c r="B12" s="7">
        <v>2021</v>
      </c>
      <c r="C12" s="7" t="s">
        <v>19</v>
      </c>
      <c r="D12" s="7" t="s">
        <v>64</v>
      </c>
      <c r="E12" s="7" t="s">
        <v>30</v>
      </c>
      <c r="F12" s="7" t="s">
        <v>15</v>
      </c>
      <c r="G12" s="9">
        <v>0.41</v>
      </c>
      <c r="H12" s="7">
        <v>346141</v>
      </c>
      <c r="I12" s="10">
        <v>1</v>
      </c>
      <c r="J12" s="7" t="s">
        <v>65</v>
      </c>
      <c r="K12" s="7" t="s">
        <v>22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51" x14ac:dyDescent="0.2">
      <c r="A13" s="7" t="s">
        <v>66</v>
      </c>
      <c r="B13" s="7">
        <v>2018</v>
      </c>
      <c r="C13" s="7" t="s">
        <v>19</v>
      </c>
      <c r="D13" s="7" t="s">
        <v>46</v>
      </c>
      <c r="E13" s="7" t="s">
        <v>67</v>
      </c>
      <c r="F13" s="7">
        <v>78.959999999999994</v>
      </c>
      <c r="G13" s="9">
        <v>0.52</v>
      </c>
      <c r="H13" s="7">
        <v>2358211</v>
      </c>
      <c r="I13" s="9">
        <v>9.0000000000000011E-3</v>
      </c>
      <c r="J13" s="7" t="s">
        <v>16</v>
      </c>
      <c r="K13" s="7" t="s">
        <v>68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136" x14ac:dyDescent="0.2">
      <c r="A14" s="7" t="s">
        <v>69</v>
      </c>
      <c r="B14" s="7">
        <v>2017</v>
      </c>
      <c r="C14" s="7" t="s">
        <v>12</v>
      </c>
      <c r="D14" s="7" t="s">
        <v>70</v>
      </c>
      <c r="E14" s="7" t="s">
        <v>26</v>
      </c>
      <c r="F14" s="7" t="s">
        <v>15</v>
      </c>
      <c r="G14" s="9">
        <v>0.38</v>
      </c>
      <c r="H14" s="7">
        <v>40</v>
      </c>
      <c r="I14" s="9">
        <v>1</v>
      </c>
      <c r="J14" s="7" t="s">
        <v>16</v>
      </c>
      <c r="K14" s="19" t="s">
        <v>71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51" x14ac:dyDescent="0.2">
      <c r="A15" s="7" t="s">
        <v>72</v>
      </c>
      <c r="B15" s="7">
        <v>2022</v>
      </c>
      <c r="C15" s="7" t="s">
        <v>19</v>
      </c>
      <c r="D15" s="7" t="s">
        <v>73</v>
      </c>
      <c r="E15" s="7" t="s">
        <v>74</v>
      </c>
      <c r="F15" s="7" t="s">
        <v>15</v>
      </c>
      <c r="G15" s="9">
        <v>0.4</v>
      </c>
      <c r="H15" s="7">
        <v>1439</v>
      </c>
      <c r="I15" s="9">
        <f>1226/1439</f>
        <v>0.85198054204308549</v>
      </c>
      <c r="J15" s="7" t="s">
        <v>75</v>
      </c>
      <c r="K15" s="7" t="s">
        <v>32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153" x14ac:dyDescent="0.2">
      <c r="A16" s="7" t="s">
        <v>76</v>
      </c>
      <c r="B16" s="7">
        <v>2012</v>
      </c>
      <c r="C16" s="7" t="s">
        <v>12</v>
      </c>
      <c r="D16" s="7" t="s">
        <v>77</v>
      </c>
      <c r="E16" s="7" t="s">
        <v>74</v>
      </c>
      <c r="F16" s="7" t="s">
        <v>15</v>
      </c>
      <c r="G16" s="9" t="s">
        <v>15</v>
      </c>
      <c r="H16" s="7">
        <v>100</v>
      </c>
      <c r="I16" s="9">
        <v>1</v>
      </c>
      <c r="J16" s="7" t="s">
        <v>16</v>
      </c>
      <c r="K16" s="7" t="s">
        <v>17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08" x14ac:dyDescent="0.2">
      <c r="A17" s="7" t="s">
        <v>78</v>
      </c>
      <c r="B17" s="7">
        <v>2015</v>
      </c>
      <c r="C17" s="7" t="s">
        <v>19</v>
      </c>
      <c r="D17" s="7" t="s">
        <v>46</v>
      </c>
      <c r="E17" s="7" t="s">
        <v>79</v>
      </c>
      <c r="F17" s="7" t="s">
        <v>15</v>
      </c>
      <c r="G17" s="20" t="s">
        <v>80</v>
      </c>
      <c r="H17" s="12" t="s">
        <v>81</v>
      </c>
      <c r="I17" s="10">
        <v>1</v>
      </c>
      <c r="J17" s="7" t="s">
        <v>82</v>
      </c>
      <c r="K17" s="7" t="s">
        <v>32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04" x14ac:dyDescent="0.2">
      <c r="A18" s="7" t="s">
        <v>23</v>
      </c>
      <c r="B18" s="7">
        <v>2019</v>
      </c>
      <c r="C18" s="7" t="s">
        <v>24</v>
      </c>
      <c r="D18" s="12" t="s">
        <v>25</v>
      </c>
      <c r="E18" s="7" t="s">
        <v>26</v>
      </c>
      <c r="F18" s="7"/>
      <c r="G18" s="9">
        <v>0.4</v>
      </c>
      <c r="H18" s="7">
        <v>2029</v>
      </c>
      <c r="I18" s="10">
        <v>1</v>
      </c>
      <c r="J18" s="7" t="s">
        <v>16</v>
      </c>
      <c r="K18" s="7" t="s">
        <v>22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7" x14ac:dyDescent="0.2">
      <c r="A19" s="7" t="s">
        <v>83</v>
      </c>
      <c r="B19" s="7">
        <v>2014</v>
      </c>
      <c r="C19" s="7" t="s">
        <v>19</v>
      </c>
      <c r="D19" s="7" t="s">
        <v>84</v>
      </c>
      <c r="E19" s="7"/>
      <c r="F19" s="7">
        <v>76.8</v>
      </c>
      <c r="G19" s="9">
        <v>0.38500000000000001</v>
      </c>
      <c r="H19" s="7">
        <v>205</v>
      </c>
      <c r="I19" s="9">
        <v>0.77500000000000002</v>
      </c>
      <c r="J19" s="7" t="s">
        <v>16</v>
      </c>
      <c r="K19" s="7" t="s">
        <v>85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68" x14ac:dyDescent="0.2">
      <c r="A20" s="7" t="s">
        <v>83</v>
      </c>
      <c r="B20" s="7">
        <v>2017</v>
      </c>
      <c r="C20" s="7" t="s">
        <v>19</v>
      </c>
      <c r="D20" s="7" t="s">
        <v>86</v>
      </c>
      <c r="E20" s="7" t="s">
        <v>87</v>
      </c>
      <c r="F20" s="7">
        <v>77.900000000000006</v>
      </c>
      <c r="G20" s="9">
        <v>0.45100000000000001</v>
      </c>
      <c r="H20" s="7">
        <v>138</v>
      </c>
      <c r="I20" s="9">
        <f>102/138</f>
        <v>0.73913043478260865</v>
      </c>
      <c r="J20" s="7" t="s">
        <v>16</v>
      </c>
      <c r="K20" s="7" t="s">
        <v>88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02" x14ac:dyDescent="0.2">
      <c r="A21" s="7" t="s">
        <v>89</v>
      </c>
      <c r="B21" s="7">
        <v>2021</v>
      </c>
      <c r="C21" s="7" t="s">
        <v>19</v>
      </c>
      <c r="D21" s="7" t="s">
        <v>64</v>
      </c>
      <c r="E21" s="7" t="s">
        <v>26</v>
      </c>
      <c r="F21" s="7">
        <v>79.7</v>
      </c>
      <c r="G21" s="9">
        <v>0.41600000000000004</v>
      </c>
      <c r="H21" s="7">
        <v>579</v>
      </c>
      <c r="I21" s="10">
        <v>1</v>
      </c>
      <c r="J21" s="7" t="s">
        <v>90</v>
      </c>
      <c r="K21" s="7" t="s">
        <v>32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34" x14ac:dyDescent="0.2">
      <c r="A22" s="7" t="s">
        <v>91</v>
      </c>
      <c r="B22" s="7">
        <v>2021</v>
      </c>
      <c r="C22" s="7" t="s">
        <v>19</v>
      </c>
      <c r="D22" s="7" t="s">
        <v>92</v>
      </c>
      <c r="E22" s="7" t="s">
        <v>26</v>
      </c>
      <c r="F22" s="7">
        <v>81.900000000000006</v>
      </c>
      <c r="G22" s="9">
        <f>97/277</f>
        <v>0.35018050541516244</v>
      </c>
      <c r="H22" s="7">
        <v>277</v>
      </c>
      <c r="I22" s="9">
        <v>1</v>
      </c>
      <c r="J22" s="7" t="s">
        <v>16</v>
      </c>
      <c r="K22" s="7" t="s">
        <v>22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51" x14ac:dyDescent="0.2">
      <c r="A23" s="7" t="s">
        <v>93</v>
      </c>
      <c r="B23" s="7">
        <v>2013</v>
      </c>
      <c r="C23" s="7" t="s">
        <v>19</v>
      </c>
      <c r="D23" s="7" t="s">
        <v>94</v>
      </c>
      <c r="E23" s="7" t="s">
        <v>26</v>
      </c>
      <c r="F23" s="7">
        <v>81.400000000000006</v>
      </c>
      <c r="G23" s="9">
        <v>0.43</v>
      </c>
      <c r="H23" s="7">
        <v>125242</v>
      </c>
      <c r="I23" s="10">
        <v>1</v>
      </c>
      <c r="J23" s="7" t="s">
        <v>95</v>
      </c>
      <c r="K23" s="7" t="s">
        <v>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34" x14ac:dyDescent="0.2">
      <c r="A24" s="7" t="s">
        <v>96</v>
      </c>
      <c r="B24" s="7">
        <v>2009</v>
      </c>
      <c r="C24" s="7" t="s">
        <v>19</v>
      </c>
      <c r="D24" s="7" t="s">
        <v>97</v>
      </c>
      <c r="E24" s="7" t="s">
        <v>26</v>
      </c>
      <c r="F24" s="7">
        <v>81.5</v>
      </c>
      <c r="G24" s="9">
        <f>68/143</f>
        <v>0.47552447552447552</v>
      </c>
      <c r="H24" s="7">
        <v>143</v>
      </c>
      <c r="I24" s="10">
        <v>1</v>
      </c>
      <c r="J24" s="7" t="s">
        <v>16</v>
      </c>
      <c r="K24" s="7" t="s">
        <v>98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68" x14ac:dyDescent="0.2">
      <c r="A25" s="7" t="s">
        <v>99</v>
      </c>
      <c r="B25" s="7">
        <v>2015</v>
      </c>
      <c r="C25" s="7" t="s">
        <v>19</v>
      </c>
      <c r="D25" s="7" t="s">
        <v>86</v>
      </c>
      <c r="E25" s="7" t="s">
        <v>30</v>
      </c>
      <c r="F25" s="7">
        <v>76.099999999999994</v>
      </c>
      <c r="G25" s="9">
        <v>0.51700000000000002</v>
      </c>
      <c r="H25" s="7">
        <v>58034</v>
      </c>
      <c r="I25" s="10" t="s">
        <v>100</v>
      </c>
      <c r="J25" s="7" t="s">
        <v>101</v>
      </c>
      <c r="K25" s="7" t="s">
        <v>22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68" x14ac:dyDescent="0.2">
      <c r="A26" s="7" t="s">
        <v>102</v>
      </c>
      <c r="B26" s="7">
        <v>2013</v>
      </c>
      <c r="C26" s="7" t="s">
        <v>19</v>
      </c>
      <c r="D26" s="7" t="s">
        <v>64</v>
      </c>
      <c r="E26" s="7" t="s">
        <v>26</v>
      </c>
      <c r="F26" s="7">
        <v>82.8</v>
      </c>
      <c r="G26" s="9">
        <f>129/236</f>
        <v>0.54661016949152541</v>
      </c>
      <c r="H26" s="7">
        <v>236</v>
      </c>
      <c r="I26" s="10">
        <v>1</v>
      </c>
      <c r="J26" s="7" t="s">
        <v>16</v>
      </c>
      <c r="K26" s="7" t="s">
        <v>103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02" x14ac:dyDescent="0.2">
      <c r="A27" s="7" t="s">
        <v>104</v>
      </c>
      <c r="B27" s="7">
        <v>2021</v>
      </c>
      <c r="C27" s="7" t="s">
        <v>19</v>
      </c>
      <c r="D27" s="7" t="s">
        <v>105</v>
      </c>
      <c r="E27" s="7" t="s">
        <v>106</v>
      </c>
      <c r="F27" s="7">
        <v>72.900000000000006</v>
      </c>
      <c r="G27" s="9">
        <v>0.36099999999999999</v>
      </c>
      <c r="H27" s="7">
        <v>1849</v>
      </c>
      <c r="I27" s="10">
        <v>1</v>
      </c>
      <c r="J27" s="7" t="s">
        <v>16</v>
      </c>
      <c r="K27" s="7" t="s">
        <v>22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85" x14ac:dyDescent="0.2">
      <c r="A28" s="7" t="s">
        <v>107</v>
      </c>
      <c r="B28" s="7">
        <v>2022</v>
      </c>
      <c r="C28" s="7" t="s">
        <v>19</v>
      </c>
      <c r="D28" s="7" t="s">
        <v>108</v>
      </c>
      <c r="E28" s="7" t="s">
        <v>74</v>
      </c>
      <c r="F28" s="7">
        <v>77</v>
      </c>
      <c r="G28" s="9" t="s">
        <v>15</v>
      </c>
      <c r="H28" s="7">
        <v>291276</v>
      </c>
      <c r="I28" s="9">
        <v>4.2999999999999997E-2</v>
      </c>
      <c r="J28" s="7" t="s">
        <v>109</v>
      </c>
      <c r="K28" s="7" t="s">
        <v>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">
      <c r="A29" s="7"/>
      <c r="B29" s="7"/>
      <c r="C29" s="7"/>
      <c r="D29" s="7"/>
      <c r="E29" s="7"/>
      <c r="F29" s="7"/>
      <c r="G29" s="9"/>
      <c r="H29" s="7"/>
      <c r="I29" s="9"/>
      <c r="J29" s="7"/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">
      <c r="A30" s="7"/>
      <c r="B30" s="7"/>
      <c r="C30" s="7"/>
      <c r="D30" s="7"/>
      <c r="E30" s="7"/>
      <c r="F30" s="7"/>
      <c r="G30" s="9"/>
      <c r="H30" s="7"/>
      <c r="I30" s="9"/>
      <c r="J30" s="7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">
      <c r="A31" s="7"/>
      <c r="B31" s="7"/>
      <c r="C31" s="7"/>
      <c r="D31" s="7"/>
      <c r="E31" s="7"/>
      <c r="F31" s="7"/>
      <c r="G31" s="9"/>
      <c r="H31" s="7"/>
      <c r="I31" s="9"/>
      <c r="J31" s="7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">
      <c r="A32" s="7"/>
      <c r="B32" s="7"/>
      <c r="C32" s="7"/>
      <c r="D32" s="7"/>
      <c r="E32" s="7"/>
      <c r="F32" s="7"/>
      <c r="G32" s="9"/>
      <c r="H32" s="7"/>
      <c r="I32" s="9"/>
      <c r="J32" s="7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2">
      <c r="A33" s="7"/>
      <c r="B33" s="7"/>
      <c r="C33" s="7"/>
      <c r="D33" s="7"/>
      <c r="E33" s="7"/>
      <c r="F33" s="7"/>
      <c r="G33" s="9"/>
      <c r="H33" s="7"/>
      <c r="I33" s="9"/>
      <c r="J33" s="7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">
      <c r="A34" s="7"/>
      <c r="B34" s="7"/>
      <c r="C34" s="7"/>
      <c r="D34" s="7"/>
      <c r="E34" s="7"/>
      <c r="F34" s="7"/>
      <c r="G34" s="9"/>
      <c r="H34" s="7"/>
      <c r="I34" s="9"/>
      <c r="J34" s="7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2">
      <c r="A35" s="7"/>
      <c r="B35" s="7"/>
      <c r="C35" s="7"/>
      <c r="D35" s="7"/>
      <c r="E35" s="7"/>
      <c r="F35" s="7"/>
      <c r="G35" s="9"/>
      <c r="H35" s="7"/>
      <c r="I35" s="9"/>
      <c r="J35" s="7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2">
      <c r="A36" s="7"/>
      <c r="B36" s="7"/>
      <c r="C36" s="7"/>
      <c r="D36" s="7"/>
      <c r="E36" s="7"/>
      <c r="F36" s="7"/>
      <c r="G36" s="9"/>
      <c r="H36" s="7"/>
      <c r="I36" s="9"/>
      <c r="J36" s="7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2">
      <c r="A37" s="7"/>
      <c r="B37" s="7"/>
      <c r="C37" s="7"/>
      <c r="D37" s="7"/>
      <c r="E37" s="7"/>
      <c r="F37" s="7"/>
      <c r="G37" s="9"/>
      <c r="H37" s="7"/>
      <c r="I37" s="9"/>
      <c r="J37" s="7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2">
      <c r="A38" s="7"/>
      <c r="B38" s="7"/>
      <c r="C38" s="7"/>
      <c r="D38" s="7"/>
      <c r="E38" s="7"/>
      <c r="F38" s="7"/>
      <c r="G38" s="9"/>
      <c r="H38" s="7"/>
      <c r="I38" s="9"/>
      <c r="J38" s="7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2">
      <c r="A39" s="7"/>
      <c r="B39" s="7"/>
      <c r="C39" s="7"/>
      <c r="D39" s="7"/>
      <c r="E39" s="7"/>
      <c r="F39" s="7"/>
      <c r="G39" s="9"/>
      <c r="H39" s="7"/>
      <c r="I39" s="9"/>
      <c r="J39" s="7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2">
      <c r="A40" s="7"/>
      <c r="B40" s="7"/>
      <c r="C40" s="7"/>
      <c r="D40" s="7"/>
      <c r="E40" s="7"/>
      <c r="F40" s="7"/>
      <c r="G40" s="9"/>
      <c r="H40" s="7"/>
      <c r="I40" s="9"/>
      <c r="J40" s="7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2">
      <c r="A41" s="7"/>
      <c r="B41" s="7"/>
      <c r="C41" s="7"/>
      <c r="D41" s="7"/>
      <c r="E41" s="7"/>
      <c r="F41" s="7"/>
      <c r="G41" s="9"/>
      <c r="H41" s="7"/>
      <c r="I41" s="9"/>
      <c r="J41" s="7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2">
      <c r="A42" s="7"/>
      <c r="B42" s="7"/>
      <c r="C42" s="7"/>
      <c r="D42" s="7"/>
      <c r="E42" s="7"/>
      <c r="F42" s="7"/>
      <c r="G42" s="9"/>
      <c r="H42" s="7"/>
      <c r="I42" s="9"/>
      <c r="J42" s="7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2">
      <c r="A43" s="8"/>
      <c r="B43" s="8"/>
      <c r="C43" s="8"/>
      <c r="D43" s="8"/>
      <c r="E43" s="8"/>
      <c r="F43" s="8"/>
      <c r="G43" s="21"/>
      <c r="H43" s="8"/>
      <c r="I43" s="21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2">
      <c r="A44" s="8"/>
      <c r="B44" s="8"/>
      <c r="C44" s="8"/>
      <c r="D44" s="8"/>
      <c r="E44" s="8"/>
      <c r="F44" s="8"/>
      <c r="G44" s="21"/>
      <c r="H44" s="8"/>
      <c r="I44" s="21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2">
      <c r="A45" s="8"/>
      <c r="B45" s="8"/>
      <c r="C45" s="8"/>
      <c r="D45" s="8"/>
      <c r="E45" s="8"/>
      <c r="F45" s="8"/>
      <c r="G45" s="21"/>
      <c r="H45" s="8"/>
      <c r="I45" s="21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2">
      <c r="A46" s="8"/>
      <c r="B46" s="8"/>
      <c r="C46" s="8"/>
      <c r="D46" s="8"/>
      <c r="E46" s="8"/>
      <c r="F46" s="8"/>
      <c r="G46" s="21"/>
      <c r="H46" s="8"/>
      <c r="I46" s="21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2">
      <c r="A47" s="8"/>
      <c r="B47" s="8"/>
      <c r="C47" s="8"/>
      <c r="D47" s="8"/>
      <c r="E47" s="8"/>
      <c r="F47" s="8"/>
      <c r="G47" s="21"/>
      <c r="H47" s="8"/>
      <c r="I47" s="21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2">
      <c r="A48" s="8"/>
      <c r="B48" s="8"/>
      <c r="C48" s="8"/>
      <c r="D48" s="8"/>
      <c r="E48" s="8"/>
      <c r="F48" s="8"/>
      <c r="G48" s="21"/>
      <c r="H48" s="8"/>
      <c r="I48" s="21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2">
      <c r="A49" s="8"/>
      <c r="B49" s="8"/>
      <c r="C49" s="8"/>
      <c r="D49" s="8"/>
      <c r="E49" s="8"/>
      <c r="F49" s="8"/>
      <c r="G49" s="21"/>
      <c r="H49" s="8"/>
      <c r="I49" s="21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2">
      <c r="A50" s="8"/>
      <c r="B50" s="8"/>
      <c r="C50" s="8"/>
      <c r="D50" s="8"/>
      <c r="E50" s="8"/>
      <c r="F50" s="8"/>
      <c r="G50" s="21"/>
      <c r="H50" s="8"/>
      <c r="I50" s="21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2">
      <c r="A51" s="8"/>
      <c r="B51" s="8"/>
      <c r="C51" s="8"/>
      <c r="D51" s="8"/>
      <c r="E51" s="8"/>
      <c r="F51" s="8"/>
      <c r="G51" s="21"/>
      <c r="H51" s="8"/>
      <c r="I51" s="21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2">
      <c r="A52" s="8"/>
      <c r="B52" s="8"/>
      <c r="C52" s="8"/>
      <c r="D52" s="8"/>
      <c r="E52" s="8"/>
      <c r="F52" s="8"/>
      <c r="G52" s="21"/>
      <c r="H52" s="8"/>
      <c r="I52" s="21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2">
      <c r="A53" s="8"/>
      <c r="B53" s="8"/>
      <c r="C53" s="8"/>
      <c r="D53" s="8"/>
      <c r="E53" s="8"/>
      <c r="F53" s="8"/>
      <c r="G53" s="21"/>
      <c r="H53" s="8"/>
      <c r="I53" s="21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2">
      <c r="A54" s="8"/>
      <c r="B54" s="8"/>
      <c r="C54" s="8"/>
      <c r="D54" s="8"/>
      <c r="E54" s="8"/>
      <c r="F54" s="8"/>
      <c r="G54" s="21"/>
      <c r="H54" s="8"/>
      <c r="I54" s="21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2">
      <c r="A55" s="8"/>
      <c r="B55" s="8"/>
      <c r="C55" s="8"/>
      <c r="D55" s="8"/>
      <c r="E55" s="8"/>
      <c r="F55" s="8"/>
      <c r="G55" s="21"/>
      <c r="H55" s="8"/>
      <c r="I55" s="21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2">
      <c r="A56" s="8"/>
      <c r="B56" s="8"/>
      <c r="C56" s="8"/>
      <c r="D56" s="8"/>
      <c r="E56" s="8"/>
      <c r="F56" s="8"/>
      <c r="G56" s="21"/>
      <c r="H56" s="8"/>
      <c r="I56" s="21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2">
      <c r="A57" s="8"/>
      <c r="B57" s="8"/>
      <c r="C57" s="8"/>
      <c r="D57" s="8"/>
      <c r="E57" s="8"/>
      <c r="F57" s="8"/>
      <c r="G57" s="21"/>
      <c r="H57" s="8"/>
      <c r="I57" s="21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2">
      <c r="A58" s="8"/>
      <c r="B58" s="8"/>
      <c r="C58" s="8"/>
      <c r="D58" s="8"/>
      <c r="E58" s="8"/>
      <c r="F58" s="8"/>
      <c r="G58" s="21"/>
      <c r="H58" s="8"/>
      <c r="I58" s="21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2">
      <c r="A59" s="8"/>
      <c r="B59" s="8"/>
      <c r="C59" s="8"/>
      <c r="D59" s="8"/>
      <c r="E59" s="8"/>
      <c r="F59" s="8"/>
      <c r="G59" s="21"/>
      <c r="H59" s="8"/>
      <c r="I59" s="21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2">
      <c r="A60" s="8"/>
      <c r="B60" s="8"/>
      <c r="C60" s="8"/>
      <c r="D60" s="8"/>
      <c r="E60" s="8"/>
      <c r="F60" s="8"/>
      <c r="G60" s="21"/>
      <c r="H60" s="8"/>
      <c r="I60" s="21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2">
      <c r="A61" s="8"/>
      <c r="B61" s="8"/>
      <c r="C61" s="8"/>
      <c r="D61" s="8"/>
      <c r="E61" s="8"/>
      <c r="F61" s="8"/>
      <c r="G61" s="21"/>
      <c r="H61" s="8"/>
      <c r="I61" s="21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2">
      <c r="A62" s="8"/>
      <c r="B62" s="8"/>
      <c r="C62" s="8"/>
      <c r="D62" s="8"/>
      <c r="E62" s="8"/>
      <c r="F62" s="8"/>
      <c r="G62" s="21"/>
      <c r="H62" s="8"/>
      <c r="I62" s="21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2">
      <c r="A63" s="8"/>
      <c r="B63" s="8"/>
      <c r="C63" s="8"/>
      <c r="D63" s="8"/>
      <c r="E63" s="8"/>
      <c r="F63" s="8"/>
      <c r="G63" s="21"/>
      <c r="H63" s="8"/>
      <c r="I63" s="21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2">
      <c r="A64" s="8"/>
      <c r="B64" s="8"/>
      <c r="C64" s="8"/>
      <c r="D64" s="8"/>
      <c r="E64" s="8"/>
      <c r="F64" s="8"/>
      <c r="G64" s="21"/>
      <c r="H64" s="8"/>
      <c r="I64" s="21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2">
      <c r="A65" s="8"/>
      <c r="B65" s="8"/>
      <c r="C65" s="8"/>
      <c r="D65" s="8"/>
      <c r="E65" s="8"/>
      <c r="F65" s="8"/>
      <c r="G65" s="21"/>
      <c r="H65" s="8"/>
      <c r="I65" s="21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2">
      <c r="A66" s="8"/>
      <c r="B66" s="8"/>
      <c r="C66" s="8"/>
      <c r="D66" s="8"/>
      <c r="E66" s="8"/>
      <c r="F66" s="8"/>
      <c r="G66" s="21"/>
      <c r="H66" s="8"/>
      <c r="I66" s="21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2">
      <c r="A67" s="8"/>
      <c r="B67" s="8"/>
      <c r="C67" s="8"/>
      <c r="D67" s="8"/>
      <c r="E67" s="8"/>
      <c r="F67" s="8"/>
      <c r="G67" s="21"/>
      <c r="H67" s="8"/>
      <c r="I67" s="21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2">
      <c r="A68" s="8"/>
      <c r="B68" s="8"/>
      <c r="C68" s="8"/>
      <c r="D68" s="8"/>
      <c r="E68" s="8"/>
      <c r="F68" s="8"/>
      <c r="G68" s="21"/>
      <c r="H68" s="8"/>
      <c r="I68" s="21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2">
      <c r="A69" s="8"/>
      <c r="B69" s="8"/>
      <c r="C69" s="8"/>
      <c r="D69" s="8"/>
      <c r="E69" s="8"/>
      <c r="F69" s="8"/>
      <c r="G69" s="21"/>
      <c r="H69" s="8"/>
      <c r="I69" s="21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2">
      <c r="A70" s="8"/>
      <c r="B70" s="8"/>
      <c r="C70" s="8"/>
      <c r="D70" s="8"/>
      <c r="E70" s="8"/>
      <c r="F70" s="8"/>
      <c r="G70" s="21"/>
      <c r="H70" s="8"/>
      <c r="I70" s="21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2">
      <c r="A71" s="8"/>
      <c r="B71" s="8"/>
      <c r="C71" s="8"/>
      <c r="D71" s="8"/>
      <c r="E71" s="8"/>
      <c r="F71" s="8"/>
      <c r="G71" s="21"/>
      <c r="H71" s="8"/>
      <c r="I71" s="21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2">
      <c r="A72" s="8"/>
      <c r="B72" s="8"/>
      <c r="C72" s="8"/>
      <c r="D72" s="8"/>
      <c r="E72" s="8"/>
      <c r="F72" s="8"/>
      <c r="G72" s="21"/>
      <c r="H72" s="8"/>
      <c r="I72" s="21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2">
      <c r="A73" s="8"/>
      <c r="B73" s="8"/>
      <c r="C73" s="8"/>
      <c r="D73" s="8"/>
      <c r="E73" s="8"/>
      <c r="F73" s="8"/>
      <c r="G73" s="21"/>
      <c r="H73" s="8"/>
      <c r="I73" s="21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2">
      <c r="A74" s="8"/>
      <c r="B74" s="8"/>
      <c r="C74" s="8"/>
      <c r="D74" s="8"/>
      <c r="E74" s="8"/>
      <c r="F74" s="8"/>
      <c r="G74" s="21"/>
      <c r="H74" s="8"/>
      <c r="I74" s="21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2">
      <c r="A75" s="8"/>
      <c r="B75" s="8"/>
      <c r="C75" s="8"/>
      <c r="D75" s="8"/>
      <c r="E75" s="8"/>
      <c r="F75" s="8"/>
      <c r="G75" s="21"/>
      <c r="H75" s="8"/>
      <c r="I75" s="21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2">
      <c r="A76" s="8"/>
      <c r="B76" s="8"/>
      <c r="C76" s="8"/>
      <c r="D76" s="8"/>
      <c r="E76" s="8"/>
      <c r="F76" s="8"/>
      <c r="G76" s="21"/>
      <c r="H76" s="8"/>
      <c r="I76" s="21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2">
      <c r="A77" s="8"/>
      <c r="B77" s="8"/>
      <c r="C77" s="8"/>
      <c r="D77" s="8"/>
      <c r="E77" s="8"/>
      <c r="F77" s="8"/>
      <c r="G77" s="21"/>
      <c r="H77" s="8"/>
      <c r="I77" s="21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2">
      <c r="A78" s="8"/>
      <c r="B78" s="8"/>
      <c r="C78" s="8"/>
      <c r="D78" s="8"/>
      <c r="E78" s="8"/>
      <c r="F78" s="8"/>
      <c r="G78" s="21"/>
      <c r="H78" s="8"/>
      <c r="I78" s="21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2">
      <c r="A79" s="8"/>
      <c r="B79" s="8"/>
      <c r="C79" s="8"/>
      <c r="D79" s="8"/>
      <c r="E79" s="8"/>
      <c r="F79" s="8"/>
      <c r="G79" s="21"/>
      <c r="H79" s="8"/>
      <c r="I79" s="21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2">
      <c r="A80" s="8"/>
      <c r="B80" s="8"/>
      <c r="C80" s="8"/>
      <c r="D80" s="8"/>
      <c r="E80" s="8"/>
      <c r="F80" s="8"/>
      <c r="G80" s="21"/>
      <c r="H80" s="8"/>
      <c r="I80" s="21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2">
      <c r="A81" s="8"/>
      <c r="B81" s="8"/>
      <c r="C81" s="8"/>
      <c r="D81" s="8"/>
      <c r="E81" s="8"/>
      <c r="F81" s="8"/>
      <c r="G81" s="21"/>
      <c r="H81" s="8"/>
      <c r="I81" s="21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2">
      <c r="A82" s="8"/>
      <c r="B82" s="8"/>
      <c r="C82" s="8"/>
      <c r="D82" s="8"/>
      <c r="E82" s="8"/>
      <c r="F82" s="8"/>
      <c r="G82" s="21"/>
      <c r="H82" s="8"/>
      <c r="I82" s="21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2">
      <c r="A83" s="8"/>
      <c r="B83" s="8"/>
      <c r="C83" s="8"/>
      <c r="D83" s="8"/>
      <c r="E83" s="8"/>
      <c r="F83" s="8"/>
      <c r="G83" s="21"/>
      <c r="H83" s="8"/>
      <c r="I83" s="21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2">
      <c r="A84" s="8"/>
      <c r="B84" s="8"/>
      <c r="C84" s="8"/>
      <c r="D84" s="8"/>
      <c r="E84" s="8"/>
      <c r="F84" s="8"/>
      <c r="G84" s="21"/>
      <c r="H84" s="8"/>
      <c r="I84" s="21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2">
      <c r="A85" s="8"/>
      <c r="B85" s="8"/>
      <c r="C85" s="8"/>
      <c r="D85" s="8"/>
      <c r="E85" s="8"/>
      <c r="F85" s="8"/>
      <c r="G85" s="21"/>
      <c r="H85" s="8"/>
      <c r="I85" s="21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</sheetData>
  <sortState xmlns:xlrd2="http://schemas.microsoft.com/office/spreadsheetml/2017/richdata2" ref="A2:K28">
    <sortCondition ref="A2:A28"/>
  </sortState>
  <pageMargins left="0.7" right="0.7" top="0.78740157500000008" bottom="0.78740157500000008" header="0.3" footer="0.3"/>
  <pageSetup paperSize="9" firstPageNumber="2147483648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1"/>
  <sheetViews>
    <sheetView workbookViewId="0">
      <selection activeCell="H14" sqref="H14"/>
    </sheetView>
  </sheetViews>
  <sheetFormatPr baseColWidth="10" defaultRowHeight="16" x14ac:dyDescent="0.2"/>
  <sheetData>
    <row r="1" spans="1:18" s="22" customFormat="1" x14ac:dyDescent="0.2">
      <c r="A1" s="22" t="s">
        <v>110</v>
      </c>
      <c r="B1" s="22" t="s">
        <v>111</v>
      </c>
      <c r="C1" s="22" t="s">
        <v>112</v>
      </c>
      <c r="D1" s="22" t="s">
        <v>113</v>
      </c>
    </row>
    <row r="2" spans="1:18" s="22" customFormat="1" x14ac:dyDescent="0.2">
      <c r="D2" s="22" t="s">
        <v>114</v>
      </c>
      <c r="E2" s="22" t="s">
        <v>115</v>
      </c>
      <c r="F2" s="22" t="s">
        <v>116</v>
      </c>
      <c r="G2" s="22" t="s">
        <v>117</v>
      </c>
      <c r="H2" s="22" t="s">
        <v>118</v>
      </c>
      <c r="I2" s="22" t="s">
        <v>119</v>
      </c>
      <c r="J2" s="22" t="s">
        <v>120</v>
      </c>
      <c r="K2" s="22" t="s">
        <v>121</v>
      </c>
      <c r="L2" s="22" t="s">
        <v>122</v>
      </c>
      <c r="M2" s="22" t="s">
        <v>123</v>
      </c>
      <c r="N2" s="22" t="s">
        <v>124</v>
      </c>
      <c r="O2" s="22" t="s">
        <v>125</v>
      </c>
      <c r="P2" s="22" t="s">
        <v>126</v>
      </c>
      <c r="Q2" s="22" t="s">
        <v>127</v>
      </c>
      <c r="R2" s="22" t="s">
        <v>128</v>
      </c>
    </row>
    <row r="3" spans="1:18" s="22" customFormat="1" x14ac:dyDescent="0.2"/>
    <row r="4" spans="1:18" x14ac:dyDescent="0.2">
      <c r="A4" s="23" t="s">
        <v>11</v>
      </c>
      <c r="B4">
        <v>134</v>
      </c>
      <c r="C4">
        <v>134</v>
      </c>
      <c r="E4" s="24">
        <v>0.71</v>
      </c>
      <c r="G4" s="24"/>
      <c r="M4" s="24"/>
      <c r="O4" s="25">
        <v>0.11599999999999999</v>
      </c>
      <c r="Q4" s="24"/>
      <c r="R4" s="25" t="s">
        <v>129</v>
      </c>
    </row>
    <row r="5" spans="1:18" x14ac:dyDescent="0.2">
      <c r="A5" t="s">
        <v>18</v>
      </c>
      <c r="B5">
        <v>76</v>
      </c>
      <c r="C5">
        <v>76</v>
      </c>
      <c r="E5" s="25">
        <v>0.68</v>
      </c>
      <c r="G5" s="24">
        <v>6.6000000000000003E-2</v>
      </c>
      <c r="M5" s="24">
        <v>2.6000000000000002E-2</v>
      </c>
      <c r="O5" s="24">
        <v>5.2999999999999999E-2</v>
      </c>
      <c r="Q5" s="24">
        <v>0.17100000000000001</v>
      </c>
    </row>
    <row r="6" spans="1:18" x14ac:dyDescent="0.2">
      <c r="A6" t="s">
        <v>23</v>
      </c>
      <c r="B6" s="26">
        <v>301</v>
      </c>
      <c r="C6">
        <v>301</v>
      </c>
      <c r="E6" s="25">
        <v>0.74</v>
      </c>
      <c r="G6" s="25">
        <v>0.02</v>
      </c>
      <c r="M6" s="24">
        <v>0.15</v>
      </c>
      <c r="O6" s="24">
        <v>0</v>
      </c>
      <c r="Q6" s="24">
        <v>0.09</v>
      </c>
    </row>
    <row r="7" spans="1:18" x14ac:dyDescent="0.2">
      <c r="E7" s="27"/>
      <c r="G7" s="24"/>
      <c r="M7" s="24"/>
      <c r="O7" s="24"/>
      <c r="Q7" s="24"/>
    </row>
    <row r="8" spans="1:18" x14ac:dyDescent="0.2">
      <c r="E8" s="27"/>
      <c r="G8" s="24"/>
      <c r="M8" s="24"/>
      <c r="O8" s="24"/>
      <c r="Q8" s="24"/>
    </row>
    <row r="9" spans="1:18" x14ac:dyDescent="0.2">
      <c r="E9" s="27"/>
      <c r="G9" s="24"/>
      <c r="M9" s="24"/>
      <c r="O9" s="24"/>
      <c r="Q9" s="24"/>
    </row>
    <row r="10" spans="1:18" x14ac:dyDescent="0.2">
      <c r="E10" s="27"/>
      <c r="G10" s="24"/>
      <c r="M10" s="24"/>
      <c r="O10" s="24"/>
      <c r="Q10" s="24"/>
    </row>
    <row r="11" spans="1:18" x14ac:dyDescent="0.2">
      <c r="E11" s="27"/>
      <c r="G11" s="24"/>
      <c r="M11" s="24"/>
      <c r="O11" s="24"/>
      <c r="Q11" s="24"/>
    </row>
    <row r="12" spans="1:18" x14ac:dyDescent="0.2">
      <c r="E12" s="27"/>
      <c r="G12" s="24"/>
      <c r="M12" s="24"/>
      <c r="O12" s="24"/>
      <c r="Q12" s="24"/>
    </row>
    <row r="13" spans="1:18" x14ac:dyDescent="0.2">
      <c r="E13" s="27"/>
      <c r="G13" s="24"/>
      <c r="M13" s="24"/>
      <c r="O13" s="24"/>
      <c r="Q13" s="24"/>
    </row>
    <row r="14" spans="1:18" x14ac:dyDescent="0.2">
      <c r="E14" s="27"/>
      <c r="G14" s="24"/>
      <c r="M14" s="24"/>
      <c r="O14" s="24"/>
      <c r="Q14" s="24"/>
    </row>
    <row r="15" spans="1:18" x14ac:dyDescent="0.2">
      <c r="E15" s="27"/>
      <c r="G15" s="24"/>
      <c r="M15" s="24"/>
      <c r="O15" s="24"/>
      <c r="Q15" s="24"/>
    </row>
    <row r="16" spans="1:18" x14ac:dyDescent="0.2">
      <c r="E16" s="27"/>
      <c r="G16" s="24"/>
      <c r="M16" s="24"/>
      <c r="O16" s="24"/>
      <c r="Q16" s="24"/>
    </row>
    <row r="17" spans="5:17" x14ac:dyDescent="0.2">
      <c r="E17" s="27"/>
      <c r="G17" s="24"/>
      <c r="M17" s="24"/>
      <c r="O17" s="24"/>
      <c r="Q17" s="24"/>
    </row>
    <row r="18" spans="5:17" x14ac:dyDescent="0.2">
      <c r="E18" s="27"/>
      <c r="G18" s="24"/>
      <c r="M18" s="24"/>
      <c r="O18" s="24"/>
      <c r="Q18" s="24"/>
    </row>
    <row r="19" spans="5:17" x14ac:dyDescent="0.2">
      <c r="E19" s="27"/>
      <c r="G19" s="24"/>
      <c r="M19" s="24"/>
      <c r="O19" s="24"/>
      <c r="Q19" s="24"/>
    </row>
    <row r="20" spans="5:17" x14ac:dyDescent="0.2">
      <c r="E20" s="27"/>
      <c r="G20" s="24"/>
      <c r="M20" s="24"/>
      <c r="O20" s="24"/>
      <c r="Q20" s="24"/>
    </row>
    <row r="21" spans="5:17" x14ac:dyDescent="0.2">
      <c r="E21" s="27"/>
      <c r="G21" s="24"/>
      <c r="M21" s="24"/>
      <c r="O21" s="24"/>
      <c r="Q21" s="24"/>
    </row>
    <row r="22" spans="5:17" x14ac:dyDescent="0.2">
      <c r="E22" s="27"/>
      <c r="G22" s="24"/>
      <c r="M22" s="24"/>
      <c r="O22" s="24"/>
      <c r="Q22" s="24"/>
    </row>
    <row r="23" spans="5:17" x14ac:dyDescent="0.2">
      <c r="E23" s="27"/>
      <c r="G23" s="24"/>
      <c r="M23" s="24"/>
      <c r="O23" s="24"/>
      <c r="Q23" s="24"/>
    </row>
    <row r="24" spans="5:17" x14ac:dyDescent="0.2">
      <c r="E24" s="27"/>
      <c r="G24" s="24"/>
      <c r="M24" s="24"/>
      <c r="O24" s="24"/>
      <c r="Q24" s="24"/>
    </row>
    <row r="25" spans="5:17" x14ac:dyDescent="0.2">
      <c r="E25" s="27"/>
      <c r="G25" s="24"/>
      <c r="M25" s="24"/>
      <c r="O25" s="24"/>
      <c r="Q25" s="24"/>
    </row>
    <row r="26" spans="5:17" x14ac:dyDescent="0.2">
      <c r="E26" s="27"/>
      <c r="G26" s="24"/>
      <c r="M26" s="24"/>
      <c r="O26" s="24"/>
      <c r="Q26" s="24"/>
    </row>
    <row r="27" spans="5:17" x14ac:dyDescent="0.2">
      <c r="E27" s="27"/>
      <c r="G27" s="24"/>
      <c r="M27" s="24"/>
      <c r="O27" s="24"/>
      <c r="Q27" s="24"/>
    </row>
    <row r="28" spans="5:17" x14ac:dyDescent="0.2">
      <c r="E28" s="27"/>
      <c r="G28" s="24"/>
      <c r="M28" s="24"/>
      <c r="O28" s="24"/>
      <c r="Q28" s="24"/>
    </row>
    <row r="29" spans="5:17" x14ac:dyDescent="0.2">
      <c r="E29" s="27"/>
      <c r="G29" s="24"/>
      <c r="M29" s="24"/>
      <c r="O29" s="24"/>
      <c r="Q29" s="24"/>
    </row>
    <row r="30" spans="5:17" x14ac:dyDescent="0.2">
      <c r="E30" s="27"/>
      <c r="G30" s="24"/>
      <c r="M30" s="24"/>
      <c r="O30" s="24"/>
      <c r="Q30" s="24"/>
    </row>
    <row r="31" spans="5:17" x14ac:dyDescent="0.2">
      <c r="E31" s="27"/>
      <c r="G31" s="27"/>
      <c r="M31" s="24"/>
      <c r="O31" s="24"/>
      <c r="Q31" s="24"/>
    </row>
    <row r="32" spans="5:17" x14ac:dyDescent="0.2">
      <c r="E32" s="27"/>
      <c r="G32" s="27"/>
      <c r="M32" s="24"/>
      <c r="O32" s="24"/>
      <c r="Q32" s="24"/>
    </row>
    <row r="33" spans="5:17" x14ac:dyDescent="0.2">
      <c r="E33" s="27"/>
      <c r="G33" s="27"/>
      <c r="M33" s="24"/>
      <c r="O33" s="24"/>
      <c r="Q33" s="24"/>
    </row>
    <row r="34" spans="5:17" x14ac:dyDescent="0.2">
      <c r="E34" s="27"/>
      <c r="G34" s="27"/>
      <c r="M34" s="24"/>
      <c r="O34" s="24"/>
      <c r="Q34" s="24"/>
    </row>
    <row r="35" spans="5:17" x14ac:dyDescent="0.2">
      <c r="E35" s="27"/>
      <c r="G35" s="27"/>
      <c r="M35" s="24"/>
      <c r="O35" s="24"/>
      <c r="Q35" s="24"/>
    </row>
    <row r="36" spans="5:17" x14ac:dyDescent="0.2">
      <c r="E36" s="27"/>
      <c r="G36" s="27"/>
      <c r="M36" s="24"/>
      <c r="O36" s="24"/>
      <c r="Q36" s="24"/>
    </row>
    <row r="37" spans="5:17" x14ac:dyDescent="0.2">
      <c r="E37" s="27"/>
      <c r="G37" s="27"/>
      <c r="M37" s="24"/>
      <c r="O37" s="24"/>
      <c r="Q37" s="24"/>
    </row>
    <row r="38" spans="5:17" x14ac:dyDescent="0.2">
      <c r="E38" s="27"/>
      <c r="G38" s="27"/>
      <c r="M38" s="24"/>
      <c r="O38" s="24"/>
      <c r="Q38" s="24"/>
    </row>
    <row r="39" spans="5:17" x14ac:dyDescent="0.2">
      <c r="E39" s="27"/>
      <c r="G39" s="27"/>
      <c r="M39" s="24"/>
      <c r="O39" s="24"/>
      <c r="Q39" s="24"/>
    </row>
    <row r="40" spans="5:17" x14ac:dyDescent="0.2">
      <c r="E40" s="27"/>
      <c r="G40" s="27"/>
      <c r="M40" s="24"/>
      <c r="O40" s="24"/>
      <c r="Q40" s="24"/>
    </row>
    <row r="41" spans="5:17" x14ac:dyDescent="0.2">
      <c r="E41" s="27"/>
      <c r="G41" s="27"/>
      <c r="M41" s="24"/>
      <c r="O41" s="24"/>
      <c r="Q41" s="24"/>
    </row>
    <row r="42" spans="5:17" x14ac:dyDescent="0.2">
      <c r="E42" s="27"/>
      <c r="G42" s="27"/>
      <c r="M42" s="24"/>
      <c r="O42" s="24"/>
      <c r="Q42" s="24"/>
    </row>
    <row r="43" spans="5:17" x14ac:dyDescent="0.2">
      <c r="E43" s="27"/>
      <c r="G43" s="27"/>
      <c r="M43" s="24"/>
      <c r="O43" s="24"/>
      <c r="Q43" s="24"/>
    </row>
    <row r="44" spans="5:17" x14ac:dyDescent="0.2">
      <c r="E44" s="27"/>
      <c r="G44" s="27"/>
      <c r="M44" s="24"/>
      <c r="O44" s="24"/>
      <c r="Q44" s="24"/>
    </row>
    <row r="45" spans="5:17" x14ac:dyDescent="0.2">
      <c r="E45" s="27"/>
      <c r="G45" s="27"/>
      <c r="M45" s="24"/>
      <c r="O45" s="24"/>
      <c r="Q45" s="24"/>
    </row>
    <row r="46" spans="5:17" x14ac:dyDescent="0.2">
      <c r="E46" s="27"/>
      <c r="M46" s="24"/>
      <c r="O46" s="24"/>
      <c r="Q46" s="24"/>
    </row>
    <row r="47" spans="5:17" x14ac:dyDescent="0.2">
      <c r="E47" s="27"/>
      <c r="M47" s="24"/>
      <c r="O47" s="24"/>
      <c r="Q47" s="24"/>
    </row>
    <row r="48" spans="5:17" x14ac:dyDescent="0.2">
      <c r="E48" s="27"/>
      <c r="M48" s="24"/>
      <c r="O48" s="24"/>
    </row>
    <row r="49" spans="5:15" x14ac:dyDescent="0.2">
      <c r="E49" s="27"/>
      <c r="M49" s="24"/>
      <c r="O49" s="24"/>
    </row>
    <row r="50" spans="5:15" x14ac:dyDescent="0.2">
      <c r="E50" s="27"/>
      <c r="M50" s="24"/>
      <c r="O50" s="24"/>
    </row>
    <row r="51" spans="5:15" x14ac:dyDescent="0.2">
      <c r="E51" s="27"/>
      <c r="M51" s="24"/>
      <c r="O51" s="24"/>
    </row>
    <row r="52" spans="5:15" x14ac:dyDescent="0.2">
      <c r="E52" s="27"/>
      <c r="M52" s="24"/>
      <c r="O52" s="24"/>
    </row>
    <row r="53" spans="5:15" x14ac:dyDescent="0.2">
      <c r="E53" s="27"/>
      <c r="M53" s="24"/>
      <c r="O53" s="24"/>
    </row>
    <row r="54" spans="5:15" x14ac:dyDescent="0.2">
      <c r="E54" s="27"/>
      <c r="M54" s="24"/>
      <c r="O54" s="24"/>
    </row>
    <row r="55" spans="5:15" x14ac:dyDescent="0.2">
      <c r="E55" s="27"/>
      <c r="M55" s="24"/>
      <c r="O55" s="24"/>
    </row>
    <row r="56" spans="5:15" x14ac:dyDescent="0.2">
      <c r="E56" s="27"/>
      <c r="M56" s="24"/>
      <c r="O56" s="24"/>
    </row>
    <row r="57" spans="5:15" x14ac:dyDescent="0.2">
      <c r="E57" s="27"/>
      <c r="M57" s="24"/>
      <c r="O57" s="24"/>
    </row>
    <row r="58" spans="5:15" x14ac:dyDescent="0.2">
      <c r="E58" s="27"/>
      <c r="M58" s="24"/>
      <c r="O58" s="24"/>
    </row>
    <row r="59" spans="5:15" x14ac:dyDescent="0.2">
      <c r="E59" s="27"/>
      <c r="M59" s="24"/>
      <c r="O59" s="24"/>
    </row>
    <row r="60" spans="5:15" x14ac:dyDescent="0.2">
      <c r="E60" s="27"/>
      <c r="O60" s="24"/>
    </row>
    <row r="61" spans="5:15" x14ac:dyDescent="0.2">
      <c r="E61" s="27"/>
      <c r="O61" s="24"/>
    </row>
    <row r="62" spans="5:15" x14ac:dyDescent="0.2">
      <c r="E62" s="27"/>
      <c r="O62" s="24"/>
    </row>
    <row r="63" spans="5:15" x14ac:dyDescent="0.2">
      <c r="E63" s="27"/>
      <c r="O63" s="24"/>
    </row>
    <row r="64" spans="5:15" x14ac:dyDescent="0.2">
      <c r="E64" s="27"/>
      <c r="O64" s="24"/>
    </row>
    <row r="65" spans="5:15" x14ac:dyDescent="0.2">
      <c r="E65" s="27"/>
      <c r="O65" s="24"/>
    </row>
    <row r="66" spans="5:15" x14ac:dyDescent="0.2">
      <c r="E66" s="27"/>
    </row>
    <row r="67" spans="5:15" x14ac:dyDescent="0.2">
      <c r="E67" s="27"/>
    </row>
    <row r="68" spans="5:15" x14ac:dyDescent="0.2">
      <c r="E68" s="27"/>
    </row>
    <row r="69" spans="5:15" x14ac:dyDescent="0.2">
      <c r="E69" s="27"/>
    </row>
    <row r="70" spans="5:15" x14ac:dyDescent="0.2">
      <c r="E70" s="27"/>
    </row>
    <row r="71" spans="5:15" x14ac:dyDescent="0.2">
      <c r="E71" s="27"/>
    </row>
  </sheetData>
  <pageMargins left="0.7" right="0.7" top="0.78740157500000008" bottom="0.78740157500000008" header="0.3" footer="0.3"/>
  <pageSetup paperSize="9" firstPageNumber="2147483648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workbookViewId="0">
      <pane ySplit="1" topLeftCell="A2" activePane="bottomLeft" state="frozen"/>
      <selection activeCell="D25" sqref="D25"/>
      <selection pane="bottomLeft"/>
    </sheetView>
  </sheetViews>
  <sheetFormatPr baseColWidth="10" defaultColWidth="11" defaultRowHeight="16" x14ac:dyDescent="0.2"/>
  <cols>
    <col min="1" max="1" width="11" style="28"/>
    <col min="2" max="5" width="11" style="6"/>
    <col min="6" max="6" width="11" style="29"/>
    <col min="7" max="7" width="11" style="6"/>
    <col min="8" max="8" width="11" style="29"/>
    <col min="9" max="13" width="11" style="6"/>
    <col min="14" max="14" width="12.1640625" style="6" bestFit="1" customWidth="1"/>
    <col min="15" max="15" width="11" style="6"/>
    <col min="16" max="16" width="11" style="29"/>
    <col min="17" max="17" width="11" style="6"/>
    <col min="18" max="18" width="11" style="29"/>
    <col min="19" max="16384" width="11" style="6"/>
  </cols>
  <sheetData>
    <row r="1" spans="1:22" s="28" customFormat="1" x14ac:dyDescent="0.2">
      <c r="A1" s="30" t="s">
        <v>110</v>
      </c>
      <c r="B1" s="30" t="s">
        <v>130</v>
      </c>
      <c r="C1" s="30" t="s">
        <v>7</v>
      </c>
      <c r="D1" s="30" t="s">
        <v>112</v>
      </c>
      <c r="E1" s="30" t="s">
        <v>131</v>
      </c>
      <c r="F1" s="31" t="s">
        <v>115</v>
      </c>
      <c r="G1" s="30" t="s">
        <v>116</v>
      </c>
      <c r="H1" s="31" t="s">
        <v>117</v>
      </c>
      <c r="I1" s="30" t="s">
        <v>118</v>
      </c>
      <c r="J1" s="30" t="s">
        <v>119</v>
      </c>
      <c r="K1" s="30" t="s">
        <v>120</v>
      </c>
      <c r="L1" s="30" t="s">
        <v>121</v>
      </c>
      <c r="M1" s="30" t="s">
        <v>122</v>
      </c>
      <c r="N1" s="30" t="s">
        <v>123</v>
      </c>
      <c r="O1" s="30" t="s">
        <v>124</v>
      </c>
      <c r="P1" s="31" t="s">
        <v>125</v>
      </c>
      <c r="Q1" s="30" t="s">
        <v>126</v>
      </c>
      <c r="R1" s="32" t="s">
        <v>127</v>
      </c>
    </row>
    <row r="2" spans="1:22" s="28" customFormat="1" x14ac:dyDescent="0.2">
      <c r="A2" s="30"/>
      <c r="B2" s="30"/>
      <c r="C2" s="30"/>
      <c r="D2" s="30"/>
      <c r="E2" s="30"/>
      <c r="F2" s="31"/>
      <c r="G2" s="30"/>
      <c r="H2" s="31"/>
      <c r="I2" s="30"/>
      <c r="J2" s="30"/>
      <c r="K2" s="30"/>
      <c r="L2" s="30"/>
      <c r="M2" s="30"/>
      <c r="N2" s="30"/>
      <c r="O2" s="30"/>
      <c r="P2" s="31"/>
      <c r="Q2" s="30"/>
      <c r="R2" s="32"/>
      <c r="S2" s="30" t="s">
        <v>132</v>
      </c>
    </row>
    <row r="3" spans="1:22" s="28" customFormat="1" x14ac:dyDescent="0.2">
      <c r="A3" s="30"/>
      <c r="B3" s="30"/>
      <c r="C3" s="30"/>
      <c r="D3" s="30"/>
      <c r="E3" s="30"/>
      <c r="F3" s="31"/>
      <c r="G3" s="30"/>
      <c r="H3" s="31"/>
      <c r="I3" s="30"/>
      <c r="J3" s="30"/>
      <c r="K3" s="30"/>
      <c r="L3" s="30"/>
      <c r="M3" s="30"/>
      <c r="N3" s="30"/>
      <c r="O3" s="30"/>
      <c r="P3" s="31"/>
      <c r="Q3" s="30"/>
      <c r="R3" s="32"/>
    </row>
    <row r="4" spans="1:22" x14ac:dyDescent="0.2">
      <c r="A4" s="28" t="s">
        <v>133</v>
      </c>
      <c r="B4" s="6">
        <v>2023</v>
      </c>
      <c r="C4" s="6">
        <v>53279</v>
      </c>
      <c r="D4" s="6">
        <v>53279</v>
      </c>
      <c r="E4" s="6" t="s">
        <v>15</v>
      </c>
      <c r="F4" s="33" t="s">
        <v>15</v>
      </c>
      <c r="G4" s="6">
        <v>7970</v>
      </c>
      <c r="H4" s="33">
        <f>7970/53279</f>
        <v>0.14958989470523096</v>
      </c>
      <c r="I4" s="6" t="s">
        <v>15</v>
      </c>
      <c r="J4" s="6" t="s">
        <v>15</v>
      </c>
      <c r="K4" s="6" t="s">
        <v>15</v>
      </c>
      <c r="L4" s="6" t="s">
        <v>15</v>
      </c>
      <c r="M4" s="6" t="s">
        <v>15</v>
      </c>
      <c r="N4" s="6" t="s">
        <v>15</v>
      </c>
      <c r="O4" s="6" t="s">
        <v>15</v>
      </c>
      <c r="P4" s="33" t="s">
        <v>15</v>
      </c>
      <c r="Q4" s="6" t="s">
        <v>15</v>
      </c>
      <c r="R4" s="29" t="s">
        <v>15</v>
      </c>
      <c r="S4" s="34" t="s">
        <v>134</v>
      </c>
    </row>
    <row r="5" spans="1:22" s="35" customFormat="1" x14ac:dyDescent="0.2">
      <c r="A5" s="36" t="s">
        <v>33</v>
      </c>
      <c r="B5" s="35" t="s">
        <v>135</v>
      </c>
      <c r="C5" s="35">
        <v>55</v>
      </c>
      <c r="D5" s="35">
        <v>55</v>
      </c>
      <c r="F5" s="37"/>
      <c r="G5" s="35">
        <v>35</v>
      </c>
      <c r="H5" s="38">
        <f>35/55</f>
        <v>0.63636363636363635</v>
      </c>
      <c r="P5" s="37"/>
      <c r="Q5" s="35">
        <v>20</v>
      </c>
      <c r="R5" s="38">
        <f>20/55</f>
        <v>0.36363636363636365</v>
      </c>
      <c r="S5" s="36" t="s">
        <v>134</v>
      </c>
    </row>
    <row r="6" spans="1:22" x14ac:dyDescent="0.2">
      <c r="A6" s="28" t="s">
        <v>41</v>
      </c>
      <c r="B6" s="6">
        <v>2006</v>
      </c>
      <c r="C6" s="6">
        <v>252</v>
      </c>
      <c r="D6" s="6">
        <v>252</v>
      </c>
      <c r="F6" s="33">
        <v>0.16300000000000001</v>
      </c>
      <c r="H6" s="33">
        <v>0.34100000000000003</v>
      </c>
      <c r="N6" s="33">
        <v>0.496</v>
      </c>
      <c r="R6" s="33">
        <v>0</v>
      </c>
    </row>
    <row r="7" spans="1:22" x14ac:dyDescent="0.2">
      <c r="A7" s="28" t="s">
        <v>45</v>
      </c>
      <c r="B7" s="6">
        <v>2018</v>
      </c>
      <c r="C7" s="1">
        <v>1646</v>
      </c>
      <c r="D7" s="6">
        <v>154</v>
      </c>
      <c r="E7" s="6">
        <v>26</v>
      </c>
      <c r="F7" s="33">
        <f>26/154</f>
        <v>0.16883116883116883</v>
      </c>
      <c r="G7" s="6">
        <v>54</v>
      </c>
      <c r="H7" s="33">
        <f>54/154</f>
        <v>0.35064935064935066</v>
      </c>
      <c r="I7" s="6" t="s">
        <v>15</v>
      </c>
      <c r="J7" s="6" t="s">
        <v>15</v>
      </c>
      <c r="K7" s="6">
        <v>1</v>
      </c>
      <c r="L7" s="33">
        <f>1/154</f>
        <v>6.4935064935064939E-3</v>
      </c>
      <c r="M7" s="6">
        <v>73</v>
      </c>
      <c r="N7" s="33">
        <f>73/154</f>
        <v>0.47402597402597402</v>
      </c>
      <c r="O7" s="6">
        <v>0</v>
      </c>
      <c r="P7" s="33">
        <f>0/154</f>
        <v>0</v>
      </c>
      <c r="Q7" s="6">
        <v>0</v>
      </c>
      <c r="R7" s="33">
        <f>0/154</f>
        <v>0</v>
      </c>
      <c r="S7" s="6" t="s">
        <v>136</v>
      </c>
    </row>
    <row r="8" spans="1:22" x14ac:dyDescent="0.2">
      <c r="A8" s="28" t="s">
        <v>47</v>
      </c>
      <c r="B8" s="6">
        <v>2023</v>
      </c>
      <c r="C8" s="6">
        <v>109</v>
      </c>
      <c r="D8" s="6">
        <v>94</v>
      </c>
      <c r="E8" s="6" t="s">
        <v>15</v>
      </c>
      <c r="F8" s="29" t="s">
        <v>15</v>
      </c>
      <c r="G8" s="6">
        <v>24</v>
      </c>
      <c r="H8" s="33">
        <f>24/109</f>
        <v>0.22018348623853212</v>
      </c>
      <c r="I8" s="29" t="s">
        <v>15</v>
      </c>
      <c r="J8" s="29" t="s">
        <v>15</v>
      </c>
      <c r="K8" s="29" t="s">
        <v>15</v>
      </c>
      <c r="L8" s="29" t="s">
        <v>15</v>
      </c>
      <c r="M8" s="6">
        <v>84</v>
      </c>
      <c r="N8" s="33">
        <f>84/109</f>
        <v>0.77064220183486243</v>
      </c>
      <c r="O8" s="29" t="s">
        <v>15</v>
      </c>
      <c r="P8" s="29" t="s">
        <v>15</v>
      </c>
      <c r="Q8" s="29" t="s">
        <v>15</v>
      </c>
      <c r="R8" s="29" t="s">
        <v>15</v>
      </c>
      <c r="S8" s="28" t="s">
        <v>137</v>
      </c>
    </row>
    <row r="9" spans="1:22" x14ac:dyDescent="0.2">
      <c r="A9" s="28" t="s">
        <v>52</v>
      </c>
      <c r="B9" s="6">
        <v>2020</v>
      </c>
      <c r="C9" s="6" t="s">
        <v>15</v>
      </c>
      <c r="D9" s="6" t="s">
        <v>15</v>
      </c>
      <c r="E9" s="6" t="s">
        <v>15</v>
      </c>
      <c r="F9" s="6" t="s">
        <v>15</v>
      </c>
      <c r="G9" s="6" t="s">
        <v>15</v>
      </c>
      <c r="H9" s="33">
        <v>0.59</v>
      </c>
      <c r="I9" s="6" t="s">
        <v>15</v>
      </c>
      <c r="J9" s="6" t="s">
        <v>15</v>
      </c>
      <c r="K9" s="6" t="s">
        <v>15</v>
      </c>
      <c r="L9" s="6" t="s">
        <v>15</v>
      </c>
      <c r="M9" s="6" t="s">
        <v>15</v>
      </c>
      <c r="N9" s="6" t="s">
        <v>15</v>
      </c>
      <c r="O9" s="6" t="s">
        <v>15</v>
      </c>
      <c r="P9" s="6" t="s">
        <v>15</v>
      </c>
      <c r="Q9" s="6" t="s">
        <v>15</v>
      </c>
      <c r="R9" s="6" t="s">
        <v>15</v>
      </c>
    </row>
    <row r="10" spans="1:22" x14ac:dyDescent="0.2">
      <c r="A10" s="28" t="s">
        <v>55</v>
      </c>
      <c r="B10" s="6">
        <v>2012</v>
      </c>
      <c r="C10" s="6">
        <v>127</v>
      </c>
      <c r="D10" s="6">
        <v>127</v>
      </c>
      <c r="E10" s="6">
        <v>37</v>
      </c>
      <c r="F10" s="29">
        <v>0.251</v>
      </c>
      <c r="G10" s="6">
        <v>62</v>
      </c>
      <c r="H10" s="33">
        <v>0.48799999999999999</v>
      </c>
      <c r="I10" s="6" t="s">
        <v>15</v>
      </c>
      <c r="J10" s="6" t="s">
        <v>15</v>
      </c>
      <c r="K10" s="6" t="s">
        <v>15</v>
      </c>
      <c r="L10" s="6" t="s">
        <v>15</v>
      </c>
      <c r="M10" s="6">
        <v>25</v>
      </c>
      <c r="N10" s="33">
        <f>25/127</f>
        <v>0.19685039370078741</v>
      </c>
      <c r="O10" s="6">
        <v>1</v>
      </c>
      <c r="P10" s="33">
        <f>1/127</f>
        <v>7.874015748031496E-3</v>
      </c>
      <c r="Q10" s="6">
        <v>2</v>
      </c>
      <c r="R10" s="33">
        <f>2/127</f>
        <v>1.5748031496062992E-2</v>
      </c>
    </row>
    <row r="11" spans="1:22" x14ac:dyDescent="0.2">
      <c r="A11" s="28" t="s">
        <v>58</v>
      </c>
      <c r="B11" s="6">
        <v>2018</v>
      </c>
      <c r="C11" s="6">
        <v>268</v>
      </c>
      <c r="D11" s="6">
        <v>166</v>
      </c>
      <c r="E11" s="6" t="s">
        <v>15</v>
      </c>
      <c r="F11" s="29" t="s">
        <v>15</v>
      </c>
      <c r="G11" s="39"/>
      <c r="H11" s="33">
        <v>0.37</v>
      </c>
      <c r="I11" s="6" t="s">
        <v>15</v>
      </c>
      <c r="J11" s="6" t="s">
        <v>15</v>
      </c>
      <c r="K11" s="6" t="s">
        <v>15</v>
      </c>
      <c r="L11" s="6" t="s">
        <v>15</v>
      </c>
      <c r="N11" s="29">
        <v>0.52</v>
      </c>
      <c r="O11" s="6" t="s">
        <v>15</v>
      </c>
      <c r="P11" s="29" t="s">
        <v>15</v>
      </c>
      <c r="Q11" s="6" t="s">
        <v>15</v>
      </c>
      <c r="R11" s="29" t="s">
        <v>15</v>
      </c>
      <c r="S11" s="28" t="s">
        <v>138</v>
      </c>
    </row>
    <row r="12" spans="1:22" x14ac:dyDescent="0.2">
      <c r="A12" s="28" t="s">
        <v>61</v>
      </c>
      <c r="B12" s="6">
        <v>2021</v>
      </c>
      <c r="C12" s="6">
        <v>23</v>
      </c>
      <c r="D12" s="6">
        <v>23</v>
      </c>
      <c r="E12" s="6">
        <v>4</v>
      </c>
      <c r="F12" s="33">
        <f>4/23</f>
        <v>0.17391304347826086</v>
      </c>
      <c r="G12" s="6">
        <v>8</v>
      </c>
      <c r="H12" s="33">
        <f>8/23</f>
        <v>0.34782608695652173</v>
      </c>
      <c r="K12" s="6">
        <v>4</v>
      </c>
      <c r="L12" s="33">
        <f>4/23</f>
        <v>0.17391304347826086</v>
      </c>
      <c r="M12" s="6">
        <v>5</v>
      </c>
      <c r="N12" s="33">
        <f>5/23</f>
        <v>0.21739130434782608</v>
      </c>
      <c r="O12" s="6">
        <v>2</v>
      </c>
      <c r="P12" s="33">
        <f>2/23</f>
        <v>8.6956521739130432E-2</v>
      </c>
    </row>
    <row r="13" spans="1:22" x14ac:dyDescent="0.2">
      <c r="A13" s="28" t="s">
        <v>63</v>
      </c>
      <c r="B13" s="6">
        <v>2023</v>
      </c>
      <c r="C13" s="6">
        <v>346141</v>
      </c>
      <c r="D13" s="6">
        <v>346141</v>
      </c>
      <c r="E13" s="6">
        <v>95534</v>
      </c>
      <c r="F13" s="33">
        <v>0.27600000000000002</v>
      </c>
      <c r="G13" s="6">
        <v>44587</v>
      </c>
      <c r="H13" s="33">
        <v>0.129</v>
      </c>
      <c r="I13" s="6" t="s">
        <v>15</v>
      </c>
      <c r="J13" s="6" t="s">
        <v>15</v>
      </c>
      <c r="K13" s="6" t="s">
        <v>15</v>
      </c>
      <c r="L13" s="6" t="s">
        <v>15</v>
      </c>
      <c r="M13" s="6">
        <v>158977</v>
      </c>
      <c r="N13" s="33">
        <v>0.45899999999999996</v>
      </c>
      <c r="O13" s="6">
        <v>19458</v>
      </c>
      <c r="P13" s="33">
        <v>5.5999999999999994E-2</v>
      </c>
      <c r="Q13" s="6">
        <v>27585</v>
      </c>
      <c r="R13" s="29">
        <v>0.08</v>
      </c>
    </row>
    <row r="14" spans="1:22" x14ac:dyDescent="0.2">
      <c r="A14" s="28" t="s">
        <v>66</v>
      </c>
      <c r="B14" s="6">
        <v>2018</v>
      </c>
      <c r="C14" s="6">
        <v>21402</v>
      </c>
      <c r="D14" s="6">
        <v>21402</v>
      </c>
      <c r="E14" s="6">
        <v>5147</v>
      </c>
      <c r="F14" s="33">
        <v>0.24100000000000002</v>
      </c>
      <c r="G14" s="6">
        <v>13759</v>
      </c>
      <c r="H14" s="33">
        <v>0.64300000000000002</v>
      </c>
      <c r="M14" s="6">
        <v>1255</v>
      </c>
      <c r="N14" s="40">
        <v>5.9000000000000004E-2</v>
      </c>
    </row>
    <row r="15" spans="1:22" x14ac:dyDescent="0.2">
      <c r="A15" s="28" t="s">
        <v>69</v>
      </c>
      <c r="B15" s="6">
        <v>2017</v>
      </c>
      <c r="C15" s="6">
        <v>40</v>
      </c>
      <c r="D15" s="6">
        <v>40</v>
      </c>
      <c r="E15" s="6" t="s">
        <v>15</v>
      </c>
      <c r="F15" s="29" t="s">
        <v>15</v>
      </c>
      <c r="G15" s="39"/>
      <c r="H15" s="29">
        <v>0.56999999999999995</v>
      </c>
      <c r="I15" s="29" t="s">
        <v>15</v>
      </c>
      <c r="J15" s="29" t="s">
        <v>15</v>
      </c>
      <c r="K15" s="29" t="s">
        <v>15</v>
      </c>
      <c r="L15" s="29" t="s">
        <v>15</v>
      </c>
      <c r="M15" s="29" t="s">
        <v>15</v>
      </c>
      <c r="N15" s="29" t="s">
        <v>15</v>
      </c>
      <c r="O15" s="29" t="s">
        <v>15</v>
      </c>
      <c r="P15" s="29" t="s">
        <v>15</v>
      </c>
      <c r="Q15" s="29" t="s">
        <v>15</v>
      </c>
      <c r="R15" s="29" t="s">
        <v>15</v>
      </c>
      <c r="S15" s="28" t="s">
        <v>139</v>
      </c>
      <c r="U15" s="29"/>
      <c r="V15" s="28"/>
    </row>
    <row r="16" spans="1:22" x14ac:dyDescent="0.2">
      <c r="A16" s="28" t="s">
        <v>72</v>
      </c>
      <c r="B16" s="6">
        <v>2022</v>
      </c>
      <c r="C16" s="6">
        <v>1439</v>
      </c>
      <c r="D16" s="6">
        <v>1226</v>
      </c>
      <c r="E16" s="6">
        <v>114</v>
      </c>
      <c r="F16" s="33">
        <v>7.9000000000000001E-2</v>
      </c>
      <c r="G16" s="6">
        <v>661</v>
      </c>
      <c r="H16" s="33">
        <v>0.45899999999999996</v>
      </c>
      <c r="I16" s="6" t="s">
        <v>15</v>
      </c>
      <c r="J16" s="6" t="s">
        <v>15</v>
      </c>
      <c r="K16" s="6" t="s">
        <v>15</v>
      </c>
      <c r="L16" s="6" t="s">
        <v>15</v>
      </c>
      <c r="M16" s="6">
        <v>523</v>
      </c>
      <c r="N16" s="33">
        <v>0.36599999999999999</v>
      </c>
      <c r="O16" s="6">
        <v>58</v>
      </c>
      <c r="P16" s="33">
        <v>0.04</v>
      </c>
      <c r="Q16" s="6">
        <v>83</v>
      </c>
      <c r="R16" s="33">
        <v>5.7999999999999996E-2</v>
      </c>
      <c r="U16" s="29"/>
    </row>
    <row r="17" spans="1:22" x14ac:dyDescent="0.2">
      <c r="A17" s="28" t="s">
        <v>76</v>
      </c>
      <c r="B17" s="6">
        <v>2012</v>
      </c>
      <c r="C17" s="6">
        <v>100</v>
      </c>
      <c r="D17" s="6">
        <v>100</v>
      </c>
      <c r="E17" s="6">
        <v>16</v>
      </c>
      <c r="F17" s="33">
        <f>16/22</f>
        <v>0.72727272727272729</v>
      </c>
      <c r="G17" s="6">
        <v>5</v>
      </c>
      <c r="H17" s="33">
        <f>5/22</f>
        <v>0.22727272727272727</v>
      </c>
      <c r="I17" s="6" t="s">
        <v>15</v>
      </c>
      <c r="J17" s="6" t="s">
        <v>15</v>
      </c>
      <c r="K17" s="6">
        <v>1</v>
      </c>
      <c r="L17" s="33">
        <f>1/22</f>
        <v>4.5454545454545456E-2</v>
      </c>
      <c r="M17" s="6" t="s">
        <v>15</v>
      </c>
      <c r="N17" s="6" t="s">
        <v>15</v>
      </c>
      <c r="O17" s="6" t="s">
        <v>15</v>
      </c>
      <c r="P17" s="6" t="s">
        <v>15</v>
      </c>
      <c r="Q17" s="6" t="s">
        <v>15</v>
      </c>
      <c r="R17" s="6" t="s">
        <v>15</v>
      </c>
      <c r="U17" s="29"/>
    </row>
    <row r="18" spans="1:22" x14ac:dyDescent="0.2">
      <c r="A18" s="28" t="s">
        <v>23</v>
      </c>
      <c r="B18" s="6">
        <v>2019</v>
      </c>
      <c r="C18" s="6">
        <v>2029</v>
      </c>
      <c r="D18" s="6">
        <v>2029</v>
      </c>
      <c r="E18" s="6">
        <v>263</v>
      </c>
      <c r="F18" s="29">
        <v>0.13</v>
      </c>
      <c r="G18" s="6">
        <v>687</v>
      </c>
      <c r="H18" s="29">
        <v>0.34</v>
      </c>
      <c r="M18" s="6">
        <v>1044</v>
      </c>
      <c r="N18" s="41">
        <v>0.51</v>
      </c>
      <c r="O18" s="6">
        <v>35</v>
      </c>
      <c r="P18" s="29">
        <v>0.02</v>
      </c>
      <c r="U18" s="29"/>
    </row>
    <row r="19" spans="1:22" x14ac:dyDescent="0.2">
      <c r="A19" s="28" t="s">
        <v>83</v>
      </c>
      <c r="B19" s="6">
        <v>2017</v>
      </c>
      <c r="C19" s="6">
        <v>138</v>
      </c>
      <c r="D19" s="6">
        <v>102</v>
      </c>
      <c r="E19" s="6">
        <v>29</v>
      </c>
      <c r="F19" s="33">
        <v>0.21</v>
      </c>
      <c r="G19" s="6">
        <v>100</v>
      </c>
      <c r="H19" s="33">
        <v>0.72199999999999998</v>
      </c>
      <c r="I19" s="6" t="s">
        <v>15</v>
      </c>
      <c r="J19" s="6" t="s">
        <v>15</v>
      </c>
      <c r="K19" s="6" t="s">
        <v>15</v>
      </c>
      <c r="L19" s="6" t="s">
        <v>15</v>
      </c>
      <c r="M19" s="6">
        <v>5</v>
      </c>
      <c r="N19" s="42" t="s">
        <v>140</v>
      </c>
      <c r="Q19" s="6">
        <v>4</v>
      </c>
      <c r="R19" s="33">
        <v>2.8999999999999998E-2</v>
      </c>
      <c r="S19" s="28" t="s">
        <v>141</v>
      </c>
      <c r="U19" s="29"/>
    </row>
    <row r="20" spans="1:22" x14ac:dyDescent="0.2">
      <c r="A20" s="28" t="s">
        <v>83</v>
      </c>
      <c r="B20" s="6">
        <v>2014</v>
      </c>
      <c r="C20" s="6">
        <v>205</v>
      </c>
      <c r="D20" s="6">
        <v>159</v>
      </c>
      <c r="F20" s="33">
        <v>0.26800000000000002</v>
      </c>
      <c r="H20" s="33">
        <v>0.68900000000000006</v>
      </c>
      <c r="N20" s="33">
        <v>4.4999999999999998E-2</v>
      </c>
      <c r="U20" s="33"/>
      <c r="V20" s="28"/>
    </row>
    <row r="21" spans="1:22" x14ac:dyDescent="0.2">
      <c r="A21" s="28" t="s">
        <v>89</v>
      </c>
      <c r="B21" s="6">
        <v>2021</v>
      </c>
      <c r="C21" s="6">
        <v>579</v>
      </c>
      <c r="D21" s="6">
        <v>579</v>
      </c>
      <c r="E21" s="6">
        <v>40</v>
      </c>
      <c r="F21" s="33">
        <v>0.11599999999999999</v>
      </c>
      <c r="G21" s="6">
        <v>122</v>
      </c>
      <c r="H21" s="33">
        <v>0.35299999999999998</v>
      </c>
      <c r="M21" s="6">
        <v>183</v>
      </c>
      <c r="N21" s="40">
        <v>0.52900000000000003</v>
      </c>
      <c r="O21" s="6">
        <v>1</v>
      </c>
      <c r="P21" s="33">
        <v>3.0000000000000001E-3</v>
      </c>
      <c r="U21" s="33"/>
    </row>
    <row r="22" spans="1:22" x14ac:dyDescent="0.2">
      <c r="A22" s="28" t="s">
        <v>91</v>
      </c>
      <c r="B22" s="6">
        <v>2021</v>
      </c>
      <c r="C22" s="6">
        <v>277</v>
      </c>
      <c r="D22" s="6">
        <v>277</v>
      </c>
      <c r="E22" s="6">
        <v>38</v>
      </c>
      <c r="F22" s="33">
        <v>0.13699999999999998</v>
      </c>
      <c r="G22" s="6">
        <v>134</v>
      </c>
      <c r="H22" s="33">
        <v>0.48299999999999998</v>
      </c>
      <c r="I22" s="6" t="s">
        <v>15</v>
      </c>
      <c r="J22" s="6" t="s">
        <v>15</v>
      </c>
      <c r="K22" s="6" t="s">
        <v>15</v>
      </c>
      <c r="L22" s="6" t="s">
        <v>15</v>
      </c>
      <c r="M22" s="6">
        <v>105</v>
      </c>
      <c r="N22" s="33">
        <v>0.379</v>
      </c>
      <c r="O22" s="6" t="s">
        <v>15</v>
      </c>
      <c r="P22" s="29" t="s">
        <v>15</v>
      </c>
      <c r="Q22" s="6" t="s">
        <v>15</v>
      </c>
      <c r="R22" s="29" t="s">
        <v>15</v>
      </c>
      <c r="U22" s="29"/>
    </row>
    <row r="23" spans="1:22" x14ac:dyDescent="0.2">
      <c r="A23" s="28" t="s">
        <v>93</v>
      </c>
      <c r="B23" s="6">
        <v>2013</v>
      </c>
      <c r="C23" s="6">
        <v>125242</v>
      </c>
      <c r="D23" s="6">
        <v>125242</v>
      </c>
      <c r="F23" s="33">
        <v>9.6999999999999989E-2</v>
      </c>
      <c r="H23" s="33">
        <v>0.434</v>
      </c>
      <c r="I23" s="6" t="s">
        <v>15</v>
      </c>
      <c r="J23" s="6" t="s">
        <v>15</v>
      </c>
      <c r="K23" s="6" t="s">
        <v>15</v>
      </c>
      <c r="L23" s="6" t="s">
        <v>15</v>
      </c>
      <c r="N23" s="33">
        <v>0.46299999999999997</v>
      </c>
      <c r="P23" s="33">
        <v>6.0000000000000001E-3</v>
      </c>
      <c r="Q23" s="6" t="s">
        <v>15</v>
      </c>
      <c r="R23" s="29" t="s">
        <v>15</v>
      </c>
      <c r="U23" s="33"/>
    </row>
    <row r="24" spans="1:22" x14ac:dyDescent="0.2">
      <c r="A24" s="28" t="s">
        <v>96</v>
      </c>
      <c r="B24" s="6">
        <v>2009</v>
      </c>
      <c r="C24" s="6">
        <v>143</v>
      </c>
      <c r="D24" s="6">
        <v>143</v>
      </c>
      <c r="F24" s="33">
        <v>0.09</v>
      </c>
      <c r="G24" s="41"/>
      <c r="H24" s="33">
        <v>0.55000000000000004</v>
      </c>
      <c r="I24" s="6" t="s">
        <v>15</v>
      </c>
      <c r="J24" s="6" t="s">
        <v>15</v>
      </c>
      <c r="K24" s="6" t="s">
        <v>15</v>
      </c>
      <c r="L24" s="6" t="s">
        <v>15</v>
      </c>
      <c r="M24" s="41"/>
      <c r="N24" s="40">
        <v>0.36</v>
      </c>
      <c r="O24" s="41" t="s">
        <v>15</v>
      </c>
      <c r="P24" s="33" t="s">
        <v>15</v>
      </c>
      <c r="Q24" s="6" t="s">
        <v>15</v>
      </c>
      <c r="R24" s="29" t="s">
        <v>15</v>
      </c>
    </row>
    <row r="25" spans="1:22" x14ac:dyDescent="0.2">
      <c r="A25" s="28" t="s">
        <v>99</v>
      </c>
      <c r="B25" s="6">
        <v>2015</v>
      </c>
      <c r="C25" s="6">
        <v>58034</v>
      </c>
      <c r="D25" s="6">
        <v>1073</v>
      </c>
      <c r="F25" s="33">
        <v>0.315</v>
      </c>
      <c r="H25" s="33">
        <v>0.125</v>
      </c>
      <c r="I25" s="6" t="s">
        <v>15</v>
      </c>
      <c r="J25" s="6" t="s">
        <v>15</v>
      </c>
      <c r="K25" s="6" t="s">
        <v>15</v>
      </c>
      <c r="L25" s="6" t="s">
        <v>15</v>
      </c>
      <c r="N25" s="40">
        <v>0.52300000000000002</v>
      </c>
      <c r="O25" s="6" t="s">
        <v>15</v>
      </c>
      <c r="P25" s="33" t="s">
        <v>15</v>
      </c>
      <c r="R25" s="33">
        <v>3.7000000000000005E-2</v>
      </c>
      <c r="S25" s="28" t="s">
        <v>142</v>
      </c>
    </row>
    <row r="26" spans="1:22" x14ac:dyDescent="0.2">
      <c r="A26" s="28" t="s">
        <v>102</v>
      </c>
      <c r="B26" s="6">
        <v>2013</v>
      </c>
      <c r="C26" s="6">
        <v>236</v>
      </c>
      <c r="D26" s="6">
        <v>236</v>
      </c>
      <c r="E26" s="6">
        <v>56</v>
      </c>
      <c r="F26" s="33">
        <v>0.23699999999999999</v>
      </c>
      <c r="G26" s="6">
        <v>110</v>
      </c>
      <c r="H26" s="33">
        <v>0.46600000000000003</v>
      </c>
      <c r="I26" s="6" t="s">
        <v>15</v>
      </c>
      <c r="J26" s="6" t="s">
        <v>15</v>
      </c>
      <c r="K26" s="6" t="s">
        <v>15</v>
      </c>
      <c r="L26" s="6" t="s">
        <v>15</v>
      </c>
      <c r="M26" s="6">
        <v>59</v>
      </c>
      <c r="N26" s="33">
        <v>0.25</v>
      </c>
      <c r="O26" s="6" t="s">
        <v>15</v>
      </c>
      <c r="P26" s="29" t="s">
        <v>15</v>
      </c>
      <c r="Q26" s="6">
        <v>11</v>
      </c>
      <c r="R26" s="33">
        <v>4.7E-2</v>
      </c>
    </row>
    <row r="27" spans="1:22" x14ac:dyDescent="0.2">
      <c r="A27" s="28" t="s">
        <v>104</v>
      </c>
      <c r="B27" s="6">
        <v>2021</v>
      </c>
      <c r="C27" s="6">
        <v>1849</v>
      </c>
      <c r="D27" s="6">
        <v>1849</v>
      </c>
      <c r="M27" s="6">
        <v>221</v>
      </c>
      <c r="N27" s="33">
        <v>0.68799999999999994</v>
      </c>
    </row>
    <row r="28" spans="1:22" x14ac:dyDescent="0.2">
      <c r="A28" s="28" t="s">
        <v>107</v>
      </c>
      <c r="B28" s="6">
        <v>2022</v>
      </c>
      <c r="C28" s="6">
        <v>291276</v>
      </c>
      <c r="D28" s="6">
        <v>12440</v>
      </c>
      <c r="G28" s="6">
        <v>3166</v>
      </c>
      <c r="H28" s="33">
        <v>0.52</v>
      </c>
      <c r="M28" s="6">
        <v>789</v>
      </c>
      <c r="N28" s="33">
        <v>0.13</v>
      </c>
      <c r="Q28" s="6">
        <v>2073</v>
      </c>
      <c r="R28" s="33">
        <v>0.34</v>
      </c>
      <c r="S28" s="28" t="s">
        <v>143</v>
      </c>
    </row>
    <row r="29" spans="1:22" x14ac:dyDescent="0.2">
      <c r="H29" s="33"/>
      <c r="N29" s="40"/>
      <c r="R29" s="33"/>
    </row>
    <row r="30" spans="1:22" x14ac:dyDescent="0.2">
      <c r="A30" s="43" t="s">
        <v>78</v>
      </c>
      <c r="B30" s="6">
        <v>2015</v>
      </c>
      <c r="C30" s="6">
        <v>34430</v>
      </c>
      <c r="D30" s="6">
        <v>34430</v>
      </c>
    </row>
    <row r="31" spans="1:22" x14ac:dyDescent="0.2">
      <c r="A31" s="44" t="s">
        <v>144</v>
      </c>
      <c r="C31" s="6">
        <v>837</v>
      </c>
      <c r="D31" s="6">
        <v>837</v>
      </c>
      <c r="F31" s="33">
        <v>0.20800000000000002</v>
      </c>
      <c r="H31" s="40">
        <v>0.26899999999999996</v>
      </c>
      <c r="I31" s="33"/>
      <c r="K31" s="33"/>
      <c r="N31" s="40">
        <v>0.51700000000000002</v>
      </c>
      <c r="P31" s="6"/>
      <c r="Q31" s="42"/>
      <c r="R31" s="40">
        <v>6.0000000000000001E-3</v>
      </c>
      <c r="S31" s="29"/>
    </row>
    <row r="32" spans="1:22" x14ac:dyDescent="0.2">
      <c r="A32" s="44" t="s">
        <v>50</v>
      </c>
      <c r="C32" s="6">
        <v>4599</v>
      </c>
      <c r="D32" s="6">
        <v>4599</v>
      </c>
      <c r="F32" s="40">
        <v>0.33399999999999996</v>
      </c>
      <c r="H32" s="40">
        <v>0.39700000000000002</v>
      </c>
      <c r="I32" s="29"/>
      <c r="K32" s="29"/>
      <c r="N32" s="40">
        <v>0.151</v>
      </c>
      <c r="P32" s="6"/>
      <c r="R32" s="40">
        <v>2.7000000000000003E-2</v>
      </c>
      <c r="S32" s="29"/>
    </row>
    <row r="33" spans="1:19" x14ac:dyDescent="0.2">
      <c r="A33" s="44" t="s">
        <v>145</v>
      </c>
      <c r="C33" s="6">
        <v>4034</v>
      </c>
      <c r="D33" s="6">
        <v>4034</v>
      </c>
      <c r="F33" s="40">
        <v>0.51</v>
      </c>
      <c r="H33" s="40">
        <v>0.313</v>
      </c>
      <c r="I33" s="33"/>
      <c r="K33" s="33"/>
      <c r="N33" s="40">
        <v>0.13400000000000001</v>
      </c>
      <c r="P33" s="6"/>
      <c r="Q33" s="33"/>
      <c r="R33" s="40">
        <v>4.2000000000000003E-2</v>
      </c>
      <c r="S33" s="29"/>
    </row>
    <row r="34" spans="1:19" x14ac:dyDescent="0.2">
      <c r="A34" s="44" t="s">
        <v>146</v>
      </c>
      <c r="C34" s="6">
        <v>352</v>
      </c>
      <c r="D34" s="6">
        <v>352</v>
      </c>
      <c r="F34" s="40">
        <v>0.46</v>
      </c>
      <c r="H34" s="40">
        <v>0.38100000000000001</v>
      </c>
      <c r="I34" s="33"/>
      <c r="K34" s="33"/>
      <c r="N34" s="40">
        <v>0.151</v>
      </c>
      <c r="P34" s="6"/>
      <c r="Q34" s="33"/>
      <c r="R34" s="40">
        <v>9.0000000000000011E-3</v>
      </c>
      <c r="S34" s="33"/>
    </row>
    <row r="35" spans="1:19" x14ac:dyDescent="0.2">
      <c r="A35" s="44" t="s">
        <v>147</v>
      </c>
      <c r="C35" s="6">
        <v>241</v>
      </c>
      <c r="D35" s="6">
        <v>241</v>
      </c>
      <c r="F35" s="6" t="s">
        <v>15</v>
      </c>
      <c r="H35" s="40">
        <v>0.60199999999999998</v>
      </c>
      <c r="I35" s="33"/>
      <c r="J35" s="41"/>
      <c r="K35" s="33"/>
      <c r="N35" s="6" t="s">
        <v>15</v>
      </c>
      <c r="P35" s="41"/>
      <c r="Q35" s="40"/>
      <c r="R35" s="40">
        <v>0.39799999999999996</v>
      </c>
      <c r="S35" s="33"/>
    </row>
    <row r="36" spans="1:19" x14ac:dyDescent="0.2">
      <c r="A36" s="44" t="s">
        <v>14</v>
      </c>
      <c r="C36" s="6">
        <v>92</v>
      </c>
      <c r="D36" s="6">
        <v>92</v>
      </c>
      <c r="F36" s="40">
        <v>0.16300000000000001</v>
      </c>
      <c r="H36" s="40">
        <v>0.39100000000000001</v>
      </c>
      <c r="I36" s="33"/>
      <c r="K36" s="33"/>
      <c r="N36" s="40">
        <v>0.435</v>
      </c>
      <c r="P36" s="6"/>
      <c r="Q36" s="40"/>
      <c r="R36" s="40">
        <v>1.1000000000000001E-2</v>
      </c>
      <c r="S36" s="33"/>
    </row>
    <row r="37" spans="1:19" x14ac:dyDescent="0.2">
      <c r="A37" s="44" t="s">
        <v>148</v>
      </c>
      <c r="C37" s="6">
        <v>202</v>
      </c>
      <c r="D37" s="6">
        <v>202</v>
      </c>
      <c r="F37" s="40">
        <v>5.9000000000000004E-2</v>
      </c>
      <c r="H37" s="40">
        <v>0.188</v>
      </c>
      <c r="I37" s="33"/>
      <c r="K37" s="33"/>
      <c r="N37" s="40">
        <v>0.71299999999999997</v>
      </c>
      <c r="P37" s="6"/>
      <c r="Q37" s="33"/>
      <c r="R37" s="40">
        <v>0.04</v>
      </c>
      <c r="S37" s="29"/>
    </row>
    <row r="38" spans="1:19" x14ac:dyDescent="0.2">
      <c r="A38" s="44" t="s">
        <v>30</v>
      </c>
      <c r="C38" s="6">
        <v>20065</v>
      </c>
      <c r="D38" s="6">
        <v>20065</v>
      </c>
      <c r="F38" s="40">
        <v>0.23800000000000002</v>
      </c>
      <c r="H38" s="40">
        <v>0.17300000000000001</v>
      </c>
      <c r="I38" s="29"/>
      <c r="K38" s="29"/>
      <c r="N38" s="40">
        <v>0.49700000000000005</v>
      </c>
      <c r="P38" s="6"/>
      <c r="Q38" s="33"/>
      <c r="R38" s="40">
        <v>5.2000000000000005E-2</v>
      </c>
      <c r="S38" s="29"/>
    </row>
    <row r="39" spans="1:19" x14ac:dyDescent="0.2">
      <c r="A39" s="44" t="s">
        <v>74</v>
      </c>
      <c r="C39" s="6">
        <v>1381</v>
      </c>
      <c r="D39" s="6">
        <v>1381</v>
      </c>
      <c r="F39" s="40">
        <v>5.9000000000000004E-2</v>
      </c>
      <c r="H39" s="40">
        <v>0.42399999999999999</v>
      </c>
      <c r="I39" s="29"/>
      <c r="K39" s="33"/>
      <c r="N39" s="40">
        <v>0.47600000000000003</v>
      </c>
      <c r="P39" s="6"/>
      <c r="Q39" s="33"/>
      <c r="R39" s="40">
        <v>4.0999999999999995E-2</v>
      </c>
      <c r="S39" s="29"/>
    </row>
    <row r="40" spans="1:19" x14ac:dyDescent="0.2">
      <c r="A40" s="44" t="s">
        <v>149</v>
      </c>
      <c r="C40" s="6">
        <v>1062</v>
      </c>
      <c r="D40" s="6">
        <v>1062</v>
      </c>
      <c r="F40" s="33">
        <v>0.73</v>
      </c>
      <c r="H40" s="33">
        <v>0.24100000000000002</v>
      </c>
      <c r="N40" s="6" t="s">
        <v>15</v>
      </c>
      <c r="R40" s="33">
        <v>2.8999999999999998E-2</v>
      </c>
    </row>
    <row r="41" spans="1:19" x14ac:dyDescent="0.2">
      <c r="A41" s="44" t="s">
        <v>150</v>
      </c>
      <c r="C41" s="6">
        <v>1565</v>
      </c>
      <c r="D41" s="6">
        <v>1565</v>
      </c>
      <c r="F41" s="33">
        <v>0.20600000000000002</v>
      </c>
      <c r="H41" s="33">
        <v>0.747</v>
      </c>
      <c r="N41" s="40">
        <v>4.4999999999999998E-2</v>
      </c>
      <c r="R41" s="33">
        <v>2E-3</v>
      </c>
    </row>
  </sheetData>
  <sortState xmlns:xlrd2="http://schemas.microsoft.com/office/spreadsheetml/2017/richdata2" ref="A5:S40">
    <sortCondition ref="A5:A40"/>
  </sortState>
  <pageMargins left="0.7" right="0.7" top="0.78740157500000008" bottom="0.78740157500000008" header="0.3" footer="0.3"/>
  <pageSetup paperSize="9" firstPageNumber="2147483648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"/>
  <sheetViews>
    <sheetView topLeftCell="P1" workbookViewId="0">
      <selection activeCell="Q15" sqref="Q15"/>
    </sheetView>
  </sheetViews>
  <sheetFormatPr baseColWidth="10" defaultRowHeight="16" x14ac:dyDescent="0.2"/>
  <sheetData>
    <row r="1" spans="1:24" s="22" customFormat="1" x14ac:dyDescent="0.2">
      <c r="E1" s="22" t="s">
        <v>151</v>
      </c>
      <c r="F1" s="22" t="s">
        <v>126</v>
      </c>
      <c r="H1" s="22" t="s">
        <v>151</v>
      </c>
      <c r="I1" s="22" t="s">
        <v>126</v>
      </c>
      <c r="K1" s="22" t="s">
        <v>151</v>
      </c>
      <c r="L1" s="22" t="s">
        <v>126</v>
      </c>
      <c r="N1" s="22" t="s">
        <v>151</v>
      </c>
      <c r="O1" s="22" t="s">
        <v>126</v>
      </c>
      <c r="Q1" s="22" t="s">
        <v>151</v>
      </c>
      <c r="R1" s="22" t="s">
        <v>126</v>
      </c>
      <c r="T1" s="22" t="s">
        <v>151</v>
      </c>
      <c r="U1" s="22" t="s">
        <v>126</v>
      </c>
      <c r="W1" s="22" t="s">
        <v>151</v>
      </c>
      <c r="X1" s="22" t="s">
        <v>126</v>
      </c>
    </row>
    <row r="2" spans="1:24" s="22" customFormat="1" x14ac:dyDescent="0.2">
      <c r="A2" s="22" t="s">
        <v>110</v>
      </c>
      <c r="B2" s="22" t="s">
        <v>111</v>
      </c>
      <c r="C2" s="22" t="s">
        <v>112</v>
      </c>
      <c r="D2" s="22" t="s">
        <v>114</v>
      </c>
      <c r="G2" s="22" t="s">
        <v>116</v>
      </c>
      <c r="J2" s="22" t="s">
        <v>118</v>
      </c>
      <c r="M2" s="22" t="s">
        <v>120</v>
      </c>
      <c r="P2" s="22" t="s">
        <v>152</v>
      </c>
      <c r="S2" s="22" t="s">
        <v>124</v>
      </c>
      <c r="V2" s="22" t="s">
        <v>153</v>
      </c>
    </row>
    <row r="3" spans="1:24" s="22" customFormat="1" x14ac:dyDescent="0.2"/>
  </sheetData>
  <pageMargins left="0.7" right="0.7" top="0.78740157500000008" bottom="0.78740157500000008" header="0.3" footer="0.3"/>
  <pageSetup paperSize="9" firstPageNumber="2147483648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54"/>
  <sheetViews>
    <sheetView zoomScale="81" workbookViewId="0">
      <pane ySplit="1" topLeftCell="A2" activePane="bottomLeft" state="frozen"/>
      <selection activeCell="I59" sqref="I59"/>
      <selection pane="bottomLeft"/>
    </sheetView>
  </sheetViews>
  <sheetFormatPr baseColWidth="10" defaultRowHeight="16" x14ac:dyDescent="0.2"/>
  <cols>
    <col min="1" max="1" width="11" style="28"/>
    <col min="4" max="4" width="11" style="45"/>
  </cols>
  <sheetData>
    <row r="1" spans="1:38" s="22" customFormat="1" x14ac:dyDescent="0.2">
      <c r="A1" s="30" t="s">
        <v>110</v>
      </c>
      <c r="B1" s="22" t="s">
        <v>111</v>
      </c>
      <c r="C1" s="22" t="s">
        <v>112</v>
      </c>
      <c r="D1" s="46" t="s">
        <v>114</v>
      </c>
      <c r="E1" s="22" t="s">
        <v>151</v>
      </c>
      <c r="F1" s="22" t="s">
        <v>154</v>
      </c>
      <c r="G1" s="22" t="s">
        <v>126</v>
      </c>
      <c r="H1" s="22" t="s">
        <v>154</v>
      </c>
      <c r="I1" s="22" t="s">
        <v>116</v>
      </c>
      <c r="J1" s="22" t="s">
        <v>151</v>
      </c>
      <c r="K1" s="22" t="s">
        <v>154</v>
      </c>
      <c r="L1" s="22" t="s">
        <v>126</v>
      </c>
      <c r="M1" s="22" t="s">
        <v>154</v>
      </c>
      <c r="N1" s="22" t="s">
        <v>118</v>
      </c>
      <c r="O1" s="22" t="s">
        <v>151</v>
      </c>
      <c r="P1" s="22" t="s">
        <v>154</v>
      </c>
      <c r="Q1" s="22" t="s">
        <v>126</v>
      </c>
      <c r="R1" s="22" t="s">
        <v>154</v>
      </c>
      <c r="S1" s="22" t="s">
        <v>120</v>
      </c>
      <c r="T1" s="22" t="s">
        <v>151</v>
      </c>
      <c r="U1" s="22" t="s">
        <v>154</v>
      </c>
      <c r="V1" s="22" t="s">
        <v>126</v>
      </c>
      <c r="W1" s="22" t="s">
        <v>154</v>
      </c>
      <c r="X1" s="22" t="s">
        <v>152</v>
      </c>
      <c r="Y1" s="22" t="s">
        <v>151</v>
      </c>
      <c r="Z1" s="22" t="s">
        <v>154</v>
      </c>
      <c r="AA1" s="22" t="s">
        <v>126</v>
      </c>
      <c r="AB1" s="22" t="s">
        <v>154</v>
      </c>
      <c r="AC1" s="22" t="s">
        <v>124</v>
      </c>
      <c r="AD1" s="22" t="s">
        <v>151</v>
      </c>
      <c r="AE1" s="22" t="s">
        <v>154</v>
      </c>
      <c r="AF1" s="22" t="s">
        <v>126</v>
      </c>
      <c r="AG1" s="22" t="s">
        <v>154</v>
      </c>
      <c r="AH1" s="22" t="s">
        <v>153</v>
      </c>
      <c r="AI1" s="22" t="s">
        <v>151</v>
      </c>
      <c r="AJ1" s="22" t="s">
        <v>154</v>
      </c>
      <c r="AK1" s="22" t="s">
        <v>126</v>
      </c>
      <c r="AL1" s="22" t="s">
        <v>154</v>
      </c>
    </row>
    <row r="2" spans="1:38" s="22" customFormat="1" x14ac:dyDescent="0.2"/>
    <row r="3" spans="1:38" s="22" customFormat="1" x14ac:dyDescent="0.2">
      <c r="A3" s="30"/>
      <c r="D3" s="46"/>
    </row>
    <row r="4" spans="1:38" s="6" customFormat="1" x14ac:dyDescent="0.2">
      <c r="A4" s="28" t="s">
        <v>133</v>
      </c>
      <c r="B4" s="6">
        <v>53279</v>
      </c>
      <c r="C4" s="6">
        <v>53279</v>
      </c>
      <c r="I4" s="47" t="s">
        <v>155</v>
      </c>
      <c r="AC4" s="28"/>
    </row>
    <row r="5" spans="1:38" s="6" customFormat="1" x14ac:dyDescent="0.2">
      <c r="A5" s="28"/>
      <c r="I5" s="45" t="s">
        <v>156</v>
      </c>
      <c r="J5" s="6">
        <v>0.94</v>
      </c>
      <c r="K5" s="6" t="s">
        <v>157</v>
      </c>
      <c r="AC5" s="28"/>
    </row>
    <row r="6" spans="1:38" s="6" customFormat="1" x14ac:dyDescent="0.2">
      <c r="A6" s="28"/>
      <c r="I6" s="47" t="s">
        <v>158</v>
      </c>
      <c r="AC6" s="28"/>
    </row>
    <row r="7" spans="1:38" s="6" customFormat="1" x14ac:dyDescent="0.2">
      <c r="A7" s="28"/>
      <c r="I7" s="45" t="s">
        <v>159</v>
      </c>
      <c r="J7" s="6">
        <v>1.1100000000000001</v>
      </c>
      <c r="K7" s="6" t="s">
        <v>160</v>
      </c>
    </row>
    <row r="8" spans="1:38" s="6" customFormat="1" x14ac:dyDescent="0.2">
      <c r="A8" s="28"/>
      <c r="I8" s="45" t="s">
        <v>161</v>
      </c>
      <c r="J8" s="6">
        <v>1.59</v>
      </c>
      <c r="K8" s="6" t="s">
        <v>162</v>
      </c>
    </row>
    <row r="9" spans="1:38" s="6" customFormat="1" x14ac:dyDescent="0.2">
      <c r="A9" s="28"/>
      <c r="I9" s="45" t="s">
        <v>163</v>
      </c>
      <c r="J9" s="6">
        <v>2.4900000000000002</v>
      </c>
      <c r="K9" s="6" t="s">
        <v>164</v>
      </c>
    </row>
    <row r="10" spans="1:38" s="6" customFormat="1" x14ac:dyDescent="0.2">
      <c r="A10" s="28"/>
      <c r="I10" s="45" t="s">
        <v>165</v>
      </c>
      <c r="J10" s="6">
        <v>1.49</v>
      </c>
      <c r="K10" s="6" t="s">
        <v>166</v>
      </c>
    </row>
    <row r="11" spans="1:38" s="6" customFormat="1" x14ac:dyDescent="0.2">
      <c r="A11" s="28"/>
      <c r="I11" s="47" t="s">
        <v>167</v>
      </c>
    </row>
    <row r="12" spans="1:38" s="6" customFormat="1" x14ac:dyDescent="0.2">
      <c r="A12" s="28"/>
      <c r="I12" s="45" t="s">
        <v>168</v>
      </c>
      <c r="J12" s="6">
        <v>1.24</v>
      </c>
      <c r="K12" s="6" t="s">
        <v>169</v>
      </c>
    </row>
    <row r="13" spans="1:38" s="6" customFormat="1" x14ac:dyDescent="0.2">
      <c r="A13" s="28"/>
      <c r="I13" s="47" t="s">
        <v>170</v>
      </c>
    </row>
    <row r="14" spans="1:38" s="6" customFormat="1" x14ac:dyDescent="0.2">
      <c r="A14" s="28"/>
      <c r="I14" s="45" t="s">
        <v>171</v>
      </c>
      <c r="J14" s="48">
        <v>1</v>
      </c>
      <c r="K14" s="6" t="s">
        <v>172</v>
      </c>
    </row>
    <row r="15" spans="1:38" s="6" customFormat="1" x14ac:dyDescent="0.2">
      <c r="A15" s="28"/>
      <c r="I15" s="47" t="s">
        <v>173</v>
      </c>
      <c r="J15" s="48"/>
    </row>
    <row r="16" spans="1:38" s="6" customFormat="1" x14ac:dyDescent="0.2">
      <c r="A16" s="28"/>
      <c r="I16" s="45" t="s">
        <v>174</v>
      </c>
      <c r="J16" s="6">
        <v>1.04</v>
      </c>
      <c r="K16" s="6" t="s">
        <v>175</v>
      </c>
    </row>
    <row r="17" spans="1:33" s="6" customFormat="1" x14ac:dyDescent="0.2">
      <c r="A17" s="28"/>
      <c r="I17" s="47" t="s">
        <v>176</v>
      </c>
      <c r="J17" s="48"/>
    </row>
    <row r="18" spans="1:33" s="6" customFormat="1" x14ac:dyDescent="0.2">
      <c r="A18" s="28"/>
      <c r="I18" s="45"/>
      <c r="J18" s="48" t="s">
        <v>177</v>
      </c>
      <c r="K18" s="6" t="s">
        <v>178</v>
      </c>
    </row>
    <row r="19" spans="1:33" s="6" customFormat="1" x14ac:dyDescent="0.2"/>
    <row r="20" spans="1:33" s="6" customFormat="1" x14ac:dyDescent="0.2">
      <c r="A20" s="28" t="s">
        <v>63</v>
      </c>
      <c r="B20" s="6">
        <v>346141</v>
      </c>
      <c r="C20" s="23">
        <v>346141</v>
      </c>
      <c r="D20" s="47" t="s">
        <v>179</v>
      </c>
      <c r="I20" s="47" t="s">
        <v>179</v>
      </c>
      <c r="X20" s="47" t="s">
        <v>179</v>
      </c>
      <c r="AC20" s="47" t="s">
        <v>179</v>
      </c>
    </row>
    <row r="21" spans="1:33" s="6" customFormat="1" x14ac:dyDescent="0.2">
      <c r="A21" s="28"/>
      <c r="D21" s="45" t="s">
        <v>180</v>
      </c>
      <c r="E21" s="6">
        <v>0.96299999999999997</v>
      </c>
      <c r="F21" s="6" t="s">
        <v>181</v>
      </c>
      <c r="I21" s="45" t="s">
        <v>180</v>
      </c>
      <c r="J21" s="6">
        <v>0.71599999999999997</v>
      </c>
      <c r="K21" s="6" t="s">
        <v>182</v>
      </c>
      <c r="X21" s="45" t="s">
        <v>180</v>
      </c>
      <c r="Y21" s="6">
        <v>1.3180000000000001</v>
      </c>
      <c r="Z21" s="6" t="s">
        <v>183</v>
      </c>
      <c r="AC21" s="45" t="s">
        <v>180</v>
      </c>
      <c r="AD21" s="6">
        <v>0.99399999999999999</v>
      </c>
      <c r="AE21" s="28" t="s">
        <v>184</v>
      </c>
    </row>
    <row r="22" spans="1:33" s="6" customFormat="1" x14ac:dyDescent="0.2">
      <c r="A22" s="28"/>
      <c r="D22" s="45" t="s">
        <v>185</v>
      </c>
      <c r="E22" s="6">
        <v>0.95599999999999996</v>
      </c>
      <c r="F22" s="6" t="s">
        <v>186</v>
      </c>
      <c r="I22" s="45" t="s">
        <v>185</v>
      </c>
      <c r="J22" s="6">
        <v>0.54200000000000004</v>
      </c>
      <c r="K22" s="6" t="s">
        <v>187</v>
      </c>
      <c r="X22" s="45" t="s">
        <v>185</v>
      </c>
      <c r="Y22" s="6">
        <v>1.552</v>
      </c>
      <c r="Z22" s="6" t="s">
        <v>188</v>
      </c>
      <c r="AC22" s="45" t="s">
        <v>185</v>
      </c>
      <c r="AD22" s="6">
        <v>0.91300000000000003</v>
      </c>
      <c r="AE22" s="28" t="s">
        <v>189</v>
      </c>
    </row>
    <row r="23" spans="1:33" s="6" customFormat="1" x14ac:dyDescent="0.2">
      <c r="A23" s="28"/>
      <c r="D23" s="45" t="s">
        <v>190</v>
      </c>
      <c r="E23" s="6">
        <v>0.97299999999999998</v>
      </c>
      <c r="F23" s="6" t="s">
        <v>191</v>
      </c>
      <c r="I23" s="45" t="s">
        <v>190</v>
      </c>
      <c r="J23" s="6">
        <v>0.41799999999999998</v>
      </c>
      <c r="K23" s="6" t="s">
        <v>192</v>
      </c>
      <c r="X23" s="45" t="s">
        <v>190</v>
      </c>
      <c r="Y23" s="6">
        <v>1.7130000000000001</v>
      </c>
      <c r="Z23" s="6" t="s">
        <v>193</v>
      </c>
      <c r="AC23" s="45" t="s">
        <v>190</v>
      </c>
      <c r="AD23" s="6">
        <v>0.80200000000000005</v>
      </c>
      <c r="AE23" s="28" t="s">
        <v>194</v>
      </c>
      <c r="AF23" s="23"/>
      <c r="AG23" s="28"/>
    </row>
    <row r="24" spans="1:33" s="6" customFormat="1" x14ac:dyDescent="0.2">
      <c r="A24" s="28"/>
      <c r="D24" s="47" t="s">
        <v>155</v>
      </c>
      <c r="I24" s="47" t="s">
        <v>155</v>
      </c>
      <c r="X24" s="47" t="s">
        <v>155</v>
      </c>
      <c r="AC24" s="47" t="s">
        <v>155</v>
      </c>
    </row>
    <row r="25" spans="1:33" s="6" customFormat="1" x14ac:dyDescent="0.2">
      <c r="A25" s="28"/>
      <c r="D25" s="45" t="s">
        <v>195</v>
      </c>
      <c r="E25" s="6">
        <v>0.86</v>
      </c>
      <c r="F25" s="6" t="s">
        <v>196</v>
      </c>
      <c r="I25" s="45" t="s">
        <v>195</v>
      </c>
      <c r="J25" s="6">
        <v>1.454</v>
      </c>
      <c r="K25" s="6" t="s">
        <v>197</v>
      </c>
      <c r="X25" s="45" t="s">
        <v>195</v>
      </c>
      <c r="Y25" s="6">
        <v>0.95699999999999996</v>
      </c>
      <c r="Z25" s="6" t="s">
        <v>198</v>
      </c>
      <c r="AC25" s="45" t="s">
        <v>195</v>
      </c>
      <c r="AD25" s="6">
        <v>1.2270000000000001</v>
      </c>
      <c r="AE25" s="6" t="s">
        <v>199</v>
      </c>
    </row>
    <row r="26" spans="1:33" s="6" customFormat="1" x14ac:dyDescent="0.2">
      <c r="A26" s="28"/>
      <c r="D26" s="47" t="s">
        <v>200</v>
      </c>
      <c r="I26" s="47" t="s">
        <v>200</v>
      </c>
      <c r="X26" s="47" t="s">
        <v>200</v>
      </c>
      <c r="AC26" s="47" t="s">
        <v>200</v>
      </c>
    </row>
    <row r="27" spans="1:33" s="6" customFormat="1" x14ac:dyDescent="0.2">
      <c r="A27" s="28"/>
      <c r="D27" s="45" t="s">
        <v>201</v>
      </c>
      <c r="E27" s="6">
        <v>0.505</v>
      </c>
      <c r="F27" s="6" t="s">
        <v>202</v>
      </c>
      <c r="I27" s="45" t="s">
        <v>201</v>
      </c>
      <c r="J27" s="6">
        <v>0.91300000000000003</v>
      </c>
      <c r="K27" s="6" t="s">
        <v>203</v>
      </c>
      <c r="X27" s="45" t="s">
        <v>201</v>
      </c>
      <c r="Y27" s="6">
        <v>1.839</v>
      </c>
      <c r="Z27" s="6" t="s">
        <v>204</v>
      </c>
      <c r="AC27" s="45" t="s">
        <v>201</v>
      </c>
      <c r="AD27" s="6">
        <v>0.80400000000000005</v>
      </c>
      <c r="AE27" s="28" t="s">
        <v>205</v>
      </c>
    </row>
    <row r="28" spans="1:33" s="6" customFormat="1" x14ac:dyDescent="0.2">
      <c r="A28" s="28"/>
      <c r="D28" s="47" t="s">
        <v>158</v>
      </c>
      <c r="I28" s="47" t="s">
        <v>158</v>
      </c>
      <c r="X28" s="47" t="s">
        <v>158</v>
      </c>
      <c r="AC28" s="47" t="s">
        <v>158</v>
      </c>
    </row>
    <row r="29" spans="1:33" s="6" customFormat="1" x14ac:dyDescent="0.2">
      <c r="A29" s="28"/>
      <c r="D29" s="45" t="s">
        <v>159</v>
      </c>
      <c r="E29" s="6">
        <v>1.3149999999999999</v>
      </c>
      <c r="F29" s="6" t="s">
        <v>206</v>
      </c>
      <c r="I29" s="45" t="s">
        <v>159</v>
      </c>
      <c r="J29" s="6">
        <v>1.7729999999999999</v>
      </c>
      <c r="K29" s="6" t="s">
        <v>207</v>
      </c>
      <c r="X29" s="45" t="s">
        <v>159</v>
      </c>
      <c r="Y29" s="6">
        <v>0.56999999999999995</v>
      </c>
      <c r="Z29" s="6" t="s">
        <v>208</v>
      </c>
      <c r="AC29" s="45" t="s">
        <v>159</v>
      </c>
      <c r="AD29" s="6">
        <v>1.0980000000000001</v>
      </c>
      <c r="AE29" s="28" t="s">
        <v>209</v>
      </c>
    </row>
    <row r="30" spans="1:33" s="6" customFormat="1" x14ac:dyDescent="0.2">
      <c r="A30" s="28"/>
      <c r="D30" s="45" t="s">
        <v>165</v>
      </c>
      <c r="E30" s="6">
        <v>1.1850000000000001</v>
      </c>
      <c r="F30" s="6" t="s">
        <v>210</v>
      </c>
      <c r="I30" s="45" t="s">
        <v>165</v>
      </c>
      <c r="J30" s="6">
        <v>1.6739999999999999</v>
      </c>
      <c r="K30" s="6" t="s">
        <v>211</v>
      </c>
      <c r="X30" s="45" t="s">
        <v>165</v>
      </c>
      <c r="Y30" s="6">
        <v>0.83</v>
      </c>
      <c r="Z30" s="6" t="s">
        <v>212</v>
      </c>
      <c r="AC30" s="45" t="s">
        <v>165</v>
      </c>
      <c r="AD30" s="6">
        <v>0.57299999999999995</v>
      </c>
      <c r="AE30" s="28" t="s">
        <v>213</v>
      </c>
    </row>
    <row r="31" spans="1:33" s="6" customFormat="1" x14ac:dyDescent="0.2">
      <c r="A31" s="28"/>
      <c r="D31" s="45" t="s">
        <v>214</v>
      </c>
      <c r="E31" s="6">
        <v>1.48</v>
      </c>
      <c r="F31" s="6" t="s">
        <v>215</v>
      </c>
      <c r="I31" s="45" t="s">
        <v>214</v>
      </c>
      <c r="J31" s="6">
        <v>2.093</v>
      </c>
      <c r="K31" s="6" t="s">
        <v>216</v>
      </c>
      <c r="X31" s="45" t="s">
        <v>214</v>
      </c>
      <c r="Y31" s="6">
        <v>0.47899999999999998</v>
      </c>
      <c r="Z31" s="6" t="s">
        <v>217</v>
      </c>
      <c r="AC31" s="45" t="s">
        <v>214</v>
      </c>
      <c r="AD31" s="6">
        <v>0.60299999999999998</v>
      </c>
      <c r="AE31" s="28" t="s">
        <v>218</v>
      </c>
    </row>
    <row r="32" spans="1:33" s="6" customFormat="1" x14ac:dyDescent="0.2">
      <c r="A32" s="28"/>
      <c r="D32" s="45" t="s">
        <v>161</v>
      </c>
      <c r="E32" s="6">
        <v>1.8320000000000001</v>
      </c>
      <c r="F32" s="6" t="s">
        <v>219</v>
      </c>
      <c r="I32" s="45" t="s">
        <v>161</v>
      </c>
      <c r="J32" s="6">
        <v>1.444</v>
      </c>
      <c r="K32" s="6" t="s">
        <v>220</v>
      </c>
      <c r="X32" s="45" t="s">
        <v>161</v>
      </c>
      <c r="Y32" s="6">
        <v>0.41699999999999998</v>
      </c>
      <c r="Z32" s="6" t="s">
        <v>221</v>
      </c>
      <c r="AC32" s="45" t="s">
        <v>161</v>
      </c>
      <c r="AD32" s="6">
        <v>1.115</v>
      </c>
      <c r="AE32" s="28" t="s">
        <v>222</v>
      </c>
    </row>
    <row r="33" spans="1:31" s="6" customFormat="1" x14ac:dyDescent="0.2">
      <c r="A33" s="28"/>
      <c r="D33" s="47" t="s">
        <v>223</v>
      </c>
      <c r="I33" s="47" t="s">
        <v>223</v>
      </c>
      <c r="X33" s="47" t="s">
        <v>223</v>
      </c>
      <c r="AC33" s="47" t="s">
        <v>223</v>
      </c>
    </row>
    <row r="34" spans="1:31" s="6" customFormat="1" x14ac:dyDescent="0.2">
      <c r="A34" s="28"/>
      <c r="D34" s="45" t="s">
        <v>224</v>
      </c>
      <c r="E34" s="6">
        <v>1.1120000000000001</v>
      </c>
      <c r="F34" s="6" t="s">
        <v>225</v>
      </c>
      <c r="I34" s="45" t="s">
        <v>224</v>
      </c>
      <c r="J34" s="6">
        <v>0.93300000000000005</v>
      </c>
      <c r="K34" s="6" t="s">
        <v>226</v>
      </c>
      <c r="X34" s="45" t="s">
        <v>224</v>
      </c>
      <c r="Y34" s="6">
        <v>0.84199999999999997</v>
      </c>
      <c r="Z34" s="6" t="s">
        <v>227</v>
      </c>
      <c r="AC34" s="45" t="s">
        <v>224</v>
      </c>
      <c r="AD34" s="6">
        <v>1.026</v>
      </c>
      <c r="AE34" s="28" t="s">
        <v>228</v>
      </c>
    </row>
    <row r="35" spans="1:31" s="6" customFormat="1" x14ac:dyDescent="0.2">
      <c r="A35" s="28"/>
    </row>
    <row r="37" spans="1:31" x14ac:dyDescent="0.2">
      <c r="A37" s="28" t="s">
        <v>33</v>
      </c>
      <c r="B37">
        <v>4025</v>
      </c>
      <c r="C37">
        <v>27</v>
      </c>
      <c r="I37" s="49" t="s">
        <v>229</v>
      </c>
    </row>
    <row r="38" spans="1:31" x14ac:dyDescent="0.2">
      <c r="I38" s="45" t="s">
        <v>230</v>
      </c>
      <c r="J38" s="6">
        <v>1.63</v>
      </c>
      <c r="K38" s="6" t="s">
        <v>231</v>
      </c>
    </row>
    <row r="39" spans="1:31" x14ac:dyDescent="0.2">
      <c r="I39" s="45" t="s">
        <v>232</v>
      </c>
      <c r="J39" s="6">
        <v>1.93</v>
      </c>
      <c r="K39" s="6" t="s">
        <v>233</v>
      </c>
    </row>
    <row r="40" spans="1:31" x14ac:dyDescent="0.2">
      <c r="I40" s="45" t="s">
        <v>234</v>
      </c>
      <c r="J40" s="6">
        <v>1.39</v>
      </c>
      <c r="K40" s="6" t="s">
        <v>235</v>
      </c>
    </row>
    <row r="41" spans="1:31" x14ac:dyDescent="0.2">
      <c r="I41" s="45" t="s">
        <v>236</v>
      </c>
      <c r="J41" s="6">
        <v>1.46</v>
      </c>
      <c r="K41" s="6" t="s">
        <v>237</v>
      </c>
    </row>
    <row r="42" spans="1:31" x14ac:dyDescent="0.2">
      <c r="I42" s="45" t="s">
        <v>238</v>
      </c>
      <c r="J42" s="6">
        <v>1.1000000000000001</v>
      </c>
      <c r="K42" s="6" t="s">
        <v>239</v>
      </c>
    </row>
    <row r="43" spans="1:31" x14ac:dyDescent="0.2">
      <c r="I43" s="45" t="s">
        <v>240</v>
      </c>
      <c r="J43" s="6">
        <v>1.0900000000000001</v>
      </c>
      <c r="K43" s="6" t="s">
        <v>241</v>
      </c>
    </row>
    <row r="44" spans="1:31" x14ac:dyDescent="0.2">
      <c r="I44" s="49" t="s">
        <v>242</v>
      </c>
      <c r="J44" s="6"/>
      <c r="K44" s="6"/>
    </row>
    <row r="45" spans="1:31" x14ac:dyDescent="0.2">
      <c r="I45" s="45" t="s">
        <v>230</v>
      </c>
      <c r="J45" s="6">
        <v>1.41</v>
      </c>
      <c r="K45" s="6" t="s">
        <v>243</v>
      </c>
    </row>
    <row r="46" spans="1:31" x14ac:dyDescent="0.2">
      <c r="I46" s="45" t="s">
        <v>232</v>
      </c>
      <c r="J46" s="6">
        <v>1.61</v>
      </c>
      <c r="K46" s="6" t="s">
        <v>244</v>
      </c>
    </row>
    <row r="47" spans="1:31" x14ac:dyDescent="0.2">
      <c r="I47" s="45" t="s">
        <v>234</v>
      </c>
      <c r="J47" s="6">
        <v>1.63</v>
      </c>
      <c r="K47" s="6" t="s">
        <v>245</v>
      </c>
    </row>
    <row r="48" spans="1:31" x14ac:dyDescent="0.2">
      <c r="I48" s="45" t="s">
        <v>236</v>
      </c>
      <c r="J48" s="6">
        <v>1.1599999999999999</v>
      </c>
      <c r="K48" s="6" t="s">
        <v>246</v>
      </c>
    </row>
    <row r="49" spans="1:11" x14ac:dyDescent="0.2">
      <c r="I49" s="45" t="s">
        <v>247</v>
      </c>
      <c r="J49" s="6">
        <v>1.21</v>
      </c>
      <c r="K49" s="6" t="s">
        <v>248</v>
      </c>
    </row>
    <row r="50" spans="1:11" x14ac:dyDescent="0.2">
      <c r="I50" s="45" t="s">
        <v>240</v>
      </c>
      <c r="J50" s="6">
        <v>1.07</v>
      </c>
      <c r="K50" s="6" t="s">
        <v>249</v>
      </c>
    </row>
    <row r="51" spans="1:11" x14ac:dyDescent="0.2">
      <c r="I51" s="49" t="s">
        <v>250</v>
      </c>
      <c r="J51" s="6"/>
      <c r="K51" s="6"/>
    </row>
    <row r="52" spans="1:11" x14ac:dyDescent="0.2">
      <c r="I52" s="45" t="s">
        <v>230</v>
      </c>
      <c r="J52" s="6">
        <v>1.42</v>
      </c>
      <c r="K52" s="6" t="s">
        <v>251</v>
      </c>
    </row>
    <row r="53" spans="1:11" x14ac:dyDescent="0.2">
      <c r="I53" s="45" t="s">
        <v>232</v>
      </c>
      <c r="J53" s="6">
        <v>1.66</v>
      </c>
      <c r="K53" s="6" t="s">
        <v>252</v>
      </c>
    </row>
    <row r="54" spans="1:11" x14ac:dyDescent="0.2">
      <c r="I54" s="45" t="s">
        <v>234</v>
      </c>
      <c r="J54" s="6">
        <v>1.43</v>
      </c>
      <c r="K54" s="6" t="s">
        <v>253</v>
      </c>
    </row>
    <row r="55" spans="1:11" x14ac:dyDescent="0.2">
      <c r="I55" s="45" t="s">
        <v>236</v>
      </c>
      <c r="J55" s="6">
        <v>1.24</v>
      </c>
      <c r="K55" s="6" t="s">
        <v>254</v>
      </c>
    </row>
    <row r="56" spans="1:11" x14ac:dyDescent="0.2">
      <c r="I56" s="45" t="s">
        <v>247</v>
      </c>
      <c r="J56" s="6">
        <v>1.01</v>
      </c>
      <c r="K56" s="6" t="s">
        <v>255</v>
      </c>
    </row>
    <row r="57" spans="1:11" x14ac:dyDescent="0.2">
      <c r="I57" s="45" t="s">
        <v>240</v>
      </c>
      <c r="J57" s="6">
        <v>1.03</v>
      </c>
      <c r="K57" s="6" t="s">
        <v>256</v>
      </c>
    </row>
    <row r="58" spans="1:11" x14ac:dyDescent="0.2">
      <c r="I58" t="s">
        <v>257</v>
      </c>
      <c r="J58" s="6">
        <v>1.02</v>
      </c>
      <c r="K58" s="6" t="s">
        <v>258</v>
      </c>
    </row>
    <row r="59" spans="1:11" x14ac:dyDescent="0.2">
      <c r="I59" s="49" t="s">
        <v>259</v>
      </c>
    </row>
    <row r="60" spans="1:11" x14ac:dyDescent="0.2">
      <c r="I60" s="45" t="s">
        <v>260</v>
      </c>
      <c r="J60" s="6">
        <v>1.81</v>
      </c>
      <c r="K60" s="6" t="s">
        <v>261</v>
      </c>
    </row>
    <row r="61" spans="1:11" x14ac:dyDescent="0.2">
      <c r="I61" s="50" t="s">
        <v>155</v>
      </c>
    </row>
    <row r="62" spans="1:11" x14ac:dyDescent="0.2">
      <c r="I62" s="51" t="s">
        <v>195</v>
      </c>
      <c r="J62" s="52">
        <v>1.43</v>
      </c>
      <c r="K62" s="52" t="s">
        <v>262</v>
      </c>
    </row>
    <row r="64" spans="1:11" x14ac:dyDescent="0.2">
      <c r="A64" s="28" t="s">
        <v>58</v>
      </c>
      <c r="B64">
        <v>268</v>
      </c>
      <c r="C64">
        <v>166</v>
      </c>
    </row>
    <row r="66" spans="1:33" x14ac:dyDescent="0.2">
      <c r="A66" s="28" t="s">
        <v>72</v>
      </c>
      <c r="B66">
        <v>1439</v>
      </c>
      <c r="C66">
        <v>1226</v>
      </c>
      <c r="D66" s="47" t="s">
        <v>263</v>
      </c>
      <c r="I66" s="50" t="s">
        <v>263</v>
      </c>
      <c r="AC66" s="50" t="s">
        <v>263</v>
      </c>
    </row>
    <row r="67" spans="1:33" x14ac:dyDescent="0.2">
      <c r="D67" s="45" t="s">
        <v>264</v>
      </c>
      <c r="E67" s="6">
        <v>2.4900000000000002</v>
      </c>
      <c r="F67" s="6" t="s">
        <v>265</v>
      </c>
      <c r="I67" t="s">
        <v>266</v>
      </c>
      <c r="J67" s="6">
        <v>0.99</v>
      </c>
      <c r="K67" s="6" t="s">
        <v>178</v>
      </c>
      <c r="AC67" s="23" t="s">
        <v>267</v>
      </c>
      <c r="AD67" s="6">
        <v>15.79</v>
      </c>
      <c r="AE67" s="28" t="s">
        <v>268</v>
      </c>
      <c r="AF67" s="23"/>
    </row>
    <row r="68" spans="1:33" x14ac:dyDescent="0.2">
      <c r="D68" s="45" t="s">
        <v>269</v>
      </c>
      <c r="E68" s="6">
        <v>1.0006999999999999</v>
      </c>
      <c r="F68" s="6" t="s">
        <v>270</v>
      </c>
      <c r="I68" t="s">
        <v>271</v>
      </c>
      <c r="J68" s="6">
        <v>1.63</v>
      </c>
      <c r="K68" s="6" t="s">
        <v>272</v>
      </c>
      <c r="AC68" s="23" t="s">
        <v>264</v>
      </c>
      <c r="AD68" s="6">
        <v>5.73</v>
      </c>
      <c r="AE68" s="28" t="s">
        <v>273</v>
      </c>
    </row>
    <row r="69" spans="1:33" x14ac:dyDescent="0.2">
      <c r="I69" t="s">
        <v>274</v>
      </c>
      <c r="J69" s="6">
        <v>3.79</v>
      </c>
      <c r="K69" s="6" t="s">
        <v>275</v>
      </c>
      <c r="AD69" s="23"/>
      <c r="AE69" s="23"/>
      <c r="AF69" s="23"/>
    </row>
    <row r="70" spans="1:33" x14ac:dyDescent="0.2">
      <c r="I70" s="50" t="s">
        <v>173</v>
      </c>
      <c r="J70" s="6"/>
      <c r="K70" s="6"/>
      <c r="AC70" s="23"/>
      <c r="AD70" s="23"/>
    </row>
    <row r="71" spans="1:33" x14ac:dyDescent="0.2">
      <c r="I71" t="s">
        <v>276</v>
      </c>
      <c r="J71" s="6">
        <v>2.64</v>
      </c>
      <c r="K71" s="6" t="s">
        <v>277</v>
      </c>
    </row>
    <row r="75" spans="1:33" x14ac:dyDescent="0.2">
      <c r="A75" s="28" t="s">
        <v>93</v>
      </c>
      <c r="B75">
        <v>125242</v>
      </c>
      <c r="C75">
        <v>125242</v>
      </c>
      <c r="D75" s="47" t="s">
        <v>278</v>
      </c>
      <c r="I75" s="47" t="s">
        <v>278</v>
      </c>
      <c r="X75" s="47" t="s">
        <v>278</v>
      </c>
      <c r="AC75" s="47" t="s">
        <v>278</v>
      </c>
    </row>
    <row r="76" spans="1:33" x14ac:dyDescent="0.2">
      <c r="D76" s="45" t="s">
        <v>279</v>
      </c>
      <c r="G76" s="6">
        <v>1.34</v>
      </c>
      <c r="H76" s="6" t="s">
        <v>280</v>
      </c>
      <c r="I76" s="45" t="s">
        <v>279</v>
      </c>
      <c r="L76" s="6">
        <v>1.24</v>
      </c>
      <c r="M76" s="6" t="s">
        <v>281</v>
      </c>
      <c r="X76" s="45" t="s">
        <v>279</v>
      </c>
      <c r="AA76" s="6">
        <v>0.74</v>
      </c>
      <c r="AB76" s="6" t="s">
        <v>282</v>
      </c>
      <c r="AC76" s="45" t="s">
        <v>279</v>
      </c>
      <c r="AF76" s="6">
        <v>0.66</v>
      </c>
      <c r="AG76" s="6" t="s">
        <v>283</v>
      </c>
    </row>
    <row r="77" spans="1:33" x14ac:dyDescent="0.2">
      <c r="D77" s="45" t="s">
        <v>284</v>
      </c>
      <c r="G77" s="6">
        <v>1.91</v>
      </c>
      <c r="H77" s="6" t="s">
        <v>285</v>
      </c>
      <c r="I77" s="45" t="s">
        <v>284</v>
      </c>
      <c r="L77" s="6">
        <v>0.96</v>
      </c>
      <c r="M77" s="6" t="s">
        <v>286</v>
      </c>
      <c r="X77" s="45" t="s">
        <v>284</v>
      </c>
      <c r="AA77" s="6">
        <v>0.72</v>
      </c>
      <c r="AB77" s="6" t="s">
        <v>287</v>
      </c>
      <c r="AC77" s="45" t="s">
        <v>284</v>
      </c>
      <c r="AF77" s="6">
        <v>18.8</v>
      </c>
      <c r="AG77" s="6" t="s">
        <v>288</v>
      </c>
    </row>
    <row r="78" spans="1:33" x14ac:dyDescent="0.2">
      <c r="D78" s="45" t="s">
        <v>289</v>
      </c>
      <c r="G78" s="6">
        <v>1.75</v>
      </c>
      <c r="H78" s="6" t="s">
        <v>290</v>
      </c>
      <c r="I78" s="45" t="s">
        <v>289</v>
      </c>
      <c r="L78" s="6">
        <v>1.1000000000000001</v>
      </c>
      <c r="M78" s="6" t="s">
        <v>291</v>
      </c>
      <c r="X78" s="45" t="s">
        <v>289</v>
      </c>
      <c r="AA78" s="6">
        <v>0.79</v>
      </c>
      <c r="AB78" s="6" t="s">
        <v>292</v>
      </c>
      <c r="AC78" s="45" t="s">
        <v>289</v>
      </c>
      <c r="AF78" s="6">
        <v>0.46</v>
      </c>
      <c r="AG78" s="6" t="s">
        <v>293</v>
      </c>
    </row>
    <row r="79" spans="1:33" x14ac:dyDescent="0.2">
      <c r="D79" s="45" t="s">
        <v>294</v>
      </c>
      <c r="G79" s="6">
        <v>0.77</v>
      </c>
      <c r="H79" s="6" t="s">
        <v>295</v>
      </c>
      <c r="I79" s="45" t="s">
        <v>294</v>
      </c>
      <c r="L79" s="6">
        <v>1.05</v>
      </c>
      <c r="M79" s="6" t="s">
        <v>296</v>
      </c>
      <c r="X79" s="45" t="s">
        <v>294</v>
      </c>
      <c r="AA79" s="48">
        <v>1</v>
      </c>
      <c r="AB79" s="6" t="s">
        <v>297</v>
      </c>
      <c r="AC79" s="45" t="s">
        <v>294</v>
      </c>
      <c r="AF79" s="6">
        <v>0.31</v>
      </c>
      <c r="AG79" s="6" t="s">
        <v>298</v>
      </c>
    </row>
    <row r="80" spans="1:33" x14ac:dyDescent="0.2">
      <c r="D80" s="45" t="s">
        <v>299</v>
      </c>
      <c r="G80" s="6">
        <v>0.53</v>
      </c>
      <c r="H80" s="6" t="s">
        <v>300</v>
      </c>
      <c r="I80" s="45" t="s">
        <v>299</v>
      </c>
      <c r="L80" s="6">
        <v>0.76</v>
      </c>
      <c r="M80" s="6" t="s">
        <v>295</v>
      </c>
      <c r="X80" s="45" t="s">
        <v>299</v>
      </c>
      <c r="AA80" s="6">
        <v>1.25</v>
      </c>
      <c r="AB80" s="6" t="s">
        <v>301</v>
      </c>
      <c r="AC80" s="45" t="s">
        <v>299</v>
      </c>
      <c r="AF80" s="6">
        <v>0.78</v>
      </c>
      <c r="AG80" s="6" t="s">
        <v>302</v>
      </c>
    </row>
    <row r="81" spans="1:33" x14ac:dyDescent="0.2">
      <c r="D81" s="45" t="s">
        <v>126</v>
      </c>
      <c r="G81" s="6">
        <v>0.63</v>
      </c>
      <c r="H81" s="6" t="s">
        <v>303</v>
      </c>
      <c r="I81" s="45" t="s">
        <v>126</v>
      </c>
      <c r="L81" s="6">
        <v>1.53</v>
      </c>
      <c r="M81" s="6" t="s">
        <v>304</v>
      </c>
      <c r="X81" s="45" t="s">
        <v>126</v>
      </c>
      <c r="AA81" s="6">
        <v>0.64</v>
      </c>
      <c r="AB81" s="6" t="s">
        <v>305</v>
      </c>
      <c r="AC81" s="45" t="s">
        <v>126</v>
      </c>
      <c r="AF81" s="6">
        <v>0.63</v>
      </c>
      <c r="AG81" s="6" t="s">
        <v>306</v>
      </c>
    </row>
    <row r="83" spans="1:33" x14ac:dyDescent="0.2">
      <c r="A83" s="28" t="s">
        <v>107</v>
      </c>
      <c r="B83">
        <v>291276</v>
      </c>
      <c r="C83">
        <v>12440</v>
      </c>
      <c r="I83" s="47" t="s">
        <v>155</v>
      </c>
    </row>
    <row r="84" spans="1:33" x14ac:dyDescent="0.2">
      <c r="I84" s="45" t="s">
        <v>195</v>
      </c>
      <c r="J84" s="6">
        <v>1.04</v>
      </c>
      <c r="K84" s="6" t="s">
        <v>307</v>
      </c>
    </row>
    <row r="85" spans="1:33" x14ac:dyDescent="0.2">
      <c r="I85" s="50" t="s">
        <v>308</v>
      </c>
      <c r="J85" s="6"/>
      <c r="K85" s="6"/>
    </row>
    <row r="86" spans="1:33" x14ac:dyDescent="0.2">
      <c r="I86" t="s">
        <v>309</v>
      </c>
      <c r="J86" s="6">
        <v>0.54</v>
      </c>
      <c r="K86" s="6" t="s">
        <v>310</v>
      </c>
    </row>
    <row r="87" spans="1:33" x14ac:dyDescent="0.2">
      <c r="I87" t="s">
        <v>311</v>
      </c>
      <c r="J87" s="6">
        <v>0.99</v>
      </c>
      <c r="K87" s="6" t="s">
        <v>312</v>
      </c>
    </row>
    <row r="88" spans="1:33" x14ac:dyDescent="0.2">
      <c r="I88" t="s">
        <v>313</v>
      </c>
      <c r="J88" s="6">
        <v>1.1299999999999999</v>
      </c>
      <c r="K88" s="6" t="s">
        <v>314</v>
      </c>
    </row>
    <row r="89" spans="1:33" x14ac:dyDescent="0.2">
      <c r="I89" t="s">
        <v>180</v>
      </c>
      <c r="J89" s="6">
        <v>1.52</v>
      </c>
      <c r="K89" s="6" t="s">
        <v>315</v>
      </c>
    </row>
    <row r="90" spans="1:33" x14ac:dyDescent="0.2">
      <c r="I90" t="s">
        <v>185</v>
      </c>
      <c r="J90" s="6">
        <v>1.34</v>
      </c>
      <c r="K90" s="6" t="s">
        <v>316</v>
      </c>
    </row>
    <row r="91" spans="1:33" x14ac:dyDescent="0.2">
      <c r="I91" t="s">
        <v>317</v>
      </c>
      <c r="J91" s="6">
        <v>1.18</v>
      </c>
      <c r="K91" s="6" t="s">
        <v>318</v>
      </c>
    </row>
    <row r="92" spans="1:33" x14ac:dyDescent="0.2">
      <c r="I92" s="50" t="s">
        <v>173</v>
      </c>
      <c r="J92" s="6"/>
      <c r="K92" s="6"/>
    </row>
    <row r="93" spans="1:33" x14ac:dyDescent="0.2">
      <c r="I93" t="s">
        <v>276</v>
      </c>
      <c r="J93" s="6">
        <v>1.42</v>
      </c>
      <c r="K93" s="6" t="s">
        <v>319</v>
      </c>
    </row>
    <row r="94" spans="1:33" x14ac:dyDescent="0.2">
      <c r="I94" s="50" t="s">
        <v>320</v>
      </c>
      <c r="J94" s="6"/>
      <c r="K94" s="6"/>
    </row>
    <row r="95" spans="1:33" x14ac:dyDescent="0.2">
      <c r="I95" t="s">
        <v>321</v>
      </c>
      <c r="J95" s="6">
        <v>1.01</v>
      </c>
      <c r="K95" s="6" t="s">
        <v>322</v>
      </c>
    </row>
    <row r="96" spans="1:33" x14ac:dyDescent="0.2">
      <c r="I96" t="s">
        <v>323</v>
      </c>
      <c r="J96" s="6">
        <v>0.88</v>
      </c>
      <c r="K96" s="6" t="s">
        <v>324</v>
      </c>
    </row>
    <row r="97" spans="1:11" x14ac:dyDescent="0.2">
      <c r="I97" t="s">
        <v>325</v>
      </c>
      <c r="J97" s="6">
        <v>0.98</v>
      </c>
      <c r="K97" s="6" t="s">
        <v>326</v>
      </c>
    </row>
    <row r="98" spans="1:11" x14ac:dyDescent="0.2">
      <c r="I98" t="s">
        <v>327</v>
      </c>
      <c r="J98" s="6">
        <v>0.95</v>
      </c>
      <c r="K98" s="6" t="s">
        <v>328</v>
      </c>
    </row>
    <row r="99" spans="1:11" x14ac:dyDescent="0.2">
      <c r="I99" s="50" t="s">
        <v>263</v>
      </c>
    </row>
    <row r="100" spans="1:11" x14ac:dyDescent="0.2">
      <c r="I100" t="s">
        <v>329</v>
      </c>
      <c r="J100" s="6">
        <v>1.21</v>
      </c>
      <c r="K100" s="6" t="s">
        <v>330</v>
      </c>
    </row>
    <row r="101" spans="1:11" x14ac:dyDescent="0.2">
      <c r="I101" t="s">
        <v>331</v>
      </c>
      <c r="J101" s="6">
        <v>0.24</v>
      </c>
      <c r="K101" s="6" t="s">
        <v>332</v>
      </c>
    </row>
    <row r="102" spans="1:11" x14ac:dyDescent="0.2">
      <c r="I102" t="s">
        <v>333</v>
      </c>
      <c r="J102" s="6">
        <v>0.38</v>
      </c>
      <c r="K102" s="6" t="s">
        <v>334</v>
      </c>
    </row>
    <row r="103" spans="1:11" x14ac:dyDescent="0.2">
      <c r="I103" s="50" t="s">
        <v>335</v>
      </c>
      <c r="J103" s="6">
        <v>1.17</v>
      </c>
      <c r="K103" s="6" t="s">
        <v>336</v>
      </c>
    </row>
    <row r="104" spans="1:11" x14ac:dyDescent="0.2">
      <c r="A104" s="28" t="s">
        <v>78</v>
      </c>
      <c r="B104" s="6">
        <v>34430</v>
      </c>
      <c r="C104" s="6">
        <v>34430</v>
      </c>
    </row>
    <row r="105" spans="1:11" x14ac:dyDescent="0.2">
      <c r="A105" s="28" t="s">
        <v>337</v>
      </c>
      <c r="B105" s="6">
        <v>837</v>
      </c>
      <c r="C105" s="6">
        <v>837</v>
      </c>
      <c r="I105" s="47" t="s">
        <v>155</v>
      </c>
      <c r="J105" s="6"/>
      <c r="K105" s="6"/>
    </row>
    <row r="106" spans="1:11" x14ac:dyDescent="0.2">
      <c r="B106" s="6"/>
      <c r="C106" s="6"/>
      <c r="I106" s="45" t="s">
        <v>195</v>
      </c>
      <c r="J106" s="6">
        <v>2.2999999999999998</v>
      </c>
      <c r="K106" s="6" t="s">
        <v>338</v>
      </c>
    </row>
    <row r="107" spans="1:11" x14ac:dyDescent="0.2">
      <c r="B107" s="6"/>
      <c r="C107" s="6"/>
      <c r="I107" s="47" t="s">
        <v>176</v>
      </c>
      <c r="J107" s="6"/>
      <c r="K107" s="6"/>
    </row>
    <row r="108" spans="1:11" x14ac:dyDescent="0.2">
      <c r="B108" s="6"/>
      <c r="C108" s="6"/>
      <c r="I108" s="45" t="s">
        <v>339</v>
      </c>
      <c r="J108" s="6">
        <v>1.8</v>
      </c>
      <c r="K108" s="6" t="s">
        <v>340</v>
      </c>
    </row>
    <row r="109" spans="1:11" x14ac:dyDescent="0.2">
      <c r="B109" s="6"/>
      <c r="C109" s="6"/>
      <c r="I109" s="47" t="s">
        <v>223</v>
      </c>
      <c r="J109" s="6"/>
      <c r="K109" s="6"/>
    </row>
    <row r="110" spans="1:11" x14ac:dyDescent="0.2">
      <c r="B110" s="6"/>
      <c r="C110" s="6"/>
      <c r="I110" s="45" t="s">
        <v>341</v>
      </c>
      <c r="J110" s="53">
        <v>1.1000000000000001</v>
      </c>
      <c r="K110" s="54" t="s">
        <v>342</v>
      </c>
    </row>
    <row r="111" spans="1:11" x14ac:dyDescent="0.2">
      <c r="B111" s="6"/>
      <c r="C111" s="6"/>
      <c r="I111" s="47" t="s">
        <v>200</v>
      </c>
      <c r="J111" s="6"/>
      <c r="K111" s="6"/>
    </row>
    <row r="112" spans="1:11" x14ac:dyDescent="0.2">
      <c r="B112" s="6"/>
      <c r="C112" s="6"/>
      <c r="I112" s="45" t="s">
        <v>343</v>
      </c>
      <c r="J112" s="53">
        <v>1.53</v>
      </c>
      <c r="K112" s="53" t="s">
        <v>344</v>
      </c>
    </row>
    <row r="113" spans="1:11" x14ac:dyDescent="0.2">
      <c r="B113" s="6"/>
      <c r="C113" s="6"/>
      <c r="I113" s="47" t="s">
        <v>173</v>
      </c>
      <c r="J113" s="6"/>
      <c r="K113" s="6"/>
    </row>
    <row r="114" spans="1:11" x14ac:dyDescent="0.2">
      <c r="B114" s="6"/>
      <c r="C114" s="6"/>
      <c r="I114" s="45" t="s">
        <v>345</v>
      </c>
      <c r="J114" s="54">
        <v>1.33</v>
      </c>
      <c r="K114" s="54" t="s">
        <v>346</v>
      </c>
    </row>
    <row r="115" spans="1:11" x14ac:dyDescent="0.2">
      <c r="B115" s="6"/>
      <c r="C115" s="6"/>
      <c r="I115" s="47" t="s">
        <v>347</v>
      </c>
      <c r="J115" s="6"/>
      <c r="K115" s="6"/>
    </row>
    <row r="116" spans="1:11" x14ac:dyDescent="0.2">
      <c r="B116" s="6"/>
      <c r="C116" s="6"/>
      <c r="I116" s="45" t="s">
        <v>348</v>
      </c>
      <c r="J116" s="6" t="s">
        <v>349</v>
      </c>
      <c r="K116" s="6"/>
    </row>
    <row r="117" spans="1:11" x14ac:dyDescent="0.2">
      <c r="B117" s="6"/>
      <c r="C117" s="6"/>
      <c r="I117" s="45" t="s">
        <v>350</v>
      </c>
      <c r="J117" s="6" t="s">
        <v>349</v>
      </c>
      <c r="K117" s="6"/>
    </row>
    <row r="118" spans="1:11" x14ac:dyDescent="0.2">
      <c r="A118" s="28" t="s">
        <v>351</v>
      </c>
      <c r="B118" s="6">
        <v>4599</v>
      </c>
      <c r="C118" s="6">
        <v>4599</v>
      </c>
      <c r="I118" s="47" t="s">
        <v>155</v>
      </c>
      <c r="J118" s="6"/>
      <c r="K118" s="6"/>
    </row>
    <row r="119" spans="1:11" x14ac:dyDescent="0.2">
      <c r="B119" s="6"/>
      <c r="C119" s="6"/>
      <c r="I119" s="45" t="s">
        <v>195</v>
      </c>
      <c r="J119" s="6">
        <v>1.5</v>
      </c>
      <c r="K119" s="6" t="s">
        <v>352</v>
      </c>
    </row>
    <row r="120" spans="1:11" x14ac:dyDescent="0.2">
      <c r="B120" s="6"/>
      <c r="C120" s="6"/>
      <c r="I120" s="47" t="s">
        <v>176</v>
      </c>
      <c r="J120" s="6"/>
      <c r="K120" s="6"/>
    </row>
    <row r="121" spans="1:11" x14ac:dyDescent="0.2">
      <c r="B121" s="6"/>
      <c r="C121" s="6"/>
      <c r="I121" s="45" t="s">
        <v>339</v>
      </c>
      <c r="J121" s="6">
        <v>1.4</v>
      </c>
      <c r="K121" s="6" t="s">
        <v>353</v>
      </c>
    </row>
    <row r="122" spans="1:11" x14ac:dyDescent="0.2">
      <c r="B122" s="6"/>
      <c r="C122" s="6"/>
      <c r="I122" s="47" t="s">
        <v>223</v>
      </c>
      <c r="J122" s="6"/>
      <c r="K122" s="6"/>
    </row>
    <row r="123" spans="1:11" x14ac:dyDescent="0.2">
      <c r="B123" s="6"/>
      <c r="C123" s="6"/>
      <c r="I123" s="45" t="s">
        <v>341</v>
      </c>
      <c r="J123" s="55" t="s">
        <v>15</v>
      </c>
      <c r="K123" s="54" t="s">
        <v>15</v>
      </c>
    </row>
    <row r="124" spans="1:11" x14ac:dyDescent="0.2">
      <c r="B124" s="6"/>
      <c r="C124" s="6"/>
      <c r="I124" s="47" t="s">
        <v>200</v>
      </c>
      <c r="J124" s="6"/>
      <c r="K124" s="6"/>
    </row>
    <row r="125" spans="1:11" x14ac:dyDescent="0.2">
      <c r="B125" s="6"/>
      <c r="C125" s="6"/>
      <c r="I125" s="45" t="s">
        <v>343</v>
      </c>
      <c r="J125" s="6">
        <v>1.4</v>
      </c>
      <c r="K125" s="6" t="s">
        <v>353</v>
      </c>
    </row>
    <row r="126" spans="1:11" x14ac:dyDescent="0.2">
      <c r="B126" s="6"/>
      <c r="C126" s="6"/>
      <c r="I126" s="47" t="s">
        <v>173</v>
      </c>
      <c r="J126" s="6"/>
      <c r="K126" s="6"/>
    </row>
    <row r="127" spans="1:11" x14ac:dyDescent="0.2">
      <c r="B127" s="6"/>
      <c r="C127" s="6"/>
      <c r="I127" s="45" t="s">
        <v>345</v>
      </c>
      <c r="J127" s="54">
        <v>0.97</v>
      </c>
      <c r="K127" s="54" t="s">
        <v>354</v>
      </c>
    </row>
    <row r="128" spans="1:11" x14ac:dyDescent="0.2">
      <c r="B128" s="6"/>
      <c r="C128" s="6"/>
      <c r="I128" s="47" t="s">
        <v>347</v>
      </c>
      <c r="J128" s="6"/>
      <c r="K128" s="6"/>
    </row>
    <row r="129" spans="1:11" x14ac:dyDescent="0.2">
      <c r="B129" s="6"/>
      <c r="C129" s="6"/>
      <c r="I129" s="45" t="s">
        <v>348</v>
      </c>
      <c r="J129" s="6" t="s">
        <v>349</v>
      </c>
      <c r="K129" s="6"/>
    </row>
    <row r="130" spans="1:11" x14ac:dyDescent="0.2">
      <c r="B130" s="6"/>
      <c r="C130" s="6"/>
      <c r="I130" s="45" t="s">
        <v>350</v>
      </c>
      <c r="J130" s="6">
        <v>1.01</v>
      </c>
      <c r="K130" s="6" t="s">
        <v>355</v>
      </c>
    </row>
    <row r="131" spans="1:11" x14ac:dyDescent="0.2">
      <c r="A131" s="28" t="s">
        <v>356</v>
      </c>
      <c r="B131" s="6">
        <v>4034</v>
      </c>
      <c r="C131" s="6">
        <v>4034</v>
      </c>
      <c r="I131" s="47" t="s">
        <v>155</v>
      </c>
      <c r="J131" s="6"/>
      <c r="K131" s="6"/>
    </row>
    <row r="132" spans="1:11" x14ac:dyDescent="0.2">
      <c r="B132" s="6"/>
      <c r="C132" s="6"/>
      <c r="I132" s="45" t="s">
        <v>195</v>
      </c>
      <c r="J132" s="6">
        <v>1.4</v>
      </c>
      <c r="K132" s="6" t="s">
        <v>353</v>
      </c>
    </row>
    <row r="133" spans="1:11" x14ac:dyDescent="0.2">
      <c r="B133" s="6"/>
      <c r="C133" s="6"/>
      <c r="I133" s="47" t="s">
        <v>176</v>
      </c>
      <c r="J133" s="6"/>
      <c r="K133" s="6"/>
    </row>
    <row r="134" spans="1:11" x14ac:dyDescent="0.2">
      <c r="B134" s="6"/>
      <c r="C134" s="6"/>
      <c r="I134" s="45" t="s">
        <v>339</v>
      </c>
      <c r="J134" s="6">
        <v>1.4</v>
      </c>
      <c r="K134" s="6" t="s">
        <v>357</v>
      </c>
    </row>
    <row r="135" spans="1:11" x14ac:dyDescent="0.2">
      <c r="B135" s="6"/>
      <c r="C135" s="6"/>
      <c r="I135" s="47" t="s">
        <v>223</v>
      </c>
      <c r="J135" s="6"/>
      <c r="K135" s="6"/>
    </row>
    <row r="136" spans="1:11" x14ac:dyDescent="0.2">
      <c r="B136" s="6"/>
      <c r="C136" s="6"/>
      <c r="I136" s="45" t="s">
        <v>341</v>
      </c>
      <c r="J136" s="53">
        <v>0.95</v>
      </c>
      <c r="K136" s="54" t="s">
        <v>358</v>
      </c>
    </row>
    <row r="137" spans="1:11" x14ac:dyDescent="0.2">
      <c r="B137" s="6"/>
      <c r="C137" s="6"/>
      <c r="I137" s="47" t="s">
        <v>200</v>
      </c>
      <c r="J137" s="6"/>
      <c r="K137" s="6"/>
    </row>
    <row r="138" spans="1:11" x14ac:dyDescent="0.2">
      <c r="B138" s="6"/>
      <c r="C138" s="6"/>
      <c r="I138" s="45" t="s">
        <v>343</v>
      </c>
      <c r="J138" s="54">
        <v>1.1299999999999999</v>
      </c>
      <c r="K138" s="54" t="s">
        <v>359</v>
      </c>
    </row>
    <row r="139" spans="1:11" x14ac:dyDescent="0.2">
      <c r="B139" s="6"/>
      <c r="C139" s="6"/>
      <c r="I139" s="47" t="s">
        <v>173</v>
      </c>
      <c r="J139" s="6"/>
      <c r="K139" s="6"/>
    </row>
    <row r="140" spans="1:11" x14ac:dyDescent="0.2">
      <c r="B140" s="6"/>
      <c r="C140" s="6"/>
      <c r="I140" s="45" t="s">
        <v>345</v>
      </c>
      <c r="J140" s="6">
        <v>1.4</v>
      </c>
      <c r="K140" s="6" t="s">
        <v>353</v>
      </c>
    </row>
    <row r="141" spans="1:11" x14ac:dyDescent="0.2">
      <c r="B141" s="6"/>
      <c r="C141" s="6"/>
      <c r="I141" s="47" t="s">
        <v>347</v>
      </c>
      <c r="J141" s="6"/>
      <c r="K141" s="6"/>
    </row>
    <row r="142" spans="1:11" x14ac:dyDescent="0.2">
      <c r="B142" s="6"/>
      <c r="C142" s="6"/>
      <c r="I142" s="45" t="s">
        <v>348</v>
      </c>
      <c r="J142" s="6">
        <v>5.3</v>
      </c>
      <c r="K142" s="6" t="s">
        <v>360</v>
      </c>
    </row>
    <row r="143" spans="1:11" x14ac:dyDescent="0.2">
      <c r="B143" s="6"/>
      <c r="C143" s="6"/>
      <c r="I143" s="45" t="s">
        <v>350</v>
      </c>
      <c r="J143" s="6" t="s">
        <v>349</v>
      </c>
      <c r="K143" s="6"/>
    </row>
    <row r="144" spans="1:11" x14ac:dyDescent="0.2">
      <c r="A144" s="28" t="s">
        <v>361</v>
      </c>
      <c r="B144" s="6">
        <v>352</v>
      </c>
      <c r="C144" s="6">
        <v>352</v>
      </c>
      <c r="I144" s="47" t="s">
        <v>155</v>
      </c>
      <c r="J144" s="6"/>
      <c r="K144" s="6"/>
    </row>
    <row r="145" spans="1:11" x14ac:dyDescent="0.2">
      <c r="B145" s="6"/>
      <c r="C145" s="6"/>
      <c r="I145" s="45" t="s">
        <v>195</v>
      </c>
      <c r="J145" s="54">
        <v>1.0900000000000001</v>
      </c>
      <c r="K145" s="54" t="s">
        <v>362</v>
      </c>
    </row>
    <row r="146" spans="1:11" x14ac:dyDescent="0.2">
      <c r="B146" s="6"/>
      <c r="C146" s="6"/>
      <c r="I146" s="47" t="s">
        <v>176</v>
      </c>
      <c r="J146" s="6"/>
      <c r="K146" s="6"/>
    </row>
    <row r="147" spans="1:11" x14ac:dyDescent="0.2">
      <c r="B147" s="6"/>
      <c r="C147" s="6"/>
      <c r="I147" s="45" t="s">
        <v>339</v>
      </c>
      <c r="J147" s="56">
        <v>1.21</v>
      </c>
      <c r="K147" s="57" t="s">
        <v>363</v>
      </c>
    </row>
    <row r="148" spans="1:11" x14ac:dyDescent="0.2">
      <c r="B148" s="6"/>
      <c r="C148" s="6"/>
      <c r="I148" s="47" t="s">
        <v>223</v>
      </c>
      <c r="J148" s="6"/>
      <c r="K148" s="6"/>
    </row>
    <row r="149" spans="1:11" x14ac:dyDescent="0.2">
      <c r="B149" s="6"/>
      <c r="C149" s="6"/>
      <c r="I149" s="45" t="s">
        <v>341</v>
      </c>
      <c r="J149" s="53">
        <v>1.08</v>
      </c>
      <c r="K149" s="54" t="s">
        <v>364</v>
      </c>
    </row>
    <row r="150" spans="1:11" x14ac:dyDescent="0.2">
      <c r="B150" s="6"/>
      <c r="C150" s="6"/>
      <c r="I150" s="47" t="s">
        <v>200</v>
      </c>
      <c r="J150" s="6"/>
      <c r="K150" s="6"/>
    </row>
    <row r="151" spans="1:11" x14ac:dyDescent="0.2">
      <c r="B151" s="6"/>
      <c r="C151" s="6"/>
      <c r="I151" s="45" t="s">
        <v>343</v>
      </c>
      <c r="J151" s="54">
        <v>1.48</v>
      </c>
      <c r="K151" s="54" t="s">
        <v>365</v>
      </c>
    </row>
    <row r="152" spans="1:11" x14ac:dyDescent="0.2">
      <c r="B152" s="6"/>
      <c r="C152" s="6"/>
      <c r="I152" s="47" t="s">
        <v>173</v>
      </c>
      <c r="J152" s="6"/>
      <c r="K152" s="6"/>
    </row>
    <row r="153" spans="1:11" x14ac:dyDescent="0.2">
      <c r="B153" s="6"/>
      <c r="C153" s="6"/>
      <c r="I153" s="45" t="s">
        <v>345</v>
      </c>
      <c r="J153" s="54">
        <v>0.94</v>
      </c>
      <c r="K153" s="54" t="s">
        <v>366</v>
      </c>
    </row>
    <row r="154" spans="1:11" x14ac:dyDescent="0.2">
      <c r="B154" s="6"/>
      <c r="C154" s="6"/>
      <c r="I154" s="47" t="s">
        <v>347</v>
      </c>
      <c r="J154" s="6"/>
      <c r="K154" s="6"/>
    </row>
    <row r="155" spans="1:11" x14ac:dyDescent="0.2">
      <c r="B155" s="6"/>
      <c r="C155" s="6"/>
      <c r="I155" s="45" t="s">
        <v>348</v>
      </c>
      <c r="J155" s="6" t="s">
        <v>349</v>
      </c>
      <c r="K155" s="6"/>
    </row>
    <row r="156" spans="1:11" x14ac:dyDescent="0.2">
      <c r="B156" s="6"/>
      <c r="C156" s="6"/>
      <c r="I156" s="45" t="s">
        <v>350</v>
      </c>
      <c r="J156" s="6" t="s">
        <v>349</v>
      </c>
      <c r="K156" s="6"/>
    </row>
    <row r="157" spans="1:11" x14ac:dyDescent="0.2">
      <c r="A157" s="28" t="s">
        <v>367</v>
      </c>
      <c r="B157" s="6">
        <v>241</v>
      </c>
      <c r="C157" s="6">
        <v>241</v>
      </c>
      <c r="I157" s="47" t="s">
        <v>155</v>
      </c>
      <c r="J157" s="6"/>
      <c r="K157" s="6"/>
    </row>
    <row r="158" spans="1:11" x14ac:dyDescent="0.2">
      <c r="B158" s="6"/>
      <c r="C158" s="6"/>
      <c r="I158" s="45" t="s">
        <v>195</v>
      </c>
      <c r="J158" s="58">
        <v>1.44</v>
      </c>
      <c r="K158" s="58" t="s">
        <v>368</v>
      </c>
    </row>
    <row r="159" spans="1:11" x14ac:dyDescent="0.2">
      <c r="B159" s="6"/>
      <c r="C159" s="6"/>
      <c r="I159" s="47" t="s">
        <v>176</v>
      </c>
      <c r="J159" s="6"/>
      <c r="K159" s="6"/>
    </row>
    <row r="160" spans="1:11" x14ac:dyDescent="0.2">
      <c r="B160" s="6"/>
      <c r="C160" s="6"/>
      <c r="I160" s="45" t="s">
        <v>339</v>
      </c>
      <c r="J160" s="56">
        <v>1.01</v>
      </c>
      <c r="K160" s="57" t="s">
        <v>369</v>
      </c>
    </row>
    <row r="161" spans="1:11" x14ac:dyDescent="0.2">
      <c r="B161" s="6"/>
      <c r="C161" s="6"/>
      <c r="I161" s="47" t="s">
        <v>223</v>
      </c>
      <c r="J161" s="6"/>
      <c r="K161" s="6"/>
    </row>
    <row r="162" spans="1:11" x14ac:dyDescent="0.2">
      <c r="B162" s="6"/>
      <c r="C162" s="6"/>
      <c r="I162" s="45" t="s">
        <v>341</v>
      </c>
      <c r="J162" s="53">
        <v>1.47</v>
      </c>
      <c r="K162" s="54" t="s">
        <v>370</v>
      </c>
    </row>
    <row r="163" spans="1:11" x14ac:dyDescent="0.2">
      <c r="B163" s="6"/>
      <c r="C163" s="6"/>
      <c r="I163" s="47" t="s">
        <v>200</v>
      </c>
      <c r="J163" s="6"/>
      <c r="K163" s="6"/>
    </row>
    <row r="164" spans="1:11" x14ac:dyDescent="0.2">
      <c r="B164" s="6"/>
      <c r="C164" s="6"/>
      <c r="I164" s="45" t="s">
        <v>343</v>
      </c>
      <c r="J164" s="6">
        <v>2</v>
      </c>
      <c r="K164" s="6" t="s">
        <v>371</v>
      </c>
    </row>
    <row r="165" spans="1:11" x14ac:dyDescent="0.2">
      <c r="B165" s="6"/>
      <c r="C165" s="6"/>
      <c r="I165" s="47" t="s">
        <v>173</v>
      </c>
      <c r="J165" s="6"/>
      <c r="K165" s="6"/>
    </row>
    <row r="166" spans="1:11" x14ac:dyDescent="0.2">
      <c r="B166" s="6"/>
      <c r="C166" s="6"/>
      <c r="I166" s="45" t="s">
        <v>345</v>
      </c>
      <c r="J166" s="54">
        <v>1.62</v>
      </c>
      <c r="K166" s="54" t="s">
        <v>372</v>
      </c>
    </row>
    <row r="167" spans="1:11" x14ac:dyDescent="0.2">
      <c r="B167" s="6"/>
      <c r="C167" s="6"/>
      <c r="I167" s="47" t="s">
        <v>347</v>
      </c>
      <c r="J167" s="6"/>
      <c r="K167" s="6"/>
    </row>
    <row r="168" spans="1:11" x14ac:dyDescent="0.2">
      <c r="B168" s="6"/>
      <c r="C168" s="6"/>
      <c r="I168" s="45" t="s">
        <v>348</v>
      </c>
      <c r="J168" s="6" t="s">
        <v>349</v>
      </c>
      <c r="K168" s="6"/>
    </row>
    <row r="169" spans="1:11" x14ac:dyDescent="0.2">
      <c r="B169" s="6"/>
      <c r="C169" s="6"/>
      <c r="I169" s="45" t="s">
        <v>350</v>
      </c>
      <c r="J169" s="6" t="s">
        <v>349</v>
      </c>
      <c r="K169" s="6"/>
    </row>
    <row r="170" spans="1:11" x14ac:dyDescent="0.2">
      <c r="A170" s="28" t="s">
        <v>373</v>
      </c>
      <c r="B170" s="6">
        <v>92</v>
      </c>
      <c r="C170" s="6">
        <v>92</v>
      </c>
      <c r="I170" s="47" t="s">
        <v>155</v>
      </c>
      <c r="J170" s="6"/>
      <c r="K170" s="6"/>
    </row>
    <row r="171" spans="1:11" x14ac:dyDescent="0.2">
      <c r="B171" s="6"/>
      <c r="C171" s="6"/>
      <c r="I171" s="45" t="s">
        <v>195</v>
      </c>
      <c r="J171" s="54">
        <v>0.97</v>
      </c>
      <c r="K171" s="54" t="s">
        <v>374</v>
      </c>
    </row>
    <row r="172" spans="1:11" x14ac:dyDescent="0.2">
      <c r="B172" s="6"/>
      <c r="C172" s="6"/>
      <c r="I172" s="47" t="s">
        <v>176</v>
      </c>
      <c r="J172" s="6"/>
      <c r="K172" s="6"/>
    </row>
    <row r="173" spans="1:11" x14ac:dyDescent="0.2">
      <c r="B173" s="6"/>
      <c r="C173" s="6"/>
      <c r="I173" s="45" t="s">
        <v>339</v>
      </c>
      <c r="J173" s="56">
        <v>0.93</v>
      </c>
      <c r="K173" s="57" t="s">
        <v>375</v>
      </c>
    </row>
    <row r="174" spans="1:11" x14ac:dyDescent="0.2">
      <c r="B174" s="6"/>
      <c r="C174" s="6"/>
      <c r="I174" s="47" t="s">
        <v>223</v>
      </c>
      <c r="J174" s="6"/>
      <c r="K174" s="6"/>
    </row>
    <row r="175" spans="1:11" x14ac:dyDescent="0.2">
      <c r="B175" s="6"/>
      <c r="C175" s="6"/>
      <c r="I175" s="45" t="s">
        <v>341</v>
      </c>
      <c r="J175" s="53">
        <v>2.13</v>
      </c>
      <c r="K175" s="54" t="s">
        <v>376</v>
      </c>
    </row>
    <row r="176" spans="1:11" x14ac:dyDescent="0.2">
      <c r="B176" s="6"/>
      <c r="C176" s="6"/>
      <c r="I176" s="47" t="s">
        <v>200</v>
      </c>
      <c r="J176" s="6"/>
      <c r="K176" s="6"/>
    </row>
    <row r="177" spans="1:11" x14ac:dyDescent="0.2">
      <c r="B177" s="6"/>
      <c r="C177" s="6"/>
      <c r="I177" s="45" t="s">
        <v>343</v>
      </c>
      <c r="J177" s="54">
        <v>1.26</v>
      </c>
      <c r="K177" s="54" t="s">
        <v>377</v>
      </c>
    </row>
    <row r="178" spans="1:11" x14ac:dyDescent="0.2">
      <c r="B178" s="6"/>
      <c r="C178" s="6"/>
      <c r="I178" s="47" t="s">
        <v>173</v>
      </c>
      <c r="J178" s="6"/>
      <c r="K178" s="6"/>
    </row>
    <row r="179" spans="1:11" x14ac:dyDescent="0.2">
      <c r="B179" s="6"/>
      <c r="C179" s="6"/>
      <c r="I179" s="45" t="s">
        <v>345</v>
      </c>
      <c r="J179" s="6" t="s">
        <v>15</v>
      </c>
      <c r="K179" s="6" t="s">
        <v>15</v>
      </c>
    </row>
    <row r="180" spans="1:11" x14ac:dyDescent="0.2">
      <c r="B180" s="6"/>
      <c r="C180" s="6"/>
      <c r="I180" s="47" t="s">
        <v>347</v>
      </c>
      <c r="J180" s="6"/>
      <c r="K180" s="6"/>
    </row>
    <row r="181" spans="1:11" x14ac:dyDescent="0.2">
      <c r="B181" s="6"/>
      <c r="C181" s="6"/>
      <c r="I181" s="45" t="s">
        <v>348</v>
      </c>
      <c r="J181" s="6" t="s">
        <v>349</v>
      </c>
      <c r="K181" s="6"/>
    </row>
    <row r="182" spans="1:11" x14ac:dyDescent="0.2">
      <c r="B182" s="6"/>
      <c r="C182" s="6"/>
      <c r="I182" s="45" t="s">
        <v>350</v>
      </c>
      <c r="J182" s="6" t="s">
        <v>349</v>
      </c>
      <c r="K182" s="6"/>
    </row>
    <row r="183" spans="1:11" x14ac:dyDescent="0.2">
      <c r="A183" s="28" t="s">
        <v>378</v>
      </c>
      <c r="B183" s="6">
        <v>202</v>
      </c>
      <c r="C183" s="6">
        <v>202</v>
      </c>
      <c r="I183" s="47" t="s">
        <v>155</v>
      </c>
      <c r="J183" s="6"/>
      <c r="K183" s="6"/>
    </row>
    <row r="184" spans="1:11" x14ac:dyDescent="0.2">
      <c r="B184" s="6"/>
      <c r="C184" s="6"/>
      <c r="I184" s="45" t="s">
        <v>195</v>
      </c>
      <c r="J184" s="54">
        <v>1.97</v>
      </c>
      <c r="K184" s="54" t="s">
        <v>379</v>
      </c>
    </row>
    <row r="185" spans="1:11" x14ac:dyDescent="0.2">
      <c r="B185" s="6"/>
      <c r="C185" s="6"/>
      <c r="I185" s="47" t="s">
        <v>176</v>
      </c>
      <c r="J185" s="6"/>
      <c r="K185" s="6"/>
    </row>
    <row r="186" spans="1:11" x14ac:dyDescent="0.2">
      <c r="B186" s="6"/>
      <c r="C186" s="6"/>
      <c r="I186" s="45" t="s">
        <v>339</v>
      </c>
      <c r="J186" s="56">
        <v>1.44</v>
      </c>
      <c r="K186" s="57" t="s">
        <v>380</v>
      </c>
    </row>
    <row r="187" spans="1:11" x14ac:dyDescent="0.2">
      <c r="B187" s="6"/>
      <c r="C187" s="6"/>
      <c r="I187" s="47" t="s">
        <v>223</v>
      </c>
      <c r="J187" s="6"/>
      <c r="K187" s="6"/>
    </row>
    <row r="188" spans="1:11" x14ac:dyDescent="0.2">
      <c r="B188" s="6"/>
      <c r="C188" s="6"/>
      <c r="I188" s="45" t="s">
        <v>341</v>
      </c>
      <c r="J188" s="6" t="s">
        <v>15</v>
      </c>
      <c r="K188" s="6"/>
    </row>
    <row r="189" spans="1:11" x14ac:dyDescent="0.2">
      <c r="B189" s="6"/>
      <c r="C189" s="6"/>
      <c r="I189" s="47" t="s">
        <v>200</v>
      </c>
      <c r="J189" s="6"/>
      <c r="K189" s="6"/>
    </row>
    <row r="190" spans="1:11" x14ac:dyDescent="0.2">
      <c r="B190" s="6"/>
      <c r="C190" s="6"/>
      <c r="I190" s="45" t="s">
        <v>343</v>
      </c>
      <c r="J190" s="6" t="s">
        <v>15</v>
      </c>
      <c r="K190" s="6"/>
    </row>
    <row r="191" spans="1:11" x14ac:dyDescent="0.2">
      <c r="B191" s="6"/>
      <c r="C191" s="6"/>
      <c r="I191" s="47" t="s">
        <v>173</v>
      </c>
      <c r="J191" s="6"/>
      <c r="K191" s="6"/>
    </row>
    <row r="192" spans="1:11" x14ac:dyDescent="0.2">
      <c r="B192" s="6"/>
      <c r="C192" s="6"/>
      <c r="I192" s="45" t="s">
        <v>345</v>
      </c>
      <c r="J192" s="6" t="s">
        <v>15</v>
      </c>
      <c r="K192" s="6"/>
    </row>
    <row r="193" spans="1:11" x14ac:dyDescent="0.2">
      <c r="B193" s="6"/>
      <c r="C193" s="6"/>
      <c r="I193" s="47" t="s">
        <v>347</v>
      </c>
      <c r="J193" s="6"/>
      <c r="K193" s="6"/>
    </row>
    <row r="194" spans="1:11" x14ac:dyDescent="0.2">
      <c r="B194" s="6"/>
      <c r="C194" s="6"/>
      <c r="I194" s="45" t="s">
        <v>348</v>
      </c>
      <c r="J194" s="6" t="s">
        <v>349</v>
      </c>
      <c r="K194" s="6"/>
    </row>
    <row r="195" spans="1:11" x14ac:dyDescent="0.2">
      <c r="B195" s="6"/>
      <c r="C195" s="6"/>
      <c r="I195" s="45" t="s">
        <v>350</v>
      </c>
      <c r="J195" s="6">
        <v>0.96</v>
      </c>
      <c r="K195" s="6" t="s">
        <v>381</v>
      </c>
    </row>
    <row r="196" spans="1:11" x14ac:dyDescent="0.2">
      <c r="A196" s="28" t="s">
        <v>382</v>
      </c>
      <c r="B196" s="6">
        <v>20065</v>
      </c>
      <c r="C196" s="6">
        <v>20065</v>
      </c>
      <c r="I196" s="47" t="s">
        <v>155</v>
      </c>
      <c r="J196" s="6"/>
      <c r="K196" s="6"/>
    </row>
    <row r="197" spans="1:11" x14ac:dyDescent="0.2">
      <c r="B197" s="6"/>
      <c r="C197" s="6"/>
      <c r="I197" s="45" t="s">
        <v>195</v>
      </c>
      <c r="J197" s="6">
        <v>1.4</v>
      </c>
      <c r="K197" s="6" t="s">
        <v>383</v>
      </c>
    </row>
    <row r="198" spans="1:11" x14ac:dyDescent="0.2">
      <c r="B198" s="6"/>
      <c r="C198" s="6"/>
      <c r="I198" s="47" t="s">
        <v>176</v>
      </c>
      <c r="J198" s="6"/>
      <c r="K198" s="6"/>
    </row>
    <row r="199" spans="1:11" x14ac:dyDescent="0.2">
      <c r="B199" s="6"/>
      <c r="C199" s="6"/>
      <c r="I199" s="45" t="s">
        <v>339</v>
      </c>
      <c r="J199" s="6">
        <v>1.3</v>
      </c>
      <c r="K199" s="6" t="s">
        <v>384</v>
      </c>
    </row>
    <row r="200" spans="1:11" x14ac:dyDescent="0.2">
      <c r="B200" s="6"/>
      <c r="C200" s="6"/>
      <c r="I200" s="47" t="s">
        <v>223</v>
      </c>
      <c r="J200" s="6"/>
      <c r="K200" s="6"/>
    </row>
    <row r="201" spans="1:11" x14ac:dyDescent="0.2">
      <c r="B201" s="6"/>
      <c r="C201" s="6"/>
      <c r="I201" s="45" t="s">
        <v>341</v>
      </c>
      <c r="J201" s="53">
        <v>0.94</v>
      </c>
      <c r="K201" s="54" t="s">
        <v>385</v>
      </c>
    </row>
    <row r="202" spans="1:11" x14ac:dyDescent="0.2">
      <c r="B202" s="6"/>
      <c r="C202" s="6"/>
      <c r="I202" s="47" t="s">
        <v>200</v>
      </c>
      <c r="J202" s="6"/>
      <c r="K202" s="6"/>
    </row>
    <row r="203" spans="1:11" x14ac:dyDescent="0.2">
      <c r="B203" s="6"/>
      <c r="C203" s="6"/>
      <c r="I203" s="45" t="s">
        <v>343</v>
      </c>
      <c r="J203" s="6">
        <v>1.1000000000000001</v>
      </c>
      <c r="K203" s="6" t="s">
        <v>386</v>
      </c>
    </row>
    <row r="204" spans="1:11" x14ac:dyDescent="0.2">
      <c r="B204" s="6"/>
      <c r="C204" s="6"/>
      <c r="I204" s="47" t="s">
        <v>173</v>
      </c>
      <c r="J204" s="6"/>
      <c r="K204" s="6"/>
    </row>
    <row r="205" spans="1:11" x14ac:dyDescent="0.2">
      <c r="B205" s="6"/>
      <c r="C205" s="6"/>
      <c r="I205" s="45" t="s">
        <v>345</v>
      </c>
      <c r="J205" s="6" t="s">
        <v>15</v>
      </c>
      <c r="K205" s="6"/>
    </row>
    <row r="206" spans="1:11" x14ac:dyDescent="0.2">
      <c r="B206" s="6"/>
      <c r="C206" s="6"/>
      <c r="I206" s="47" t="s">
        <v>347</v>
      </c>
      <c r="J206" s="6"/>
      <c r="K206" s="6"/>
    </row>
    <row r="207" spans="1:11" x14ac:dyDescent="0.2">
      <c r="B207" s="6"/>
      <c r="C207" s="6"/>
      <c r="I207" s="45" t="s">
        <v>348</v>
      </c>
      <c r="J207" s="6">
        <v>1.1000000000000001</v>
      </c>
      <c r="K207" s="6" t="s">
        <v>387</v>
      </c>
    </row>
    <row r="208" spans="1:11" x14ac:dyDescent="0.2">
      <c r="B208" s="6"/>
      <c r="C208" s="6"/>
      <c r="I208" s="45" t="s">
        <v>350</v>
      </c>
      <c r="J208" s="6" t="s">
        <v>349</v>
      </c>
      <c r="K208" s="6"/>
    </row>
    <row r="209" spans="1:11" x14ac:dyDescent="0.2">
      <c r="A209" s="28" t="s">
        <v>388</v>
      </c>
      <c r="B209" s="6">
        <v>1381</v>
      </c>
      <c r="C209" s="6">
        <v>1381</v>
      </c>
      <c r="I209" s="47" t="s">
        <v>155</v>
      </c>
      <c r="J209" s="6"/>
      <c r="K209" s="6"/>
    </row>
    <row r="210" spans="1:11" x14ac:dyDescent="0.2">
      <c r="B210" s="6"/>
      <c r="C210" s="6"/>
      <c r="I210" s="45" t="s">
        <v>195</v>
      </c>
      <c r="J210" s="6">
        <v>1.7</v>
      </c>
      <c r="K210" s="6" t="s">
        <v>389</v>
      </c>
    </row>
    <row r="211" spans="1:11" x14ac:dyDescent="0.2">
      <c r="B211" s="6"/>
      <c r="C211" s="6"/>
      <c r="I211" s="47" t="s">
        <v>176</v>
      </c>
      <c r="J211" s="6"/>
      <c r="K211" s="6"/>
    </row>
    <row r="212" spans="1:11" x14ac:dyDescent="0.2">
      <c r="B212" s="6"/>
      <c r="C212" s="6"/>
      <c r="I212" s="45" t="s">
        <v>339</v>
      </c>
      <c r="J212" s="59">
        <v>1.38</v>
      </c>
      <c r="K212" s="60" t="s">
        <v>390</v>
      </c>
    </row>
    <row r="213" spans="1:11" x14ac:dyDescent="0.2">
      <c r="B213" s="6"/>
      <c r="C213" s="6"/>
      <c r="I213" s="47" t="s">
        <v>223</v>
      </c>
      <c r="J213" s="6"/>
      <c r="K213" s="6"/>
    </row>
    <row r="214" spans="1:11" x14ac:dyDescent="0.2">
      <c r="B214" s="6"/>
      <c r="C214" s="6"/>
      <c r="I214" s="45" t="s">
        <v>341</v>
      </c>
      <c r="J214" s="53" t="s">
        <v>15</v>
      </c>
      <c r="K214" s="56" t="s">
        <v>15</v>
      </c>
    </row>
    <row r="215" spans="1:11" x14ac:dyDescent="0.2">
      <c r="B215" s="6"/>
      <c r="C215" s="6"/>
      <c r="I215" s="47" t="s">
        <v>200</v>
      </c>
      <c r="J215" s="6"/>
      <c r="K215" s="6"/>
    </row>
    <row r="216" spans="1:11" x14ac:dyDescent="0.2">
      <c r="B216" s="6"/>
      <c r="C216" s="6"/>
      <c r="I216" s="45" t="s">
        <v>343</v>
      </c>
      <c r="J216" s="6">
        <v>1.5</v>
      </c>
      <c r="K216" s="6" t="s">
        <v>391</v>
      </c>
    </row>
    <row r="217" spans="1:11" x14ac:dyDescent="0.2">
      <c r="B217" s="6"/>
      <c r="C217" s="6"/>
      <c r="I217" s="47" t="s">
        <v>173</v>
      </c>
      <c r="J217" s="6"/>
      <c r="K217" s="6"/>
    </row>
    <row r="218" spans="1:11" x14ac:dyDescent="0.2">
      <c r="B218" s="6"/>
      <c r="C218" s="6"/>
      <c r="I218" s="45" t="s">
        <v>345</v>
      </c>
      <c r="J218" s="54">
        <v>1.18</v>
      </c>
      <c r="K218" s="54" t="s">
        <v>392</v>
      </c>
    </row>
    <row r="219" spans="1:11" x14ac:dyDescent="0.2">
      <c r="B219" s="6"/>
      <c r="C219" s="6"/>
      <c r="I219" s="47" t="s">
        <v>347</v>
      </c>
      <c r="J219" s="6"/>
      <c r="K219" s="6"/>
    </row>
    <row r="220" spans="1:11" x14ac:dyDescent="0.2">
      <c r="B220" s="6"/>
      <c r="C220" s="6"/>
      <c r="I220" s="45" t="s">
        <v>348</v>
      </c>
      <c r="J220" s="6" t="s">
        <v>349</v>
      </c>
      <c r="K220" s="6"/>
    </row>
    <row r="221" spans="1:11" x14ac:dyDescent="0.2">
      <c r="B221" s="6"/>
      <c r="C221" s="6"/>
      <c r="I221" s="45" t="s">
        <v>350</v>
      </c>
      <c r="J221" s="6" t="s">
        <v>349</v>
      </c>
      <c r="K221" s="6"/>
    </row>
    <row r="222" spans="1:11" x14ac:dyDescent="0.2">
      <c r="A222" s="28" t="s">
        <v>393</v>
      </c>
      <c r="B222" s="6">
        <v>1062</v>
      </c>
      <c r="C222" s="6">
        <v>1062</v>
      </c>
      <c r="I222" s="47" t="s">
        <v>155</v>
      </c>
      <c r="J222" s="6"/>
      <c r="K222" s="6"/>
    </row>
    <row r="223" spans="1:11" x14ac:dyDescent="0.2">
      <c r="B223" s="6"/>
      <c r="C223" s="6"/>
      <c r="I223" s="45" t="s">
        <v>195</v>
      </c>
      <c r="J223" s="61">
        <v>0.95</v>
      </c>
      <c r="K223" s="61" t="s">
        <v>394</v>
      </c>
    </row>
    <row r="224" spans="1:11" x14ac:dyDescent="0.2">
      <c r="B224" s="6"/>
      <c r="C224" s="6"/>
      <c r="I224" s="47" t="s">
        <v>176</v>
      </c>
      <c r="J224" s="6"/>
      <c r="K224" s="6"/>
    </row>
    <row r="225" spans="1:11" x14ac:dyDescent="0.2">
      <c r="B225" s="6"/>
      <c r="C225" s="6"/>
      <c r="I225" s="45" t="s">
        <v>339</v>
      </c>
      <c r="J225" s="6">
        <v>1.4</v>
      </c>
      <c r="K225" s="6" t="s">
        <v>395</v>
      </c>
    </row>
    <row r="226" spans="1:11" x14ac:dyDescent="0.2">
      <c r="B226" s="6"/>
      <c r="C226" s="6"/>
      <c r="I226" s="47" t="s">
        <v>223</v>
      </c>
      <c r="J226" s="6"/>
      <c r="K226" s="6"/>
    </row>
    <row r="227" spans="1:11" x14ac:dyDescent="0.2">
      <c r="B227" s="6"/>
      <c r="C227" s="6"/>
      <c r="I227" s="45" t="s">
        <v>341</v>
      </c>
      <c r="J227" s="6">
        <v>1.8</v>
      </c>
      <c r="K227" s="6" t="s">
        <v>396</v>
      </c>
    </row>
    <row r="228" spans="1:11" x14ac:dyDescent="0.2">
      <c r="B228" s="6"/>
      <c r="C228" s="6"/>
      <c r="I228" s="47" t="s">
        <v>200</v>
      </c>
      <c r="J228" s="6"/>
      <c r="K228" s="6"/>
    </row>
    <row r="229" spans="1:11" x14ac:dyDescent="0.2">
      <c r="B229" s="6"/>
      <c r="C229" s="6"/>
      <c r="I229" s="45" t="s">
        <v>343</v>
      </c>
      <c r="J229" s="54">
        <v>0.93</v>
      </c>
      <c r="K229" s="54" t="s">
        <v>397</v>
      </c>
    </row>
    <row r="230" spans="1:11" x14ac:dyDescent="0.2">
      <c r="B230" s="6"/>
      <c r="C230" s="6"/>
      <c r="I230" s="47" t="s">
        <v>173</v>
      </c>
      <c r="J230" s="6"/>
      <c r="K230" s="6"/>
    </row>
    <row r="231" spans="1:11" x14ac:dyDescent="0.2">
      <c r="B231" s="6"/>
      <c r="C231" s="6"/>
      <c r="I231" s="45" t="s">
        <v>345</v>
      </c>
      <c r="J231" s="6" t="s">
        <v>15</v>
      </c>
      <c r="K231" s="6" t="s">
        <v>15</v>
      </c>
    </row>
    <row r="232" spans="1:11" x14ac:dyDescent="0.2">
      <c r="B232" s="6"/>
      <c r="C232" s="6"/>
      <c r="I232" s="47" t="s">
        <v>347</v>
      </c>
      <c r="J232" s="6"/>
      <c r="K232" s="6"/>
    </row>
    <row r="233" spans="1:11" x14ac:dyDescent="0.2">
      <c r="B233" s="6"/>
      <c r="C233" s="6"/>
      <c r="I233" s="45" t="s">
        <v>348</v>
      </c>
      <c r="J233" s="6" t="s">
        <v>349</v>
      </c>
      <c r="K233" s="6"/>
    </row>
    <row r="234" spans="1:11" x14ac:dyDescent="0.2">
      <c r="B234" s="6"/>
      <c r="C234" s="6"/>
      <c r="I234" s="45" t="s">
        <v>350</v>
      </c>
      <c r="J234" s="6" t="s">
        <v>349</v>
      </c>
      <c r="K234" s="6"/>
    </row>
    <row r="235" spans="1:11" x14ac:dyDescent="0.2">
      <c r="A235" s="28" t="s">
        <v>398</v>
      </c>
      <c r="B235" s="6">
        <v>1565</v>
      </c>
      <c r="C235" s="6">
        <v>1565</v>
      </c>
      <c r="I235" s="47" t="s">
        <v>155</v>
      </c>
      <c r="J235" s="6"/>
      <c r="K235" s="6"/>
    </row>
    <row r="236" spans="1:11" x14ac:dyDescent="0.2">
      <c r="I236" s="45" t="s">
        <v>195</v>
      </c>
      <c r="J236" s="61">
        <v>0.95</v>
      </c>
      <c r="K236" s="61" t="s">
        <v>399</v>
      </c>
    </row>
    <row r="237" spans="1:11" x14ac:dyDescent="0.2">
      <c r="I237" s="47" t="s">
        <v>176</v>
      </c>
      <c r="J237" s="6"/>
      <c r="K237" s="6"/>
    </row>
    <row r="238" spans="1:11" x14ac:dyDescent="0.2">
      <c r="I238" s="45" t="s">
        <v>339</v>
      </c>
      <c r="J238" s="6">
        <v>0.8</v>
      </c>
      <c r="K238" s="6" t="s">
        <v>400</v>
      </c>
    </row>
    <row r="239" spans="1:11" x14ac:dyDescent="0.2">
      <c r="I239" s="47" t="s">
        <v>223</v>
      </c>
      <c r="J239" s="6"/>
      <c r="K239" s="6"/>
    </row>
    <row r="240" spans="1:11" x14ac:dyDescent="0.2">
      <c r="I240" s="45" t="s">
        <v>341</v>
      </c>
      <c r="J240" s="6">
        <v>0.6</v>
      </c>
      <c r="K240" s="6" t="s">
        <v>401</v>
      </c>
    </row>
    <row r="241" spans="1:37" x14ac:dyDescent="0.2">
      <c r="I241" s="47" t="s">
        <v>200</v>
      </c>
      <c r="J241" s="6"/>
      <c r="K241" s="6"/>
    </row>
    <row r="242" spans="1:37" x14ac:dyDescent="0.2">
      <c r="I242" s="45" t="s">
        <v>343</v>
      </c>
      <c r="J242" s="6">
        <v>0.6</v>
      </c>
      <c r="K242" s="6" t="s">
        <v>401</v>
      </c>
    </row>
    <row r="243" spans="1:37" x14ac:dyDescent="0.2">
      <c r="I243" s="47" t="s">
        <v>173</v>
      </c>
      <c r="J243" s="6"/>
      <c r="K243" s="6"/>
    </row>
    <row r="244" spans="1:37" x14ac:dyDescent="0.2">
      <c r="I244" s="45" t="s">
        <v>345</v>
      </c>
      <c r="J244" s="54">
        <v>0.94</v>
      </c>
      <c r="K244" s="54" t="s">
        <v>402</v>
      </c>
    </row>
    <row r="245" spans="1:37" x14ac:dyDescent="0.2">
      <c r="I245" s="47" t="s">
        <v>347</v>
      </c>
      <c r="J245" s="6"/>
      <c r="K245" s="6"/>
    </row>
    <row r="246" spans="1:37" x14ac:dyDescent="0.2">
      <c r="I246" s="45" t="s">
        <v>348</v>
      </c>
      <c r="J246" s="6" t="s">
        <v>349</v>
      </c>
      <c r="K246" s="6"/>
    </row>
    <row r="247" spans="1:37" x14ac:dyDescent="0.2">
      <c r="I247" s="45" t="s">
        <v>350</v>
      </c>
      <c r="J247" s="6" t="s">
        <v>349</v>
      </c>
      <c r="K247" s="6"/>
    </row>
    <row r="249" spans="1:37" x14ac:dyDescent="0.2">
      <c r="A249" s="28" t="s">
        <v>89</v>
      </c>
      <c r="B249" s="7">
        <v>579</v>
      </c>
      <c r="C249" s="7">
        <v>579</v>
      </c>
      <c r="D249" s="47" t="s">
        <v>403</v>
      </c>
      <c r="G249" t="s">
        <v>404</v>
      </c>
      <c r="H249" t="s">
        <v>405</v>
      </c>
      <c r="I249" s="50" t="s">
        <v>176</v>
      </c>
    </row>
    <row r="250" spans="1:37" x14ac:dyDescent="0.2">
      <c r="I250" t="s">
        <v>406</v>
      </c>
      <c r="L250" t="s">
        <v>407</v>
      </c>
      <c r="M250" t="s">
        <v>408</v>
      </c>
    </row>
    <row r="251" spans="1:37" x14ac:dyDescent="0.2">
      <c r="I251" s="50" t="s">
        <v>409</v>
      </c>
      <c r="AK251" s="62"/>
    </row>
    <row r="252" spans="1:37" x14ac:dyDescent="0.2">
      <c r="I252" t="s">
        <v>410</v>
      </c>
      <c r="L252" t="s">
        <v>411</v>
      </c>
      <c r="M252" t="s">
        <v>412</v>
      </c>
    </row>
    <row r="253" spans="1:37" x14ac:dyDescent="0.2">
      <c r="I253" s="50" t="s">
        <v>413</v>
      </c>
      <c r="L253" t="s">
        <v>414</v>
      </c>
      <c r="M253" t="s">
        <v>415</v>
      </c>
    </row>
    <row r="254" spans="1:37" x14ac:dyDescent="0.2">
      <c r="I254" s="50" t="s">
        <v>416</v>
      </c>
      <c r="L254" t="s">
        <v>417</v>
      </c>
      <c r="M254" t="s">
        <v>418</v>
      </c>
    </row>
  </sheetData>
  <pageMargins left="0.7" right="0.7" top="0.78740157500000008" bottom="0.78740157500000008" header="0.3" footer="0.3"/>
  <pageSetup paperSize="9" firstPageNumber="2147483648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56"/>
  <sheetViews>
    <sheetView workbookViewId="0">
      <selection activeCell="G21" sqref="G21"/>
    </sheetView>
  </sheetViews>
  <sheetFormatPr baseColWidth="10" defaultColWidth="8.83203125" defaultRowHeight="16" x14ac:dyDescent="0.2"/>
  <cols>
    <col min="2" max="3" width="11" style="6"/>
  </cols>
  <sheetData>
    <row r="1" spans="1:60" x14ac:dyDescent="0.2">
      <c r="A1" s="63"/>
      <c r="B1" s="63"/>
      <c r="C1" s="63"/>
      <c r="D1" s="63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BD1" s="64"/>
      <c r="BE1" s="64"/>
      <c r="BF1" s="64"/>
      <c r="BG1" s="64"/>
      <c r="BH1" s="64"/>
    </row>
    <row r="2" spans="1:60" x14ac:dyDescent="0.2">
      <c r="A2" s="63" t="s">
        <v>155</v>
      </c>
      <c r="B2" s="63" t="s">
        <v>419</v>
      </c>
      <c r="C2" s="63" t="s">
        <v>151</v>
      </c>
      <c r="D2" s="63" t="s">
        <v>154</v>
      </c>
      <c r="E2" s="63"/>
      <c r="F2" s="63" t="s">
        <v>176</v>
      </c>
      <c r="G2" s="63" t="s">
        <v>419</v>
      </c>
      <c r="H2" s="63" t="s">
        <v>151</v>
      </c>
      <c r="I2" s="63" t="s">
        <v>154</v>
      </c>
      <c r="J2" s="63"/>
      <c r="K2" s="63" t="s">
        <v>158</v>
      </c>
      <c r="L2" s="63" t="s">
        <v>419</v>
      </c>
      <c r="M2" s="63" t="s">
        <v>151</v>
      </c>
      <c r="N2" s="63" t="s">
        <v>154</v>
      </c>
      <c r="O2" s="63"/>
      <c r="P2" s="63" t="s">
        <v>173</v>
      </c>
      <c r="Q2" s="63" t="s">
        <v>419</v>
      </c>
      <c r="R2" s="63" t="s">
        <v>151</v>
      </c>
      <c r="S2" s="63" t="s">
        <v>154</v>
      </c>
      <c r="T2" s="63"/>
      <c r="U2" s="63" t="s">
        <v>420</v>
      </c>
      <c r="V2" s="63" t="s">
        <v>419</v>
      </c>
      <c r="W2" s="63" t="s">
        <v>151</v>
      </c>
      <c r="X2" s="63" t="s">
        <v>154</v>
      </c>
      <c r="Y2" s="63"/>
      <c r="Z2" s="65" t="s">
        <v>421</v>
      </c>
      <c r="AA2" s="63" t="s">
        <v>419</v>
      </c>
      <c r="AB2" s="63" t="s">
        <v>151</v>
      </c>
      <c r="AC2" s="63" t="s">
        <v>154</v>
      </c>
      <c r="AD2" s="63"/>
      <c r="AE2" s="63" t="s">
        <v>223</v>
      </c>
      <c r="AF2" s="63" t="s">
        <v>419</v>
      </c>
      <c r="AG2" s="63" t="s">
        <v>151</v>
      </c>
      <c r="AH2" s="63" t="s">
        <v>154</v>
      </c>
      <c r="AI2" s="63"/>
      <c r="AJ2" s="63"/>
      <c r="AK2" s="65" t="s">
        <v>422</v>
      </c>
      <c r="AL2" s="63" t="s">
        <v>419</v>
      </c>
      <c r="AM2" s="63" t="s">
        <v>151</v>
      </c>
      <c r="AN2" s="63" t="s">
        <v>154</v>
      </c>
      <c r="AO2" s="63"/>
      <c r="AP2" s="63" t="s">
        <v>263</v>
      </c>
      <c r="AQ2" s="63" t="s">
        <v>419</v>
      </c>
      <c r="AR2" s="63" t="s">
        <v>151</v>
      </c>
      <c r="AS2" s="63" t="s">
        <v>154</v>
      </c>
      <c r="AU2" s="63" t="s">
        <v>173</v>
      </c>
      <c r="AV2" s="63" t="s">
        <v>419</v>
      </c>
      <c r="AW2" s="63" t="s">
        <v>151</v>
      </c>
      <c r="AX2" s="63" t="s">
        <v>154</v>
      </c>
      <c r="AZ2" s="65" t="s">
        <v>423</v>
      </c>
      <c r="BA2" s="63" t="s">
        <v>419</v>
      </c>
      <c r="BB2" s="63" t="s">
        <v>151</v>
      </c>
      <c r="BC2" s="63" t="s">
        <v>154</v>
      </c>
      <c r="BD2" s="66"/>
      <c r="BE2" s="66" t="s">
        <v>424</v>
      </c>
      <c r="BF2" s="66" t="s">
        <v>419</v>
      </c>
      <c r="BG2" s="66" t="s">
        <v>151</v>
      </c>
      <c r="BH2" s="66" t="s">
        <v>154</v>
      </c>
    </row>
    <row r="3" spans="1:60" x14ac:dyDescent="0.2">
      <c r="A3" s="63"/>
      <c r="B3" s="63"/>
      <c r="C3" s="22"/>
      <c r="D3" s="22"/>
      <c r="E3" s="22"/>
      <c r="F3" s="22"/>
      <c r="G3" s="22"/>
      <c r="H3" s="22"/>
      <c r="I3" s="22"/>
      <c r="J3" s="22"/>
      <c r="K3" s="63"/>
      <c r="L3" s="63"/>
      <c r="M3" s="63"/>
      <c r="N3" s="63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U3" s="22"/>
      <c r="AV3" s="22"/>
      <c r="AW3" s="22"/>
      <c r="AX3" s="22"/>
      <c r="AZ3" s="22"/>
      <c r="BA3" s="22"/>
      <c r="BB3" s="22"/>
      <c r="BC3" s="22"/>
      <c r="BD3" s="64"/>
      <c r="BE3" s="64"/>
      <c r="BF3" s="64"/>
      <c r="BG3" s="64"/>
      <c r="BH3" s="64"/>
    </row>
    <row r="4" spans="1:60" x14ac:dyDescent="0.2">
      <c r="A4" s="67" t="s">
        <v>195</v>
      </c>
      <c r="F4" s="68" t="s">
        <v>180</v>
      </c>
      <c r="G4" s="6"/>
      <c r="K4" s="67" t="s">
        <v>159</v>
      </c>
      <c r="Z4" s="47" t="s">
        <v>201</v>
      </c>
      <c r="AE4" s="50" t="s">
        <v>425</v>
      </c>
      <c r="AK4" s="69" t="s">
        <v>112</v>
      </c>
      <c r="AL4" s="70"/>
      <c r="AM4" s="70"/>
      <c r="AN4" s="70"/>
      <c r="AP4" s="47" t="s">
        <v>264</v>
      </c>
      <c r="AU4" s="71" t="s">
        <v>174</v>
      </c>
      <c r="AV4" s="35"/>
      <c r="AW4" s="70"/>
      <c r="AX4" s="70"/>
      <c r="AY4" s="70"/>
      <c r="AZ4" s="69" t="s">
        <v>426</v>
      </c>
      <c r="BA4" s="70"/>
      <c r="BB4" s="70"/>
      <c r="BC4" s="70"/>
      <c r="BD4" s="70"/>
      <c r="BE4" s="69" t="s">
        <v>427</v>
      </c>
      <c r="BF4" s="72"/>
      <c r="BG4" s="72"/>
      <c r="BH4" s="72"/>
    </row>
    <row r="5" spans="1:60" x14ac:dyDescent="0.2">
      <c r="A5" s="6"/>
      <c r="B5" s="73" t="s">
        <v>63</v>
      </c>
      <c r="C5" s="73">
        <v>0.86</v>
      </c>
      <c r="D5" s="74" t="s">
        <v>196</v>
      </c>
      <c r="F5" s="6"/>
      <c r="G5" s="6" t="s">
        <v>63</v>
      </c>
      <c r="H5" s="6">
        <v>0.96299999999999997</v>
      </c>
      <c r="I5" s="28" t="s">
        <v>181</v>
      </c>
      <c r="K5" s="23"/>
      <c r="L5" s="6" t="s">
        <v>63</v>
      </c>
      <c r="M5" s="6">
        <v>1.3149999999999999</v>
      </c>
      <c r="N5" s="28" t="s">
        <v>206</v>
      </c>
      <c r="AA5" s="6" t="s">
        <v>63</v>
      </c>
      <c r="AB5" s="6">
        <v>0.505</v>
      </c>
      <c r="AC5" s="28" t="s">
        <v>202</v>
      </c>
      <c r="AF5" s="6" t="s">
        <v>63</v>
      </c>
      <c r="AG5" s="6">
        <v>1.1120000000000001</v>
      </c>
      <c r="AH5" s="6" t="s">
        <v>225</v>
      </c>
      <c r="AK5" s="70"/>
      <c r="AL5" s="75" t="s">
        <v>99</v>
      </c>
      <c r="AM5" s="75">
        <v>1.02</v>
      </c>
      <c r="AN5" s="75" t="s">
        <v>428</v>
      </c>
      <c r="AP5" s="50"/>
      <c r="AQ5" s="76" t="s">
        <v>72</v>
      </c>
      <c r="AR5" s="76">
        <v>2.4900000000000002</v>
      </c>
      <c r="AS5" s="76" t="s">
        <v>265</v>
      </c>
      <c r="AV5" s="77" t="s">
        <v>63</v>
      </c>
      <c r="AW5" s="77">
        <v>2.5</v>
      </c>
      <c r="AX5" s="77" t="s">
        <v>429</v>
      </c>
      <c r="BA5" s="77" t="s">
        <v>63</v>
      </c>
      <c r="BB5" s="78">
        <v>1.79</v>
      </c>
      <c r="BC5" s="77" t="s">
        <v>430</v>
      </c>
      <c r="BD5" s="72"/>
      <c r="BE5" s="72"/>
      <c r="BF5" s="77" t="s">
        <v>99</v>
      </c>
      <c r="BG5" s="70">
        <v>1.76</v>
      </c>
      <c r="BH5" s="70" t="s">
        <v>431</v>
      </c>
    </row>
    <row r="6" spans="1:60" x14ac:dyDescent="0.2">
      <c r="B6" s="79" t="s">
        <v>61</v>
      </c>
      <c r="C6" s="79">
        <v>0.16</v>
      </c>
      <c r="D6" s="80" t="s">
        <v>432</v>
      </c>
      <c r="F6" s="68" t="s">
        <v>185</v>
      </c>
      <c r="G6" s="6"/>
      <c r="I6" s="28"/>
      <c r="K6" s="67" t="s">
        <v>161</v>
      </c>
      <c r="L6" s="6"/>
      <c r="N6" s="28"/>
      <c r="Z6" s="50" t="s">
        <v>343</v>
      </c>
      <c r="AK6" s="47" t="s">
        <v>279</v>
      </c>
      <c r="AL6" s="6"/>
      <c r="AP6" s="47" t="s">
        <v>269</v>
      </c>
      <c r="AQ6" s="6"/>
      <c r="AV6" s="75" t="s">
        <v>102</v>
      </c>
      <c r="AW6" s="75">
        <v>0.78</v>
      </c>
      <c r="AX6" s="75" t="s">
        <v>433</v>
      </c>
      <c r="BB6" s="81"/>
      <c r="BD6" s="72"/>
      <c r="BE6" s="72"/>
      <c r="BF6" s="72"/>
      <c r="BG6" s="72"/>
      <c r="BH6" s="72"/>
    </row>
    <row r="7" spans="1:60" x14ac:dyDescent="0.2">
      <c r="F7" s="6"/>
      <c r="G7" s="6" t="s">
        <v>63</v>
      </c>
      <c r="H7" s="6">
        <v>0.95599999999999996</v>
      </c>
      <c r="I7" s="28" t="s">
        <v>186</v>
      </c>
      <c r="L7" s="6" t="s">
        <v>63</v>
      </c>
      <c r="M7" s="6">
        <v>1.8320000000000001</v>
      </c>
      <c r="N7" s="28" t="s">
        <v>219</v>
      </c>
      <c r="AA7" s="82" t="s">
        <v>63</v>
      </c>
      <c r="AB7" s="83">
        <f>1/0.505</f>
        <v>1.9801980198019802</v>
      </c>
      <c r="AC7" s="82" t="s">
        <v>434</v>
      </c>
      <c r="AK7" s="23"/>
      <c r="AL7" s="6" t="s">
        <v>93</v>
      </c>
      <c r="AM7" s="6">
        <v>1.34</v>
      </c>
      <c r="AN7" s="6" t="s">
        <v>280</v>
      </c>
      <c r="AQ7" s="76" t="s">
        <v>72</v>
      </c>
      <c r="AR7" s="76">
        <v>1.0006999999999999</v>
      </c>
      <c r="AS7" s="84" t="s">
        <v>270</v>
      </c>
      <c r="BB7" s="81"/>
      <c r="BD7" s="72"/>
      <c r="BE7" s="72"/>
      <c r="BF7" s="72"/>
      <c r="BG7" s="72"/>
      <c r="BH7" s="72"/>
    </row>
    <row r="8" spans="1:60" x14ac:dyDescent="0.2">
      <c r="F8" s="68" t="s">
        <v>190</v>
      </c>
      <c r="G8" s="6"/>
      <c r="I8" s="28"/>
      <c r="K8" s="67" t="s">
        <v>163</v>
      </c>
      <c r="L8" s="6"/>
      <c r="M8" s="6"/>
      <c r="N8" s="28"/>
      <c r="AB8" s="85"/>
      <c r="AL8" s="75" t="s">
        <v>99</v>
      </c>
      <c r="AM8" s="75">
        <v>1.75</v>
      </c>
      <c r="AN8" s="75" t="s">
        <v>435</v>
      </c>
      <c r="AP8" s="69" t="s">
        <v>436</v>
      </c>
      <c r="AQ8" s="69"/>
      <c r="BB8" s="81"/>
      <c r="BD8" s="72"/>
      <c r="BE8" s="72"/>
      <c r="BF8" s="72"/>
      <c r="BG8" s="72"/>
      <c r="BH8" s="72"/>
    </row>
    <row r="9" spans="1:60" x14ac:dyDescent="0.2">
      <c r="F9" s="6"/>
      <c r="G9" s="6" t="s">
        <v>63</v>
      </c>
      <c r="H9" s="6">
        <v>0.97299999999999998</v>
      </c>
      <c r="I9" s="28" t="s">
        <v>191</v>
      </c>
      <c r="K9" s="23"/>
      <c r="L9" s="6" t="s">
        <v>63</v>
      </c>
      <c r="M9" s="6">
        <v>1.48</v>
      </c>
      <c r="N9" s="28" t="s">
        <v>215</v>
      </c>
      <c r="AB9" s="85"/>
      <c r="AK9" s="47" t="s">
        <v>284</v>
      </c>
      <c r="AL9" s="6"/>
      <c r="AP9" s="72"/>
      <c r="AQ9" s="86" t="s">
        <v>72</v>
      </c>
      <c r="AR9" s="77">
        <v>1.91</v>
      </c>
      <c r="AS9" s="77" t="s">
        <v>437</v>
      </c>
      <c r="BD9" s="72"/>
      <c r="BE9" s="72"/>
      <c r="BF9" s="72"/>
      <c r="BG9" s="72"/>
      <c r="BH9" s="72"/>
    </row>
    <row r="10" spans="1:60" x14ac:dyDescent="0.2">
      <c r="K10" s="87" t="s">
        <v>165</v>
      </c>
      <c r="L10" s="6"/>
      <c r="N10" s="28"/>
      <c r="AK10" s="23"/>
      <c r="AL10" s="76" t="s">
        <v>93</v>
      </c>
      <c r="AM10" s="76">
        <v>1.91</v>
      </c>
      <c r="AN10" s="76" t="s">
        <v>285</v>
      </c>
    </row>
    <row r="11" spans="1:60" x14ac:dyDescent="0.2">
      <c r="K11" s="23"/>
      <c r="L11" s="6" t="s">
        <v>63</v>
      </c>
      <c r="M11" s="6">
        <v>1.1850000000000001</v>
      </c>
      <c r="N11" s="28" t="s">
        <v>210</v>
      </c>
      <c r="AL11" s="88" t="s">
        <v>99</v>
      </c>
      <c r="AM11" s="77">
        <v>2.57</v>
      </c>
      <c r="AN11" s="77" t="s">
        <v>438</v>
      </c>
    </row>
    <row r="12" spans="1:60" x14ac:dyDescent="0.2">
      <c r="K12" s="23"/>
      <c r="AK12" s="47" t="s">
        <v>439</v>
      </c>
      <c r="AL12" s="6"/>
    </row>
    <row r="13" spans="1:60" x14ac:dyDescent="0.2">
      <c r="AK13" s="23"/>
      <c r="AL13" s="76" t="s">
        <v>93</v>
      </c>
      <c r="AM13" s="76">
        <v>1.75</v>
      </c>
      <c r="AN13" s="76" t="s">
        <v>290</v>
      </c>
    </row>
    <row r="14" spans="1:60" x14ac:dyDescent="0.2">
      <c r="AL14" s="89" t="s">
        <v>99</v>
      </c>
      <c r="AM14" s="75">
        <v>1.34</v>
      </c>
      <c r="AN14" s="75" t="s">
        <v>440</v>
      </c>
    </row>
    <row r="15" spans="1:60" x14ac:dyDescent="0.2">
      <c r="AK15" s="47" t="s">
        <v>294</v>
      </c>
      <c r="AL15" s="6"/>
    </row>
    <row r="16" spans="1:60" x14ac:dyDescent="0.2">
      <c r="AK16" s="23"/>
      <c r="AL16" s="73" t="s">
        <v>93</v>
      </c>
      <c r="AM16" s="73">
        <v>0.77</v>
      </c>
      <c r="AN16" s="73" t="s">
        <v>295</v>
      </c>
    </row>
    <row r="17" spans="37:40" x14ac:dyDescent="0.2">
      <c r="AL17" s="89" t="s">
        <v>99</v>
      </c>
      <c r="AM17" s="75">
        <v>0.85</v>
      </c>
      <c r="AN17" s="75" t="s">
        <v>441</v>
      </c>
    </row>
    <row r="18" spans="37:40" x14ac:dyDescent="0.2">
      <c r="AK18" s="47" t="s">
        <v>299</v>
      </c>
      <c r="AL18" s="6"/>
    </row>
    <row r="19" spans="37:40" x14ac:dyDescent="0.2">
      <c r="AK19" s="23"/>
      <c r="AL19" s="73" t="s">
        <v>93</v>
      </c>
      <c r="AM19" s="73">
        <v>0.53</v>
      </c>
      <c r="AN19" s="73" t="s">
        <v>300</v>
      </c>
    </row>
    <row r="20" spans="37:40" x14ac:dyDescent="0.2">
      <c r="AL20" s="89" t="s">
        <v>99</v>
      </c>
      <c r="AM20" s="75">
        <v>0.68</v>
      </c>
      <c r="AN20" s="75" t="s">
        <v>442</v>
      </c>
    </row>
    <row r="21" spans="37:40" x14ac:dyDescent="0.2">
      <c r="AK21" s="47" t="s">
        <v>126</v>
      </c>
      <c r="AL21" s="6"/>
    </row>
    <row r="22" spans="37:40" x14ac:dyDescent="0.2">
      <c r="AK22" s="23"/>
      <c r="AL22" s="6" t="s">
        <v>93</v>
      </c>
      <c r="AM22" s="6">
        <v>0.63</v>
      </c>
      <c r="AN22" s="6" t="s">
        <v>303</v>
      </c>
    </row>
    <row r="23" spans="37:40" x14ac:dyDescent="0.2">
      <c r="AK23" s="90" t="s">
        <v>443</v>
      </c>
    </row>
    <row r="24" spans="37:40" x14ac:dyDescent="0.2">
      <c r="AL24" s="75" t="s">
        <v>99</v>
      </c>
      <c r="AM24" s="75">
        <v>0.25</v>
      </c>
      <c r="AN24" s="75" t="s">
        <v>444</v>
      </c>
    </row>
    <row r="25" spans="37:40" x14ac:dyDescent="0.2">
      <c r="AK25" s="90" t="s">
        <v>445</v>
      </c>
    </row>
    <row r="26" spans="37:40" x14ac:dyDescent="0.2">
      <c r="AL26" s="75" t="s">
        <v>99</v>
      </c>
      <c r="AM26" s="75">
        <v>0.44</v>
      </c>
      <c r="AN26" s="75" t="s">
        <v>446</v>
      </c>
    </row>
    <row r="53" spans="1:12" x14ac:dyDescent="0.2">
      <c r="A53" s="184" t="s">
        <v>447</v>
      </c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</row>
    <row r="54" spans="1:12" x14ac:dyDescent="0.2">
      <c r="A54" s="91" t="s">
        <v>448</v>
      </c>
      <c r="B54" s="92" t="s">
        <v>449</v>
      </c>
      <c r="C54" s="92" t="s">
        <v>450</v>
      </c>
      <c r="D54" s="92" t="s">
        <v>451</v>
      </c>
      <c r="E54" s="92" t="s">
        <v>452</v>
      </c>
      <c r="F54" s="92" t="s">
        <v>453</v>
      </c>
      <c r="G54" s="92" t="s">
        <v>454</v>
      </c>
      <c r="H54" s="92" t="s">
        <v>455</v>
      </c>
      <c r="I54" s="92" t="s">
        <v>151</v>
      </c>
      <c r="J54" s="92" t="s">
        <v>456</v>
      </c>
      <c r="K54" s="92" t="s">
        <v>457</v>
      </c>
      <c r="L54" s="93" t="s">
        <v>458</v>
      </c>
    </row>
    <row r="55" spans="1:12" x14ac:dyDescent="0.2">
      <c r="A55" s="94">
        <v>1</v>
      </c>
      <c r="B55" s="53" t="s">
        <v>93</v>
      </c>
      <c r="C55" s="53">
        <v>2013</v>
      </c>
      <c r="D55" s="53">
        <v>125242</v>
      </c>
      <c r="E55" s="53"/>
      <c r="F55" s="53"/>
      <c r="G55" s="53"/>
      <c r="H55" s="53"/>
      <c r="L55" s="95"/>
    </row>
    <row r="56" spans="1:12" x14ac:dyDescent="0.2">
      <c r="A56" s="94">
        <v>2</v>
      </c>
      <c r="B56" s="53" t="s">
        <v>99</v>
      </c>
      <c r="C56" s="53">
        <v>2015</v>
      </c>
      <c r="D56" s="53">
        <v>1073</v>
      </c>
      <c r="E56" s="53"/>
      <c r="F56" s="53"/>
      <c r="G56" s="53"/>
      <c r="H56" s="53"/>
      <c r="L56" s="95"/>
    </row>
  </sheetData>
  <mergeCells count="1">
    <mergeCell ref="A53:L53"/>
  </mergeCells>
  <pageMargins left="0.70078740157480324" right="0.70078740157480324" top="0.75196850393700787" bottom="0.75196850393700787" header="0.3" footer="0.3"/>
  <pageSetup paperSize="9" firstPageNumber="2147483648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24"/>
  <sheetViews>
    <sheetView workbookViewId="0"/>
  </sheetViews>
  <sheetFormatPr baseColWidth="10" defaultColWidth="8.83203125" defaultRowHeight="16" x14ac:dyDescent="0.2"/>
  <sheetData>
    <row r="1" spans="1:38" x14ac:dyDescent="0.2">
      <c r="A1" s="184" t="s">
        <v>459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N1" s="184" t="s">
        <v>460</v>
      </c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AA1" s="184" t="s">
        <v>461</v>
      </c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</row>
    <row r="2" spans="1:38" x14ac:dyDescent="0.2">
      <c r="A2" s="96" t="s">
        <v>448</v>
      </c>
      <c r="B2" s="92" t="s">
        <v>449</v>
      </c>
      <c r="C2" s="92" t="s">
        <v>450</v>
      </c>
      <c r="D2" s="92" t="s">
        <v>451</v>
      </c>
      <c r="E2" s="92" t="s">
        <v>452</v>
      </c>
      <c r="F2" s="92" t="s">
        <v>453</v>
      </c>
      <c r="G2" s="92" t="s">
        <v>454</v>
      </c>
      <c r="H2" s="92" t="s">
        <v>455</v>
      </c>
      <c r="I2" s="92" t="s">
        <v>151</v>
      </c>
      <c r="J2" s="92" t="s">
        <v>456</v>
      </c>
      <c r="K2" s="92" t="s">
        <v>457</v>
      </c>
      <c r="L2" s="93" t="s">
        <v>458</v>
      </c>
      <c r="N2" s="91" t="s">
        <v>448</v>
      </c>
      <c r="O2" s="92" t="s">
        <v>449</v>
      </c>
      <c r="P2" s="92" t="s">
        <v>450</v>
      </c>
      <c r="Q2" s="92" t="s">
        <v>451</v>
      </c>
      <c r="R2" s="92" t="s">
        <v>452</v>
      </c>
      <c r="S2" s="92" t="s">
        <v>453</v>
      </c>
      <c r="T2" s="92" t="s">
        <v>454</v>
      </c>
      <c r="U2" s="92" t="s">
        <v>455</v>
      </c>
      <c r="V2" s="92" t="s">
        <v>151</v>
      </c>
      <c r="W2" s="92" t="s">
        <v>456</v>
      </c>
      <c r="X2" s="92" t="s">
        <v>457</v>
      </c>
      <c r="Y2" s="93" t="s">
        <v>458</v>
      </c>
      <c r="AA2" s="91" t="s">
        <v>448</v>
      </c>
      <c r="AB2" s="92" t="s">
        <v>449</v>
      </c>
      <c r="AC2" s="92" t="s">
        <v>450</v>
      </c>
      <c r="AD2" s="92" t="s">
        <v>451</v>
      </c>
      <c r="AE2" s="92" t="s">
        <v>452</v>
      </c>
      <c r="AF2" s="92" t="s">
        <v>453</v>
      </c>
      <c r="AG2" s="92" t="s">
        <v>454</v>
      </c>
      <c r="AH2" s="92" t="s">
        <v>455</v>
      </c>
      <c r="AI2" s="92" t="s">
        <v>151</v>
      </c>
      <c r="AJ2" s="92" t="s">
        <v>456</v>
      </c>
      <c r="AK2" s="92" t="s">
        <v>457</v>
      </c>
      <c r="AL2" s="93" t="s">
        <v>458</v>
      </c>
    </row>
    <row r="3" spans="1:38" x14ac:dyDescent="0.2">
      <c r="A3" s="94">
        <v>1</v>
      </c>
      <c r="B3" s="53" t="s">
        <v>61</v>
      </c>
      <c r="C3" s="97">
        <v>2021</v>
      </c>
      <c r="D3" s="98">
        <v>40</v>
      </c>
      <c r="E3" s="99">
        <v>2</v>
      </c>
      <c r="F3" s="99">
        <f>19-2</f>
        <v>17</v>
      </c>
      <c r="G3" s="99">
        <v>9</v>
      </c>
      <c r="H3" s="99">
        <f>21-9</f>
        <v>12</v>
      </c>
      <c r="I3" s="100">
        <v>0.16</v>
      </c>
      <c r="J3" s="101">
        <v>0.03</v>
      </c>
      <c r="K3" s="53">
        <v>0.86</v>
      </c>
      <c r="L3" s="95">
        <v>3.2800000000000003E-2</v>
      </c>
      <c r="N3" s="94">
        <v>1</v>
      </c>
      <c r="O3" s="53" t="s">
        <v>63</v>
      </c>
      <c r="P3" s="102">
        <v>2021</v>
      </c>
      <c r="Q3" s="53">
        <v>346141</v>
      </c>
      <c r="R3" s="53">
        <f>50252+21269+9704</f>
        <v>81225</v>
      </c>
      <c r="S3" s="53">
        <f>(173114-50252)+(77376-21269)+(36679-9704)</f>
        <v>205944</v>
      </c>
      <c r="T3" s="53">
        <v>14309</v>
      </c>
      <c r="U3" s="53">
        <f>58972-14309</f>
        <v>44663</v>
      </c>
      <c r="V3" s="100">
        <v>2.5</v>
      </c>
      <c r="W3" s="100">
        <v>2.4300000000000002</v>
      </c>
      <c r="X3" s="103">
        <v>2.59</v>
      </c>
      <c r="Y3" s="95" t="s">
        <v>462</v>
      </c>
      <c r="AA3" s="94">
        <v>1</v>
      </c>
      <c r="AB3" s="6" t="s">
        <v>93</v>
      </c>
      <c r="AC3" s="6">
        <v>2013</v>
      </c>
      <c r="AD3" s="6">
        <v>125242</v>
      </c>
      <c r="AE3" s="53" t="s">
        <v>15</v>
      </c>
      <c r="AF3" s="53" t="s">
        <v>15</v>
      </c>
      <c r="AG3" s="53" t="s">
        <v>15</v>
      </c>
      <c r="AH3" s="53" t="s">
        <v>15</v>
      </c>
      <c r="AI3" s="103">
        <v>1.34</v>
      </c>
      <c r="AJ3" s="103">
        <v>1.2</v>
      </c>
      <c r="AK3" s="103">
        <v>1.5</v>
      </c>
      <c r="AL3" s="53" t="s">
        <v>15</v>
      </c>
    </row>
    <row r="4" spans="1:38" x14ac:dyDescent="0.2">
      <c r="A4" s="94">
        <v>2</v>
      </c>
      <c r="B4" s="53" t="s">
        <v>63</v>
      </c>
      <c r="C4" s="102">
        <v>2021</v>
      </c>
      <c r="D4" s="53">
        <v>346141</v>
      </c>
      <c r="E4" s="53">
        <v>58159</v>
      </c>
      <c r="F4" s="53">
        <f>204134-58159</f>
        <v>145975</v>
      </c>
      <c r="G4" s="53">
        <v>37375</v>
      </c>
      <c r="H4" s="53">
        <f>142007-37375</f>
        <v>104632</v>
      </c>
      <c r="I4" s="56">
        <v>0.86</v>
      </c>
      <c r="J4" s="56">
        <v>0.83799999999999997</v>
      </c>
      <c r="K4" s="53">
        <v>0.88200000000000001</v>
      </c>
      <c r="L4" s="95" t="s">
        <v>463</v>
      </c>
      <c r="N4" s="94">
        <v>2</v>
      </c>
      <c r="O4" s="6" t="s">
        <v>102</v>
      </c>
      <c r="P4" s="23">
        <v>2013</v>
      </c>
      <c r="Q4" s="6">
        <v>236</v>
      </c>
      <c r="R4" s="53">
        <v>14</v>
      </c>
      <c r="S4" s="53">
        <f>68-14</f>
        <v>54</v>
      </c>
      <c r="T4" s="53">
        <v>42</v>
      </c>
      <c r="U4" s="53">
        <f>168-42</f>
        <v>126</v>
      </c>
      <c r="V4" s="56">
        <v>0.78</v>
      </c>
      <c r="W4" s="56">
        <v>0.39</v>
      </c>
      <c r="X4" s="53">
        <v>1.54</v>
      </c>
      <c r="Y4" s="95">
        <v>0.47099999999999997</v>
      </c>
      <c r="AA4" s="94">
        <v>2</v>
      </c>
      <c r="AB4" s="6" t="s">
        <v>99</v>
      </c>
      <c r="AC4" s="6">
        <v>2015</v>
      </c>
      <c r="AD4" s="6">
        <v>1073</v>
      </c>
      <c r="AE4" s="53" t="s">
        <v>15</v>
      </c>
      <c r="AF4" s="53" t="s">
        <v>15</v>
      </c>
      <c r="AG4" s="53" t="s">
        <v>15</v>
      </c>
      <c r="AH4" s="53" t="s">
        <v>15</v>
      </c>
      <c r="AI4" s="56">
        <v>1.75</v>
      </c>
      <c r="AJ4" s="56">
        <v>0.69</v>
      </c>
      <c r="AK4" s="53">
        <v>4.49</v>
      </c>
      <c r="AL4" s="53" t="s">
        <v>15</v>
      </c>
    </row>
    <row r="6" spans="1:38" x14ac:dyDescent="0.2">
      <c r="AA6" s="184" t="s">
        <v>464</v>
      </c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</row>
    <row r="7" spans="1:38" x14ac:dyDescent="0.2">
      <c r="AA7" s="91" t="s">
        <v>448</v>
      </c>
      <c r="AB7" s="92" t="s">
        <v>449</v>
      </c>
      <c r="AC7" s="92" t="s">
        <v>450</v>
      </c>
      <c r="AD7" s="92" t="s">
        <v>451</v>
      </c>
      <c r="AE7" s="92" t="s">
        <v>452</v>
      </c>
      <c r="AF7" s="92" t="s">
        <v>453</v>
      </c>
      <c r="AG7" s="92" t="s">
        <v>454</v>
      </c>
      <c r="AH7" s="92" t="s">
        <v>455</v>
      </c>
      <c r="AI7" s="92" t="s">
        <v>151</v>
      </c>
      <c r="AJ7" s="92" t="s">
        <v>456</v>
      </c>
      <c r="AK7" s="92" t="s">
        <v>457</v>
      </c>
      <c r="AL7" s="93" t="s">
        <v>458</v>
      </c>
    </row>
    <row r="8" spans="1:38" x14ac:dyDescent="0.2">
      <c r="AA8" s="94">
        <v>1</v>
      </c>
      <c r="AB8" s="6" t="s">
        <v>93</v>
      </c>
      <c r="AC8" s="6">
        <v>2013</v>
      </c>
      <c r="AD8" s="6">
        <v>125242</v>
      </c>
      <c r="AE8" s="53" t="s">
        <v>15</v>
      </c>
      <c r="AF8" s="53" t="s">
        <v>15</v>
      </c>
      <c r="AG8" s="53" t="s">
        <v>15</v>
      </c>
      <c r="AH8" s="53" t="s">
        <v>465</v>
      </c>
      <c r="AI8" s="103">
        <v>1.91</v>
      </c>
      <c r="AJ8" s="103">
        <v>1.8</v>
      </c>
      <c r="AK8" s="103">
        <v>2.04</v>
      </c>
      <c r="AL8" s="53" t="s">
        <v>15</v>
      </c>
    </row>
    <row r="9" spans="1:38" x14ac:dyDescent="0.2">
      <c r="AA9" s="94">
        <v>2</v>
      </c>
      <c r="AB9" s="6" t="s">
        <v>99</v>
      </c>
      <c r="AC9" s="6">
        <v>2015</v>
      </c>
      <c r="AD9" s="6">
        <v>1073</v>
      </c>
      <c r="AE9" s="53" t="s">
        <v>15</v>
      </c>
      <c r="AF9" s="53" t="s">
        <v>15</v>
      </c>
      <c r="AG9" s="53" t="s">
        <v>15</v>
      </c>
      <c r="AH9" s="53" t="s">
        <v>15</v>
      </c>
      <c r="AI9" s="56">
        <v>2.57</v>
      </c>
      <c r="AJ9" s="56">
        <v>1.46</v>
      </c>
      <c r="AK9" s="53">
        <v>4.53</v>
      </c>
      <c r="AL9" s="53" t="s">
        <v>15</v>
      </c>
    </row>
    <row r="11" spans="1:38" x14ac:dyDescent="0.2">
      <c r="AA11" s="184" t="s">
        <v>466</v>
      </c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</row>
    <row r="12" spans="1:38" x14ac:dyDescent="0.2">
      <c r="AA12" s="91" t="s">
        <v>448</v>
      </c>
      <c r="AB12" s="92" t="s">
        <v>449</v>
      </c>
      <c r="AC12" s="92" t="s">
        <v>450</v>
      </c>
      <c r="AD12" s="92" t="s">
        <v>451</v>
      </c>
      <c r="AE12" s="92" t="s">
        <v>452</v>
      </c>
      <c r="AF12" s="92" t="s">
        <v>453</v>
      </c>
      <c r="AG12" s="92" t="s">
        <v>454</v>
      </c>
      <c r="AH12" s="92" t="s">
        <v>455</v>
      </c>
      <c r="AI12" s="92" t="s">
        <v>151</v>
      </c>
      <c r="AJ12" s="92" t="s">
        <v>456</v>
      </c>
      <c r="AK12" s="92" t="s">
        <v>457</v>
      </c>
      <c r="AL12" s="93" t="s">
        <v>458</v>
      </c>
    </row>
    <row r="13" spans="1:38" x14ac:dyDescent="0.2">
      <c r="AA13" s="94">
        <v>1</v>
      </c>
      <c r="AB13" s="6" t="s">
        <v>93</v>
      </c>
      <c r="AC13" s="6">
        <v>2013</v>
      </c>
      <c r="AD13" s="6">
        <v>125242</v>
      </c>
      <c r="AE13" s="53" t="s">
        <v>15</v>
      </c>
      <c r="AF13" s="53" t="s">
        <v>15</v>
      </c>
      <c r="AG13" s="53" t="s">
        <v>15</v>
      </c>
      <c r="AH13" s="53" t="s">
        <v>15</v>
      </c>
      <c r="AI13" s="103">
        <v>1.75</v>
      </c>
      <c r="AJ13" s="103">
        <v>1.67</v>
      </c>
      <c r="AK13" s="103">
        <v>1.83</v>
      </c>
      <c r="AL13" s="53" t="s">
        <v>15</v>
      </c>
    </row>
    <row r="14" spans="1:38" x14ac:dyDescent="0.2">
      <c r="AA14" s="94">
        <v>2</v>
      </c>
      <c r="AB14" s="6" t="s">
        <v>99</v>
      </c>
      <c r="AC14" s="6">
        <v>2015</v>
      </c>
      <c r="AD14" s="6">
        <v>1073</v>
      </c>
      <c r="AE14" s="53" t="s">
        <v>15</v>
      </c>
      <c r="AF14" s="53" t="s">
        <v>15</v>
      </c>
      <c r="AG14" s="53" t="s">
        <v>15</v>
      </c>
      <c r="AH14" s="53" t="s">
        <v>15</v>
      </c>
      <c r="AI14" s="56">
        <v>1.34</v>
      </c>
      <c r="AJ14" s="56">
        <v>0.83</v>
      </c>
      <c r="AK14" s="53">
        <v>2.17</v>
      </c>
      <c r="AL14" s="53" t="s">
        <v>15</v>
      </c>
    </row>
    <row r="16" spans="1:38" x14ac:dyDescent="0.2">
      <c r="AA16" s="184" t="s">
        <v>467</v>
      </c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</row>
    <row r="17" spans="27:38" x14ac:dyDescent="0.2">
      <c r="AA17" s="91" t="s">
        <v>448</v>
      </c>
      <c r="AB17" s="92" t="s">
        <v>449</v>
      </c>
      <c r="AC17" s="92" t="s">
        <v>450</v>
      </c>
      <c r="AD17" s="92" t="s">
        <v>451</v>
      </c>
      <c r="AE17" s="92" t="s">
        <v>452</v>
      </c>
      <c r="AF17" s="92" t="s">
        <v>453</v>
      </c>
      <c r="AG17" s="92" t="s">
        <v>454</v>
      </c>
      <c r="AH17" s="92" t="s">
        <v>455</v>
      </c>
      <c r="AI17" s="92" t="s">
        <v>151</v>
      </c>
      <c r="AJ17" s="92" t="s">
        <v>456</v>
      </c>
      <c r="AK17" s="92" t="s">
        <v>457</v>
      </c>
      <c r="AL17" s="93" t="s">
        <v>458</v>
      </c>
    </row>
    <row r="18" spans="27:38" x14ac:dyDescent="0.2">
      <c r="AA18" s="94">
        <v>1</v>
      </c>
      <c r="AB18" s="6" t="s">
        <v>93</v>
      </c>
      <c r="AC18" s="6">
        <v>2013</v>
      </c>
      <c r="AD18" s="6">
        <v>125242</v>
      </c>
      <c r="AE18" s="53" t="s">
        <v>15</v>
      </c>
      <c r="AF18" s="53" t="s">
        <v>15</v>
      </c>
      <c r="AG18" s="53" t="s">
        <v>15</v>
      </c>
      <c r="AH18" s="53" t="s">
        <v>15</v>
      </c>
      <c r="AI18" s="103">
        <v>0.77</v>
      </c>
      <c r="AJ18" s="103">
        <v>0.71</v>
      </c>
      <c r="AK18" s="103">
        <v>0.82</v>
      </c>
      <c r="AL18" s="53" t="s">
        <v>15</v>
      </c>
    </row>
    <row r="19" spans="27:38" x14ac:dyDescent="0.2">
      <c r="AA19" s="94">
        <v>2</v>
      </c>
      <c r="AB19" s="6" t="s">
        <v>99</v>
      </c>
      <c r="AC19" s="6">
        <v>2015</v>
      </c>
      <c r="AD19" s="6">
        <v>1073</v>
      </c>
      <c r="AE19" s="53" t="s">
        <v>15</v>
      </c>
      <c r="AF19" s="53" t="s">
        <v>15</v>
      </c>
      <c r="AG19" s="53" t="s">
        <v>15</v>
      </c>
      <c r="AH19" s="53" t="s">
        <v>468</v>
      </c>
      <c r="AI19" s="56">
        <v>0.85</v>
      </c>
      <c r="AJ19" s="56">
        <v>0.42</v>
      </c>
      <c r="AK19" s="53">
        <v>1.73</v>
      </c>
      <c r="AL19" s="53" t="s">
        <v>15</v>
      </c>
    </row>
    <row r="21" spans="27:38" x14ac:dyDescent="0.2">
      <c r="AA21" s="184" t="s">
        <v>469</v>
      </c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</row>
    <row r="22" spans="27:38" x14ac:dyDescent="0.2">
      <c r="AA22" s="91" t="s">
        <v>448</v>
      </c>
      <c r="AB22" s="92" t="s">
        <v>449</v>
      </c>
      <c r="AC22" s="92" t="s">
        <v>450</v>
      </c>
      <c r="AD22" s="92" t="s">
        <v>451</v>
      </c>
      <c r="AE22" s="92" t="s">
        <v>452</v>
      </c>
      <c r="AF22" s="92" t="s">
        <v>453</v>
      </c>
      <c r="AG22" s="92" t="s">
        <v>454</v>
      </c>
      <c r="AH22" s="92" t="s">
        <v>455</v>
      </c>
      <c r="AI22" s="92" t="s">
        <v>151</v>
      </c>
      <c r="AJ22" s="92" t="s">
        <v>456</v>
      </c>
      <c r="AK22" s="92" t="s">
        <v>457</v>
      </c>
      <c r="AL22" s="93" t="s">
        <v>458</v>
      </c>
    </row>
    <row r="23" spans="27:38" x14ac:dyDescent="0.2">
      <c r="AA23" s="94">
        <v>1</v>
      </c>
      <c r="AB23" s="6" t="s">
        <v>93</v>
      </c>
      <c r="AC23" s="6">
        <v>2013</v>
      </c>
      <c r="AD23" s="6">
        <v>125242</v>
      </c>
      <c r="AE23" s="53" t="s">
        <v>15</v>
      </c>
      <c r="AF23" s="53" t="s">
        <v>15</v>
      </c>
      <c r="AG23" s="53" t="s">
        <v>15</v>
      </c>
      <c r="AH23" s="53" t="s">
        <v>15</v>
      </c>
      <c r="AI23" s="103">
        <v>0.53</v>
      </c>
      <c r="AJ23" s="103">
        <v>0.45</v>
      </c>
      <c r="AK23" s="103">
        <v>0.64</v>
      </c>
      <c r="AL23" s="53" t="s">
        <v>15</v>
      </c>
    </row>
    <row r="24" spans="27:38" x14ac:dyDescent="0.2">
      <c r="AA24" s="94">
        <v>2</v>
      </c>
      <c r="AB24" s="6" t="s">
        <v>99</v>
      </c>
      <c r="AC24" s="6">
        <v>2015</v>
      </c>
      <c r="AD24" s="6">
        <v>1073</v>
      </c>
      <c r="AE24" s="53" t="s">
        <v>15</v>
      </c>
      <c r="AF24" s="53" t="s">
        <v>15</v>
      </c>
      <c r="AG24" s="53" t="s">
        <v>15</v>
      </c>
      <c r="AH24" s="53" t="s">
        <v>15</v>
      </c>
      <c r="AI24" s="56">
        <v>0.68</v>
      </c>
      <c r="AJ24" s="56">
        <v>0.3</v>
      </c>
      <c r="AK24" s="53">
        <v>1.54</v>
      </c>
      <c r="AL24" s="53" t="s">
        <v>15</v>
      </c>
    </row>
  </sheetData>
  <mergeCells count="7">
    <mergeCell ref="AA16:AL16"/>
    <mergeCell ref="AA21:AL21"/>
    <mergeCell ref="A1:L1"/>
    <mergeCell ref="N1:Y1"/>
    <mergeCell ref="AA1:AL1"/>
    <mergeCell ref="AA6:AL6"/>
    <mergeCell ref="AA11:AL11"/>
  </mergeCells>
  <pageMargins left="0.70078740157480324" right="0.70078740157480324" top="0.75196850393700787" bottom="0.75196850393700787" header="0.3" footer="0.3"/>
  <pageSetup paperSize="9" firstPageNumber="2147483648" orientation="portrait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43"/>
  <sheetViews>
    <sheetView topLeftCell="Y1" zoomScale="82" workbookViewId="0">
      <selection activeCell="AM22" sqref="AM22:AN23"/>
    </sheetView>
  </sheetViews>
  <sheetFormatPr baseColWidth="10" defaultColWidth="8.83203125" defaultRowHeight="16" x14ac:dyDescent="0.2"/>
  <cols>
    <col min="1" max="1" width="9.6640625" style="6" customWidth="1"/>
    <col min="2" max="2" width="17.5" style="6" bestFit="1" customWidth="1"/>
    <col min="3" max="4" width="9.6640625" style="6" customWidth="1"/>
    <col min="5" max="9" width="9.6640625" customWidth="1"/>
    <col min="10" max="10" width="11.83203125" bestFit="1" customWidth="1"/>
    <col min="11" max="11" width="10.6640625" customWidth="1"/>
    <col min="12" max="13" width="9" bestFit="1" customWidth="1"/>
    <col min="14" max="14" width="10" bestFit="1" customWidth="1"/>
    <col min="16" max="16" width="8.83203125" bestFit="1" customWidth="1"/>
    <col min="17" max="17" width="17.6640625" bestFit="1" customWidth="1"/>
    <col min="18" max="18" width="5.5" bestFit="1" customWidth="1"/>
    <col min="19" max="19" width="10.83203125" bestFit="1" customWidth="1"/>
    <col min="20" max="20" width="6" bestFit="1" customWidth="1"/>
    <col min="21" max="21" width="9.6640625" bestFit="1" customWidth="1"/>
    <col min="22" max="22" width="10.5" bestFit="1" customWidth="1"/>
    <col min="23" max="23" width="9.1640625" style="81" bestFit="1" customWidth="1"/>
    <col min="24" max="24" width="5.5" bestFit="1" customWidth="1"/>
    <col min="25" max="25" width="9.83203125" bestFit="1" customWidth="1"/>
    <col min="26" max="26" width="7.33203125" bestFit="1" customWidth="1"/>
    <col min="28" max="28" width="15" bestFit="1" customWidth="1"/>
    <col min="29" max="29" width="17.6640625" bestFit="1" customWidth="1"/>
    <col min="30" max="30" width="11" bestFit="1" customWidth="1"/>
    <col min="31" max="31" width="12.6640625" bestFit="1" customWidth="1"/>
    <col min="32" max="32" width="12" bestFit="1" customWidth="1"/>
    <col min="33" max="33" width="10.1640625" bestFit="1" customWidth="1"/>
    <col min="34" max="34" width="11" bestFit="1" customWidth="1"/>
    <col min="35" max="35" width="5.1640625" bestFit="1" customWidth="1"/>
    <col min="36" max="36" width="10.1640625" bestFit="1" customWidth="1"/>
    <col min="37" max="37" width="9.83203125" bestFit="1" customWidth="1"/>
    <col min="38" max="38" width="7.33203125" bestFit="1" customWidth="1"/>
  </cols>
  <sheetData>
    <row r="1" spans="1:60" s="22" customFormat="1" x14ac:dyDescent="0.2">
      <c r="A1" s="63"/>
      <c r="B1" s="63"/>
      <c r="C1" s="63"/>
      <c r="D1" s="63"/>
      <c r="W1" s="104"/>
    </row>
    <row r="2" spans="1:60" s="63" customFormat="1" x14ac:dyDescent="0.2">
      <c r="A2" s="63" t="s">
        <v>155</v>
      </c>
      <c r="B2" s="63" t="s">
        <v>419</v>
      </c>
      <c r="C2" s="63" t="s">
        <v>151</v>
      </c>
      <c r="D2" s="63" t="s">
        <v>154</v>
      </c>
      <c r="F2" s="63" t="s">
        <v>176</v>
      </c>
      <c r="G2" s="63" t="s">
        <v>419</v>
      </c>
      <c r="H2" s="63" t="s">
        <v>151</v>
      </c>
      <c r="I2" s="63" t="s">
        <v>154</v>
      </c>
      <c r="K2" s="63" t="s">
        <v>158</v>
      </c>
      <c r="L2" s="63" t="s">
        <v>419</v>
      </c>
      <c r="M2" s="63" t="s">
        <v>151</v>
      </c>
      <c r="N2" s="63" t="s">
        <v>154</v>
      </c>
      <c r="P2" s="63" t="s">
        <v>173</v>
      </c>
      <c r="Q2" s="63" t="s">
        <v>419</v>
      </c>
      <c r="R2" s="63" t="s">
        <v>151</v>
      </c>
      <c r="S2" s="63" t="s">
        <v>154</v>
      </c>
      <c r="U2" s="63" t="s">
        <v>420</v>
      </c>
      <c r="V2" s="63" t="s">
        <v>419</v>
      </c>
      <c r="W2" s="105" t="s">
        <v>151</v>
      </c>
      <c r="X2" s="63" t="s">
        <v>154</v>
      </c>
      <c r="Z2" s="65" t="s">
        <v>421</v>
      </c>
      <c r="AA2" s="63" t="s">
        <v>419</v>
      </c>
      <c r="AB2" s="63" t="s">
        <v>151</v>
      </c>
      <c r="AC2" s="63" t="s">
        <v>154</v>
      </c>
      <c r="AE2" s="63" t="s">
        <v>223</v>
      </c>
      <c r="AF2" s="63" t="s">
        <v>419</v>
      </c>
      <c r="AG2" s="63" t="s">
        <v>151</v>
      </c>
      <c r="AH2" s="63" t="s">
        <v>154</v>
      </c>
      <c r="AK2" s="65" t="s">
        <v>422</v>
      </c>
      <c r="AL2" s="63" t="s">
        <v>419</v>
      </c>
      <c r="AM2" s="63" t="s">
        <v>151</v>
      </c>
      <c r="AN2" s="63" t="s">
        <v>154</v>
      </c>
      <c r="AP2" s="63" t="s">
        <v>263</v>
      </c>
      <c r="AQ2" s="63" t="s">
        <v>419</v>
      </c>
      <c r="AR2" s="63" t="s">
        <v>151</v>
      </c>
      <c r="AS2" s="63" t="s">
        <v>154</v>
      </c>
      <c r="AU2" s="65" t="s">
        <v>470</v>
      </c>
      <c r="AV2" s="63" t="s">
        <v>419</v>
      </c>
      <c r="AW2" s="63" t="s">
        <v>151</v>
      </c>
      <c r="AX2" s="63" t="s">
        <v>154</v>
      </c>
      <c r="AZ2" s="65" t="s">
        <v>423</v>
      </c>
      <c r="BA2" s="63" t="s">
        <v>419</v>
      </c>
      <c r="BB2" s="63" t="s">
        <v>151</v>
      </c>
      <c r="BC2" s="63" t="s">
        <v>154</v>
      </c>
      <c r="BE2" s="63" t="s">
        <v>424</v>
      </c>
      <c r="BF2" s="63" t="s">
        <v>419</v>
      </c>
      <c r="BG2" s="63" t="s">
        <v>151</v>
      </c>
      <c r="BH2" s="63" t="s">
        <v>154</v>
      </c>
    </row>
    <row r="3" spans="1:60" s="22" customFormat="1" x14ac:dyDescent="0.2">
      <c r="K3" s="63"/>
      <c r="L3" s="63"/>
      <c r="M3" s="63"/>
      <c r="N3" s="63"/>
      <c r="W3" s="104"/>
    </row>
    <row r="4" spans="1:60" x14ac:dyDescent="0.2">
      <c r="A4" s="87" t="s">
        <v>195</v>
      </c>
      <c r="B4" s="18"/>
      <c r="C4" s="18"/>
      <c r="D4" s="18"/>
      <c r="F4" s="50" t="s">
        <v>309</v>
      </c>
      <c r="K4" s="67" t="s">
        <v>159</v>
      </c>
      <c r="P4" s="67" t="s">
        <v>174</v>
      </c>
      <c r="Q4" s="6"/>
      <c r="U4" s="67" t="s">
        <v>321</v>
      </c>
      <c r="V4" s="6"/>
      <c r="Z4" s="50" t="s">
        <v>343</v>
      </c>
      <c r="AA4" s="106"/>
      <c r="AB4" s="106"/>
      <c r="AC4" s="106"/>
      <c r="AE4" s="67" t="s">
        <v>425</v>
      </c>
      <c r="AF4" s="6"/>
      <c r="AK4" s="90" t="s">
        <v>112</v>
      </c>
      <c r="AP4" s="50" t="s">
        <v>329</v>
      </c>
      <c r="AU4" s="50" t="s">
        <v>348</v>
      </c>
      <c r="AZ4" s="69" t="s">
        <v>471</v>
      </c>
      <c r="BA4" s="70"/>
      <c r="BB4" s="70"/>
      <c r="BE4" s="90" t="s">
        <v>427</v>
      </c>
    </row>
    <row r="5" spans="1:60" x14ac:dyDescent="0.2">
      <c r="B5" s="107" t="s">
        <v>63</v>
      </c>
      <c r="C5" s="18">
        <v>1.454</v>
      </c>
      <c r="D5" s="45" t="s">
        <v>197</v>
      </c>
      <c r="G5" s="106" t="s">
        <v>107</v>
      </c>
      <c r="H5" s="18">
        <v>0.54</v>
      </c>
      <c r="I5" s="18" t="s">
        <v>310</v>
      </c>
      <c r="L5" s="108" t="s">
        <v>133</v>
      </c>
      <c r="M5" s="18">
        <v>1.1100000000000001</v>
      </c>
      <c r="N5" s="18" t="s">
        <v>160</v>
      </c>
      <c r="P5" s="6"/>
      <c r="Q5" s="109" t="s">
        <v>107</v>
      </c>
      <c r="R5" s="6" t="s">
        <v>472</v>
      </c>
      <c r="S5" s="6" t="s">
        <v>473</v>
      </c>
      <c r="U5" s="6"/>
      <c r="V5" s="18" t="s">
        <v>107</v>
      </c>
      <c r="W5" s="110">
        <v>1.01</v>
      </c>
      <c r="X5" s="18" t="s">
        <v>322</v>
      </c>
      <c r="AA5" s="111" t="s">
        <v>63</v>
      </c>
      <c r="AB5" s="112">
        <f>1/0.913</f>
        <v>1.095290251916758</v>
      </c>
      <c r="AC5" s="100" t="s">
        <v>474</v>
      </c>
      <c r="AE5" s="6"/>
      <c r="AF5" s="18" t="s">
        <v>63</v>
      </c>
      <c r="AG5" s="18">
        <v>0.93300000000000005</v>
      </c>
      <c r="AH5" s="45" t="s">
        <v>226</v>
      </c>
      <c r="AL5" s="80" t="s">
        <v>475</v>
      </c>
      <c r="AM5" s="70">
        <v>0.36</v>
      </c>
      <c r="AN5" s="70" t="s">
        <v>476</v>
      </c>
      <c r="AP5" s="50"/>
      <c r="AQ5" s="18" t="s">
        <v>107</v>
      </c>
      <c r="AR5" s="18">
        <v>1.21</v>
      </c>
      <c r="AS5" s="18" t="s">
        <v>330</v>
      </c>
      <c r="AV5" s="113" t="s">
        <v>337</v>
      </c>
      <c r="AW5" s="6" t="s">
        <v>349</v>
      </c>
      <c r="BA5" s="75" t="s">
        <v>477</v>
      </c>
      <c r="BB5" s="75">
        <v>1.06</v>
      </c>
      <c r="BC5" s="75" t="s">
        <v>478</v>
      </c>
      <c r="BF5" s="80" t="s">
        <v>99</v>
      </c>
      <c r="BG5" s="80">
        <v>0.45</v>
      </c>
      <c r="BH5" s="80" t="s">
        <v>479</v>
      </c>
    </row>
    <row r="6" spans="1:60" x14ac:dyDescent="0.2">
      <c r="B6" s="114" t="s">
        <v>337</v>
      </c>
      <c r="C6" s="6">
        <v>2.2999999999999998</v>
      </c>
      <c r="D6" s="6" t="s">
        <v>338</v>
      </c>
      <c r="F6" s="50" t="s">
        <v>311</v>
      </c>
      <c r="G6" s="106"/>
      <c r="H6" s="106"/>
      <c r="I6" s="106"/>
      <c r="L6" s="115" t="s">
        <v>63</v>
      </c>
      <c r="M6" s="18">
        <v>1.7729999999999999</v>
      </c>
      <c r="N6" s="45" t="s">
        <v>207</v>
      </c>
      <c r="P6" s="6"/>
      <c r="Q6" s="109" t="s">
        <v>72</v>
      </c>
      <c r="R6" s="6" t="s">
        <v>480</v>
      </c>
      <c r="S6" s="6" t="s">
        <v>481</v>
      </c>
      <c r="U6" s="67" t="s">
        <v>323</v>
      </c>
      <c r="V6" s="18"/>
      <c r="W6" s="116"/>
      <c r="X6" s="106"/>
      <c r="AA6" s="114" t="s">
        <v>351</v>
      </c>
      <c r="AB6" s="18">
        <v>1.4</v>
      </c>
      <c r="AC6" s="18" t="s">
        <v>353</v>
      </c>
      <c r="AE6" s="87" t="s">
        <v>482</v>
      </c>
      <c r="AF6" s="18"/>
      <c r="AG6" s="106"/>
      <c r="AH6" s="106"/>
      <c r="AL6" s="117" t="s">
        <v>483</v>
      </c>
      <c r="AP6" s="50" t="s">
        <v>484</v>
      </c>
      <c r="AQ6" s="18"/>
      <c r="AR6" s="106"/>
      <c r="AS6" s="106"/>
      <c r="AV6" s="113" t="s">
        <v>351</v>
      </c>
      <c r="AW6" s="6" t="s">
        <v>349</v>
      </c>
    </row>
    <row r="7" spans="1:60" x14ac:dyDescent="0.2">
      <c r="B7" s="114" t="s">
        <v>351</v>
      </c>
      <c r="C7" s="118">
        <v>1.5</v>
      </c>
      <c r="D7" s="6" t="s">
        <v>352</v>
      </c>
      <c r="G7" s="106" t="s">
        <v>485</v>
      </c>
      <c r="H7" s="18">
        <v>0.99</v>
      </c>
      <c r="I7" s="18" t="s">
        <v>312</v>
      </c>
      <c r="K7" s="67" t="s">
        <v>161</v>
      </c>
      <c r="L7" s="106"/>
      <c r="M7" s="106"/>
      <c r="N7" s="106"/>
      <c r="P7" s="50"/>
      <c r="Q7" s="119" t="s">
        <v>133</v>
      </c>
      <c r="R7" s="6">
        <v>1.04</v>
      </c>
      <c r="S7" s="6" t="s">
        <v>175</v>
      </c>
      <c r="U7" s="6"/>
      <c r="V7" s="18" t="s">
        <v>107</v>
      </c>
      <c r="W7" s="110">
        <v>0.88</v>
      </c>
      <c r="X7" s="18" t="s">
        <v>324</v>
      </c>
      <c r="AA7" s="114" t="s">
        <v>367</v>
      </c>
      <c r="AB7" s="120">
        <v>2</v>
      </c>
      <c r="AC7" s="18" t="s">
        <v>371</v>
      </c>
      <c r="AF7" s="113" t="s">
        <v>337</v>
      </c>
      <c r="AG7" s="6">
        <v>1.1000000000000001</v>
      </c>
      <c r="AH7" t="s">
        <v>342</v>
      </c>
      <c r="AJ7" s="50"/>
      <c r="AK7" s="47" t="s">
        <v>260</v>
      </c>
      <c r="AP7" s="50"/>
      <c r="AQ7" s="18" t="s">
        <v>107</v>
      </c>
      <c r="AR7" s="18">
        <v>0.24</v>
      </c>
      <c r="AS7" s="18" t="s">
        <v>332</v>
      </c>
      <c r="AV7" s="113" t="s">
        <v>356</v>
      </c>
      <c r="AW7" s="6">
        <v>5.3</v>
      </c>
      <c r="AX7" s="6" t="s">
        <v>360</v>
      </c>
      <c r="AY7" s="6"/>
      <c r="AZ7" s="69" t="s">
        <v>426</v>
      </c>
    </row>
    <row r="8" spans="1:60" x14ac:dyDescent="0.2">
      <c r="B8" s="114" t="s">
        <v>356</v>
      </c>
      <c r="C8" s="6">
        <v>1.4</v>
      </c>
      <c r="D8" s="6" t="s">
        <v>353</v>
      </c>
      <c r="F8" s="50" t="s">
        <v>313</v>
      </c>
      <c r="G8" s="106"/>
      <c r="H8" s="106"/>
      <c r="I8" s="106"/>
      <c r="L8" s="115" t="s">
        <v>133</v>
      </c>
      <c r="M8" s="18">
        <v>1.59</v>
      </c>
      <c r="N8" s="18" t="s">
        <v>162</v>
      </c>
      <c r="Q8" s="119" t="s">
        <v>337</v>
      </c>
      <c r="R8" s="58">
        <v>1.33</v>
      </c>
      <c r="S8" s="58" t="s">
        <v>346</v>
      </c>
      <c r="U8" s="67" t="s">
        <v>325</v>
      </c>
      <c r="V8" s="18"/>
      <c r="W8" s="116"/>
      <c r="X8" s="106"/>
      <c r="AA8" s="114" t="s">
        <v>382</v>
      </c>
      <c r="AB8" s="18">
        <v>1.1000000000000001</v>
      </c>
      <c r="AC8" s="18" t="s">
        <v>386</v>
      </c>
      <c r="AF8" s="113" t="s">
        <v>351</v>
      </c>
      <c r="AG8" s="6" t="s">
        <v>15</v>
      </c>
      <c r="AH8" t="s">
        <v>15</v>
      </c>
      <c r="AL8" s="115" t="s">
        <v>33</v>
      </c>
      <c r="AM8" s="18">
        <v>1.81</v>
      </c>
      <c r="AN8" s="18" t="s">
        <v>261</v>
      </c>
      <c r="AQ8" s="80" t="s">
        <v>72</v>
      </c>
      <c r="AR8" s="70">
        <v>0.59</v>
      </c>
      <c r="AS8" s="70" t="s">
        <v>486</v>
      </c>
      <c r="AV8" s="113" t="s">
        <v>361</v>
      </c>
      <c r="AW8" s="6" t="s">
        <v>349</v>
      </c>
      <c r="AX8" s="6"/>
      <c r="AY8" s="6"/>
      <c r="BA8" s="80" t="s">
        <v>63</v>
      </c>
      <c r="BB8" s="80">
        <v>0.46</v>
      </c>
      <c r="BC8" s="80" t="s">
        <v>487</v>
      </c>
    </row>
    <row r="9" spans="1:60" x14ac:dyDescent="0.2">
      <c r="B9" s="114" t="s">
        <v>382</v>
      </c>
      <c r="C9" s="6">
        <v>1.4</v>
      </c>
      <c r="D9" s="6" t="s">
        <v>383</v>
      </c>
      <c r="G9" s="106" t="s">
        <v>485</v>
      </c>
      <c r="H9" s="18">
        <v>1.1299999999999999</v>
      </c>
      <c r="I9" s="18" t="s">
        <v>314</v>
      </c>
      <c r="L9" s="115" t="s">
        <v>63</v>
      </c>
      <c r="M9" s="18">
        <v>1.444</v>
      </c>
      <c r="N9" s="45" t="s">
        <v>220</v>
      </c>
      <c r="Q9" s="119" t="s">
        <v>351</v>
      </c>
      <c r="R9" s="58">
        <v>0.97</v>
      </c>
      <c r="S9" s="58" t="s">
        <v>354</v>
      </c>
      <c r="U9" s="6"/>
      <c r="V9" s="18" t="s">
        <v>107</v>
      </c>
      <c r="W9" s="110">
        <v>0.98</v>
      </c>
      <c r="X9" s="18" t="s">
        <v>326</v>
      </c>
      <c r="AA9" s="114" t="s">
        <v>388</v>
      </c>
      <c r="AB9" s="18">
        <v>1.5</v>
      </c>
      <c r="AC9" s="18" t="s">
        <v>391</v>
      </c>
      <c r="AF9" s="113" t="s">
        <v>356</v>
      </c>
      <c r="AG9" s="6">
        <v>0.95</v>
      </c>
      <c r="AH9" t="s">
        <v>358</v>
      </c>
      <c r="AK9" s="47" t="s">
        <v>279</v>
      </c>
      <c r="AL9" s="18"/>
      <c r="AM9" s="106"/>
      <c r="AN9" s="106"/>
      <c r="AV9" s="113" t="s">
        <v>367</v>
      </c>
      <c r="AW9" s="6" t="s">
        <v>15</v>
      </c>
      <c r="AX9" s="6" t="s">
        <v>15</v>
      </c>
      <c r="AY9" s="6"/>
    </row>
    <row r="10" spans="1:60" x14ac:dyDescent="0.2">
      <c r="B10" s="114" t="s">
        <v>388</v>
      </c>
      <c r="C10" s="6">
        <v>1.7</v>
      </c>
      <c r="D10" s="6" t="s">
        <v>389</v>
      </c>
      <c r="F10" s="50" t="s">
        <v>180</v>
      </c>
      <c r="G10" s="106"/>
      <c r="H10" s="106"/>
      <c r="I10" s="106"/>
      <c r="K10" s="67" t="s">
        <v>163</v>
      </c>
      <c r="L10" s="106"/>
      <c r="M10" s="106"/>
      <c r="N10" s="106"/>
      <c r="Q10" s="119" t="s">
        <v>361</v>
      </c>
      <c r="R10" s="58">
        <v>0.94</v>
      </c>
      <c r="S10" s="58" t="s">
        <v>366</v>
      </c>
      <c r="U10" s="67" t="s">
        <v>327</v>
      </c>
      <c r="V10" s="18"/>
      <c r="W10" s="116"/>
      <c r="X10" s="106"/>
      <c r="AA10" s="119" t="s">
        <v>337</v>
      </c>
      <c r="AB10" s="6">
        <v>1.53</v>
      </c>
      <c r="AC10" s="6" t="s">
        <v>344</v>
      </c>
      <c r="AF10" s="113" t="s">
        <v>361</v>
      </c>
      <c r="AG10" s="6">
        <v>1.08</v>
      </c>
      <c r="AH10" t="s">
        <v>364</v>
      </c>
      <c r="AL10" s="107" t="s">
        <v>488</v>
      </c>
      <c r="AM10" s="18">
        <v>1.24</v>
      </c>
      <c r="AN10" s="18" t="s">
        <v>281</v>
      </c>
      <c r="AP10" s="50" t="s">
        <v>333</v>
      </c>
      <c r="AQ10" s="18"/>
      <c r="AR10" s="106"/>
      <c r="AS10" s="106"/>
      <c r="AV10" s="113" t="s">
        <v>373</v>
      </c>
      <c r="AW10" s="6" t="s">
        <v>15</v>
      </c>
      <c r="AX10" s="6" t="s">
        <v>15</v>
      </c>
      <c r="AY10" s="6"/>
    </row>
    <row r="11" spans="1:60" x14ac:dyDescent="0.2">
      <c r="B11" s="121" t="s">
        <v>133</v>
      </c>
      <c r="C11" s="6">
        <v>1.06</v>
      </c>
      <c r="D11" s="6" t="s">
        <v>489</v>
      </c>
      <c r="G11" s="106" t="s">
        <v>485</v>
      </c>
      <c r="H11" s="18">
        <v>1.52</v>
      </c>
      <c r="I11" s="18" t="s">
        <v>315</v>
      </c>
      <c r="L11" s="115" t="s">
        <v>133</v>
      </c>
      <c r="M11" s="18">
        <v>2.4900000000000002</v>
      </c>
      <c r="N11" s="18" t="s">
        <v>164</v>
      </c>
      <c r="Q11" s="119" t="s">
        <v>367</v>
      </c>
      <c r="R11" s="58">
        <v>1.62</v>
      </c>
      <c r="S11" s="58" t="s">
        <v>372</v>
      </c>
      <c r="U11" s="6"/>
      <c r="V11" s="18" t="s">
        <v>107</v>
      </c>
      <c r="W11" s="110">
        <v>0.95</v>
      </c>
      <c r="X11" s="18" t="s">
        <v>328</v>
      </c>
      <c r="AA11" s="119" t="s">
        <v>356</v>
      </c>
      <c r="AB11" s="58">
        <v>1.1299999999999999</v>
      </c>
      <c r="AC11" s="58" t="s">
        <v>359</v>
      </c>
      <c r="AF11" s="113" t="s">
        <v>367</v>
      </c>
      <c r="AG11" s="6">
        <v>1.47</v>
      </c>
      <c r="AH11" t="s">
        <v>370</v>
      </c>
      <c r="AL11" s="75" t="s">
        <v>475</v>
      </c>
      <c r="AM11" s="75">
        <v>1.41</v>
      </c>
      <c r="AN11" s="75" t="s">
        <v>490</v>
      </c>
      <c r="AP11" s="50"/>
      <c r="AQ11" s="18" t="s">
        <v>107</v>
      </c>
      <c r="AR11" s="18">
        <v>0.38</v>
      </c>
      <c r="AS11" s="18" t="s">
        <v>334</v>
      </c>
      <c r="AV11" s="113" t="s">
        <v>378</v>
      </c>
      <c r="AW11" s="6" t="s">
        <v>349</v>
      </c>
      <c r="AX11" s="6"/>
      <c r="AY11" s="6"/>
    </row>
    <row r="12" spans="1:60" x14ac:dyDescent="0.2">
      <c r="B12" s="122" t="s">
        <v>485</v>
      </c>
      <c r="C12" s="18">
        <v>1.04</v>
      </c>
      <c r="D12" s="18" t="s">
        <v>307</v>
      </c>
      <c r="G12" s="106" t="s">
        <v>63</v>
      </c>
      <c r="H12" s="18">
        <v>0.71599999999999997</v>
      </c>
      <c r="I12" s="45" t="s">
        <v>182</v>
      </c>
      <c r="L12" s="115" t="s">
        <v>63</v>
      </c>
      <c r="M12" s="18">
        <v>2.093</v>
      </c>
      <c r="N12" s="45" t="s">
        <v>216</v>
      </c>
      <c r="Q12" s="119" t="s">
        <v>373</v>
      </c>
      <c r="R12" s="18" t="s">
        <v>15</v>
      </c>
      <c r="S12" s="18" t="s">
        <v>15</v>
      </c>
      <c r="AA12" s="119" t="s">
        <v>361</v>
      </c>
      <c r="AB12" s="58">
        <v>1.48</v>
      </c>
      <c r="AC12" s="58" t="s">
        <v>365</v>
      </c>
      <c r="AF12" s="113" t="s">
        <v>373</v>
      </c>
      <c r="AG12" s="6">
        <v>2.13</v>
      </c>
      <c r="AH12" t="s">
        <v>376</v>
      </c>
      <c r="AK12" s="47" t="s">
        <v>284</v>
      </c>
      <c r="AL12" s="18"/>
      <c r="AM12" s="106"/>
      <c r="AN12" s="106"/>
      <c r="AP12" s="50" t="s">
        <v>266</v>
      </c>
      <c r="AQ12" s="18"/>
      <c r="AR12" s="106"/>
      <c r="AS12" s="106"/>
      <c r="AV12" s="113" t="s">
        <v>382</v>
      </c>
      <c r="AW12" s="6">
        <v>1.1000000000000001</v>
      </c>
      <c r="AX12" s="6" t="s">
        <v>491</v>
      </c>
      <c r="AY12" s="6"/>
    </row>
    <row r="13" spans="1:60" x14ac:dyDescent="0.2">
      <c r="B13" s="121" t="s">
        <v>492</v>
      </c>
      <c r="C13" s="18">
        <v>1.43</v>
      </c>
      <c r="D13" s="18" t="s">
        <v>262</v>
      </c>
      <c r="F13" s="50" t="s">
        <v>185</v>
      </c>
      <c r="G13" s="106"/>
      <c r="H13" s="106"/>
      <c r="I13" s="106"/>
      <c r="K13" s="87" t="s">
        <v>165</v>
      </c>
      <c r="L13" s="106"/>
      <c r="M13" s="106"/>
      <c r="N13" s="106"/>
      <c r="Q13" s="119" t="s">
        <v>378</v>
      </c>
      <c r="R13" s="18" t="s">
        <v>15</v>
      </c>
      <c r="S13" s="18" t="s">
        <v>15</v>
      </c>
      <c r="AA13" s="119" t="s">
        <v>373</v>
      </c>
      <c r="AB13" s="58">
        <v>1.26</v>
      </c>
      <c r="AC13" s="58" t="s">
        <v>377</v>
      </c>
      <c r="AF13" s="113" t="s">
        <v>378</v>
      </c>
      <c r="AG13" s="6" t="s">
        <v>15</v>
      </c>
      <c r="AH13" t="s">
        <v>15</v>
      </c>
      <c r="AL13" s="123" t="s">
        <v>488</v>
      </c>
      <c r="AM13" s="18">
        <v>0.96</v>
      </c>
      <c r="AN13" s="18" t="s">
        <v>286</v>
      </c>
      <c r="AP13" s="50"/>
      <c r="AQ13" s="18" t="s">
        <v>72</v>
      </c>
      <c r="AR13" s="18">
        <v>0.99</v>
      </c>
      <c r="AS13" s="18" t="s">
        <v>178</v>
      </c>
      <c r="AV13" s="113" t="s">
        <v>388</v>
      </c>
      <c r="AW13" s="6" t="s">
        <v>349</v>
      </c>
      <c r="AX13" s="6"/>
      <c r="AY13" s="6"/>
    </row>
    <row r="14" spans="1:60" x14ac:dyDescent="0.2">
      <c r="B14" s="121" t="s">
        <v>361</v>
      </c>
      <c r="C14" s="124">
        <v>1.0900000000000001</v>
      </c>
      <c r="D14" s="124" t="s">
        <v>362</v>
      </c>
      <c r="G14" s="106" t="s">
        <v>485</v>
      </c>
      <c r="H14" s="18">
        <v>1.34</v>
      </c>
      <c r="I14" s="18" t="s">
        <v>316</v>
      </c>
      <c r="L14" s="115" t="s">
        <v>133</v>
      </c>
      <c r="M14" s="18">
        <v>1.49</v>
      </c>
      <c r="N14" s="18" t="s">
        <v>166</v>
      </c>
      <c r="Q14" s="119" t="s">
        <v>382</v>
      </c>
      <c r="R14" s="18" t="s">
        <v>15</v>
      </c>
      <c r="S14" s="18" t="s">
        <v>15</v>
      </c>
      <c r="U14" s="69" t="s">
        <v>493</v>
      </c>
      <c r="AA14" s="119" t="s">
        <v>378</v>
      </c>
      <c r="AB14" s="18" t="s">
        <v>15</v>
      </c>
      <c r="AC14" s="6" t="s">
        <v>15</v>
      </c>
      <c r="AF14" s="113" t="s">
        <v>382</v>
      </c>
      <c r="AG14" s="6">
        <v>0.94</v>
      </c>
      <c r="AH14" t="s">
        <v>385</v>
      </c>
      <c r="AL14" s="75" t="s">
        <v>475</v>
      </c>
      <c r="AM14" s="70">
        <v>0.28000000000000003</v>
      </c>
      <c r="AN14" s="70" t="s">
        <v>494</v>
      </c>
      <c r="AP14" s="50" t="s">
        <v>271</v>
      </c>
      <c r="AQ14" s="18"/>
      <c r="AR14" s="106"/>
      <c r="AS14" s="106"/>
      <c r="AV14" s="113" t="s">
        <v>393</v>
      </c>
      <c r="AW14" s="6" t="s">
        <v>349</v>
      </c>
      <c r="AX14" s="6"/>
      <c r="AY14" s="6"/>
    </row>
    <row r="15" spans="1:60" x14ac:dyDescent="0.2">
      <c r="B15" s="121" t="s">
        <v>367</v>
      </c>
      <c r="C15" s="124">
        <v>1.44</v>
      </c>
      <c r="D15" s="124" t="s">
        <v>368</v>
      </c>
      <c r="G15" s="106" t="s">
        <v>63</v>
      </c>
      <c r="H15" s="18">
        <v>0.54200000000000004</v>
      </c>
      <c r="I15" s="45" t="s">
        <v>187</v>
      </c>
      <c r="L15" s="115" t="s">
        <v>63</v>
      </c>
      <c r="M15" s="18">
        <v>1.6739999999999999</v>
      </c>
      <c r="N15" s="45" t="s">
        <v>211</v>
      </c>
      <c r="Q15" s="119" t="s">
        <v>388</v>
      </c>
      <c r="R15" s="6" t="s">
        <v>15</v>
      </c>
      <c r="S15" s="6" t="s">
        <v>15</v>
      </c>
      <c r="V15" s="77" t="s">
        <v>133</v>
      </c>
      <c r="W15" s="125">
        <v>1.24</v>
      </c>
      <c r="X15" s="70" t="s">
        <v>495</v>
      </c>
      <c r="AA15" s="119" t="s">
        <v>393</v>
      </c>
      <c r="AB15" s="58">
        <v>0.93</v>
      </c>
      <c r="AC15" s="58" t="s">
        <v>397</v>
      </c>
      <c r="AF15" s="113" t="s">
        <v>388</v>
      </c>
      <c r="AG15" s="6" t="s">
        <v>15</v>
      </c>
      <c r="AH15" t="s">
        <v>15</v>
      </c>
      <c r="AK15" s="47" t="s">
        <v>439</v>
      </c>
      <c r="AL15" s="18"/>
      <c r="AM15" s="106"/>
      <c r="AN15" s="106"/>
      <c r="AP15" s="50"/>
      <c r="AQ15" s="18" t="s">
        <v>72</v>
      </c>
      <c r="AR15" s="18">
        <v>1.63</v>
      </c>
      <c r="AS15" s="18" t="s">
        <v>272</v>
      </c>
      <c r="AV15" s="113" t="s">
        <v>398</v>
      </c>
      <c r="AW15" s="6" t="s">
        <v>15</v>
      </c>
      <c r="AX15" s="6" t="s">
        <v>15</v>
      </c>
      <c r="AY15" s="6"/>
    </row>
    <row r="16" spans="1:60" x14ac:dyDescent="0.2">
      <c r="B16" s="121" t="s">
        <v>373</v>
      </c>
      <c r="C16" s="124">
        <v>0.97</v>
      </c>
      <c r="D16" s="124" t="s">
        <v>374</v>
      </c>
      <c r="F16" s="50" t="s">
        <v>190</v>
      </c>
      <c r="G16" s="106"/>
      <c r="H16" s="106"/>
      <c r="I16" s="106"/>
      <c r="Q16" s="119" t="s">
        <v>393</v>
      </c>
      <c r="R16" s="58">
        <v>1.18</v>
      </c>
      <c r="S16" s="58" t="s">
        <v>392</v>
      </c>
      <c r="AA16" s="109" t="s">
        <v>398</v>
      </c>
      <c r="AB16" s="18">
        <v>0.6</v>
      </c>
      <c r="AC16" s="18" t="s">
        <v>401</v>
      </c>
      <c r="AF16" s="113" t="s">
        <v>393</v>
      </c>
      <c r="AG16" s="18">
        <v>1.8</v>
      </c>
      <c r="AH16" s="18" t="s">
        <v>396</v>
      </c>
      <c r="AL16" s="107" t="s">
        <v>488</v>
      </c>
      <c r="AM16" s="18">
        <v>1.1000000000000001</v>
      </c>
      <c r="AN16" s="18" t="s">
        <v>291</v>
      </c>
      <c r="AP16" s="50" t="s">
        <v>274</v>
      </c>
      <c r="AQ16" s="18"/>
      <c r="AR16" s="106"/>
      <c r="AS16" s="106"/>
      <c r="AU16" s="50" t="s">
        <v>350</v>
      </c>
      <c r="AV16" s="113"/>
      <c r="AW16" s="6"/>
      <c r="AX16" s="6"/>
      <c r="AY16" s="6"/>
    </row>
    <row r="17" spans="2:57" x14ac:dyDescent="0.2">
      <c r="B17" s="121" t="s">
        <v>378</v>
      </c>
      <c r="C17" s="124">
        <v>1.97</v>
      </c>
      <c r="D17" s="124" t="s">
        <v>379</v>
      </c>
      <c r="G17" s="106" t="s">
        <v>485</v>
      </c>
      <c r="H17" s="18">
        <v>1.18</v>
      </c>
      <c r="I17" s="18" t="s">
        <v>318</v>
      </c>
      <c r="Q17" s="119" t="s">
        <v>398</v>
      </c>
      <c r="R17" s="58">
        <v>0.94</v>
      </c>
      <c r="S17" s="58" t="s">
        <v>402</v>
      </c>
      <c r="AF17" s="113" t="s">
        <v>398</v>
      </c>
      <c r="AG17" s="6">
        <v>0.6</v>
      </c>
      <c r="AH17" s="58" t="s">
        <v>496</v>
      </c>
      <c r="AL17" s="75" t="s">
        <v>475</v>
      </c>
      <c r="AM17" s="75">
        <v>1.32</v>
      </c>
      <c r="AN17" s="75" t="s">
        <v>497</v>
      </c>
      <c r="AQ17" s="18" t="s">
        <v>72</v>
      </c>
      <c r="AR17" s="18">
        <v>3.79</v>
      </c>
      <c r="AS17" s="18" t="s">
        <v>275</v>
      </c>
      <c r="AV17" s="113" t="s">
        <v>337</v>
      </c>
      <c r="AW17" s="6" t="s">
        <v>349</v>
      </c>
      <c r="AX17" s="6"/>
      <c r="AY17" s="6"/>
    </row>
    <row r="18" spans="2:57" x14ac:dyDescent="0.2">
      <c r="B18" s="121" t="s">
        <v>393</v>
      </c>
      <c r="C18" s="124">
        <v>0.95</v>
      </c>
      <c r="D18" s="124" t="s">
        <v>394</v>
      </c>
      <c r="G18" s="106" t="s">
        <v>63</v>
      </c>
      <c r="H18" s="18">
        <v>0.41799999999999998</v>
      </c>
      <c r="I18" s="45" t="s">
        <v>192</v>
      </c>
      <c r="Q18" s="114" t="s">
        <v>356</v>
      </c>
      <c r="R18" s="6">
        <v>1.4</v>
      </c>
      <c r="S18" s="6" t="s">
        <v>498</v>
      </c>
      <c r="AC18" s="18"/>
      <c r="AK18" s="47" t="s">
        <v>294</v>
      </c>
      <c r="AL18" s="18"/>
      <c r="AM18" s="106"/>
      <c r="AN18" s="106"/>
      <c r="AP18" s="126" t="s">
        <v>436</v>
      </c>
      <c r="AV18" s="113" t="s">
        <v>351</v>
      </c>
      <c r="AW18" s="6">
        <v>1.01</v>
      </c>
      <c r="AX18" s="6" t="s">
        <v>499</v>
      </c>
      <c r="AY18" s="6"/>
    </row>
    <row r="19" spans="2:57" x14ac:dyDescent="0.2">
      <c r="B19" s="121" t="s">
        <v>398</v>
      </c>
      <c r="C19" s="124">
        <v>0.95</v>
      </c>
      <c r="D19" s="124" t="s">
        <v>399</v>
      </c>
      <c r="G19" s="106"/>
      <c r="H19" s="106"/>
      <c r="I19" s="106"/>
      <c r="P19" s="50"/>
      <c r="Q19" s="127" t="s">
        <v>63</v>
      </c>
      <c r="R19" s="70">
        <v>0.92</v>
      </c>
      <c r="S19" s="70" t="s">
        <v>500</v>
      </c>
      <c r="AG19" s="6"/>
      <c r="AL19" s="107" t="s">
        <v>488</v>
      </c>
      <c r="AM19" s="18">
        <v>1.05</v>
      </c>
      <c r="AN19" s="18" t="s">
        <v>296</v>
      </c>
      <c r="AQ19" s="128" t="s">
        <v>72</v>
      </c>
      <c r="AR19" s="70">
        <v>1.37</v>
      </c>
      <c r="AS19" s="70" t="s">
        <v>501</v>
      </c>
      <c r="AV19" s="113" t="s">
        <v>356</v>
      </c>
      <c r="AW19" s="6" t="s">
        <v>349</v>
      </c>
      <c r="AX19" s="6"/>
      <c r="AY19" s="6"/>
    </row>
    <row r="20" spans="2:57" x14ac:dyDescent="0.2">
      <c r="B20" s="35" t="s">
        <v>61</v>
      </c>
      <c r="C20" s="35">
        <v>8.25</v>
      </c>
      <c r="D20" s="35" t="s">
        <v>502</v>
      </c>
      <c r="F20" s="47" t="s">
        <v>230</v>
      </c>
      <c r="G20" s="106" t="s">
        <v>33</v>
      </c>
      <c r="H20" s="18">
        <v>1.42</v>
      </c>
      <c r="I20" s="18" t="s">
        <v>251</v>
      </c>
      <c r="Q20" s="129" t="s">
        <v>102</v>
      </c>
      <c r="R20" s="75">
        <v>1.31</v>
      </c>
      <c r="S20" s="75" t="s">
        <v>503</v>
      </c>
      <c r="AC20" s="18"/>
      <c r="AL20" s="75" t="s">
        <v>475</v>
      </c>
      <c r="AM20" s="130">
        <v>1.28</v>
      </c>
      <c r="AN20" s="130" t="s">
        <v>504</v>
      </c>
      <c r="AV20" s="113" t="s">
        <v>361</v>
      </c>
      <c r="AW20" s="6" t="s">
        <v>349</v>
      </c>
      <c r="AX20" s="6"/>
      <c r="AY20" s="6"/>
    </row>
    <row r="21" spans="2:57" x14ac:dyDescent="0.2">
      <c r="F21" s="47" t="s">
        <v>232</v>
      </c>
      <c r="G21" s="106" t="s">
        <v>33</v>
      </c>
      <c r="H21" s="18">
        <v>1.66</v>
      </c>
      <c r="I21" s="18" t="s">
        <v>252</v>
      </c>
      <c r="AC21" s="106"/>
      <c r="AK21" s="47" t="s">
        <v>299</v>
      </c>
      <c r="AL21" s="18"/>
      <c r="AM21" s="106"/>
      <c r="AN21" s="106"/>
      <c r="AQ21" s="131"/>
      <c r="AR21" s="18"/>
      <c r="AS21" s="18"/>
      <c r="AV21" s="113" t="s">
        <v>367</v>
      </c>
      <c r="AW21" s="6" t="s">
        <v>15</v>
      </c>
      <c r="AX21" s="6" t="s">
        <v>15</v>
      </c>
      <c r="AY21" s="6"/>
    </row>
    <row r="22" spans="2:57" x14ac:dyDescent="0.2">
      <c r="F22" s="47" t="s">
        <v>234</v>
      </c>
      <c r="G22" s="106" t="s">
        <v>33</v>
      </c>
      <c r="H22" s="18">
        <v>1.43</v>
      </c>
      <c r="I22" s="18" t="s">
        <v>253</v>
      </c>
      <c r="AL22" s="132" t="s">
        <v>488</v>
      </c>
      <c r="AM22" s="18">
        <v>0.76</v>
      </c>
      <c r="AN22" s="18" t="s">
        <v>295</v>
      </c>
      <c r="AQ22" s="131"/>
      <c r="AR22" s="18"/>
      <c r="AS22" s="18"/>
      <c r="AV22" s="113" t="s">
        <v>373</v>
      </c>
      <c r="AW22" s="6" t="s">
        <v>15</v>
      </c>
      <c r="AX22" s="6" t="s">
        <v>15</v>
      </c>
      <c r="AY22" s="6"/>
    </row>
    <row r="23" spans="2:57" x14ac:dyDescent="0.2">
      <c r="F23" s="47" t="s">
        <v>236</v>
      </c>
      <c r="G23" s="106" t="s">
        <v>33</v>
      </c>
      <c r="H23" s="18">
        <v>1.24</v>
      </c>
      <c r="I23" s="18" t="s">
        <v>254</v>
      </c>
      <c r="AC23" s="106"/>
      <c r="AL23" s="133" t="s">
        <v>475</v>
      </c>
      <c r="AM23" s="70">
        <v>0.44</v>
      </c>
      <c r="AN23" s="70" t="s">
        <v>505</v>
      </c>
      <c r="AQ23" s="131"/>
      <c r="AR23" s="18"/>
      <c r="AS23" s="18"/>
      <c r="AV23" s="113" t="s">
        <v>378</v>
      </c>
      <c r="AW23" s="6">
        <v>0.96</v>
      </c>
      <c r="AX23" s="6" t="s">
        <v>381</v>
      </c>
    </row>
    <row r="24" spans="2:57" x14ac:dyDescent="0.2">
      <c r="F24" s="47" t="s">
        <v>247</v>
      </c>
      <c r="G24" s="106" t="s">
        <v>33</v>
      </c>
      <c r="H24" s="18">
        <v>1.01</v>
      </c>
      <c r="I24" s="18" t="s">
        <v>255</v>
      </c>
      <c r="AC24" s="106"/>
      <c r="AK24" s="69" t="s">
        <v>506</v>
      </c>
      <c r="AL24" s="70"/>
      <c r="AM24" s="70"/>
      <c r="AN24" s="70"/>
      <c r="AV24" s="113" t="s">
        <v>382</v>
      </c>
      <c r="AW24" s="6" t="s">
        <v>349</v>
      </c>
    </row>
    <row r="25" spans="2:57" x14ac:dyDescent="0.2">
      <c r="F25" s="47" t="s">
        <v>240</v>
      </c>
      <c r="G25" s="106" t="s">
        <v>33</v>
      </c>
      <c r="H25" s="18">
        <v>1.03</v>
      </c>
      <c r="I25" s="18" t="s">
        <v>256</v>
      </c>
      <c r="AK25" s="70"/>
      <c r="AL25" s="70" t="s">
        <v>475</v>
      </c>
      <c r="AM25" s="70">
        <v>6.2</v>
      </c>
      <c r="AN25" s="70" t="s">
        <v>507</v>
      </c>
      <c r="AV25" s="113" t="s">
        <v>388</v>
      </c>
      <c r="AW25" s="6" t="s">
        <v>349</v>
      </c>
    </row>
    <row r="26" spans="2:57" x14ac:dyDescent="0.2">
      <c r="F26" s="50" t="s">
        <v>257</v>
      </c>
      <c r="G26" s="106" t="s">
        <v>33</v>
      </c>
      <c r="H26" s="18">
        <v>1.02</v>
      </c>
      <c r="I26" s="18" t="s">
        <v>258</v>
      </c>
      <c r="AK26" s="90" t="s">
        <v>443</v>
      </c>
      <c r="AV26" s="113" t="s">
        <v>393</v>
      </c>
      <c r="AW26" s="6" t="s">
        <v>15</v>
      </c>
      <c r="AX26" t="s">
        <v>15</v>
      </c>
    </row>
    <row r="27" spans="2:57" x14ac:dyDescent="0.2">
      <c r="G27" s="106"/>
      <c r="H27" s="106"/>
      <c r="I27" s="106"/>
      <c r="AL27" s="77" t="s">
        <v>475</v>
      </c>
      <c r="AM27" s="70">
        <v>4.6500000000000004</v>
      </c>
      <c r="AN27" s="70" t="s">
        <v>508</v>
      </c>
      <c r="AV27" s="113" t="s">
        <v>398</v>
      </c>
      <c r="AW27" s="6" t="s">
        <v>15</v>
      </c>
      <c r="AX27" t="s">
        <v>15</v>
      </c>
    </row>
    <row r="28" spans="2:57" x14ac:dyDescent="0.2">
      <c r="F28" s="47" t="s">
        <v>339</v>
      </c>
      <c r="G28" s="28" t="s">
        <v>337</v>
      </c>
      <c r="H28" s="18">
        <v>1.8</v>
      </c>
      <c r="I28" s="18" t="s">
        <v>340</v>
      </c>
      <c r="AC28" s="113"/>
      <c r="AD28" s="6"/>
      <c r="AE28" s="134"/>
      <c r="AF28" s="134"/>
      <c r="AG28" s="134"/>
      <c r="AH28" s="134"/>
      <c r="AK28" s="47" t="s">
        <v>126</v>
      </c>
      <c r="AL28" s="18"/>
      <c r="AM28" s="106"/>
      <c r="AN28" s="106"/>
    </row>
    <row r="29" spans="2:57" x14ac:dyDescent="0.2">
      <c r="G29" s="113" t="s">
        <v>351</v>
      </c>
      <c r="H29" s="18">
        <v>1.4</v>
      </c>
      <c r="I29" s="18" t="s">
        <v>353</v>
      </c>
      <c r="AC29" s="113"/>
      <c r="AD29" s="6"/>
      <c r="AL29" s="107" t="s">
        <v>488</v>
      </c>
      <c r="AM29" s="18">
        <v>1.53</v>
      </c>
      <c r="AN29" s="18" t="s">
        <v>304</v>
      </c>
    </row>
    <row r="30" spans="2:57" x14ac:dyDescent="0.2">
      <c r="G30" s="113" t="s">
        <v>356</v>
      </c>
      <c r="H30" s="18">
        <v>1.4</v>
      </c>
      <c r="I30" s="18" t="s">
        <v>357</v>
      </c>
      <c r="L30" s="23"/>
      <c r="AC30" s="113"/>
      <c r="AD30" s="6"/>
      <c r="AE30" s="134"/>
      <c r="AF30" s="134"/>
      <c r="AG30" s="134"/>
      <c r="AH30" s="134"/>
      <c r="AK30" s="50" t="s">
        <v>335</v>
      </c>
      <c r="AL30" s="18"/>
      <c r="AM30" s="106"/>
      <c r="AN30" s="106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</row>
    <row r="31" spans="2:57" x14ac:dyDescent="0.2">
      <c r="G31" s="113" t="s">
        <v>361</v>
      </c>
      <c r="H31" s="18">
        <v>1.21</v>
      </c>
      <c r="I31" s="106" t="s">
        <v>363</v>
      </c>
      <c r="K31" s="134"/>
      <c r="L31" s="134"/>
      <c r="M31" s="134"/>
      <c r="N31" s="134"/>
      <c r="AC31" s="113"/>
      <c r="AD31" s="6"/>
      <c r="AE31" s="134"/>
      <c r="AF31" s="134"/>
      <c r="AG31" s="134"/>
      <c r="AH31" s="134"/>
      <c r="AL31" s="115" t="s">
        <v>107</v>
      </c>
      <c r="AM31" s="18">
        <v>1.17</v>
      </c>
      <c r="AN31" s="18" t="s">
        <v>336</v>
      </c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</row>
    <row r="32" spans="2:57" x14ac:dyDescent="0.2">
      <c r="G32" s="113" t="s">
        <v>367</v>
      </c>
      <c r="H32" s="18">
        <v>1.01</v>
      </c>
      <c r="I32" s="106" t="s">
        <v>369</v>
      </c>
      <c r="K32" s="134"/>
      <c r="L32" s="134"/>
      <c r="M32" s="134"/>
      <c r="N32" s="134"/>
      <c r="AC32" s="113"/>
      <c r="AD32" s="6"/>
      <c r="AE32" s="134"/>
      <c r="AF32" s="134"/>
      <c r="AG32" s="134"/>
      <c r="AH32" s="134"/>
      <c r="AK32" s="69" t="s">
        <v>170</v>
      </c>
      <c r="AL32" s="69"/>
      <c r="AM32" s="69"/>
      <c r="AN32" s="70"/>
      <c r="AU32" s="58"/>
      <c r="AV32" s="136"/>
      <c r="AX32" s="137"/>
      <c r="AY32" s="138"/>
      <c r="AZ32" s="138"/>
      <c r="BA32" s="138"/>
      <c r="BB32" s="125"/>
      <c r="BC32" s="6"/>
      <c r="BD32" s="6"/>
      <c r="BE32" s="58"/>
    </row>
    <row r="33" spans="6:57" x14ac:dyDescent="0.2">
      <c r="G33" s="113" t="s">
        <v>373</v>
      </c>
      <c r="H33" s="18">
        <v>0.93</v>
      </c>
      <c r="I33" s="106" t="s">
        <v>375</v>
      </c>
      <c r="K33" s="134"/>
      <c r="L33" s="134"/>
      <c r="M33" s="134"/>
      <c r="N33" s="134"/>
      <c r="AC33" s="113"/>
      <c r="AD33" s="6"/>
      <c r="AE33" s="134"/>
      <c r="AF33" s="134"/>
      <c r="AG33" s="134"/>
      <c r="AH33" s="134"/>
      <c r="AK33" s="70"/>
      <c r="AL33" s="75" t="s">
        <v>133</v>
      </c>
      <c r="AM33" s="70">
        <v>1</v>
      </c>
      <c r="AN33" s="70" t="s">
        <v>509</v>
      </c>
      <c r="AU33" s="58"/>
      <c r="AV33" s="136"/>
      <c r="AX33" s="137"/>
      <c r="AY33" s="138"/>
      <c r="AZ33" s="138"/>
      <c r="BA33" s="138"/>
      <c r="BB33" s="125"/>
      <c r="BC33" s="139"/>
      <c r="BD33" s="58"/>
      <c r="BE33" s="58"/>
    </row>
    <row r="34" spans="6:57" x14ac:dyDescent="0.2">
      <c r="G34" s="113" t="s">
        <v>378</v>
      </c>
      <c r="H34" s="18">
        <v>1.44</v>
      </c>
      <c r="I34" s="106" t="s">
        <v>380</v>
      </c>
      <c r="K34" s="134"/>
      <c r="L34" s="134"/>
      <c r="M34" s="134"/>
      <c r="N34" s="134"/>
      <c r="AC34" s="113"/>
      <c r="AD34" s="6"/>
      <c r="AU34" s="58"/>
      <c r="AV34" s="136"/>
      <c r="AX34" s="137"/>
      <c r="AY34" s="138"/>
      <c r="AZ34" s="138"/>
      <c r="BA34" s="138"/>
      <c r="BB34" s="125"/>
      <c r="BC34" s="58"/>
      <c r="BD34" s="58"/>
      <c r="BE34" s="58"/>
    </row>
    <row r="35" spans="6:57" x14ac:dyDescent="0.2">
      <c r="G35" s="113" t="s">
        <v>382</v>
      </c>
      <c r="H35" s="18">
        <v>1.3</v>
      </c>
      <c r="I35" s="18" t="s">
        <v>384</v>
      </c>
      <c r="AC35" s="113"/>
      <c r="AD35" s="6"/>
      <c r="AE35" s="134"/>
      <c r="AF35" s="134"/>
      <c r="AG35" s="134"/>
      <c r="AH35" s="134"/>
      <c r="AU35" s="58"/>
      <c r="AV35" s="136"/>
      <c r="AX35" s="137"/>
      <c r="AY35" s="138"/>
      <c r="AZ35" s="138"/>
      <c r="BA35" s="138"/>
      <c r="BB35" s="125"/>
      <c r="BC35" s="48"/>
      <c r="BD35" s="6"/>
      <c r="BE35" s="58"/>
    </row>
    <row r="36" spans="6:57" x14ac:dyDescent="0.2">
      <c r="G36" s="113" t="s">
        <v>388</v>
      </c>
      <c r="H36" s="71">
        <v>1.38</v>
      </c>
      <c r="I36" s="140" t="s">
        <v>390</v>
      </c>
      <c r="K36" s="134"/>
      <c r="L36" s="134"/>
      <c r="M36" s="134"/>
      <c r="N36" s="134"/>
      <c r="AC36" s="113"/>
      <c r="AD36" s="6"/>
      <c r="AV36" s="136"/>
      <c r="AX36" s="137"/>
      <c r="AY36" s="138"/>
      <c r="AZ36" s="138"/>
      <c r="BA36" s="138"/>
      <c r="BB36" s="125"/>
      <c r="BC36" s="58"/>
      <c r="BD36" s="58"/>
      <c r="BE36" s="58"/>
    </row>
    <row r="37" spans="6:57" x14ac:dyDescent="0.2">
      <c r="G37" s="113" t="s">
        <v>393</v>
      </c>
      <c r="H37" s="18">
        <v>1.4</v>
      </c>
      <c r="I37" s="18" t="s">
        <v>510</v>
      </c>
      <c r="AC37" s="113"/>
      <c r="AD37" s="18"/>
      <c r="AE37" s="134"/>
      <c r="AF37" s="134"/>
      <c r="AG37" s="134"/>
      <c r="AH37" s="134"/>
      <c r="AU37" s="58"/>
      <c r="AV37" s="136"/>
      <c r="AX37" s="136"/>
      <c r="AY37" s="134"/>
      <c r="AZ37" s="134"/>
      <c r="BB37" s="81"/>
      <c r="BC37" s="58"/>
      <c r="BD37" s="58"/>
      <c r="BE37" s="58"/>
    </row>
    <row r="38" spans="6:57" x14ac:dyDescent="0.2">
      <c r="G38" s="113" t="s">
        <v>398</v>
      </c>
      <c r="H38" s="18">
        <v>0.8</v>
      </c>
      <c r="I38" s="18" t="s">
        <v>400</v>
      </c>
      <c r="AC38" s="113"/>
      <c r="AD38" s="6"/>
      <c r="AE38" s="134"/>
      <c r="AF38" s="134"/>
      <c r="AG38" s="134"/>
      <c r="AH38" s="134"/>
      <c r="AU38" s="58"/>
      <c r="AV38" s="136"/>
      <c r="AX38" s="137"/>
      <c r="AY38" s="138"/>
      <c r="AZ38" s="138"/>
      <c r="BA38" s="138"/>
      <c r="BB38" s="125"/>
      <c r="BC38" s="58"/>
      <c r="BD38" s="58"/>
      <c r="BE38" s="58"/>
    </row>
    <row r="39" spans="6:57" x14ac:dyDescent="0.2">
      <c r="AU39" s="58"/>
      <c r="AV39" s="136"/>
      <c r="AX39" s="137"/>
      <c r="AY39" s="138"/>
      <c r="AZ39" s="138"/>
      <c r="BA39" s="138"/>
      <c r="BB39" s="125"/>
      <c r="BC39" s="58"/>
      <c r="BD39" s="58"/>
      <c r="BE39" s="58"/>
    </row>
    <row r="40" spans="6:57" x14ac:dyDescent="0.2">
      <c r="F40" s="50" t="s">
        <v>511</v>
      </c>
      <c r="AU40" s="58"/>
      <c r="AV40" s="136"/>
      <c r="AX40" s="137"/>
      <c r="AY40" s="138"/>
      <c r="AZ40" s="138"/>
      <c r="BA40" s="138"/>
      <c r="BB40" s="125"/>
      <c r="BC40" s="58"/>
      <c r="BD40" s="58"/>
      <c r="BE40" s="58"/>
    </row>
    <row r="41" spans="6:57" x14ac:dyDescent="0.2">
      <c r="G41" t="s">
        <v>133</v>
      </c>
      <c r="H41" s="6" t="s">
        <v>512</v>
      </c>
      <c r="I41" s="6" t="s">
        <v>178</v>
      </c>
      <c r="AU41" s="58"/>
      <c r="AV41" s="136"/>
      <c r="AX41" s="137"/>
      <c r="AY41" s="138"/>
      <c r="AZ41" s="138"/>
      <c r="BA41" s="138"/>
      <c r="BB41" s="125"/>
      <c r="BC41" s="141"/>
      <c r="BD41" s="58"/>
      <c r="BE41" s="58"/>
    </row>
    <row r="42" spans="6:57" x14ac:dyDescent="0.2">
      <c r="AU42" s="58"/>
      <c r="AV42" s="136"/>
      <c r="AX42" s="137"/>
      <c r="AY42" s="138"/>
      <c r="AZ42" s="138"/>
      <c r="BA42" s="70"/>
      <c r="BB42" s="125"/>
      <c r="BC42" s="139"/>
      <c r="BD42" s="58"/>
      <c r="BE42" s="58"/>
    </row>
    <row r="43" spans="6:57" x14ac:dyDescent="0.2">
      <c r="AU43" s="58"/>
      <c r="AV43" s="136"/>
      <c r="BB43" s="81"/>
      <c r="BC43" s="58"/>
      <c r="BD43" s="58"/>
      <c r="BE43" s="58"/>
    </row>
  </sheetData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Included studies_pPOD</vt:lpstr>
      <vt:lpstr>Included studies_POD</vt:lpstr>
      <vt:lpstr>Distribution pPoD</vt:lpstr>
      <vt:lpstr>Distribution PoD</vt:lpstr>
      <vt:lpstr>Associated factors pPoD</vt:lpstr>
      <vt:lpstr>Associated factors PoD</vt:lpstr>
      <vt:lpstr>factors PoD home</vt:lpstr>
      <vt:lpstr>tables factors PoD home</vt:lpstr>
      <vt:lpstr>factors PoD hospital</vt:lpstr>
      <vt:lpstr>tables factors PoD hospital</vt:lpstr>
      <vt:lpstr>factors PoD nursing home</vt:lpstr>
      <vt:lpstr>tables factors PoD nursing home</vt:lpstr>
      <vt:lpstr>factors PoD hospice</vt:lpstr>
      <vt:lpstr>tables factors PoD hospice</vt:lpstr>
      <vt:lpstr>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Florian Kuschel</cp:lastModifiedBy>
  <cp:revision>31</cp:revision>
  <dcterms:created xsi:type="dcterms:W3CDTF">2023-09-21T19:11:23Z</dcterms:created>
  <dcterms:modified xsi:type="dcterms:W3CDTF">2024-03-13T10:07:41Z</dcterms:modified>
</cp:coreProperties>
</file>