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U:\QA\SystemQA\LINAC QA\TrueBeam\Monthly QA\2026\10_October\"/>
    </mc:Choice>
  </mc:AlternateContent>
  <bookViews>
    <workbookView xWindow="-120" yWindow="-120" windowWidth="29040" windowHeight="15720" tabRatio="650" firstSheet="1" activeTab="7"/>
  </bookViews>
  <sheets>
    <sheet name="Coversheet" sheetId="16" r:id="rId1"/>
    <sheet name="A. Safety" sheetId="18" r:id="rId2"/>
    <sheet name="B. Mechanical" sheetId="19" r:id="rId3"/>
    <sheet name="C. Dosimetry" sheetId="22" r:id="rId4"/>
    <sheet name="D. MLC" sheetId="8" r:id="rId5"/>
    <sheet name="E. Patient Alignment" sheetId="14" r:id="rId6"/>
    <sheet name="List" sheetId="17" r:id="rId7"/>
    <sheet name="F. Image Quality" sheetId="10" r:id="rId8"/>
  </sheets>
  <externalReferences>
    <externalReference r:id="rId9"/>
  </externalReferences>
  <definedNames>
    <definedName name="Machines">[1]Key!$A$6:$A$12</definedName>
    <definedName name="OK?">[1]Key!$H$6:$H$7</definedName>
    <definedName name="Physicists">[1]Key!$D$6:$D$21</definedName>
    <definedName name="_xlnm.Print_Area" localSheetId="1">'A. Safety'!$A$1:$L$16</definedName>
    <definedName name="_xlnm.Print_Area" localSheetId="2">'B. Mechanical'!$A$1:$M$87</definedName>
    <definedName name="_xlnm.Print_Area" localSheetId="3">'C. Dosimetry'!$A$1:$L$80</definedName>
    <definedName name="_xlnm.Print_Area" localSheetId="0">Coversheet!$A$1:$J$24</definedName>
    <definedName name="_xlnm.Print_Area" localSheetId="4">'D. MLC'!$A$1:$M$82</definedName>
    <definedName name="_xlnm.Print_Area" localSheetId="5">'E. Patient Alignment'!$A$1:$O$57</definedName>
    <definedName name="_xlnm.Print_Area" localSheetId="7">'F. Image Quality'!$A$1:$M$92</definedName>
    <definedName name="Result">[1]Key!$F$6:$F$7</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6" i="10" l="1"/>
  <c r="G105" i="10"/>
  <c r="G104" i="10"/>
  <c r="G103" i="10"/>
  <c r="G102" i="10"/>
  <c r="G101" i="10"/>
  <c r="G100" i="10"/>
  <c r="G99" i="10"/>
  <c r="G98" i="10"/>
  <c r="V80" i="8" l="1"/>
  <c r="U80" i="8"/>
  <c r="T80" i="8"/>
  <c r="S80" i="8"/>
  <c r="V81" i="8"/>
  <c r="V79" i="8"/>
  <c r="U79" i="8"/>
  <c r="U81" i="8" s="1"/>
  <c r="T79" i="8"/>
  <c r="T81" i="8" s="1"/>
  <c r="S79" i="8"/>
  <c r="S81" i="8" s="1"/>
  <c r="F19" i="19" l="1"/>
  <c r="F37" i="14" l="1"/>
  <c r="G51" i="10" l="1"/>
  <c r="C79" i="8" l="1"/>
  <c r="D36" i="22" l="1"/>
  <c r="E36" i="22" s="1"/>
  <c r="F36" i="22" s="1"/>
  <c r="E35" i="22"/>
  <c r="F35" i="22" s="1"/>
  <c r="D35" i="22"/>
  <c r="D34" i="22"/>
  <c r="E34" i="22" s="1"/>
  <c r="F34" i="22" s="1"/>
  <c r="D33" i="22"/>
  <c r="E33" i="22" s="1"/>
  <c r="F33" i="22" s="1"/>
  <c r="D27" i="22"/>
  <c r="E27" i="22" s="1"/>
  <c r="D26" i="22"/>
  <c r="E26" i="22" s="1"/>
  <c r="D25" i="22"/>
  <c r="E25" i="22" s="1"/>
  <c r="D24" i="22"/>
  <c r="E24" i="22" s="1"/>
  <c r="H74" i="22" l="1"/>
  <c r="I74" i="22" s="1"/>
  <c r="H73" i="22"/>
  <c r="I73" i="22" s="1"/>
  <c r="H72" i="22"/>
  <c r="I72" i="22" s="1"/>
  <c r="H71" i="22"/>
  <c r="I71" i="22" s="1"/>
  <c r="H70" i="22"/>
  <c r="I70" i="22" s="1"/>
  <c r="H69" i="22"/>
  <c r="I69" i="22" s="1"/>
  <c r="H68" i="22"/>
  <c r="I68" i="22" s="1"/>
  <c r="H67" i="22"/>
  <c r="I67" i="22" s="1"/>
  <c r="H66" i="22"/>
  <c r="I66" i="22" s="1"/>
  <c r="H65" i="22"/>
  <c r="I65" i="22" s="1"/>
  <c r="H64" i="22"/>
  <c r="I64" i="22" s="1"/>
  <c r="H63" i="22"/>
  <c r="I63" i="22" s="1"/>
  <c r="H62" i="22"/>
  <c r="I62" i="22" s="1"/>
  <c r="H61" i="22"/>
  <c r="I61" i="22" s="1"/>
  <c r="H60" i="22"/>
  <c r="I60" i="22" s="1"/>
  <c r="H59" i="22"/>
  <c r="I59" i="22" s="1"/>
  <c r="F54" i="22"/>
  <c r="G54" i="22" s="1"/>
  <c r="F53" i="22"/>
  <c r="G53" i="22" s="1"/>
  <c r="F52" i="22"/>
  <c r="G52" i="22" s="1"/>
  <c r="F51" i="22"/>
  <c r="G51" i="22" s="1"/>
  <c r="F46" i="22"/>
  <c r="G46" i="22" s="1"/>
  <c r="F45" i="22"/>
  <c r="G45" i="22" s="1"/>
  <c r="F44" i="22"/>
  <c r="G44" i="22" s="1"/>
  <c r="F43" i="22"/>
  <c r="G43" i="22" s="1"/>
  <c r="E20" i="22"/>
  <c r="G27" i="22" s="1"/>
  <c r="D20" i="22"/>
  <c r="S5" i="22"/>
  <c r="G26" i="22" l="1"/>
  <c r="I26" i="22" s="1"/>
  <c r="H27" i="22"/>
  <c r="J27" i="22" s="1"/>
  <c r="I27" i="22"/>
  <c r="G25" i="22"/>
  <c r="H36" i="22"/>
  <c r="I36" i="22" s="1"/>
  <c r="H35" i="22"/>
  <c r="G24" i="22"/>
  <c r="H34" i="22"/>
  <c r="H33" i="22"/>
  <c r="H26" i="22" l="1"/>
  <c r="J26" i="22" s="1"/>
  <c r="J36" i="22"/>
  <c r="K36" i="22" s="1"/>
  <c r="I35" i="22"/>
  <c r="J35" i="22" s="1"/>
  <c r="K35" i="22" s="1"/>
  <c r="I33" i="22"/>
  <c r="J33" i="22" s="1"/>
  <c r="K33" i="22" s="1"/>
  <c r="I34" i="22"/>
  <c r="J34" i="22" s="1"/>
  <c r="K34" i="22" s="1"/>
  <c r="I24" i="22"/>
  <c r="H24" i="22"/>
  <c r="J24" i="22" s="1"/>
  <c r="I25" i="22"/>
  <c r="H25" i="22"/>
  <c r="J25" i="22" s="1"/>
  <c r="F33" i="14" l="1"/>
  <c r="F34" i="14"/>
  <c r="F35" i="14"/>
  <c r="F36" i="14"/>
  <c r="F38" i="14"/>
  <c r="G53" i="10" l="1"/>
  <c r="F69" i="19" l="1"/>
  <c r="H9" i="19" l="1"/>
  <c r="M46" i="14"/>
  <c r="N46" i="14" s="1"/>
  <c r="M47" i="14"/>
  <c r="N47" i="14" s="1"/>
  <c r="M48" i="14"/>
  <c r="N48" i="14" s="1"/>
  <c r="G84" i="10" l="1"/>
  <c r="G83" i="10"/>
  <c r="G54" i="10"/>
  <c r="G26" i="8" l="1"/>
  <c r="G80" i="10" l="1"/>
  <c r="D55" i="19" l="1"/>
  <c r="G49" i="10" l="1"/>
  <c r="G62" i="10" l="1"/>
  <c r="G51" i="8" l="1"/>
  <c r="G52" i="8"/>
  <c r="G53" i="8"/>
  <c r="G54" i="8"/>
  <c r="G50" i="8"/>
  <c r="G81" i="19" l="1"/>
  <c r="G80" i="19"/>
  <c r="G79" i="19"/>
  <c r="G78" i="19"/>
  <c r="F66" i="19"/>
  <c r="F63" i="19"/>
  <c r="I55" i="19"/>
  <c r="H55" i="19"/>
  <c r="G55" i="19"/>
  <c r="F55" i="19"/>
  <c r="E55" i="19"/>
  <c r="G49" i="19"/>
  <c r="F49" i="19"/>
  <c r="G43" i="19"/>
  <c r="G42" i="19"/>
  <c r="G41" i="19"/>
  <c r="I36" i="19"/>
  <c r="F36" i="19"/>
  <c r="I35" i="19"/>
  <c r="F35" i="19"/>
  <c r="J32" i="19"/>
  <c r="G32" i="19"/>
  <c r="K32" i="19" s="1"/>
  <c r="J31" i="19"/>
  <c r="G31" i="19"/>
  <c r="K31" i="19" s="1"/>
  <c r="F24" i="19"/>
  <c r="H13" i="19"/>
  <c r="G13" i="19"/>
  <c r="F13" i="19"/>
  <c r="I9" i="19"/>
  <c r="G9" i="19"/>
  <c r="F9" i="19"/>
  <c r="G67" i="10" l="1"/>
  <c r="G56" i="10"/>
  <c r="G68" i="10"/>
  <c r="G66" i="10"/>
  <c r="G65" i="10"/>
  <c r="G64" i="10"/>
  <c r="G63" i="10"/>
  <c r="G61" i="10"/>
  <c r="G60" i="10"/>
  <c r="G86" i="10"/>
  <c r="G85" i="10"/>
  <c r="G82" i="10"/>
  <c r="G81" i="10"/>
  <c r="G77" i="10"/>
  <c r="G76" i="10"/>
  <c r="G75" i="10"/>
  <c r="G74" i="10"/>
  <c r="G73" i="10"/>
  <c r="G72" i="10"/>
  <c r="G71" i="10"/>
  <c r="G57" i="10" l="1"/>
  <c r="G55" i="10"/>
  <c r="G52" i="10"/>
  <c r="G50" i="10"/>
  <c r="F48" i="14"/>
  <c r="G48" i="14" s="1"/>
  <c r="F47" i="14"/>
  <c r="G47" i="14" s="1"/>
  <c r="F46" i="14"/>
  <c r="G46" i="14" s="1"/>
  <c r="M38" i="14"/>
  <c r="N38" i="14" s="1"/>
  <c r="M37" i="14"/>
  <c r="N37" i="14" s="1"/>
  <c r="M36" i="14"/>
  <c r="N36" i="14" s="1"/>
  <c r="M35" i="14"/>
  <c r="N35" i="14" s="1"/>
  <c r="M34" i="14"/>
  <c r="N34" i="14" s="1"/>
  <c r="M33" i="14"/>
  <c r="N33" i="14" s="1"/>
  <c r="G34" i="14"/>
  <c r="G35" i="14"/>
  <c r="G36" i="14"/>
  <c r="G37" i="14"/>
  <c r="G38" i="14"/>
  <c r="G33" i="14"/>
  <c r="F79" i="8"/>
  <c r="E79" i="8"/>
  <c r="D79" i="8"/>
  <c r="G30" i="8"/>
  <c r="G29" i="8"/>
  <c r="G27" i="8"/>
  <c r="D80" i="8" l="1"/>
  <c r="D81" i="8" s="1"/>
  <c r="F80" i="8"/>
  <c r="F81" i="8" s="1"/>
  <c r="E80" i="8"/>
  <c r="E81" i="8" s="1"/>
  <c r="C80" i="8"/>
  <c r="C81" i="8" s="1"/>
</calcChain>
</file>

<file path=xl/comments1.xml><?xml version="1.0" encoding="utf-8"?>
<comments xmlns="http://schemas.openxmlformats.org/spreadsheetml/2006/main">
  <authors>
    <author>Radiation Therapist</author>
  </authors>
  <commentList>
    <comment ref="E12" authorId="0" shapeId="0">
      <text>
        <r>
          <rPr>
            <b/>
            <sz val="9"/>
            <color indexed="81"/>
            <rFont val="Tahoma"/>
            <family val="2"/>
          </rPr>
          <t>Radiation Therapist:</t>
        </r>
        <r>
          <rPr>
            <sz val="9"/>
            <color indexed="81"/>
            <rFont val="Tahoma"/>
            <family val="2"/>
          </rPr>
          <t xml:space="preserve">
changed from 4.851 to 4.854 due to new calibration certificate completed 06/30/2025</t>
        </r>
      </text>
    </comment>
  </commentList>
</comments>
</file>

<file path=xl/comments2.xml><?xml version="1.0" encoding="utf-8"?>
<comments xmlns="http://schemas.openxmlformats.org/spreadsheetml/2006/main">
  <authors>
    <author>Radiation Therapist</author>
  </authors>
  <commentList>
    <comment ref="F26" authorId="0" shapeId="0">
      <text>
        <r>
          <rPr>
            <b/>
            <sz val="9"/>
            <color indexed="81"/>
            <rFont val="Tahoma"/>
            <family val="2"/>
          </rPr>
          <t>Note that jaws are 12x12 but MLC field size is 10x10</t>
        </r>
      </text>
    </comment>
  </commentList>
</comments>
</file>

<file path=xl/sharedStrings.xml><?xml version="1.0" encoding="utf-8"?>
<sst xmlns="http://schemas.openxmlformats.org/spreadsheetml/2006/main" count="495" uniqueCount="253">
  <si>
    <t>Electrometer</t>
  </si>
  <si>
    <t>MU</t>
  </si>
  <si>
    <t>DATE:</t>
  </si>
  <si>
    <t>a.</t>
  </si>
  <si>
    <t>b.</t>
  </si>
  <si>
    <t>c.</t>
  </si>
  <si>
    <t xml:space="preserve"> </t>
  </si>
  <si>
    <t>6x</t>
  </si>
  <si>
    <t>10x</t>
  </si>
  <si>
    <t xml:space="preserve">Performed by </t>
  </si>
  <si>
    <t>Y</t>
  </si>
  <si>
    <t>Chamber</t>
  </si>
  <si>
    <t>Baseline</t>
  </si>
  <si>
    <t>Ropen</t>
  </si>
  <si>
    <t>Rcorr</t>
  </si>
  <si>
    <t>Δ%</t>
  </si>
  <si>
    <t>Pass/Fail</t>
  </si>
  <si>
    <t>Vert</t>
  </si>
  <si>
    <t>Lng</t>
  </si>
  <si>
    <t>Lat</t>
  </si>
  <si>
    <t>Rtn</t>
  </si>
  <si>
    <t>Pitch</t>
  </si>
  <si>
    <t>Roll</t>
  </si>
  <si>
    <t>Comments</t>
  </si>
  <si>
    <t>Right-Ax</t>
  </si>
  <si>
    <t>Right-Cor</t>
  </si>
  <si>
    <t>Left-Ax</t>
  </si>
  <si>
    <t>Left-Cor</t>
  </si>
  <si>
    <t>Ceil-Sag</t>
  </si>
  <si>
    <t>Ceil-Ax</t>
  </si>
  <si>
    <t xml:space="preserve"> Collimator Angle</t>
  </si>
  <si>
    <t>Result</t>
  </si>
  <si>
    <t xml:space="preserve"> Collimator Angles (90, 45, 0, 315, 270)</t>
  </si>
  <si>
    <t xml:space="preserve"> Gantry Angles (180, 90, 0, 270)</t>
  </si>
  <si>
    <t xml:space="preserve"> Couch Angles (90, 45, 0, 315, 270)</t>
  </si>
  <si>
    <t>Linac readout</t>
  </si>
  <si>
    <t>Gantry Angle</t>
  </si>
  <si>
    <t>Monthly Quality Assurance</t>
  </si>
  <si>
    <t>The following tests have been performed in accordance with recommentations from AAPM TG-142 (imaging QA is located in a separate document):</t>
  </si>
  <si>
    <t>Truebeam</t>
  </si>
  <si>
    <t>Test Item</t>
  </si>
  <si>
    <t>Warning Lights</t>
  </si>
  <si>
    <t>Intercom</t>
  </si>
  <si>
    <t>Video Monitor</t>
  </si>
  <si>
    <t>Door Interlock</t>
  </si>
  <si>
    <t>Emergency Off Switches</t>
  </si>
  <si>
    <r>
      <t>Part A. Safety Tests:</t>
    </r>
    <r>
      <rPr>
        <sz val="12"/>
        <rFont val="Times New Roman"/>
        <family val="1"/>
      </rPr>
      <t xml:space="preserve"> Include a general check of the accessory equipment necessary for daily patient treatments</t>
    </r>
  </si>
  <si>
    <t>B.1</t>
  </si>
  <si>
    <t>B.2</t>
  </si>
  <si>
    <t>B.3</t>
  </si>
  <si>
    <r>
      <t xml:space="preserve">Test Condition: </t>
    </r>
    <r>
      <rPr>
        <sz val="12"/>
        <rFont val="Times New Roman"/>
        <family val="1"/>
      </rPr>
      <t>Use digital level for mechanical reference, assess linac readout at specified angles.</t>
    </r>
  </si>
  <si>
    <r>
      <t xml:space="preserve">Test Condition: </t>
    </r>
    <r>
      <rPr>
        <sz val="12"/>
        <rFont val="Times New Roman"/>
        <family val="1"/>
      </rPr>
      <t>Gantry/Collimator @ 0, use calibrated front pointer and set couch height to 100 cm</t>
    </r>
  </si>
  <si>
    <t>ODI (cm)</t>
  </si>
  <si>
    <t>Front pointer (cm)</t>
  </si>
  <si>
    <r>
      <t xml:space="preserve">Optical Indicator (ODI) Test: </t>
    </r>
    <r>
      <rPr>
        <sz val="12"/>
        <rFont val="Times New Roman"/>
        <family val="1"/>
      </rPr>
      <t>To assess the accuracy of the optical distance indicator</t>
    </r>
  </si>
  <si>
    <r>
      <t xml:space="preserve">Crosshair Centricity Test: </t>
    </r>
    <r>
      <rPr>
        <sz val="12"/>
        <rFont val="Times New Roman"/>
        <family val="1"/>
      </rPr>
      <t>To assess whether collimator rotation influences light field centricity, i.e. collimator walkout</t>
    </r>
  </si>
  <si>
    <r>
      <t xml:space="preserve">Test Condition: </t>
    </r>
    <r>
      <rPr>
        <sz val="12"/>
        <rFont val="Times New Roman"/>
        <family val="1"/>
      </rPr>
      <t>100 SSD, Gantry @ 0, define a stationary crosshair w/ Collimator @ 0, then rotate Collimator from 90 to 270 and note offset from center of stationary crosshar to center of lightfield crosshair</t>
    </r>
  </si>
  <si>
    <t>Max difference (mm)</t>
  </si>
  <si>
    <r>
      <t xml:space="preserve">Gantry/Collimator Mechanical Accuracy vs Digital Readout: </t>
    </r>
    <r>
      <rPr>
        <sz val="12"/>
        <rFont val="Times New Roman"/>
        <family val="1"/>
      </rPr>
      <t>To assess accuracy of digital readout</t>
    </r>
  </si>
  <si>
    <t>Y1</t>
  </si>
  <si>
    <t xml:space="preserve">Y2 </t>
  </si>
  <si>
    <t>Y1+Y2</t>
  </si>
  <si>
    <t>X1</t>
  </si>
  <si>
    <t>X2</t>
  </si>
  <si>
    <t>X1+X2</t>
  </si>
  <si>
    <t>4 x 4</t>
  </si>
  <si>
    <t>30 x 30</t>
  </si>
  <si>
    <t>X1= +1.9 cm</t>
  </si>
  <si>
    <t>X2= -1.9 cm</t>
  </si>
  <si>
    <t>Y1= +9 cm</t>
  </si>
  <si>
    <t>Y2 = -9 cm</t>
  </si>
  <si>
    <t>B.4</t>
  </si>
  <si>
    <r>
      <t xml:space="preserve">Symmetric Fied SizeTest: </t>
    </r>
    <r>
      <rPr>
        <sz val="12"/>
        <rFont val="Times New Roman"/>
        <family val="1"/>
      </rPr>
      <t xml:space="preserve">Verify that the projected field edges agree with the set field sizes </t>
    </r>
  </si>
  <si>
    <t>FS (cm x cm)</t>
  </si>
  <si>
    <t>Motion</t>
  </si>
  <si>
    <t>Set Distance (cm)</t>
  </si>
  <si>
    <t>Measured Distance (cm)</t>
  </si>
  <si>
    <t xml:space="preserve">Vertical </t>
  </si>
  <si>
    <t>Lateral</t>
  </si>
  <si>
    <t>Longitudinal</t>
  </si>
  <si>
    <t>B.5</t>
  </si>
  <si>
    <r>
      <rPr>
        <b/>
        <sz val="12"/>
        <rFont val="Times New Roman"/>
        <family val="1"/>
      </rPr>
      <t xml:space="preserve">Test Condition: </t>
    </r>
    <r>
      <rPr>
        <sz val="12"/>
        <rFont val="Times New Roman"/>
        <family val="1"/>
      </rPr>
      <t>SSD: 100cm, Collimator @ 0, Gantry @ 0, use graph paper or ruler</t>
    </r>
  </si>
  <si>
    <r>
      <t xml:space="preserve">Asymmetric Fied SizeTest: </t>
    </r>
    <r>
      <rPr>
        <sz val="12"/>
        <rFont val="Times New Roman"/>
        <family val="1"/>
      </rPr>
      <t xml:space="preserve">Move each jaw independently to its limit and check position readout  </t>
    </r>
  </si>
  <si>
    <r>
      <rPr>
        <b/>
        <sz val="12"/>
        <rFont val="Times New Roman"/>
        <family val="1"/>
      </rPr>
      <t>Treatment Couch Position Indicators:</t>
    </r>
    <r>
      <rPr>
        <sz val="12"/>
        <rFont val="Times New Roman"/>
        <family val="1"/>
      </rPr>
      <t xml:space="preserve"> Verify the accuracy of couch position indicators. </t>
    </r>
    <r>
      <rPr>
        <b/>
        <sz val="12"/>
        <rFont val="Times New Roman"/>
        <family val="1"/>
      </rPr>
      <t xml:space="preserve"> </t>
    </r>
  </si>
  <si>
    <r>
      <t xml:space="preserve">Test Condition: </t>
    </r>
    <r>
      <rPr>
        <sz val="12"/>
        <rFont val="Times New Roman"/>
        <family val="1"/>
      </rPr>
      <t>Use ruler or graph paper to assess 10 cm shift against laser or crosshair</t>
    </r>
  </si>
  <si>
    <t xml:space="preserve"> Couch Angle</t>
  </si>
  <si>
    <r>
      <t xml:space="preserve">Test Condition: </t>
    </r>
    <r>
      <rPr>
        <sz val="12"/>
        <rFont val="Times New Roman"/>
        <family val="1"/>
      </rPr>
      <t>Establish stationary crosshair on couch @ 0, then rotate to designated couch angles such that stationary crosshair matches lightfield crosshair, record linac digital readout</t>
    </r>
  </si>
  <si>
    <t>B.6</t>
  </si>
  <si>
    <t>B.7</t>
  </si>
  <si>
    <r>
      <t xml:space="preserve">Test Condition: </t>
    </r>
    <r>
      <rPr>
        <sz val="12"/>
        <rFont val="Times New Roman"/>
        <family val="1"/>
      </rPr>
      <t>Reference: looking at gantry, isocenter phantom aligned to lightfield @ 100cm SSD</t>
    </r>
  </si>
  <si>
    <t>B.8</t>
  </si>
  <si>
    <t>6xFFF</t>
  </si>
  <si>
    <t>10xFFF</t>
  </si>
  <si>
    <t>N/A</t>
  </si>
  <si>
    <t>(Tol. ± 1mm)</t>
  </si>
  <si>
    <t>(Tol. &lt; 1mm)</t>
  </si>
  <si>
    <t>(Tol. ± 2mm in any direction or ± 1mm per jaw)</t>
  </si>
  <si>
    <r>
      <t>(Tol. ± 0.5</t>
    </r>
    <r>
      <rPr>
        <b/>
        <sz val="12"/>
        <rFont val="Calibri"/>
        <family val="2"/>
      </rPr>
      <t>°</t>
    </r>
    <r>
      <rPr>
        <b/>
        <sz val="12"/>
        <rFont val="Times New Roman"/>
        <family val="1"/>
      </rPr>
      <t>)</t>
    </r>
  </si>
  <si>
    <t>(Tol. ± 2mm)</t>
  </si>
  <si>
    <r>
      <t>(Tol. ± 1</t>
    </r>
    <r>
      <rPr>
        <b/>
        <sz val="12"/>
        <rFont val="Calibri"/>
        <family val="2"/>
      </rPr>
      <t>°</t>
    </r>
    <r>
      <rPr>
        <b/>
        <sz val="12"/>
        <rFont val="Times New Roman"/>
        <family val="1"/>
      </rPr>
      <t>)</t>
    </r>
  </si>
  <si>
    <t>A.1</t>
  </si>
  <si>
    <t>A.2</t>
  </si>
  <si>
    <t>A.3</t>
  </si>
  <si>
    <t>A.4</t>
  </si>
  <si>
    <t>A.5</t>
  </si>
  <si>
    <t>C.1</t>
  </si>
  <si>
    <t>Energy</t>
  </si>
  <si>
    <t>Current</t>
  </si>
  <si>
    <t>Ratio</t>
  </si>
  <si>
    <t>Pressure (hPA)</t>
  </si>
  <si>
    <r>
      <t>M</t>
    </r>
    <r>
      <rPr>
        <b/>
        <vertAlign val="subscript"/>
        <sz val="12"/>
        <rFont val="Times New Roman"/>
        <family val="1"/>
      </rPr>
      <t>raw</t>
    </r>
  </si>
  <si>
    <t>Model</t>
  </si>
  <si>
    <t>Serial Number</t>
  </si>
  <si>
    <r>
      <t>Calibration (N</t>
    </r>
    <r>
      <rPr>
        <i/>
        <vertAlign val="subscript"/>
        <sz val="12"/>
        <rFont val="Times New Roman"/>
        <family val="1"/>
      </rPr>
      <t>D,w-Co-60</t>
    </r>
    <r>
      <rPr>
        <i/>
        <sz val="12"/>
        <rFont val="Times New Roman"/>
        <family val="1"/>
      </rPr>
      <t>)</t>
    </r>
  </si>
  <si>
    <t>Environment</t>
  </si>
  <si>
    <r>
      <t>Temperature (</t>
    </r>
    <r>
      <rPr>
        <sz val="12"/>
        <rFont val="Calibri"/>
        <family val="2"/>
      </rPr>
      <t>°</t>
    </r>
    <r>
      <rPr>
        <sz val="12"/>
        <rFont val="Times New Roman"/>
        <family val="1"/>
      </rPr>
      <t>C)</t>
    </r>
  </si>
  <si>
    <r>
      <t>Calibration (P</t>
    </r>
    <r>
      <rPr>
        <i/>
        <vertAlign val="subscript"/>
        <sz val="12"/>
        <rFont val="Times New Roman"/>
        <family val="1"/>
      </rPr>
      <t>elec</t>
    </r>
    <r>
      <rPr>
        <i/>
        <sz val="12"/>
        <rFont val="Times New Roman"/>
        <family val="1"/>
      </rPr>
      <t>)</t>
    </r>
  </si>
  <si>
    <r>
      <t>Correction (P</t>
    </r>
    <r>
      <rPr>
        <i/>
        <vertAlign val="subscript"/>
        <sz val="12"/>
        <rFont val="Times New Roman"/>
        <family val="1"/>
      </rPr>
      <t>TP</t>
    </r>
    <r>
      <rPr>
        <i/>
        <sz val="12"/>
        <rFont val="Times New Roman"/>
        <family val="1"/>
      </rPr>
      <t>)</t>
    </r>
  </si>
  <si>
    <t>M</t>
  </si>
  <si>
    <t>%Diff</t>
  </si>
  <si>
    <t>C.2</t>
  </si>
  <si>
    <t>Date</t>
  </si>
  <si>
    <t>C.3</t>
  </si>
  <si>
    <t>@ Full DR</t>
  </si>
  <si>
    <t>@ Half DR</t>
  </si>
  <si>
    <r>
      <t xml:space="preserve">Test Condition: </t>
    </r>
    <r>
      <rPr>
        <sz val="12"/>
        <rFont val="Times New Roman"/>
        <family val="1"/>
      </rPr>
      <t xml:space="preserve">Add 5cm solid water, don't change table height, i.e. SSD = 98.5cm, depth = 7.5cm, Deliver 100 MU </t>
    </r>
  </si>
  <si>
    <t>MU Reading</t>
  </si>
  <si>
    <t>ION1</t>
  </si>
  <si>
    <t>ION2</t>
  </si>
  <si>
    <t>C.4</t>
  </si>
  <si>
    <r>
      <t xml:space="preserve">Test Condition: </t>
    </r>
    <r>
      <rPr>
        <sz val="12"/>
        <rFont val="Times New Roman"/>
        <family val="1"/>
      </rPr>
      <t>SSD = 99cm to surface of profiler, add 9cm solid water, FS = 20x20, MU = 100 for all engergies, clinical DR.</t>
    </r>
  </si>
  <si>
    <t>Inline (y-axis)</t>
  </si>
  <si>
    <t>Flatness</t>
  </si>
  <si>
    <t>Symmetry</t>
  </si>
  <si>
    <t>Crossline (x-axis)</t>
  </si>
  <si>
    <t>(Tol. ± 1%)</t>
  </si>
  <si>
    <r>
      <t xml:space="preserve">Test Condition: </t>
    </r>
    <r>
      <rPr>
        <sz val="12"/>
        <rFont val="Times New Roman"/>
        <family val="1"/>
      </rPr>
      <t>See below.</t>
    </r>
  </si>
  <si>
    <t>Vertical (cm)</t>
  </si>
  <si>
    <t>Horizontal (cm)</t>
  </si>
  <si>
    <t>MLC 10 x 10</t>
  </si>
  <si>
    <t>MLC 15 x 15</t>
  </si>
  <si>
    <t>Failing peaks</t>
  </si>
  <si>
    <t>Max difference</t>
  </si>
  <si>
    <t>Iso to strip distance</t>
  </si>
  <si>
    <t>Standard deviation</t>
  </si>
  <si>
    <t>Interstrip ratio</t>
  </si>
  <si>
    <t>Static</t>
  </si>
  <si>
    <t>Rotational</t>
  </si>
  <si>
    <r>
      <t xml:space="preserve">MLC Field Size: </t>
    </r>
    <r>
      <rPr>
        <sz val="12"/>
        <rFont val="Times New Roman"/>
        <family val="1"/>
      </rPr>
      <t>To assess the static positional accuracy of the MLC system, i.e. setting vs radiation field</t>
    </r>
  </si>
  <si>
    <r>
      <t xml:space="preserve">Picket Fence Tests: </t>
    </r>
    <r>
      <rPr>
        <sz val="12"/>
        <rFont val="Times New Roman"/>
        <family val="1"/>
      </rPr>
      <t>To assess leaf position accuracy for static and rotational fields.</t>
    </r>
  </si>
  <si>
    <r>
      <t xml:space="preserve">Travel speed test: </t>
    </r>
    <r>
      <rPr>
        <sz val="12"/>
        <rFont val="Times New Roman"/>
        <family val="1"/>
      </rPr>
      <t>To assess the leaf speed accuracy.</t>
    </r>
  </si>
  <si>
    <t>(Tol. 2.5%)</t>
  </si>
  <si>
    <t>E.1</t>
  </si>
  <si>
    <t>D.1</t>
  </si>
  <si>
    <t>D.2</t>
  </si>
  <si>
    <t>D.3</t>
  </si>
  <si>
    <t>kV/kV</t>
  </si>
  <si>
    <t>Step 3</t>
  </si>
  <si>
    <t>Step 4</t>
  </si>
  <si>
    <t>CBCT</t>
  </si>
  <si>
    <t>Baseline shift (cm)</t>
  </si>
  <si>
    <t>Current shift (cm)</t>
  </si>
  <si>
    <t>Δ (cm)</t>
  </si>
  <si>
    <t>Step 5</t>
  </si>
  <si>
    <t xml:space="preserve">Is the the " + "marker aligned with the crosshair to w/in 1mm? </t>
  </si>
  <si>
    <t>PASS</t>
  </si>
  <si>
    <t>FAIL</t>
  </si>
  <si>
    <t>Step 7-8</t>
  </si>
  <si>
    <t>Step 6</t>
  </si>
  <si>
    <t>F.1</t>
  </si>
  <si>
    <t>kV parameters</t>
  </si>
  <si>
    <t>MV parameters</t>
  </si>
  <si>
    <t>MV setup</t>
  </si>
  <si>
    <t>Catphan setup</t>
  </si>
  <si>
    <t>CBCT analysis</t>
  </si>
  <si>
    <r>
      <t xml:space="preserve">Image quality test: </t>
    </r>
    <r>
      <rPr>
        <sz val="12"/>
        <rFont val="Times New Roman"/>
        <family val="1"/>
      </rPr>
      <t>To assess CBCT, MV, and kV image quality in comparsion to baseline values.</t>
    </r>
  </si>
  <si>
    <t>MV analysis</t>
  </si>
  <si>
    <t>kV analysis</t>
  </si>
  <si>
    <t>Scaling discrepancy (mm)</t>
  </si>
  <si>
    <t>Geometric distortion (mm)</t>
  </si>
  <si>
    <t>Spatial resolution (lp/mm)</t>
  </si>
  <si>
    <t>Overall uniformity (%)</t>
  </si>
  <si>
    <t>Minimum uniformity (%)</t>
  </si>
  <si>
    <t>Contrast (%)</t>
  </si>
  <si>
    <t>Max HU deviation (HU)</t>
  </si>
  <si>
    <t>CNR (arb)</t>
  </si>
  <si>
    <t>X positioning offset (mm)</t>
  </si>
  <si>
    <t>Y positioning offset (mm)</t>
  </si>
  <si>
    <t>MV</t>
  </si>
  <si>
    <t>kV</t>
  </si>
  <si>
    <t>Slice width discrepancy (mm)</t>
  </si>
  <si>
    <t>(Tol. ± 1mm or  ± 1° )</t>
  </si>
  <si>
    <t>R_LS</t>
  </si>
  <si>
    <t>(Tol. ± 0.07 lp/mm)</t>
  </si>
  <si>
    <t>(Tol. ± 2%)</t>
  </si>
  <si>
    <t>(Tol. ± 0.5%)</t>
  </si>
  <si>
    <t>(Tol. ± 1)</t>
  </si>
  <si>
    <t>(Tol. ± 5)</t>
  </si>
  <si>
    <r>
      <t xml:space="preserve">Part B. Mechanical Tests: </t>
    </r>
    <r>
      <rPr>
        <sz val="12"/>
        <rFont val="Times New Roman"/>
        <family val="1"/>
      </rPr>
      <t>Include checking the mechanical functioning of the machine and making appropriate adjustments.</t>
    </r>
  </si>
  <si>
    <r>
      <rPr>
        <b/>
        <sz val="12"/>
        <rFont val="Times New Roman"/>
        <family val="1"/>
      </rPr>
      <t>Part F. Imaging Quality</t>
    </r>
    <r>
      <rPr>
        <sz val="12"/>
        <rFont val="Times New Roman"/>
        <family val="1"/>
      </rPr>
      <t>: To ensure adequate image quality for systems used for patient positioning</t>
    </r>
  </si>
  <si>
    <r>
      <rPr>
        <b/>
        <sz val="12"/>
        <rFont val="Times New Roman"/>
        <family val="1"/>
      </rPr>
      <t>Part E. Patient Alignment</t>
    </r>
    <r>
      <rPr>
        <sz val="12"/>
        <rFont val="Times New Roman"/>
        <family val="1"/>
      </rPr>
      <t>: To ensure proper positioning accuracy of the systems used for patient alignment</t>
    </r>
  </si>
  <si>
    <r>
      <t xml:space="preserve">Positioning and Re-positioning test: </t>
    </r>
    <r>
      <rPr>
        <sz val="12"/>
        <rFont val="Times New Roman"/>
        <family val="1"/>
      </rPr>
      <t>To assess positional accuracy of the CBCT and kV imaging systems and 6D couch</t>
    </r>
  </si>
  <si>
    <r>
      <rPr>
        <b/>
        <sz val="12"/>
        <rFont val="Times New Roman"/>
        <family val="1"/>
      </rPr>
      <t>Part D. MLC QA</t>
    </r>
    <r>
      <rPr>
        <sz val="12"/>
        <rFont val="Times New Roman"/>
        <family val="1"/>
      </rPr>
      <t>: To ensure proper static positining and dynamic motion of the MLCs.</t>
    </r>
  </si>
  <si>
    <r>
      <t xml:space="preserve">Energy Constancy: </t>
    </r>
    <r>
      <rPr>
        <sz val="12"/>
        <rFont val="Times New Roman"/>
        <family val="1"/>
      </rPr>
      <t>To assess constancy of beam quality versus baseline set during annual QA.</t>
    </r>
  </si>
  <si>
    <r>
      <t xml:space="preserve">Output Constancy: </t>
    </r>
    <r>
      <rPr>
        <sz val="12"/>
        <rFont val="Times New Roman"/>
        <family val="1"/>
      </rPr>
      <t>To assess output constancey, i.e. no change from baseline set at 1cGy/MU</t>
    </r>
  </si>
  <si>
    <r>
      <t xml:space="preserve">Dose rate and backup monitor constancy: </t>
    </r>
    <r>
      <rPr>
        <sz val="12"/>
        <rFont val="Times New Roman"/>
        <family val="1"/>
      </rPr>
      <t>To assess constancy of output with doserate and uniformity of primary and backup ion chambers</t>
    </r>
  </si>
  <si>
    <r>
      <t xml:space="preserve">Profile constancy: </t>
    </r>
    <r>
      <rPr>
        <sz val="12"/>
        <rFont val="Times New Roman"/>
        <family val="1"/>
      </rPr>
      <t>To assess beam profiles for any change in comparison to baseline set during commissioning</t>
    </r>
  </si>
  <si>
    <r>
      <rPr>
        <b/>
        <sz val="12"/>
        <rFont val="Times New Roman"/>
        <family val="1"/>
      </rPr>
      <t>Part C. Dosimetry:</t>
    </r>
    <r>
      <rPr>
        <sz val="12"/>
        <rFont val="Times New Roman"/>
        <family val="1"/>
      </rPr>
      <t xml:space="preserve"> Assess dosimetric peformance and constancy of machine in comparsion to annual baselines</t>
    </r>
  </si>
  <si>
    <r>
      <t xml:space="preserve">Laser Allignment Tests: </t>
    </r>
    <r>
      <rPr>
        <sz val="12"/>
        <rFont val="Times New Roman"/>
        <family val="1"/>
      </rPr>
      <t>To Evaluate laser alignment relative to the isocenter</t>
    </r>
  </si>
  <si>
    <r>
      <t xml:space="preserve">Radiation Field Size: </t>
    </r>
    <r>
      <rPr>
        <sz val="12"/>
        <rFont val="Times New Roman"/>
        <family val="1"/>
      </rPr>
      <t>To assess radiation field size in comparison to machine setting</t>
    </r>
  </si>
  <si>
    <r>
      <t xml:space="preserve">Isocenter coincidence (Winston-Lutz): </t>
    </r>
    <r>
      <rPr>
        <sz val="12"/>
        <rFont val="Times New Roman"/>
        <family val="1"/>
      </rPr>
      <t>To assess isocenter stability and coincidence w/ collimator, gantry, and couch rotation</t>
    </r>
  </si>
  <si>
    <r>
      <t>Part B: Mechanical Tests:</t>
    </r>
    <r>
      <rPr>
        <sz val="12"/>
        <rFont val="Times New Roman"/>
        <family val="1"/>
      </rPr>
      <t xml:space="preserve"> Check the mechanical functioning of the machine and make appropriate adjustments.</t>
    </r>
  </si>
  <si>
    <r>
      <rPr>
        <b/>
        <sz val="12"/>
        <rFont val="Times New Roman"/>
        <family val="1"/>
      </rPr>
      <t>Part A:</t>
    </r>
    <r>
      <rPr>
        <sz val="12"/>
        <rFont val="Times New Roman"/>
        <family val="1"/>
      </rPr>
      <t xml:space="preserve"> </t>
    </r>
    <r>
      <rPr>
        <b/>
        <sz val="12"/>
        <rFont val="Times New Roman"/>
        <family val="1"/>
      </rPr>
      <t>Safety Tests:</t>
    </r>
    <r>
      <rPr>
        <sz val="12"/>
        <rFont val="Times New Roman"/>
        <family val="1"/>
      </rPr>
      <t xml:space="preserve"> General check of the accessory equipment necessary for daily patient treatments.</t>
    </r>
  </si>
  <si>
    <t>All monthly QA documents should be approved by a QMP. This PDF document contains all required documentation and this coversheet has been digitally signed signed by the responsible physicist below. All digital documentation will be saved in U:\QA\SystemQA\LINAC QA\TrueBeam\Monthly QA</t>
  </si>
  <si>
    <r>
      <t xml:space="preserve">Test Condition: </t>
    </r>
    <r>
      <rPr>
        <sz val="12"/>
        <rFont val="Times New Roman"/>
        <family val="1"/>
      </rPr>
      <t>Same setup as test C.2, use 300 MU and full dose rate</t>
    </r>
  </si>
  <si>
    <r>
      <t xml:space="preserve">Test Condition: </t>
    </r>
    <r>
      <rPr>
        <sz val="12"/>
        <rFont val="Times New Roman"/>
        <family val="1"/>
      </rPr>
      <t>Same setup as test C.2, use 100 MU and both full and half clinical dose rates.</t>
    </r>
  </si>
  <si>
    <t>CBCT Head</t>
  </si>
  <si>
    <t>CBCT Pelvis</t>
  </si>
  <si>
    <t>(Tol. ± 100HU)</t>
  </si>
  <si>
    <t>d.</t>
  </si>
  <si>
    <t>Max total delta</t>
  </si>
  <si>
    <t>Dose1</t>
  </si>
  <si>
    <r>
      <t xml:space="preserve">Test Condition: </t>
    </r>
    <r>
      <rPr>
        <sz val="12"/>
        <rFont val="Times New Roman"/>
        <family val="1"/>
      </rPr>
      <t>103.5cm SSD, depth = 2.5cm, (note that the chamber will be @ depth = 1cm when placed inside 5cm solid water slab with drilled chamber hole, thus need to add additional 1.5cm solid water), -300 V, use clinical dose rate, e.g. 600 MU/min for FF and 1400 MU/min for FFF, Deliver 100 MU</t>
    </r>
  </si>
  <si>
    <t>Baseline (10^-8 C)</t>
  </si>
  <si>
    <t>Current (10^-8 C)</t>
  </si>
  <si>
    <t>(Tol. ± 0.1 lp/mm)</t>
  </si>
  <si>
    <r>
      <rPr>
        <b/>
        <sz val="12"/>
        <rFont val="Times New Roman"/>
        <family val="1"/>
      </rPr>
      <t xml:space="preserve">Test Conditions: Remove WL phantom, and move couch all the way back not to interrupt MV beams, Go to TCS sevice mode, go to MLC tab, and rectract MLC first, and click the </t>
    </r>
    <r>
      <rPr>
        <sz val="12"/>
        <rFont val="Times New Roman"/>
        <family val="1"/>
      </rPr>
      <t xml:space="preserve">XI tab, click the tab named Acquisition, click the tab named Plans (MV - 1 image during), 10 MU per field (10 cm x 10 cm), export each image as DICOM (Save as), analyze in Doselab (single image analysis -&gt; Machine QA-&gt; Symmetry &amp; Flatness)
Shoot the beam (10 MU), Right mouse click the imaging software then you can find "Save image"
Save location: Select image format to dicom, I-/TDS -&gt; H192905 -&gt;  Monthly QA -&gt; todays date </t>
    </r>
  </si>
  <si>
    <t>Data: Normalized, Calibration: TB_Profiler</t>
  </si>
  <si>
    <t>imags on QA lab PC</t>
  </si>
  <si>
    <t>Ctrl+Alt+Shift+R refresh mode screen</t>
  </si>
  <si>
    <t>Gain 4 for 6x&amp;10x;</t>
  </si>
  <si>
    <t>Gain 1 for 6FFF&amp;10FFF</t>
  </si>
  <si>
    <t>Cal Factor for 1511 based on data in 2018:</t>
  </si>
  <si>
    <t>New Cal Factor for 1511 in 2022:</t>
  </si>
  <si>
    <t>Gy/C</t>
  </si>
  <si>
    <t>Cal Factor Ratio:</t>
  </si>
  <si>
    <t>FC65-G</t>
  </si>
  <si>
    <t>05-10050</t>
  </si>
  <si>
    <t>x10^7Gy/C</t>
  </si>
  <si>
    <t>Dose 1</t>
  </si>
  <si>
    <t>(Tol. ± 3%)</t>
  </si>
  <si>
    <t>(Tol. ± 50)</t>
  </si>
  <si>
    <t>yes</t>
  </si>
  <si>
    <r>
      <rPr>
        <b/>
        <sz val="12"/>
        <rFont val="Times New Roman"/>
        <family val="1"/>
      </rPr>
      <t>Test Conditions:</t>
    </r>
    <r>
      <rPr>
        <sz val="12"/>
        <rFont val="Times New Roman"/>
        <family val="1"/>
      </rPr>
      <t xml:space="preserve">   I:/transfer/TDS/H192905/monthlyQA folder WL.Align WL phantom using crosshairs @ gantry 0 and 90, analyze portal image w/ Doselab (multi-image analysis)</t>
    </r>
  </si>
  <si>
    <t>Setup the WL phantom (you can find it in the Sun Nuclear Imaging tool box in the QA lab) &gt;&gt;Align WL phantom using crosshairs @ gantry 0 and 90 &gt;&gt; 
Log in Machine QA in Varian TCS &gt;&gt; Load plan files (I:/transfer/TDS/H192905/monthlyQA/WL/CollWL/aCollimatorWL.dcm) aCouchWL, aGantryWL</t>
  </si>
  <si>
    <t>Location (cm)</t>
  </si>
  <si>
    <t>W:\Varian\Transfer\TDS\H192905\monthlyQA\WL</t>
  </si>
  <si>
    <t>G</t>
  </si>
  <si>
    <r>
      <rPr>
        <b/>
        <sz val="12"/>
        <rFont val="Times New Roman"/>
        <family val="1"/>
      </rPr>
      <t xml:space="preserve">Symmetric/Asymmetric Field Size Test: </t>
    </r>
    <r>
      <rPr>
        <sz val="12"/>
        <rFont val="Times New Roman"/>
        <family val="1"/>
      </rPr>
      <t>To verify the accuracy of collimator field sizes, the precision of independent jaw positioning and the linearity of position readout calibration</t>
    </r>
  </si>
  <si>
    <r>
      <t>In TCS, click Add to add MV imaging&gt;&gt; Choose the options: [</t>
    </r>
    <r>
      <rPr>
        <b/>
        <sz val="12"/>
        <rFont val="Times New Roman"/>
        <family val="1"/>
      </rPr>
      <t>MV - Before -Planned - Treatment port, not open port</t>
    </r>
    <r>
      <rPr>
        <sz val="12"/>
        <rFont val="Times New Roman"/>
        <family val="1"/>
      </rPr>
      <t xml:space="preserve">] </t>
    </r>
  </si>
  <si>
    <t xml:space="preserve">If the collimator angle is not matched with prescribed angle, you need to click "GoTo" button, and enter the collimator angle, and click "Apply" to rotate the collimator. To acquire MV portal images, you need to click Treatment Portal, not MV field. And once one MV portal image is acquired, need to save the image, click the cancel in OBI software and then go for the next MV imaging. </t>
  </si>
  <si>
    <t>CBCT Large Pelvis</t>
  </si>
  <si>
    <t>BB/RS/MV/JV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</si>
</sst>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
    <numFmt numFmtId="165" formatCode="0.0000"/>
    <numFmt numFmtId="166" formatCode="0.0"/>
  </numFmts>
  <fonts count="28" x14ac:knownFonts="1">
    <font>
      <sz val="10"/>
      <name val="Arial"/>
      <family val="2"/>
    </font>
    <font>
      <sz val="11"/>
      <color theme="1"/>
      <name val="Calibri"/>
      <family val="2"/>
      <scheme val="minor"/>
    </font>
    <font>
      <sz val="12"/>
      <name val="Times New Roman"/>
      <family val="1"/>
    </font>
    <font>
      <b/>
      <sz val="12"/>
      <name val="Times New Roman"/>
      <family val="1"/>
    </font>
    <font>
      <b/>
      <sz val="12"/>
      <color indexed="10"/>
      <name val="Times New Roman"/>
      <family val="1"/>
    </font>
    <font>
      <u/>
      <sz val="7.5"/>
      <color indexed="12"/>
      <name val="Arial"/>
      <family val="2"/>
    </font>
    <font>
      <sz val="12"/>
      <color indexed="10"/>
      <name val="Times New Roman"/>
      <family val="1"/>
    </font>
    <font>
      <u/>
      <sz val="12"/>
      <color indexed="12"/>
      <name val="Arial"/>
      <family val="2"/>
    </font>
    <font>
      <b/>
      <sz val="12"/>
      <color indexed="12"/>
      <name val="Times New Roman"/>
      <family val="1"/>
    </font>
    <font>
      <sz val="10"/>
      <name val="Arial"/>
      <family val="2"/>
    </font>
    <font>
      <sz val="10"/>
      <name val="Times New Roman"/>
      <family val="1"/>
    </font>
    <font>
      <sz val="14"/>
      <name val="Times New Roman"/>
      <family val="1"/>
    </font>
    <font>
      <b/>
      <u/>
      <sz val="12"/>
      <name val="Times New Roman"/>
      <family val="1"/>
    </font>
    <font>
      <b/>
      <sz val="12"/>
      <name val="Calibri"/>
      <family val="2"/>
    </font>
    <font>
      <b/>
      <vertAlign val="subscript"/>
      <sz val="12"/>
      <name val="Times New Roman"/>
      <family val="1"/>
    </font>
    <font>
      <i/>
      <u/>
      <sz val="12"/>
      <name val="Times New Roman"/>
      <family val="1"/>
    </font>
    <font>
      <i/>
      <sz val="12"/>
      <name val="Times New Roman"/>
      <family val="1"/>
    </font>
    <font>
      <i/>
      <vertAlign val="subscript"/>
      <sz val="12"/>
      <name val="Times New Roman"/>
      <family val="1"/>
    </font>
    <font>
      <sz val="12"/>
      <name val="Calibri"/>
      <family val="2"/>
    </font>
    <font>
      <b/>
      <sz val="12"/>
      <color theme="1" tint="4.9989318521683403E-2"/>
      <name val="Times New Roman"/>
      <family val="1"/>
    </font>
    <font>
      <sz val="12"/>
      <color theme="1"/>
      <name val="Times New Roman"/>
      <family val="1"/>
    </font>
    <font>
      <b/>
      <sz val="12"/>
      <color theme="1"/>
      <name val="Times New Roman"/>
      <family val="1"/>
    </font>
    <font>
      <b/>
      <sz val="12"/>
      <color rgb="FF000000"/>
      <name val="Times New Roman"/>
      <family val="1"/>
    </font>
    <font>
      <sz val="12"/>
      <color rgb="FF000000"/>
      <name val="Times New Roman"/>
      <family val="1"/>
    </font>
    <font>
      <b/>
      <sz val="10"/>
      <name val="Times New Roman"/>
      <family val="1"/>
    </font>
    <font>
      <sz val="9"/>
      <color indexed="81"/>
      <name val="Tahoma"/>
      <family val="2"/>
    </font>
    <font>
      <b/>
      <sz val="9"/>
      <color indexed="81"/>
      <name val="Tahoma"/>
      <family val="2"/>
    </font>
    <font>
      <sz val="11"/>
      <name val="Calibri"/>
      <family val="2"/>
      <scheme val="minor"/>
    </font>
  </fonts>
  <fills count="9">
    <fill>
      <patternFill patternType="none"/>
    </fill>
    <fill>
      <patternFill patternType="gray125"/>
    </fill>
    <fill>
      <patternFill patternType="solid">
        <fgColor rgb="FFFFFF00"/>
        <bgColor indexed="64"/>
      </patternFill>
    </fill>
    <fill>
      <patternFill patternType="solid">
        <fgColor theme="3" tint="0.79998168889431442"/>
        <bgColor indexed="64"/>
      </patternFill>
    </fill>
    <fill>
      <patternFill patternType="solid">
        <fgColor rgb="FFFFFF99"/>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rgb="FFFFFFCC"/>
        <bgColor indexed="64"/>
      </patternFill>
    </fill>
  </fills>
  <borders count="53">
    <border>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diagonal/>
    </border>
    <border>
      <left style="thin">
        <color indexed="64"/>
      </left>
      <right style="medium">
        <color indexed="64"/>
      </right>
      <top/>
      <bottom style="thin">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3">
    <xf numFmtId="0" fontId="0" fillId="0" borderId="0"/>
    <xf numFmtId="0" fontId="5" fillId="0" borderId="0" applyNumberFormat="0" applyFill="0" applyBorder="0" applyAlignment="0" applyProtection="0">
      <alignment vertical="top"/>
      <protection locked="0"/>
    </xf>
    <xf numFmtId="0" fontId="9" fillId="0" borderId="0"/>
  </cellStyleXfs>
  <cellXfs count="320">
    <xf numFmtId="0" fontId="0" fillId="0" borderId="0" xfId="0"/>
    <xf numFmtId="0" fontId="2" fillId="0" borderId="0" xfId="0" applyFont="1"/>
    <xf numFmtId="0" fontId="2" fillId="0" borderId="0" xfId="0" applyFont="1" applyAlignment="1">
      <alignment horizontal="center"/>
    </xf>
    <xf numFmtId="0" fontId="3" fillId="0" borderId="0" xfId="0" applyFont="1"/>
    <xf numFmtId="0" fontId="2" fillId="0" borderId="0" xfId="0" applyFont="1" applyAlignment="1" applyProtection="1">
      <alignment horizontal="center"/>
      <protection locked="0"/>
    </xf>
    <xf numFmtId="0" fontId="7" fillId="0" borderId="0" xfId="1" applyFont="1" applyAlignment="1" applyProtection="1">
      <protection locked="0"/>
    </xf>
    <xf numFmtId="0" fontId="3" fillId="0" borderId="0" xfId="0" applyFont="1" applyAlignment="1">
      <alignment horizontal="left"/>
    </xf>
    <xf numFmtId="0" fontId="3" fillId="0" borderId="0" xfId="0" applyFont="1" applyAlignment="1">
      <alignment horizontal="center"/>
    </xf>
    <xf numFmtId="166" fontId="2" fillId="2" borderId="2" xfId="0" applyNumberFormat="1" applyFont="1" applyFill="1" applyBorder="1" applyAlignment="1" applyProtection="1">
      <alignment horizontal="center"/>
      <protection locked="0"/>
    </xf>
    <xf numFmtId="0" fontId="10" fillId="0" borderId="0" xfId="0" applyFont="1"/>
    <xf numFmtId="0" fontId="11" fillId="0" borderId="0" xfId="0" applyFont="1" applyAlignment="1">
      <alignment horizontal="right"/>
    </xf>
    <xf numFmtId="0" fontId="2" fillId="0" borderId="0" xfId="0" applyFont="1" applyAlignment="1">
      <alignment horizontal="left"/>
    </xf>
    <xf numFmtId="0" fontId="10" fillId="0" borderId="0" xfId="0" applyFont="1" applyAlignment="1">
      <alignment horizontal="left"/>
    </xf>
    <xf numFmtId="0" fontId="3" fillId="0" borderId="0" xfId="0" applyFont="1" applyAlignment="1">
      <alignment horizontal="left" wrapText="1"/>
    </xf>
    <xf numFmtId="0" fontId="3" fillId="2" borderId="2" xfId="0" applyFont="1" applyFill="1" applyBorder="1" applyAlignment="1">
      <alignment horizontal="center"/>
    </xf>
    <xf numFmtId="2" fontId="2" fillId="2" borderId="2" xfId="0" applyNumberFormat="1" applyFont="1" applyFill="1" applyBorder="1" applyAlignment="1" applyProtection="1">
      <alignment horizontal="center"/>
      <protection locked="0"/>
    </xf>
    <xf numFmtId="0" fontId="2" fillId="2" borderId="2" xfId="0" applyFont="1" applyFill="1" applyBorder="1" applyAlignment="1" applyProtection="1">
      <alignment horizontal="center"/>
      <protection locked="0"/>
    </xf>
    <xf numFmtId="0" fontId="3" fillId="0" borderId="0" xfId="0" applyFont="1" applyAlignment="1">
      <alignment vertical="center" wrapText="1"/>
    </xf>
    <xf numFmtId="14" fontId="2" fillId="0" borderId="0" xfId="0" applyNumberFormat="1" applyFont="1" applyProtection="1">
      <protection locked="0"/>
    </xf>
    <xf numFmtId="0" fontId="2" fillId="0" borderId="2" xfId="0" applyFont="1" applyBorder="1" applyAlignment="1">
      <alignment horizontal="center"/>
    </xf>
    <xf numFmtId="166" fontId="2" fillId="0" borderId="0" xfId="0" applyNumberFormat="1" applyFont="1" applyAlignment="1">
      <alignment horizontal="center"/>
    </xf>
    <xf numFmtId="0" fontId="3" fillId="0" borderId="0" xfId="0" quotePrefix="1" applyFont="1" applyAlignment="1">
      <alignment horizontal="center"/>
    </xf>
    <xf numFmtId="0" fontId="3" fillId="0" borderId="0" xfId="0" applyFont="1" applyAlignment="1">
      <alignment horizontal="left" vertical="center"/>
    </xf>
    <xf numFmtId="0" fontId="3" fillId="0" borderId="0" xfId="0" applyFont="1" applyAlignment="1">
      <alignment vertical="center"/>
    </xf>
    <xf numFmtId="0" fontId="3" fillId="0" borderId="0" xfId="0" applyFont="1" applyAlignment="1">
      <alignment horizontal="right"/>
    </xf>
    <xf numFmtId="0" fontId="4" fillId="0" borderId="0" xfId="0" applyFont="1" applyAlignment="1">
      <alignment horizontal="center"/>
    </xf>
    <xf numFmtId="0" fontId="3" fillId="0" borderId="2" xfId="0" applyFont="1" applyBorder="1"/>
    <xf numFmtId="0" fontId="3" fillId="0" borderId="2" xfId="0" applyFont="1" applyBorder="1" applyAlignment="1">
      <alignment horizontal="center"/>
    </xf>
    <xf numFmtId="0" fontId="2" fillId="0" borderId="2" xfId="0" applyFont="1" applyBorder="1" applyAlignment="1">
      <alignment horizontal="left" vertical="center"/>
    </xf>
    <xf numFmtId="0" fontId="2" fillId="0" borderId="2" xfId="0" applyFont="1" applyBorder="1" applyAlignment="1">
      <alignment horizontal="center" vertical="center"/>
    </xf>
    <xf numFmtId="0" fontId="6" fillId="0" borderId="0" xfId="0" applyFont="1" applyAlignment="1">
      <alignment horizontal="left"/>
    </xf>
    <xf numFmtId="0" fontId="2" fillId="0" borderId="2" xfId="0" applyFont="1" applyBorder="1"/>
    <xf numFmtId="49" fontId="2" fillId="0" borderId="2" xfId="0" applyNumberFormat="1" applyFont="1" applyBorder="1" applyAlignment="1">
      <alignment horizontal="center"/>
    </xf>
    <xf numFmtId="0" fontId="3" fillId="0" borderId="0" xfId="0" applyFont="1" applyAlignment="1">
      <alignment horizontal="center" vertical="center"/>
    </xf>
    <xf numFmtId="0" fontId="3" fillId="0" borderId="2" xfId="0" applyFont="1" applyBorder="1" applyAlignment="1">
      <alignment horizontal="center" wrapText="1"/>
    </xf>
    <xf numFmtId="0" fontId="2" fillId="0" borderId="0" xfId="0" applyFont="1" applyProtection="1">
      <protection locked="0"/>
    </xf>
    <xf numFmtId="0" fontId="0" fillId="0" borderId="0" xfId="0" applyProtection="1">
      <protection locked="0"/>
    </xf>
    <xf numFmtId="0" fontId="4" fillId="0" borderId="0" xfId="0" applyFont="1" applyAlignment="1" applyProtection="1">
      <alignment horizontal="center"/>
      <protection locked="0"/>
    </xf>
    <xf numFmtId="0" fontId="12" fillId="0" borderId="0" xfId="0" applyFont="1" applyAlignment="1">
      <alignment horizontal="center"/>
    </xf>
    <xf numFmtId="0" fontId="2" fillId="0" borderId="0" xfId="0" applyFont="1" applyAlignment="1">
      <alignment horizontal="justify" vertical="center"/>
    </xf>
    <xf numFmtId="0" fontId="8" fillId="0" borderId="0" xfId="0" applyFont="1" applyAlignment="1" applyProtection="1">
      <alignment horizontal="center"/>
      <protection locked="0"/>
    </xf>
    <xf numFmtId="2" fontId="8" fillId="0" borderId="0" xfId="0" applyNumberFormat="1" applyFont="1" applyAlignment="1" applyProtection="1">
      <alignment horizontal="center"/>
      <protection locked="0"/>
    </xf>
    <xf numFmtId="165" fontId="19" fillId="0" borderId="0" xfId="0" applyNumberFormat="1" applyFont="1" applyAlignment="1">
      <alignment horizontal="center"/>
    </xf>
    <xf numFmtId="0" fontId="3" fillId="3" borderId="2" xfId="0" applyFont="1" applyFill="1" applyBorder="1" applyAlignment="1">
      <alignment horizontal="center"/>
    </xf>
    <xf numFmtId="0" fontId="15" fillId="0" borderId="0" xfId="0" applyFont="1"/>
    <xf numFmtId="166" fontId="3" fillId="0" borderId="0" xfId="0" applyNumberFormat="1" applyFont="1" applyAlignment="1">
      <alignment horizontal="center"/>
    </xf>
    <xf numFmtId="0" fontId="2" fillId="0" borderId="0" xfId="0" applyFont="1" applyAlignment="1">
      <alignment horizontal="left" indent="1"/>
    </xf>
    <xf numFmtId="0" fontId="16" fillId="0" borderId="0" xfId="0" applyFont="1" applyAlignment="1">
      <alignment horizontal="left" indent="1"/>
    </xf>
    <xf numFmtId="0" fontId="3" fillId="0" borderId="4" xfId="0" applyFont="1" applyBorder="1" applyAlignment="1">
      <alignment horizontal="center"/>
    </xf>
    <xf numFmtId="0" fontId="3" fillId="0" borderId="1" xfId="0" applyFont="1" applyBorder="1" applyAlignment="1">
      <alignment horizontal="center"/>
    </xf>
    <xf numFmtId="0" fontId="3" fillId="5" borderId="2" xfId="0" applyFont="1" applyFill="1" applyBorder="1" applyAlignment="1">
      <alignment horizontal="center"/>
    </xf>
    <xf numFmtId="2" fontId="2" fillId="4" borderId="2" xfId="0" applyNumberFormat="1" applyFont="1" applyFill="1" applyBorder="1" applyAlignment="1">
      <alignment horizontal="center"/>
    </xf>
    <xf numFmtId="166" fontId="3" fillId="4" borderId="10" xfId="0" applyNumberFormat="1" applyFont="1" applyFill="1" applyBorder="1" applyAlignment="1">
      <alignment horizontal="center"/>
    </xf>
    <xf numFmtId="166" fontId="3" fillId="4" borderId="2" xfId="0" applyNumberFormat="1" applyFont="1" applyFill="1" applyBorder="1" applyAlignment="1">
      <alignment horizontal="center"/>
    </xf>
    <xf numFmtId="166" fontId="3" fillId="4" borderId="12" xfId="0" applyNumberFormat="1" applyFont="1" applyFill="1" applyBorder="1" applyAlignment="1">
      <alignment horizontal="center"/>
    </xf>
    <xf numFmtId="0" fontId="3" fillId="5" borderId="13" xfId="0" applyFont="1" applyFill="1" applyBorder="1" applyAlignment="1">
      <alignment horizontal="center"/>
    </xf>
    <xf numFmtId="0" fontId="3" fillId="5" borderId="14" xfId="0" applyFont="1" applyFill="1" applyBorder="1" applyAlignment="1">
      <alignment horizontal="center"/>
    </xf>
    <xf numFmtId="0" fontId="3" fillId="5" borderId="15" xfId="0" applyFont="1" applyFill="1" applyBorder="1" applyAlignment="1">
      <alignment horizontal="center"/>
    </xf>
    <xf numFmtId="166" fontId="3" fillId="4" borderId="7" xfId="0" applyNumberFormat="1" applyFont="1" applyFill="1" applyBorder="1" applyAlignment="1">
      <alignment horizontal="center"/>
    </xf>
    <xf numFmtId="0" fontId="3" fillId="0" borderId="6" xfId="0" applyFont="1" applyBorder="1" applyAlignment="1">
      <alignment horizontal="center"/>
    </xf>
    <xf numFmtId="166" fontId="3" fillId="3" borderId="2" xfId="0" applyNumberFormat="1" applyFont="1" applyFill="1" applyBorder="1" applyAlignment="1">
      <alignment horizontal="center"/>
    </xf>
    <xf numFmtId="164" fontId="3" fillId="3" borderId="2" xfId="0" applyNumberFormat="1" applyFont="1" applyFill="1" applyBorder="1" applyAlignment="1">
      <alignment horizontal="center"/>
    </xf>
    <xf numFmtId="0" fontId="3" fillId="0" borderId="12" xfId="0" applyFont="1" applyBorder="1" applyAlignment="1">
      <alignment horizontal="center" vertical="center" wrapText="1"/>
    </xf>
    <xf numFmtId="0" fontId="3" fillId="0" borderId="17" xfId="0" applyFont="1" applyBorder="1" applyAlignment="1">
      <alignment horizontal="center"/>
    </xf>
    <xf numFmtId="166" fontId="3" fillId="2" borderId="2" xfId="0" applyNumberFormat="1" applyFont="1" applyFill="1" applyBorder="1" applyAlignment="1">
      <alignment horizontal="center"/>
    </xf>
    <xf numFmtId="164" fontId="3" fillId="4" borderId="18" xfId="0" applyNumberFormat="1" applyFont="1" applyFill="1" applyBorder="1" applyAlignment="1">
      <alignment horizontal="center" vertical="center" wrapText="1"/>
    </xf>
    <xf numFmtId="166" fontId="3" fillId="2" borderId="3" xfId="0" applyNumberFormat="1" applyFont="1" applyFill="1" applyBorder="1" applyAlignment="1">
      <alignment horizontal="center"/>
    </xf>
    <xf numFmtId="166" fontId="3" fillId="2" borderId="4" xfId="0" applyNumberFormat="1" applyFont="1" applyFill="1" applyBorder="1" applyAlignment="1">
      <alignment horizontal="center"/>
    </xf>
    <xf numFmtId="0" fontId="3" fillId="0" borderId="19" xfId="0" applyFont="1" applyBorder="1" applyAlignment="1">
      <alignment horizontal="center" vertical="center" wrapText="1"/>
    </xf>
    <xf numFmtId="0" fontId="3" fillId="0" borderId="20" xfId="0" applyFont="1" applyBorder="1" applyAlignment="1">
      <alignment horizontal="center" vertical="center" wrapText="1"/>
    </xf>
    <xf numFmtId="164" fontId="3" fillId="3" borderId="10" xfId="0" applyNumberFormat="1" applyFont="1" applyFill="1" applyBorder="1" applyAlignment="1">
      <alignment horizontal="center" vertical="center" wrapText="1"/>
    </xf>
    <xf numFmtId="166" fontId="3" fillId="2" borderId="5" xfId="0" applyNumberFormat="1" applyFont="1" applyFill="1" applyBorder="1" applyAlignment="1">
      <alignment horizontal="center"/>
    </xf>
    <xf numFmtId="166" fontId="3" fillId="2" borderId="6" xfId="0" applyNumberFormat="1" applyFont="1" applyFill="1" applyBorder="1" applyAlignment="1">
      <alignment horizontal="center"/>
    </xf>
    <xf numFmtId="166" fontId="3" fillId="0" borderId="13" xfId="0" applyNumberFormat="1" applyFont="1" applyBorder="1" applyAlignment="1">
      <alignment horizontal="center" vertical="center"/>
    </xf>
    <xf numFmtId="166" fontId="3" fillId="4" borderId="14" xfId="0" applyNumberFormat="1" applyFont="1" applyFill="1" applyBorder="1" applyAlignment="1">
      <alignment horizontal="center"/>
    </xf>
    <xf numFmtId="166" fontId="3" fillId="4" borderId="15" xfId="0" applyNumberFormat="1" applyFont="1" applyFill="1" applyBorder="1" applyAlignment="1">
      <alignment horizontal="center"/>
    </xf>
    <xf numFmtId="166" fontId="3" fillId="4" borderId="23" xfId="0" applyNumberFormat="1" applyFont="1" applyFill="1" applyBorder="1" applyAlignment="1">
      <alignment horizontal="center"/>
    </xf>
    <xf numFmtId="166" fontId="3" fillId="0" borderId="4" xfId="0" quotePrefix="1" applyNumberFormat="1" applyFont="1" applyBorder="1" applyAlignment="1">
      <alignment horizontal="center"/>
    </xf>
    <xf numFmtId="166" fontId="3" fillId="0" borderId="15" xfId="0" applyNumberFormat="1" applyFont="1" applyBorder="1" applyAlignment="1">
      <alignment horizontal="center" vertical="center"/>
    </xf>
    <xf numFmtId="0" fontId="3" fillId="5" borderId="24" xfId="0" applyFont="1" applyFill="1" applyBorder="1" applyAlignment="1">
      <alignment horizontal="center"/>
    </xf>
    <xf numFmtId="0" fontId="3" fillId="5" borderId="25" xfId="0" applyFont="1" applyFill="1" applyBorder="1" applyAlignment="1">
      <alignment horizontal="center"/>
    </xf>
    <xf numFmtId="0" fontId="3" fillId="5" borderId="26" xfId="0" applyFont="1" applyFill="1" applyBorder="1" applyAlignment="1">
      <alignment horizontal="center"/>
    </xf>
    <xf numFmtId="166" fontId="3" fillId="4" borderId="24" xfId="0" applyNumberFormat="1" applyFont="1" applyFill="1" applyBorder="1" applyAlignment="1">
      <alignment horizontal="center"/>
    </xf>
    <xf numFmtId="166" fontId="3" fillId="4" borderId="25" xfId="0" applyNumberFormat="1" applyFont="1" applyFill="1" applyBorder="1" applyAlignment="1">
      <alignment horizontal="center"/>
    </xf>
    <xf numFmtId="166" fontId="3" fillId="4" borderId="26" xfId="0" applyNumberFormat="1" applyFont="1" applyFill="1" applyBorder="1" applyAlignment="1">
      <alignment horizontal="center"/>
    </xf>
    <xf numFmtId="166" fontId="3" fillId="0" borderId="3" xfId="0" applyNumberFormat="1" applyFont="1" applyBorder="1" applyAlignment="1">
      <alignment horizontal="center" vertical="center"/>
    </xf>
    <xf numFmtId="166" fontId="3" fillId="0" borderId="5" xfId="0" applyNumberFormat="1" applyFont="1" applyBorder="1" applyAlignment="1">
      <alignment horizontal="center" vertical="center"/>
    </xf>
    <xf numFmtId="166" fontId="3" fillId="3" borderId="18" xfId="0" applyNumberFormat="1" applyFont="1" applyFill="1" applyBorder="1" applyAlignment="1">
      <alignment horizontal="center"/>
    </xf>
    <xf numFmtId="166" fontId="3" fillId="2" borderId="18" xfId="0" applyNumberFormat="1" applyFont="1" applyFill="1" applyBorder="1" applyAlignment="1">
      <alignment horizontal="center"/>
    </xf>
    <xf numFmtId="166" fontId="3" fillId="4" borderId="18" xfId="0" applyNumberFormat="1" applyFont="1" applyFill="1" applyBorder="1" applyAlignment="1">
      <alignment horizontal="center"/>
    </xf>
    <xf numFmtId="166" fontId="3" fillId="3" borderId="10" xfId="0" applyNumberFormat="1" applyFont="1" applyFill="1" applyBorder="1" applyAlignment="1">
      <alignment horizontal="center"/>
    </xf>
    <xf numFmtId="166" fontId="3" fillId="2" borderId="10" xfId="0" applyNumberFormat="1" applyFont="1" applyFill="1" applyBorder="1" applyAlignment="1">
      <alignment horizontal="center"/>
    </xf>
    <xf numFmtId="166" fontId="3" fillId="5" borderId="8" xfId="0" applyNumberFormat="1" applyFont="1" applyFill="1" applyBorder="1" applyAlignment="1">
      <alignment horizontal="center"/>
    </xf>
    <xf numFmtId="166" fontId="3" fillId="5" borderId="5" xfId="0" applyNumberFormat="1" applyFont="1" applyFill="1" applyBorder="1" applyAlignment="1">
      <alignment horizontal="center"/>
    </xf>
    <xf numFmtId="166" fontId="3" fillId="3" borderId="12" xfId="0" applyNumberFormat="1" applyFont="1" applyFill="1" applyBorder="1" applyAlignment="1">
      <alignment horizontal="center"/>
    </xf>
    <xf numFmtId="166" fontId="3" fillId="2" borderId="12" xfId="0" applyNumberFormat="1" applyFont="1" applyFill="1" applyBorder="1" applyAlignment="1">
      <alignment horizontal="center"/>
    </xf>
    <xf numFmtId="166" fontId="3" fillId="5" borderId="6" xfId="0" applyNumberFormat="1" applyFont="1" applyFill="1" applyBorder="1" applyAlignment="1">
      <alignment horizontal="center"/>
    </xf>
    <xf numFmtId="166" fontId="3" fillId="0" borderId="10" xfId="0" applyNumberFormat="1" applyFont="1" applyBorder="1" applyAlignment="1">
      <alignment horizontal="left" indent="1"/>
    </xf>
    <xf numFmtId="166" fontId="3" fillId="0" borderId="2" xfId="0" applyNumberFormat="1" applyFont="1" applyBorder="1" applyAlignment="1">
      <alignment horizontal="left" indent="1"/>
    </xf>
    <xf numFmtId="166" fontId="3" fillId="0" borderId="12" xfId="0" applyNumberFormat="1" applyFont="1" applyBorder="1" applyAlignment="1">
      <alignment horizontal="left" indent="1"/>
    </xf>
    <xf numFmtId="0" fontId="3" fillId="0" borderId="13" xfId="0" applyFont="1" applyBorder="1" applyAlignment="1">
      <alignment horizontal="center"/>
    </xf>
    <xf numFmtId="0" fontId="2" fillId="0" borderId="14" xfId="0" applyFont="1" applyBorder="1" applyAlignment="1">
      <alignment horizontal="center"/>
    </xf>
    <xf numFmtId="0" fontId="2" fillId="0" borderId="15" xfId="0" applyFont="1" applyBorder="1" applyAlignment="1">
      <alignment horizontal="center"/>
    </xf>
    <xf numFmtId="166" fontId="3" fillId="0" borderId="27" xfId="0" quotePrefix="1" applyNumberFormat="1" applyFont="1" applyBorder="1" applyAlignment="1">
      <alignment horizontal="center"/>
    </xf>
    <xf numFmtId="166" fontId="3" fillId="0" borderId="28" xfId="0" applyNumberFormat="1" applyFont="1" applyBorder="1" applyAlignment="1">
      <alignment horizontal="center"/>
    </xf>
    <xf numFmtId="166" fontId="3" fillId="0" borderId="29" xfId="0" applyNumberFormat="1" applyFont="1" applyBorder="1" applyAlignment="1">
      <alignment horizontal="center"/>
    </xf>
    <xf numFmtId="166" fontId="3" fillId="0" borderId="30" xfId="0" applyNumberFormat="1" applyFont="1" applyBorder="1" applyAlignment="1">
      <alignment horizontal="center"/>
    </xf>
    <xf numFmtId="166" fontId="3" fillId="0" borderId="31" xfId="0" applyNumberFormat="1" applyFont="1" applyBorder="1" applyAlignment="1">
      <alignment horizontal="center"/>
    </xf>
    <xf numFmtId="166" fontId="3" fillId="0" borderId="18" xfId="0" applyNumberFormat="1" applyFont="1" applyBorder="1" applyAlignment="1">
      <alignment horizontal="left" indent="1"/>
    </xf>
    <xf numFmtId="166" fontId="3" fillId="5" borderId="32" xfId="0" applyNumberFormat="1" applyFont="1" applyFill="1" applyBorder="1" applyAlignment="1">
      <alignment horizontal="center"/>
    </xf>
    <xf numFmtId="0" fontId="2" fillId="0" borderId="0" xfId="0" applyFont="1" applyAlignment="1" applyProtection="1">
      <alignment vertical="top" wrapText="1"/>
      <protection locked="0"/>
    </xf>
    <xf numFmtId="0" fontId="20" fillId="0" borderId="2" xfId="0" applyFont="1" applyBorder="1" applyAlignment="1">
      <alignment horizontal="center"/>
    </xf>
    <xf numFmtId="0" fontId="21" fillId="0" borderId="2" xfId="0" applyFont="1" applyBorder="1" applyAlignment="1">
      <alignment horizontal="center" vertical="center" wrapText="1"/>
    </xf>
    <xf numFmtId="0" fontId="22" fillId="0" borderId="2" xfId="0" applyFont="1" applyBorder="1" applyAlignment="1">
      <alignment horizontal="center" vertical="center" wrapText="1"/>
    </xf>
    <xf numFmtId="0" fontId="22" fillId="0" borderId="2" xfId="0" applyFont="1" applyBorder="1" applyAlignment="1">
      <alignment horizontal="center" vertical="center"/>
    </xf>
    <xf numFmtId="0" fontId="20" fillId="0" borderId="2" xfId="0" applyFont="1" applyBorder="1"/>
    <xf numFmtId="0" fontId="20" fillId="3" borderId="2" xfId="0" applyFont="1" applyFill="1" applyBorder="1" applyAlignment="1">
      <alignment horizontal="right" indent="3"/>
    </xf>
    <xf numFmtId="0" fontId="20" fillId="4" borderId="2" xfId="0" applyFont="1" applyFill="1" applyBorder="1" applyAlignment="1">
      <alignment horizontal="center"/>
    </xf>
    <xf numFmtId="0" fontId="20" fillId="5" borderId="2" xfId="0" applyFont="1" applyFill="1" applyBorder="1" applyAlignment="1">
      <alignment horizontal="center"/>
    </xf>
    <xf numFmtId="0" fontId="20" fillId="3" borderId="2" xfId="0" applyFont="1" applyFill="1" applyBorder="1" applyAlignment="1">
      <alignment horizontal="right" indent="2"/>
    </xf>
    <xf numFmtId="0" fontId="20" fillId="0" borderId="0" xfId="0" applyFont="1"/>
    <xf numFmtId="0" fontId="20" fillId="0" borderId="0" xfId="0" applyFont="1" applyAlignment="1">
      <alignment horizontal="center"/>
    </xf>
    <xf numFmtId="0" fontId="21" fillId="0" borderId="0" xfId="0" applyFont="1" applyAlignment="1">
      <alignment horizontal="center"/>
    </xf>
    <xf numFmtId="0" fontId="3" fillId="0" borderId="0" xfId="0" applyFont="1" applyAlignment="1">
      <alignment horizontal="center" vertical="center" wrapText="1"/>
    </xf>
    <xf numFmtId="0" fontId="2" fillId="0" borderId="0" xfId="2" applyFont="1"/>
    <xf numFmtId="0" fontId="2" fillId="0" borderId="0" xfId="0" applyFont="1" applyAlignment="1">
      <alignment horizontal="left" vertical="center"/>
    </xf>
    <xf numFmtId="0" fontId="2" fillId="0" borderId="0" xfId="0" applyFont="1" applyAlignment="1">
      <alignment vertical="center"/>
    </xf>
    <xf numFmtId="0" fontId="3" fillId="0" borderId="2" xfId="0" applyFont="1" applyBorder="1" applyAlignment="1">
      <alignment horizontal="center" vertical="center"/>
    </xf>
    <xf numFmtId="0" fontId="2" fillId="3" borderId="2" xfId="0" applyFont="1" applyFill="1" applyBorder="1" applyAlignment="1">
      <alignment horizontal="center" vertical="center"/>
    </xf>
    <xf numFmtId="0" fontId="2" fillId="5" borderId="2" xfId="0" applyFont="1" applyFill="1" applyBorder="1" applyAlignment="1">
      <alignment horizontal="center" vertical="center"/>
    </xf>
    <xf numFmtId="0" fontId="2" fillId="0" borderId="0" xfId="0" applyFont="1" applyAlignment="1">
      <alignment horizontal="center" vertical="center"/>
    </xf>
    <xf numFmtId="0" fontId="3" fillId="0" borderId="35" xfId="0" applyFont="1" applyBorder="1" applyAlignment="1">
      <alignment horizontal="center" vertical="center"/>
    </xf>
    <xf numFmtId="164" fontId="2" fillId="4" borderId="2" xfId="0" applyNumberFormat="1" applyFont="1" applyFill="1" applyBorder="1" applyAlignment="1">
      <alignment horizontal="center"/>
    </xf>
    <xf numFmtId="0" fontId="2" fillId="5" borderId="2" xfId="0" applyFont="1" applyFill="1" applyBorder="1" applyAlignment="1">
      <alignment horizontal="center"/>
    </xf>
    <xf numFmtId="0" fontId="2" fillId="0" borderId="2" xfId="0" applyFont="1" applyBorder="1" applyAlignment="1">
      <alignment vertical="center"/>
    </xf>
    <xf numFmtId="14" fontId="8" fillId="0" borderId="0" xfId="0" applyNumberFormat="1" applyFont="1" applyAlignment="1">
      <alignment horizontal="center"/>
    </xf>
    <xf numFmtId="0" fontId="3" fillId="0" borderId="0" xfId="2" applyFont="1"/>
    <xf numFmtId="0" fontId="3" fillId="0" borderId="0" xfId="2" applyFont="1" applyAlignment="1">
      <alignment horizontal="center" vertical="center"/>
    </xf>
    <xf numFmtId="0" fontId="3" fillId="0" borderId="33" xfId="2" applyFont="1" applyBorder="1"/>
    <xf numFmtId="0" fontId="3" fillId="0" borderId="41" xfId="2" applyFont="1" applyBorder="1"/>
    <xf numFmtId="0" fontId="3" fillId="0" borderId="2" xfId="2" applyFont="1" applyBorder="1" applyAlignment="1">
      <alignment horizontal="center" vertical="center"/>
    </xf>
    <xf numFmtId="0" fontId="3" fillId="0" borderId="2" xfId="2" applyFont="1" applyBorder="1"/>
    <xf numFmtId="0" fontId="2" fillId="3" borderId="2" xfId="2" applyFont="1" applyFill="1" applyBorder="1" applyAlignment="1">
      <alignment horizontal="center" vertical="center"/>
    </xf>
    <xf numFmtId="0" fontId="2" fillId="5" borderId="2" xfId="2" applyFont="1" applyFill="1" applyBorder="1" applyAlignment="1">
      <alignment horizontal="center" vertical="center"/>
    </xf>
    <xf numFmtId="2" fontId="2" fillId="3" borderId="2" xfId="2" applyNumberFormat="1" applyFont="1" applyFill="1" applyBorder="1" applyAlignment="1">
      <alignment horizontal="center" vertical="center"/>
    </xf>
    <xf numFmtId="2" fontId="3" fillId="0" borderId="0" xfId="2" applyNumberFormat="1" applyFont="1"/>
    <xf numFmtId="0" fontId="2" fillId="0" borderId="37" xfId="2" applyFont="1" applyBorder="1" applyAlignment="1">
      <alignment horizontal="left"/>
    </xf>
    <xf numFmtId="0" fontId="2" fillId="0" borderId="0" xfId="2" applyFont="1" applyAlignment="1">
      <alignment horizontal="left"/>
    </xf>
    <xf numFmtId="0" fontId="2" fillId="0" borderId="0" xfId="2" applyFont="1" applyAlignment="1">
      <alignment horizontal="center"/>
    </xf>
    <xf numFmtId="0" fontId="2" fillId="3" borderId="2" xfId="2" applyFont="1" applyFill="1" applyBorder="1" applyAlignment="1">
      <alignment horizontal="center"/>
    </xf>
    <xf numFmtId="0" fontId="2" fillId="2" borderId="2" xfId="2" applyFont="1" applyFill="1" applyBorder="1" applyAlignment="1" applyProtection="1">
      <alignment horizontal="center" vertical="center"/>
      <protection locked="0"/>
    </xf>
    <xf numFmtId="2" fontId="2" fillId="2" borderId="2" xfId="2" applyNumberFormat="1" applyFont="1" applyFill="1" applyBorder="1" applyAlignment="1" applyProtection="1">
      <alignment horizontal="center" vertical="center"/>
      <protection locked="0"/>
    </xf>
    <xf numFmtId="0" fontId="2" fillId="0" borderId="0" xfId="2" applyFont="1" applyAlignment="1">
      <alignment vertical="center"/>
    </xf>
    <xf numFmtId="164" fontId="3" fillId="4" borderId="16" xfId="0" applyNumberFormat="1" applyFont="1" applyFill="1" applyBorder="1" applyAlignment="1">
      <alignment horizontal="center"/>
    </xf>
    <xf numFmtId="2" fontId="3" fillId="4" borderId="16" xfId="0" applyNumberFormat="1" applyFont="1" applyFill="1" applyBorder="1" applyAlignment="1">
      <alignment horizontal="center"/>
    </xf>
    <xf numFmtId="2" fontId="3" fillId="4" borderId="33" xfId="0" applyNumberFormat="1" applyFont="1" applyFill="1" applyBorder="1" applyAlignment="1">
      <alignment horizontal="center" vertical="center" wrapText="1"/>
    </xf>
    <xf numFmtId="0" fontId="3" fillId="0" borderId="26" xfId="0" applyFont="1" applyBorder="1" applyAlignment="1">
      <alignment horizontal="center" vertical="center" wrapText="1"/>
    </xf>
    <xf numFmtId="164" fontId="3" fillId="4" borderId="32" xfId="0" applyNumberFormat="1" applyFont="1" applyFill="1" applyBorder="1" applyAlignment="1">
      <alignment horizontal="center" vertical="center" wrapText="1"/>
    </xf>
    <xf numFmtId="14" fontId="3" fillId="2" borderId="2" xfId="0" applyNumberFormat="1" applyFont="1" applyFill="1" applyBorder="1" applyAlignment="1">
      <alignment horizontal="center"/>
    </xf>
    <xf numFmtId="164" fontId="3" fillId="2" borderId="9" xfId="0" applyNumberFormat="1" applyFont="1" applyFill="1" applyBorder="1" applyAlignment="1">
      <alignment horizontal="center"/>
    </xf>
    <xf numFmtId="164" fontId="3" fillId="2" borderId="16" xfId="0" applyNumberFormat="1" applyFont="1" applyFill="1" applyBorder="1" applyAlignment="1">
      <alignment horizontal="center"/>
    </xf>
    <xf numFmtId="164" fontId="3" fillId="2" borderId="11" xfId="0" applyNumberFormat="1" applyFont="1" applyFill="1" applyBorder="1" applyAlignment="1">
      <alignment horizontal="center"/>
    </xf>
    <xf numFmtId="14" fontId="21" fillId="2" borderId="2" xfId="0" applyNumberFormat="1" applyFont="1" applyFill="1" applyBorder="1" applyAlignment="1" applyProtection="1">
      <alignment horizontal="center"/>
      <protection locked="0"/>
    </xf>
    <xf numFmtId="0" fontId="2" fillId="3" borderId="2" xfId="0" applyFont="1" applyFill="1" applyBorder="1" applyAlignment="1">
      <alignment horizontal="center"/>
    </xf>
    <xf numFmtId="0" fontId="3" fillId="0" borderId="0" xfId="2" applyFont="1" applyAlignment="1">
      <alignment horizontal="center"/>
    </xf>
    <xf numFmtId="0" fontId="3" fillId="0" borderId="0" xfId="0" applyFont="1" applyAlignment="1">
      <alignment horizontal="left" vertical="center" wrapText="1"/>
    </xf>
    <xf numFmtId="0" fontId="23" fillId="0" borderId="0" xfId="0" applyFont="1"/>
    <xf numFmtId="14" fontId="3" fillId="3" borderId="2" xfId="0" applyNumberFormat="1" applyFont="1" applyFill="1" applyBorder="1" applyAlignment="1">
      <alignment horizontal="center"/>
    </xf>
    <xf numFmtId="164" fontId="3" fillId="3" borderId="22" xfId="0" applyNumberFormat="1" applyFont="1" applyFill="1" applyBorder="1" applyAlignment="1">
      <alignment horizontal="center"/>
    </xf>
    <xf numFmtId="164" fontId="3" fillId="2" borderId="7" xfId="0" applyNumberFormat="1" applyFont="1" applyFill="1" applyBorder="1" applyAlignment="1">
      <alignment horizontal="center"/>
    </xf>
    <xf numFmtId="164" fontId="3" fillId="3" borderId="8" xfId="0" applyNumberFormat="1" applyFont="1" applyFill="1" applyBorder="1" applyAlignment="1">
      <alignment horizontal="center"/>
    </xf>
    <xf numFmtId="164" fontId="3" fillId="3" borderId="32" xfId="0" applyNumberFormat="1" applyFont="1" applyFill="1" applyBorder="1" applyAlignment="1">
      <alignment horizontal="center"/>
    </xf>
    <xf numFmtId="164" fontId="3" fillId="3" borderId="5" xfId="0" applyNumberFormat="1" applyFont="1" applyFill="1" applyBorder="1" applyAlignment="1">
      <alignment horizontal="center"/>
    </xf>
    <xf numFmtId="164" fontId="3" fillId="3" borderId="6" xfId="0" applyNumberFormat="1" applyFont="1" applyFill="1" applyBorder="1" applyAlignment="1">
      <alignment horizontal="center"/>
    </xf>
    <xf numFmtId="164" fontId="3" fillId="4" borderId="2" xfId="0" applyNumberFormat="1" applyFont="1" applyFill="1" applyBorder="1" applyAlignment="1">
      <alignment horizontal="center"/>
    </xf>
    <xf numFmtId="164" fontId="3" fillId="3" borderId="4" xfId="0" applyNumberFormat="1" applyFont="1" applyFill="1" applyBorder="1" applyAlignment="1">
      <alignment horizontal="center"/>
    </xf>
    <xf numFmtId="164" fontId="3" fillId="3" borderId="3" xfId="0" applyNumberFormat="1" applyFont="1" applyFill="1" applyBorder="1" applyAlignment="1">
      <alignment horizontal="center"/>
    </xf>
    <xf numFmtId="164" fontId="3" fillId="3" borderId="18" xfId="0" applyNumberFormat="1" applyFont="1" applyFill="1" applyBorder="1" applyAlignment="1">
      <alignment horizontal="center" vertical="center" wrapText="1"/>
    </xf>
    <xf numFmtId="164" fontId="3" fillId="3" borderId="2" xfId="0" applyNumberFormat="1" applyFont="1" applyFill="1" applyBorder="1" applyAlignment="1">
      <alignment horizontal="center" vertical="center" wrapText="1"/>
    </xf>
    <xf numFmtId="164" fontId="3" fillId="3" borderId="12" xfId="0" applyNumberFormat="1" applyFont="1" applyFill="1" applyBorder="1" applyAlignment="1">
      <alignment horizontal="center" vertical="center" wrapText="1"/>
    </xf>
    <xf numFmtId="2" fontId="2" fillId="0" borderId="0" xfId="0" applyNumberFormat="1" applyFont="1" applyAlignment="1" applyProtection="1">
      <alignment horizontal="center"/>
      <protection locked="0"/>
    </xf>
    <xf numFmtId="0" fontId="3" fillId="4" borderId="2" xfId="0" applyFont="1" applyFill="1" applyBorder="1" applyAlignment="1">
      <alignment horizontal="center"/>
    </xf>
    <xf numFmtId="0" fontId="3" fillId="2" borderId="41" xfId="0" applyFont="1" applyFill="1" applyBorder="1" applyAlignment="1">
      <alignment horizontal="center" vertical="center" wrapText="1"/>
    </xf>
    <xf numFmtId="164" fontId="3" fillId="2" borderId="35" xfId="0" applyNumberFormat="1" applyFont="1" applyFill="1" applyBorder="1" applyAlignment="1">
      <alignment horizontal="center"/>
    </xf>
    <xf numFmtId="164" fontId="3" fillId="2" borderId="17" xfId="0" applyNumberFormat="1" applyFont="1" applyFill="1" applyBorder="1" applyAlignment="1">
      <alignment horizontal="center"/>
    </xf>
    <xf numFmtId="164" fontId="3" fillId="3" borderId="30" xfId="0" applyNumberFormat="1" applyFont="1" applyFill="1" applyBorder="1" applyAlignment="1">
      <alignment horizontal="center"/>
    </xf>
    <xf numFmtId="164" fontId="3" fillId="3" borderId="12" xfId="0" applyNumberFormat="1" applyFont="1" applyFill="1" applyBorder="1" applyAlignment="1">
      <alignment horizontal="center"/>
    </xf>
    <xf numFmtId="0" fontId="2" fillId="6" borderId="2" xfId="0" applyFont="1" applyFill="1" applyBorder="1"/>
    <xf numFmtId="0" fontId="2" fillId="6" borderId="2" xfId="0" applyFont="1" applyFill="1" applyBorder="1" applyProtection="1">
      <protection locked="0"/>
    </xf>
    <xf numFmtId="0" fontId="3" fillId="0" borderId="0" xfId="0" applyFont="1" applyProtection="1">
      <protection locked="0"/>
    </xf>
    <xf numFmtId="164" fontId="3" fillId="0" borderId="0" xfId="0" applyNumberFormat="1" applyFont="1" applyAlignment="1">
      <alignment horizontal="center"/>
    </xf>
    <xf numFmtId="164" fontId="3" fillId="2" borderId="3" xfId="0" applyNumberFormat="1" applyFont="1" applyFill="1" applyBorder="1" applyAlignment="1">
      <alignment horizontal="center"/>
    </xf>
    <xf numFmtId="164" fontId="3" fillId="2" borderId="4" xfId="0" applyNumberFormat="1" applyFont="1" applyFill="1" applyBorder="1" applyAlignment="1">
      <alignment horizontal="center"/>
    </xf>
    <xf numFmtId="11" fontId="2" fillId="0" borderId="0" xfId="0" applyNumberFormat="1" applyFont="1"/>
    <xf numFmtId="0" fontId="24" fillId="0" borderId="0" xfId="0" applyFont="1" applyAlignment="1">
      <alignment horizontal="center"/>
    </xf>
    <xf numFmtId="164" fontId="3" fillId="3" borderId="22" xfId="0" applyNumberFormat="1" applyFont="1" applyFill="1" applyBorder="1" applyAlignment="1">
      <alignment horizontal="center" vertical="center" wrapText="1"/>
    </xf>
    <xf numFmtId="164" fontId="8" fillId="0" borderId="0" xfId="0" applyNumberFormat="1" applyFont="1" applyAlignment="1" applyProtection="1">
      <alignment horizontal="center"/>
      <protection locked="0"/>
    </xf>
    <xf numFmtId="0" fontId="2" fillId="7" borderId="0" xfId="0" applyFont="1" applyFill="1"/>
    <xf numFmtId="16" fontId="2" fillId="0" borderId="0" xfId="0" applyNumberFormat="1" applyFont="1"/>
    <xf numFmtId="0" fontId="2" fillId="0" borderId="0" xfId="0" applyFont="1" applyFill="1" applyBorder="1"/>
    <xf numFmtId="0" fontId="3" fillId="0" borderId="0" xfId="0" applyFont="1" applyFill="1" applyBorder="1" applyAlignment="1">
      <alignment horizontal="center" vertical="center"/>
    </xf>
    <xf numFmtId="0" fontId="2" fillId="0" borderId="0" xfId="0" applyFont="1" applyFill="1" applyBorder="1" applyAlignment="1">
      <alignment horizontal="center"/>
    </xf>
    <xf numFmtId="0" fontId="2" fillId="0" borderId="0" xfId="0" applyFont="1" applyFill="1" applyBorder="1" applyAlignment="1" applyProtection="1">
      <alignment horizontal="center"/>
      <protection locked="0"/>
    </xf>
    <xf numFmtId="0" fontId="2" fillId="0" borderId="0" xfId="0" applyFont="1" applyFill="1" applyBorder="1" applyAlignment="1">
      <alignment horizontal="center" vertical="center"/>
    </xf>
    <xf numFmtId="0" fontId="2" fillId="0" borderId="0" xfId="0" applyFont="1" applyFill="1" applyBorder="1" applyAlignment="1">
      <alignment horizontal="left"/>
    </xf>
    <xf numFmtId="164" fontId="2" fillId="0" borderId="0" xfId="0" applyNumberFormat="1" applyFont="1"/>
    <xf numFmtId="0" fontId="3" fillId="0" borderId="0" xfId="2" applyFont="1" applyFill="1" applyBorder="1" applyAlignment="1">
      <alignment horizontal="center" vertical="center"/>
    </xf>
    <xf numFmtId="0" fontId="2" fillId="0" borderId="0" xfId="2" applyFont="1" applyFill="1" applyBorder="1" applyAlignment="1" applyProtection="1">
      <alignment horizontal="center" vertical="center"/>
      <protection locked="0"/>
    </xf>
    <xf numFmtId="2" fontId="2" fillId="0" borderId="0" xfId="2" applyNumberFormat="1" applyFont="1" applyFill="1" applyBorder="1" applyAlignment="1" applyProtection="1">
      <alignment horizontal="center" vertical="center"/>
      <protection locked="0"/>
    </xf>
    <xf numFmtId="0" fontId="2" fillId="0" borderId="0" xfId="0" applyFont="1" applyAlignment="1">
      <alignment horizontal="left"/>
    </xf>
    <xf numFmtId="0" fontId="3" fillId="0" borderId="0" xfId="0" applyFont="1" applyAlignment="1">
      <alignment horizontal="left" vertical="center" wrapText="1"/>
    </xf>
    <xf numFmtId="0" fontId="3" fillId="0" borderId="0" xfId="0" applyFont="1" applyAlignment="1">
      <alignment horizontal="center"/>
    </xf>
    <xf numFmtId="14" fontId="21" fillId="2" borderId="2" xfId="0" applyNumberFormat="1" applyFont="1" applyFill="1" applyBorder="1" applyAlignment="1" applyProtection="1">
      <alignment horizontal="center"/>
      <protection locked="0"/>
    </xf>
    <xf numFmtId="0" fontId="2"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left" vertical="center"/>
    </xf>
    <xf numFmtId="0" fontId="3" fillId="0" borderId="24" xfId="0" applyFont="1" applyBorder="1" applyAlignment="1">
      <alignment horizontal="center" vertical="center" wrapText="1"/>
    </xf>
    <xf numFmtId="0" fontId="27" fillId="8" borderId="2" xfId="0" applyFont="1" applyFill="1" applyBorder="1" applyAlignment="1" applyProtection="1">
      <alignment horizontal="center" vertical="center"/>
      <protection locked="0"/>
    </xf>
    <xf numFmtId="0" fontId="27" fillId="0" borderId="0" xfId="0" applyFont="1" applyAlignment="1" applyProtection="1">
      <alignment horizontal="center" vertical="center"/>
    </xf>
    <xf numFmtId="0" fontId="27" fillId="8" borderId="2" xfId="0" applyFont="1" applyFill="1" applyBorder="1" applyAlignment="1" applyProtection="1">
      <alignment horizontal="center"/>
      <protection locked="0"/>
    </xf>
    <xf numFmtId="0" fontId="1" fillId="8" borderId="2" xfId="0" applyFont="1" applyFill="1" applyBorder="1" applyAlignment="1" applyProtection="1">
      <alignment horizontal="center" vertical="center"/>
      <protection locked="0"/>
    </xf>
    <xf numFmtId="10" fontId="3" fillId="0" borderId="0" xfId="0" applyNumberFormat="1" applyFont="1" applyFill="1" applyBorder="1" applyAlignment="1">
      <alignment horizontal="center" vertical="center"/>
    </xf>
    <xf numFmtId="0" fontId="2" fillId="0" borderId="33" xfId="0" applyFont="1" applyBorder="1" applyAlignment="1">
      <alignment horizontal="left" vertical="center" wrapText="1"/>
    </xf>
    <xf numFmtId="0" fontId="2" fillId="0" borderId="0" xfId="0" applyFont="1" applyAlignment="1">
      <alignment horizontal="left" wrapText="1"/>
    </xf>
    <xf numFmtId="0" fontId="3" fillId="0" borderId="0" xfId="0" applyFont="1" applyAlignment="1">
      <alignment horizontal="left" wrapText="1"/>
    </xf>
    <xf numFmtId="0" fontId="2" fillId="0" borderId="0" xfId="2" applyFont="1" applyAlignment="1">
      <alignment horizontal="left" vertical="center"/>
    </xf>
    <xf numFmtId="0" fontId="2" fillId="0" borderId="0" xfId="0" applyFont="1" applyAlignment="1">
      <alignment horizontal="left"/>
    </xf>
    <xf numFmtId="0" fontId="3" fillId="0" borderId="0" xfId="0" applyFont="1" applyAlignment="1">
      <alignment horizontal="left" vertical="center" wrapText="1"/>
    </xf>
    <xf numFmtId="14" fontId="21" fillId="2" borderId="9" xfId="0" applyNumberFormat="1" applyFont="1" applyFill="1" applyBorder="1" applyAlignment="1" applyProtection="1">
      <alignment horizontal="center"/>
      <protection locked="0"/>
    </xf>
    <xf numFmtId="14" fontId="21" fillId="2" borderId="34" xfId="0" applyNumberFormat="1" applyFont="1" applyFill="1" applyBorder="1" applyAlignment="1" applyProtection="1">
      <alignment horizontal="center"/>
      <protection locked="0"/>
    </xf>
    <xf numFmtId="14" fontId="21" fillId="2" borderId="35" xfId="0" applyNumberFormat="1" applyFont="1" applyFill="1" applyBorder="1" applyAlignment="1" applyProtection="1">
      <alignment horizontal="center"/>
      <protection locked="0"/>
    </xf>
    <xf numFmtId="0" fontId="2" fillId="0" borderId="36" xfId="0" applyFont="1" applyBorder="1" applyAlignment="1" applyProtection="1">
      <alignment horizontal="center" vertical="top" wrapText="1"/>
      <protection locked="0"/>
    </xf>
    <xf numFmtId="0" fontId="2" fillId="0" borderId="37" xfId="0" applyFont="1" applyBorder="1" applyAlignment="1" applyProtection="1">
      <alignment horizontal="center" vertical="top" wrapText="1"/>
      <protection locked="0"/>
    </xf>
    <xf numFmtId="0" fontId="2" fillId="0" borderId="38" xfId="0" applyFont="1" applyBorder="1" applyAlignment="1" applyProtection="1">
      <alignment horizontal="center" vertical="top" wrapText="1"/>
      <protection locked="0"/>
    </xf>
    <xf numFmtId="0" fontId="2" fillId="0" borderId="39" xfId="0" applyFont="1" applyBorder="1" applyAlignment="1" applyProtection="1">
      <alignment horizontal="center" vertical="top" wrapText="1"/>
      <protection locked="0"/>
    </xf>
    <xf numFmtId="0" fontId="2" fillId="0" borderId="0" xfId="0" applyFont="1" applyAlignment="1" applyProtection="1">
      <alignment horizontal="center" vertical="top" wrapText="1"/>
      <protection locked="0"/>
    </xf>
    <xf numFmtId="0" fontId="2" fillId="0" borderId="40" xfId="0" applyFont="1" applyBorder="1" applyAlignment="1" applyProtection="1">
      <alignment horizontal="center" vertical="top" wrapText="1"/>
      <protection locked="0"/>
    </xf>
    <xf numFmtId="0" fontId="2" fillId="0" borderId="16" xfId="0" applyFont="1" applyBorder="1" applyAlignment="1" applyProtection="1">
      <alignment horizontal="center" vertical="top" wrapText="1"/>
      <protection locked="0"/>
    </xf>
    <xf numFmtId="0" fontId="2" fillId="0" borderId="33" xfId="0" applyFont="1" applyBorder="1" applyAlignment="1" applyProtection="1">
      <alignment horizontal="center" vertical="top" wrapText="1"/>
      <protection locked="0"/>
    </xf>
    <xf numFmtId="0" fontId="2" fillId="0" borderId="41" xfId="0" applyFont="1" applyBorder="1" applyAlignment="1" applyProtection="1">
      <alignment horizontal="center" vertical="top" wrapText="1"/>
      <protection locked="0"/>
    </xf>
    <xf numFmtId="0" fontId="2" fillId="0" borderId="0" xfId="0" applyFont="1" applyAlignment="1">
      <alignment horizontal="left" vertical="center"/>
    </xf>
    <xf numFmtId="0" fontId="2" fillId="0" borderId="0" xfId="0" applyFont="1" applyAlignment="1">
      <alignment horizontal="center" vertical="center" wrapText="1"/>
    </xf>
    <xf numFmtId="0" fontId="2" fillId="0" borderId="36" xfId="0" applyFont="1" applyBorder="1" applyAlignment="1" applyProtection="1">
      <alignment horizontal="left" vertical="top" wrapText="1"/>
      <protection locked="0"/>
    </xf>
    <xf numFmtId="0" fontId="2" fillId="0" borderId="37" xfId="0" applyFont="1" applyBorder="1" applyAlignment="1" applyProtection="1">
      <alignment horizontal="left" vertical="top" wrapText="1"/>
      <protection locked="0"/>
    </xf>
    <xf numFmtId="0" fontId="2" fillId="0" borderId="38" xfId="0" applyFont="1" applyBorder="1" applyAlignment="1" applyProtection="1">
      <alignment horizontal="left" vertical="top" wrapText="1"/>
      <protection locked="0"/>
    </xf>
    <xf numFmtId="0" fontId="2" fillId="0" borderId="39" xfId="0" applyFont="1" applyBorder="1" applyAlignment="1" applyProtection="1">
      <alignment horizontal="left" vertical="top" wrapText="1"/>
      <protection locked="0"/>
    </xf>
    <xf numFmtId="0" fontId="2" fillId="0" borderId="0" xfId="0" applyFont="1" applyAlignment="1" applyProtection="1">
      <alignment horizontal="left" vertical="top" wrapText="1"/>
      <protection locked="0"/>
    </xf>
    <xf numFmtId="0" fontId="2" fillId="0" borderId="40" xfId="0" applyFont="1" applyBorder="1" applyAlignment="1" applyProtection="1">
      <alignment horizontal="left" vertical="top" wrapText="1"/>
      <protection locked="0"/>
    </xf>
    <xf numFmtId="0" fontId="2" fillId="0" borderId="16" xfId="0" applyFont="1" applyBorder="1" applyAlignment="1" applyProtection="1">
      <alignment horizontal="left" vertical="top" wrapText="1"/>
      <protection locked="0"/>
    </xf>
    <xf numFmtId="0" fontId="2" fillId="0" borderId="33" xfId="0" applyFont="1" applyBorder="1" applyAlignment="1" applyProtection="1">
      <alignment horizontal="left" vertical="top" wrapText="1"/>
      <protection locked="0"/>
    </xf>
    <xf numFmtId="0" fontId="2" fillId="0" borderId="41" xfId="0" applyFont="1" applyBorder="1" applyAlignment="1" applyProtection="1">
      <alignment horizontal="left" vertical="top" wrapText="1"/>
      <protection locked="0"/>
    </xf>
    <xf numFmtId="0" fontId="3" fillId="0" borderId="0" xfId="0" applyFont="1" applyAlignment="1">
      <alignment horizontal="center"/>
    </xf>
    <xf numFmtId="0" fontId="3" fillId="0" borderId="40" xfId="0" applyFont="1" applyBorder="1" applyAlignment="1">
      <alignment horizontal="center"/>
    </xf>
    <xf numFmtId="0" fontId="2" fillId="0" borderId="0" xfId="0" applyFont="1" applyAlignment="1">
      <alignment horizontal="left" vertical="center" wrapText="1"/>
    </xf>
    <xf numFmtId="0" fontId="3" fillId="0" borderId="0" xfId="0" applyFont="1" applyAlignment="1">
      <alignment horizontal="center" wrapText="1"/>
    </xf>
    <xf numFmtId="14" fontId="21" fillId="2" borderId="2" xfId="0" applyNumberFormat="1" applyFont="1" applyFill="1" applyBorder="1" applyAlignment="1" applyProtection="1">
      <alignment horizontal="center"/>
      <protection locked="0"/>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left" vertical="center"/>
    </xf>
    <xf numFmtId="0" fontId="3" fillId="0" borderId="22" xfId="0" applyFont="1" applyBorder="1" applyAlignment="1">
      <alignment horizontal="center"/>
    </xf>
    <xf numFmtId="0" fontId="3" fillId="0" borderId="8" xfId="0" applyFont="1" applyBorder="1" applyAlignment="1">
      <alignment horizontal="center"/>
    </xf>
    <xf numFmtId="0" fontId="3" fillId="0" borderId="42" xfId="0" applyFont="1" applyBorder="1" applyAlignment="1">
      <alignment horizontal="center"/>
    </xf>
    <xf numFmtId="0" fontId="3" fillId="0" borderId="2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166" fontId="3" fillId="0" borderId="10" xfId="0" applyNumberFormat="1" applyFont="1" applyBorder="1" applyAlignment="1">
      <alignment horizontal="left" vertical="center"/>
    </xf>
    <xf numFmtId="166" fontId="3" fillId="0" borderId="2" xfId="0" applyNumberFormat="1" applyFont="1" applyBorder="1" applyAlignment="1">
      <alignment horizontal="left" vertical="center"/>
    </xf>
    <xf numFmtId="166" fontId="3" fillId="0" borderId="12" xfId="0" applyNumberFormat="1" applyFont="1" applyBorder="1" applyAlignment="1">
      <alignment horizontal="left" vertical="center"/>
    </xf>
    <xf numFmtId="0" fontId="3" fillId="0" borderId="48" xfId="0" applyFont="1" applyBorder="1" applyAlignment="1">
      <alignment horizontal="center" vertical="center" wrapText="1"/>
    </xf>
    <xf numFmtId="0" fontId="3" fillId="0" borderId="49" xfId="0" applyFont="1" applyBorder="1" applyAlignment="1">
      <alignment horizontal="center" vertical="center" wrapText="1"/>
    </xf>
    <xf numFmtId="0" fontId="3" fillId="0" borderId="24" xfId="0" applyFont="1" applyBorder="1" applyAlignment="1">
      <alignment horizontal="center" vertical="center" wrapText="1"/>
    </xf>
    <xf numFmtId="0" fontId="3" fillId="0" borderId="22"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8" xfId="0" applyFont="1" applyBorder="1" applyAlignment="1">
      <alignment horizontal="center" vertical="center" wrapText="1"/>
    </xf>
    <xf numFmtId="166" fontId="3" fillId="0" borderId="22" xfId="0" applyNumberFormat="1" applyFont="1" applyBorder="1" applyAlignment="1">
      <alignment horizontal="center"/>
    </xf>
    <xf numFmtId="166" fontId="3" fillId="0" borderId="50" xfId="0" applyNumberFormat="1" applyFont="1" applyBorder="1" applyAlignment="1">
      <alignment horizontal="center"/>
    </xf>
    <xf numFmtId="166" fontId="3" fillId="0" borderId="8" xfId="0" applyNumberFormat="1" applyFont="1" applyBorder="1" applyAlignment="1">
      <alignment horizontal="center"/>
    </xf>
    <xf numFmtId="0" fontId="2" fillId="0" borderId="1" xfId="0" applyFont="1" applyBorder="1" applyAlignment="1">
      <alignment horizontal="center"/>
    </xf>
    <xf numFmtId="0" fontId="2" fillId="0" borderId="47" xfId="0" applyFont="1" applyBorder="1" applyAlignment="1">
      <alignment horizontal="center"/>
    </xf>
    <xf numFmtId="0" fontId="2" fillId="0" borderId="43" xfId="0" applyFont="1" applyBorder="1" applyAlignment="1" applyProtection="1">
      <alignment horizontal="left" vertical="top" wrapText="1"/>
      <protection locked="0"/>
    </xf>
    <xf numFmtId="0" fontId="2" fillId="0" borderId="44" xfId="0" applyFont="1" applyBorder="1" applyAlignment="1" applyProtection="1">
      <alignment horizontal="left" vertical="top" wrapText="1"/>
      <protection locked="0"/>
    </xf>
    <xf numFmtId="0" fontId="2" fillId="0" borderId="45" xfId="0" applyFont="1" applyBorder="1" applyAlignment="1" applyProtection="1">
      <alignment horizontal="left" vertical="top" wrapText="1"/>
      <protection locked="0"/>
    </xf>
    <xf numFmtId="0" fontId="2" fillId="0" borderId="31" xfId="0" applyFont="1" applyBorder="1" applyAlignment="1" applyProtection="1">
      <alignment horizontal="left" vertical="top" wrapText="1"/>
      <protection locked="0"/>
    </xf>
    <xf numFmtId="0" fontId="2" fillId="0" borderId="46" xfId="0" applyFont="1" applyBorder="1" applyAlignment="1" applyProtection="1">
      <alignment horizontal="left" vertical="top" wrapText="1"/>
      <protection locked="0"/>
    </xf>
    <xf numFmtId="0" fontId="2" fillId="0" borderId="21" xfId="0" applyFont="1" applyBorder="1" applyAlignment="1" applyProtection="1">
      <alignment horizontal="left" vertical="top" wrapText="1"/>
      <protection locked="0"/>
    </xf>
    <xf numFmtId="0" fontId="2" fillId="0" borderId="1" xfId="0" applyFont="1" applyBorder="1" applyAlignment="1" applyProtection="1">
      <alignment horizontal="left" vertical="top" wrapText="1"/>
      <protection locked="0"/>
    </xf>
    <xf numFmtId="0" fontId="2" fillId="0" borderId="47" xfId="0" applyFont="1" applyBorder="1" applyAlignment="1" applyProtection="1">
      <alignment horizontal="left" vertical="top" wrapText="1"/>
      <protection locked="0"/>
    </xf>
    <xf numFmtId="0" fontId="3" fillId="0" borderId="7" xfId="0" applyFont="1" applyBorder="1" applyAlignment="1">
      <alignment horizontal="center" vertical="center"/>
    </xf>
    <xf numFmtId="166" fontId="3" fillId="0" borderId="18" xfId="0" applyNumberFormat="1" applyFont="1" applyBorder="1" applyAlignment="1">
      <alignment horizontal="left" vertical="center"/>
    </xf>
    <xf numFmtId="0" fontId="2" fillId="0" borderId="9" xfId="0" applyFont="1" applyBorder="1" applyAlignment="1">
      <alignment horizontal="left"/>
    </xf>
    <xf numFmtId="0" fontId="2" fillId="0" borderId="35" xfId="0" applyFont="1" applyBorder="1" applyAlignment="1">
      <alignment horizontal="left"/>
    </xf>
    <xf numFmtId="0" fontId="3" fillId="0" borderId="2" xfId="0" applyFont="1" applyBorder="1" applyAlignment="1">
      <alignment horizontal="center"/>
    </xf>
    <xf numFmtId="0" fontId="3" fillId="0" borderId="2" xfId="0" applyFont="1" applyBorder="1" applyAlignment="1">
      <alignment horizontal="center" vertical="center"/>
    </xf>
    <xf numFmtId="0" fontId="2" fillId="0" borderId="2" xfId="0" applyFont="1" applyBorder="1" applyAlignment="1">
      <alignment horizontal="left" vertical="center" indent="1"/>
    </xf>
    <xf numFmtId="0" fontId="3" fillId="0" borderId="51" xfId="0" applyFont="1" applyBorder="1" applyAlignment="1">
      <alignment horizontal="center" vertical="center"/>
    </xf>
    <xf numFmtId="0" fontId="3" fillId="0" borderId="52" xfId="0" applyFont="1" applyBorder="1" applyAlignment="1">
      <alignment horizontal="center" vertical="center"/>
    </xf>
    <xf numFmtId="0" fontId="3" fillId="0" borderId="18" xfId="0" applyFont="1" applyBorder="1" applyAlignment="1">
      <alignment horizontal="center" vertical="center"/>
    </xf>
    <xf numFmtId="0" fontId="2" fillId="0" borderId="43" xfId="0" applyFont="1" applyBorder="1" applyAlignment="1" applyProtection="1">
      <alignment horizontal="center" vertical="top" wrapText="1"/>
      <protection locked="0"/>
    </xf>
    <xf numFmtId="0" fontId="2" fillId="0" borderId="44" xfId="0" applyFont="1" applyBorder="1" applyAlignment="1" applyProtection="1">
      <alignment horizontal="center" vertical="top" wrapText="1"/>
      <protection locked="0"/>
    </xf>
    <xf numFmtId="0" fontId="2" fillId="0" borderId="45" xfId="0" applyFont="1" applyBorder="1" applyAlignment="1" applyProtection="1">
      <alignment horizontal="center" vertical="top" wrapText="1"/>
      <protection locked="0"/>
    </xf>
    <xf numFmtId="0" fontId="2" fillId="0" borderId="31" xfId="0" applyFont="1" applyBorder="1" applyAlignment="1" applyProtection="1">
      <alignment horizontal="center" vertical="top" wrapText="1"/>
      <protection locked="0"/>
    </xf>
    <xf numFmtId="0" fontId="2" fillId="0" borderId="46" xfId="0" applyFont="1" applyBorder="1" applyAlignment="1" applyProtection="1">
      <alignment horizontal="center" vertical="top" wrapText="1"/>
      <protection locked="0"/>
    </xf>
    <xf numFmtId="0" fontId="2" fillId="0" borderId="21" xfId="0" applyFont="1" applyBorder="1" applyAlignment="1" applyProtection="1">
      <alignment horizontal="center" vertical="top" wrapText="1"/>
      <protection locked="0"/>
    </xf>
    <xf numFmtId="0" fontId="2" fillId="0" borderId="1" xfId="0" applyFont="1" applyBorder="1" applyAlignment="1" applyProtection="1">
      <alignment horizontal="center" vertical="top" wrapText="1"/>
      <protection locked="0"/>
    </xf>
    <xf numFmtId="0" fontId="2" fillId="0" borderId="47" xfId="0" applyFont="1" applyBorder="1" applyAlignment="1" applyProtection="1">
      <alignment horizontal="center" vertical="top" wrapText="1"/>
      <protection locked="0"/>
    </xf>
    <xf numFmtId="0" fontId="3" fillId="0" borderId="2" xfId="0" applyFont="1" applyBorder="1" applyAlignment="1">
      <alignment horizontal="center" vertical="center" wrapText="1"/>
    </xf>
    <xf numFmtId="0" fontId="20" fillId="6" borderId="36" xfId="0" applyFont="1" applyFill="1" applyBorder="1" applyAlignment="1">
      <alignment horizontal="center"/>
    </xf>
    <xf numFmtId="0" fontId="20" fillId="6" borderId="37" xfId="0" applyFont="1" applyFill="1" applyBorder="1" applyAlignment="1">
      <alignment horizontal="center"/>
    </xf>
    <xf numFmtId="0" fontId="20" fillId="6" borderId="38" xfId="0" applyFont="1" applyFill="1" applyBorder="1" applyAlignment="1">
      <alignment horizontal="center"/>
    </xf>
    <xf numFmtId="0" fontId="20" fillId="6" borderId="39" xfId="0" applyFont="1" applyFill="1" applyBorder="1" applyAlignment="1">
      <alignment horizontal="center"/>
    </xf>
    <xf numFmtId="0" fontId="20" fillId="6" borderId="0" xfId="0" applyFont="1" applyFill="1" applyAlignment="1">
      <alignment horizontal="center"/>
    </xf>
    <xf numFmtId="0" fontId="20" fillId="6" borderId="40" xfId="0" applyFont="1" applyFill="1" applyBorder="1" applyAlignment="1">
      <alignment horizontal="center"/>
    </xf>
    <xf numFmtId="0" fontId="20" fillId="6" borderId="16" xfId="0" applyFont="1" applyFill="1" applyBorder="1" applyAlignment="1">
      <alignment horizontal="center"/>
    </xf>
    <xf numFmtId="0" fontId="20" fillId="6" borderId="33" xfId="0" applyFont="1" applyFill="1" applyBorder="1" applyAlignment="1">
      <alignment horizontal="center"/>
    </xf>
    <xf numFmtId="0" fontId="20" fillId="6" borderId="41" xfId="0" applyFont="1" applyFill="1" applyBorder="1" applyAlignment="1">
      <alignment horizontal="center"/>
    </xf>
    <xf numFmtId="0" fontId="3" fillId="0" borderId="51" xfId="2" applyFont="1" applyBorder="1" applyAlignment="1">
      <alignment horizontal="center" vertical="center" wrapText="1"/>
    </xf>
    <xf numFmtId="0" fontId="3" fillId="0" borderId="52" xfId="2" applyFont="1" applyBorder="1" applyAlignment="1">
      <alignment horizontal="center" vertical="center" wrapText="1"/>
    </xf>
    <xf numFmtId="0" fontId="3" fillId="0" borderId="18" xfId="2" applyFont="1" applyBorder="1" applyAlignment="1">
      <alignment horizontal="center" vertical="center" wrapText="1"/>
    </xf>
    <xf numFmtId="0" fontId="2" fillId="0" borderId="2" xfId="2" applyFont="1" applyBorder="1" applyAlignment="1">
      <alignment horizontal="left"/>
    </xf>
    <xf numFmtId="0" fontId="3" fillId="0" borderId="2" xfId="2" applyFont="1" applyBorder="1" applyAlignment="1">
      <alignment horizontal="center" vertical="center"/>
    </xf>
  </cellXfs>
  <cellStyles count="3">
    <cellStyle name="Hyperlink" xfId="1" builtinId="8"/>
    <cellStyle name="Normal" xfId="0" builtinId="0"/>
    <cellStyle name="Normal 2" xfId="2"/>
  </cellStyles>
  <dxfs count="2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6" tint="0.59996337778862885"/>
        </patternFill>
      </fill>
    </dxf>
    <dxf>
      <fill>
        <patternFill>
          <bgColor theme="6" tint="0.59996337778862885"/>
        </patternFill>
      </fill>
    </dxf>
    <dxf>
      <font>
        <color rgb="FF9C0006"/>
      </font>
      <fill>
        <patternFill>
          <bgColor rgb="FFFFC7CE"/>
        </patternFill>
      </fill>
    </dxf>
    <dxf>
      <fill>
        <patternFill>
          <bgColor theme="0" tint="-0.14996795556505021"/>
        </patternFill>
      </fill>
    </dxf>
    <dxf>
      <fill>
        <patternFill>
          <bgColor rgb="FFFFFF00"/>
        </patternFill>
      </fill>
    </dxf>
    <dxf>
      <fill>
        <patternFill>
          <bgColor theme="6" tint="0.59996337778862885"/>
        </patternFill>
      </fill>
    </dxf>
    <dxf>
      <font>
        <color rgb="FF9C0006"/>
      </font>
      <fill>
        <patternFill>
          <bgColor rgb="FFFFC7CE"/>
        </patternFill>
      </fill>
    </dxf>
    <dxf>
      <fill>
        <patternFill>
          <bgColor rgb="FFFFFF00"/>
        </patternFill>
      </fill>
    </dxf>
    <dxf>
      <fill>
        <patternFill>
          <bgColor theme="6" tint="0.59996337778862885"/>
        </patternFill>
      </fill>
    </dxf>
    <dxf>
      <font>
        <color rgb="FF9C0006"/>
      </font>
      <fill>
        <patternFill>
          <bgColor rgb="FFFFC7CE"/>
        </patternFill>
      </fill>
    </dxf>
    <dxf>
      <fill>
        <patternFill>
          <bgColor rgb="FFFFFF00"/>
        </patternFill>
      </fill>
    </dxf>
    <dxf>
      <fill>
        <patternFill>
          <bgColor theme="6" tint="0.59996337778862885"/>
        </patternFill>
      </fill>
    </dxf>
    <dxf>
      <font>
        <color rgb="FF9C0006"/>
      </font>
      <fill>
        <patternFill>
          <bgColor rgb="FFFFC7CE"/>
        </patternFill>
      </fill>
    </dxf>
    <dxf>
      <fill>
        <patternFill>
          <bgColor rgb="FFFFFF00"/>
        </patternFill>
      </fill>
    </dxf>
    <dxf>
      <fill>
        <patternFill>
          <bgColor theme="6"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6" tint="0.59996337778862885"/>
        </patternFill>
      </fill>
    </dxf>
    <dxf>
      <fill>
        <patternFill>
          <bgColor theme="6" tint="0.59996337778862885"/>
        </patternFill>
      </fill>
    </dxf>
    <dxf>
      <font>
        <color rgb="FF9C0006"/>
      </font>
      <fill>
        <patternFill>
          <bgColor rgb="FFFFC7CE"/>
        </patternFill>
      </fill>
    </dxf>
    <dxf>
      <fill>
        <patternFill>
          <bgColor theme="0" tint="-0.14996795556505021"/>
        </patternFill>
      </fill>
    </dxf>
  </dxfs>
  <tableStyles count="1" defaultTableStyle="TableStyleMedium9" defaultPivotStyle="PivotStyleLight16">
    <tableStyle name="MySqlDefault" pivot="0" table="0" count="0"/>
  </tableStyles>
  <colors>
    <mruColors>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floridaproton.org/" TargetMode="Externa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pn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4.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png"/><Relationship Id="rId5" Type="http://schemas.openxmlformats.org/officeDocument/2006/relationships/image" Target="../media/image7.png"/><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0</xdr:col>
      <xdr:colOff>180975</xdr:colOff>
      <xdr:row>0</xdr:row>
      <xdr:rowOff>104775</xdr:rowOff>
    </xdr:from>
    <xdr:to>
      <xdr:col>5</xdr:col>
      <xdr:colOff>438150</xdr:colOff>
      <xdr:row>4</xdr:row>
      <xdr:rowOff>152400</xdr:rowOff>
    </xdr:to>
    <xdr:pic>
      <xdr:nvPicPr>
        <xdr:cNvPr id="22646" name="Picture 2" descr="cid:image001.png@01CFE94E.54677160">
          <a:hlinkClick xmlns:r="http://schemas.openxmlformats.org/officeDocument/2006/relationships" r:id="rId1"/>
          <a:extLst>
            <a:ext uri="{FF2B5EF4-FFF2-40B4-BE49-F238E27FC236}">
              <a16:creationId xmlns:a16="http://schemas.microsoft.com/office/drawing/2014/main" id="{00000000-0008-0000-0000-00007658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80975" y="104775"/>
          <a:ext cx="3305175"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4927</xdr:colOff>
      <xdr:row>64</xdr:row>
      <xdr:rowOff>95250</xdr:rowOff>
    </xdr:from>
    <xdr:ext cx="7357898" cy="1676400"/>
    <xdr:sp macro="" textlink="">
      <xdr:nvSpPr>
        <xdr:cNvPr id="2" name="TextBox 1">
          <a:extLst>
            <a:ext uri="{FF2B5EF4-FFF2-40B4-BE49-F238E27FC236}">
              <a16:creationId xmlns:a16="http://schemas.microsoft.com/office/drawing/2014/main" id="{00000000-0008-0000-0400-000002000000}"/>
            </a:ext>
          </a:extLst>
        </xdr:cNvPr>
        <xdr:cNvSpPr txBox="1"/>
      </xdr:nvSpPr>
      <xdr:spPr>
        <a:xfrm>
          <a:off x="614527" y="13515975"/>
          <a:ext cx="7357898" cy="1676400"/>
        </a:xfrm>
        <a:prstGeom prst="rect">
          <a:avLst/>
        </a:prstGeom>
        <a:solidFill>
          <a:schemeClr val="bg2">
            <a:lumMod val="9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1300"/>
            </a:lnSpc>
          </a:pPr>
          <a:r>
            <a:rPr lang="en-US" sz="1200">
              <a:latin typeface="Times New Roman" panose="02020603050405020304" pitchFamily="18" charset="0"/>
              <a:cs typeface="Times New Roman" panose="02020603050405020304" pitchFamily="18" charset="0"/>
            </a:rPr>
            <a:t>1. </a:t>
          </a:r>
          <a:r>
            <a:rPr lang="en-US" sz="1200">
              <a:solidFill>
                <a:schemeClr val="tx1"/>
              </a:solidFill>
              <a:effectLst/>
              <a:latin typeface="Times New Roman" panose="02020603050405020304" pitchFamily="18" charset="0"/>
              <a:ea typeface="+mn-ea"/>
              <a:cs typeface="Times New Roman" panose="02020603050405020304" pitchFamily="18" charset="0"/>
            </a:rPr>
            <a:t>Open T3_MLCSpeed_HD120.dcm</a:t>
          </a:r>
          <a:endParaRPr lang="en-US" sz="1200">
            <a:effectLst/>
            <a:latin typeface="Times New Roman" panose="02020603050405020304" pitchFamily="18" charset="0"/>
            <a:cs typeface="Times New Roman" panose="02020603050405020304" pitchFamily="18" charset="0"/>
          </a:endParaRPr>
        </a:p>
        <a:p>
          <a:pPr>
            <a:lnSpc>
              <a:spcPts val="1300"/>
            </a:lnSpc>
          </a:pPr>
          <a:r>
            <a:rPr lang="en-US" sz="1200">
              <a:latin typeface="Times New Roman" panose="02020603050405020304" pitchFamily="18" charset="0"/>
              <a:cs typeface="Times New Roman" panose="02020603050405020304" pitchFamily="18" charset="0"/>
            </a:rPr>
            <a:t>2. select the first</a:t>
          </a:r>
          <a:r>
            <a:rPr lang="en-US" sz="1200" baseline="0">
              <a:latin typeface="Times New Roman" panose="02020603050405020304" pitchFamily="18" charset="0"/>
              <a:cs typeface="Times New Roman" panose="02020603050405020304" pitchFamily="18" charset="0"/>
            </a:rPr>
            <a:t> fld (RDR_GS), Add&gt; add imaging&gt; MV, during, dosimetry, OK.</a:t>
          </a:r>
          <a:endParaRPr lang="en-US" sz="1200">
            <a:latin typeface="Times New Roman" panose="02020603050405020304" pitchFamily="18" charset="0"/>
            <a:cs typeface="Times New Roman" panose="02020603050405020304" pitchFamily="18" charset="0"/>
          </a:endParaRPr>
        </a:p>
        <a:p>
          <a:pPr>
            <a:lnSpc>
              <a:spcPts val="1300"/>
            </a:lnSpc>
          </a:pPr>
          <a:r>
            <a:rPr lang="en-US" sz="1200">
              <a:latin typeface="Times New Roman" panose="02020603050405020304" pitchFamily="18" charset="0"/>
              <a:cs typeface="Times New Roman" panose="02020603050405020304" pitchFamily="18" charset="0"/>
            </a:rPr>
            <a:t>3. prepare</a:t>
          </a:r>
          <a:r>
            <a:rPr lang="en-US" sz="1200" baseline="0">
              <a:latin typeface="Times New Roman" panose="02020603050405020304" pitchFamily="18" charset="0"/>
              <a:cs typeface="Times New Roman" panose="02020603050405020304" pitchFamily="18" charset="0"/>
            </a:rPr>
            <a:t> the beam, </a:t>
          </a:r>
          <a:r>
            <a:rPr lang="en-US" sz="1200">
              <a:latin typeface="Times New Roman" panose="02020603050405020304" pitchFamily="18" charset="0"/>
              <a:cs typeface="Times New Roman" panose="02020603050405020304" pitchFamily="18" charset="0"/>
            </a:rPr>
            <a:t>need to override the couch, deliver the</a:t>
          </a:r>
          <a:r>
            <a:rPr lang="en-US" sz="1200" baseline="0">
              <a:latin typeface="Times New Roman" panose="02020603050405020304" pitchFamily="18" charset="0"/>
              <a:cs typeface="Times New Roman" panose="02020603050405020304" pitchFamily="18" charset="0"/>
            </a:rPr>
            <a:t> beam. select this fld again after the beam been delivered.</a:t>
          </a:r>
          <a:endParaRPr lang="en-US" sz="1200">
            <a:latin typeface="Times New Roman" panose="02020603050405020304" pitchFamily="18" charset="0"/>
            <a:cs typeface="Times New Roman" panose="02020603050405020304" pitchFamily="18" charset="0"/>
          </a:endParaRPr>
        </a:p>
        <a:p>
          <a:pPr>
            <a:lnSpc>
              <a:spcPts val="1200"/>
            </a:lnSpc>
          </a:pPr>
          <a:r>
            <a:rPr lang="en-US" sz="1200">
              <a:latin typeface="Times New Roman" panose="02020603050405020304" pitchFamily="18" charset="0"/>
              <a:cs typeface="Times New Roman" panose="02020603050405020304" pitchFamily="18" charset="0"/>
            </a:rPr>
            <a:t>4. on the image</a:t>
          </a:r>
          <a:r>
            <a:rPr lang="en-US" sz="1200" baseline="0">
              <a:latin typeface="Times New Roman" panose="02020603050405020304" pitchFamily="18" charset="0"/>
              <a:cs typeface="Times New Roman" panose="02020603050405020304" pitchFamily="18" charset="0"/>
            </a:rPr>
            <a:t> display window, click </a:t>
          </a:r>
          <a:r>
            <a:rPr lang="en-US" sz="1200">
              <a:latin typeface="Times New Roman" panose="02020603050405020304" pitchFamily="18" charset="0"/>
              <a:cs typeface="Times New Roman" panose="02020603050405020304" pitchFamily="18" charset="0"/>
            </a:rPr>
            <a:t>display  graticule, zoom in.</a:t>
          </a:r>
          <a:r>
            <a:rPr lang="en-US" sz="1200" baseline="0">
              <a:latin typeface="Times New Roman" panose="02020603050405020304" pitchFamily="18" charset="0"/>
              <a:cs typeface="Times New Roman" panose="02020603050405020304" pitchFamily="18" charset="0"/>
            </a:rPr>
            <a:t> click </a:t>
          </a:r>
          <a:r>
            <a:rPr lang="en-US" sz="1200">
              <a:latin typeface="Times New Roman" panose="02020603050405020304" pitchFamily="18" charset="0"/>
              <a:cs typeface="Times New Roman" panose="02020603050405020304" pitchFamily="18" charset="0"/>
            </a:rPr>
            <a:t>Area profile, use</a:t>
          </a:r>
          <a:r>
            <a:rPr lang="en-US" sz="1200" baseline="0">
              <a:latin typeface="Times New Roman" panose="02020603050405020304" pitchFamily="18" charset="0"/>
              <a:cs typeface="Times New Roman" panose="02020603050405020304" pitchFamily="18" charset="0"/>
            </a:rPr>
            <a:t> mouse drag, a squre  box will show, </a:t>
          </a:r>
        </a:p>
        <a:p>
          <a:pPr>
            <a:lnSpc>
              <a:spcPts val="1300"/>
            </a:lnSpc>
          </a:pPr>
          <a:r>
            <a:rPr lang="en-US" sz="1200" baseline="0">
              <a:latin typeface="Times New Roman" panose="02020603050405020304" pitchFamily="18" charset="0"/>
              <a:cs typeface="Times New Roman" panose="02020603050405020304" pitchFamily="18" charset="0"/>
            </a:rPr>
            <a:t>right click on the corner of the box, select Set ROI Dimensions (pixels)&gt;10X10.move the box to the location indicated in the </a:t>
          </a:r>
        </a:p>
        <a:p>
          <a:pPr>
            <a:lnSpc>
              <a:spcPts val="1200"/>
            </a:lnSpc>
          </a:pPr>
          <a:r>
            <a:rPr lang="en-US" sz="1200" baseline="0">
              <a:latin typeface="Times New Roman" panose="02020603050405020304" pitchFamily="18" charset="0"/>
              <a:cs typeface="Times New Roman" panose="02020603050405020304" pitchFamily="18" charset="0"/>
            </a:rPr>
            <a:t>table below.  right click the Area Profiles widow, select show statistics. write down the mean value to the table.</a:t>
          </a:r>
        </a:p>
        <a:p>
          <a:pPr>
            <a:lnSpc>
              <a:spcPts val="1300"/>
            </a:lnSpc>
          </a:pPr>
          <a:r>
            <a:rPr lang="en-US" sz="1200" baseline="0">
              <a:latin typeface="Times New Roman" panose="02020603050405020304" pitchFamily="18" charset="0"/>
              <a:cs typeface="Times New Roman" panose="02020603050405020304" pitchFamily="18" charset="0"/>
            </a:rPr>
            <a:t>5. Repeat this for the second fld, OpenBeam</a:t>
          </a:r>
        </a:p>
        <a:p>
          <a:pPr>
            <a:lnSpc>
              <a:spcPts val="1200"/>
            </a:lnSpc>
          </a:pPr>
          <a:endParaRPr lang="en-US" sz="1100"/>
        </a:p>
      </xdr:txBody>
    </xdr:sp>
    <xdr:clientData/>
  </xdr:oneCellAnchor>
  <xdr:oneCellAnchor>
    <xdr:from>
      <xdr:col>0</xdr:col>
      <xdr:colOff>609599</xdr:colOff>
      <xdr:row>33</xdr:row>
      <xdr:rowOff>76199</xdr:rowOff>
    </xdr:from>
    <xdr:ext cx="7267575" cy="2828926"/>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609599" y="7096124"/>
          <a:ext cx="7267575" cy="2828926"/>
        </a:xfrm>
        <a:prstGeom prst="rect">
          <a:avLst/>
        </a:prstGeom>
        <a:solidFill>
          <a:schemeClr val="bg2">
            <a:lumMod val="9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1300"/>
            </a:lnSpc>
          </a:pPr>
          <a:r>
            <a:rPr lang="en-US" sz="1200">
              <a:latin typeface="Times New Roman" panose="02020603050405020304" pitchFamily="18" charset="0"/>
              <a:cs typeface="Times New Roman" panose="02020603050405020304" pitchFamily="18" charset="0"/>
            </a:rPr>
            <a:t>1. Open </a:t>
          </a:r>
          <a:r>
            <a:rPr lang="en-US" sz="1200">
              <a:solidFill>
                <a:srgbClr val="FF0000"/>
              </a:solidFill>
              <a:latin typeface="Times New Roman" panose="02020603050405020304" pitchFamily="18" charset="0"/>
              <a:cs typeface="Times New Roman" panose="02020603050405020304" pitchFamily="18" charset="0"/>
            </a:rPr>
            <a:t>T0.2_Picket Fence Static_HD120.dcm</a:t>
          </a:r>
        </a:p>
        <a:p>
          <a:pPr>
            <a:lnSpc>
              <a:spcPts val="1300"/>
            </a:lnSpc>
          </a:pPr>
          <a:r>
            <a:rPr lang="en-US" sz="1200">
              <a:latin typeface="Times New Roman" panose="02020603050405020304" pitchFamily="18" charset="0"/>
              <a:cs typeface="Times New Roman" panose="02020603050405020304" pitchFamily="18" charset="0"/>
            </a:rPr>
            <a:t>2. highlight</a:t>
          </a:r>
          <a:r>
            <a:rPr lang="en-US" sz="1200" baseline="0">
              <a:latin typeface="Times New Roman" panose="02020603050405020304" pitchFamily="18" charset="0"/>
              <a:cs typeface="Times New Roman" panose="02020603050405020304" pitchFamily="18" charset="0"/>
            </a:rPr>
            <a:t> first fld, </a:t>
          </a:r>
          <a:r>
            <a:rPr lang="en-US" sz="1200" baseline="0">
              <a:solidFill>
                <a:schemeClr val="accent2"/>
              </a:solidFill>
              <a:latin typeface="Times New Roman" panose="02020603050405020304" pitchFamily="18" charset="0"/>
              <a:cs typeface="Times New Roman" panose="02020603050405020304" pitchFamily="18" charset="0"/>
            </a:rPr>
            <a:t>add imaging</a:t>
          </a:r>
          <a:r>
            <a:rPr lang="en-US" sz="1200" baseline="0">
              <a:latin typeface="Times New Roman" panose="02020603050405020304" pitchFamily="18" charset="0"/>
              <a:cs typeface="Times New Roman" panose="02020603050405020304" pitchFamily="18" charset="0"/>
            </a:rPr>
            <a:t>, on imaging moniter select </a:t>
          </a:r>
          <a:r>
            <a:rPr lang="en-US" sz="1200" baseline="0">
              <a:solidFill>
                <a:schemeClr val="accent2"/>
              </a:solidFill>
              <a:latin typeface="Times New Roman" panose="02020603050405020304" pitchFamily="18" charset="0"/>
              <a:cs typeface="Times New Roman" panose="02020603050405020304" pitchFamily="18" charset="0"/>
            </a:rPr>
            <a:t>MV</a:t>
          </a:r>
          <a:r>
            <a:rPr lang="en-US" sz="1200" baseline="0">
              <a:latin typeface="Times New Roman" panose="02020603050405020304" pitchFamily="18" charset="0"/>
              <a:cs typeface="Times New Roman" panose="02020603050405020304" pitchFamily="18" charset="0"/>
            </a:rPr>
            <a:t> for modality, </a:t>
          </a:r>
          <a:r>
            <a:rPr lang="en-US" sz="1200" baseline="0">
              <a:solidFill>
                <a:schemeClr val="accent2"/>
              </a:solidFill>
              <a:latin typeface="Times New Roman" panose="02020603050405020304" pitchFamily="18" charset="0"/>
              <a:cs typeface="Times New Roman" panose="02020603050405020304" pitchFamily="18" charset="0"/>
            </a:rPr>
            <a:t>during for excution phase</a:t>
          </a:r>
          <a:r>
            <a:rPr lang="en-US" sz="1200" baseline="0">
              <a:latin typeface="Times New Roman" panose="02020603050405020304" pitchFamily="18" charset="0"/>
              <a:cs typeface="Times New Roman" panose="02020603050405020304" pitchFamily="18" charset="0"/>
            </a:rPr>
            <a:t>, and </a:t>
          </a:r>
          <a:r>
            <a:rPr lang="en-US" sz="1200" baseline="0">
              <a:solidFill>
                <a:schemeClr val="accent2"/>
              </a:solidFill>
              <a:latin typeface="Times New Roman" panose="02020603050405020304" pitchFamily="18" charset="0"/>
              <a:cs typeface="Times New Roman" panose="02020603050405020304" pitchFamily="18" charset="0"/>
            </a:rPr>
            <a:t>dosimetry</a:t>
          </a:r>
          <a:r>
            <a:rPr lang="en-US" sz="1200" baseline="0">
              <a:latin typeface="Times New Roman" panose="02020603050405020304" pitchFamily="18" charset="0"/>
              <a:cs typeface="Times New Roman" panose="02020603050405020304" pitchFamily="18" charset="0"/>
            </a:rPr>
            <a:t> </a:t>
          </a:r>
        </a:p>
        <a:p>
          <a:pPr>
            <a:lnSpc>
              <a:spcPts val="1300"/>
            </a:lnSpc>
          </a:pPr>
          <a:r>
            <a:rPr lang="en-US" sz="1200" baseline="0">
              <a:latin typeface="Times New Roman" panose="02020603050405020304" pitchFamily="18" charset="0"/>
              <a:cs typeface="Times New Roman" panose="02020603050405020304" pitchFamily="18" charset="0"/>
            </a:rPr>
            <a:t>as  Modality Specifics.  click OK. </a:t>
          </a:r>
        </a:p>
        <a:p>
          <a:pPr>
            <a:lnSpc>
              <a:spcPts val="1200"/>
            </a:lnSpc>
          </a:pPr>
          <a:r>
            <a:rPr lang="en-US" sz="1200" baseline="0">
              <a:latin typeface="Times New Roman" panose="02020603050405020304" pitchFamily="18" charset="0"/>
              <a:cs typeface="Times New Roman" panose="02020603050405020304" pitchFamily="18" charset="0"/>
            </a:rPr>
            <a:t>3. then follow the console instruction move the imager to position, and then deliver the beam.  </a:t>
          </a:r>
        </a:p>
        <a:p>
          <a:pPr>
            <a:lnSpc>
              <a:spcPts val="1300"/>
            </a:lnSpc>
          </a:pPr>
          <a:r>
            <a:rPr lang="en-US" sz="1200" baseline="0">
              <a:latin typeface="Times New Roman" panose="02020603050405020304" pitchFamily="18" charset="0"/>
              <a:cs typeface="Times New Roman" panose="02020603050405020304" pitchFamily="18" charset="0"/>
            </a:rPr>
            <a:t>4. highligh the first beam, the image from the first beam will show on the imaging display, click save. click yes to confirm the </a:t>
          </a:r>
        </a:p>
        <a:p>
          <a:pPr>
            <a:lnSpc>
              <a:spcPts val="1200"/>
            </a:lnSpc>
          </a:pPr>
          <a:r>
            <a:rPr lang="en-US" sz="1200" baseline="0">
              <a:latin typeface="Times New Roman" panose="02020603050405020304" pitchFamily="18" charset="0"/>
              <a:cs typeface="Times New Roman" panose="02020603050405020304" pitchFamily="18" charset="0"/>
            </a:rPr>
            <a:t>save. </a:t>
          </a:r>
        </a:p>
        <a:p>
          <a:pPr>
            <a:lnSpc>
              <a:spcPts val="1200"/>
            </a:lnSpc>
          </a:pPr>
          <a:r>
            <a:rPr lang="en-US" sz="1200" baseline="0">
              <a:latin typeface="Times New Roman" panose="02020603050405020304" pitchFamily="18" charset="0"/>
              <a:cs typeface="Times New Roman" panose="02020603050405020304" pitchFamily="18" charset="0"/>
            </a:rPr>
            <a:t>5. go to the QA computer, go to W:\Varian\Transfer\TDS\H192905\monthlyQA, you will see a folder named as a day and time,</a:t>
          </a:r>
        </a:p>
        <a:p>
          <a:pPr>
            <a:lnSpc>
              <a:spcPts val="1300"/>
            </a:lnSpc>
          </a:pPr>
          <a:r>
            <a:rPr lang="en-US" sz="1200" baseline="0">
              <a:latin typeface="Times New Roman" panose="02020603050405020304" pitchFamily="18" charset="0"/>
              <a:cs typeface="Times New Roman" panose="02020603050405020304" pitchFamily="18" charset="0"/>
            </a:rPr>
            <a:t>(for example  17-03-08_12-06-26, indicate a image take on 3/8/2017 at 12:06) go inside the folder, copy the dicom image to</a:t>
          </a:r>
        </a:p>
        <a:p>
          <a:pPr>
            <a:lnSpc>
              <a:spcPts val="1200"/>
            </a:lnSpc>
          </a:pPr>
          <a:r>
            <a:rPr lang="en-US" sz="1200" baseline="0">
              <a:latin typeface="Times New Roman" panose="02020603050405020304" pitchFamily="18" charset="0"/>
              <a:cs typeface="Times New Roman" panose="02020603050405020304" pitchFamily="18" charset="0"/>
            </a:rPr>
            <a:t>U drive, Truebeam monthlyQA folder, rename it to indicate the gantry angle.  </a:t>
          </a:r>
        </a:p>
        <a:p>
          <a:pPr>
            <a:lnSpc>
              <a:spcPts val="1300"/>
            </a:lnSpc>
          </a:pPr>
          <a:r>
            <a:rPr lang="en-US" sz="1200" baseline="0">
              <a:latin typeface="Times New Roman" panose="02020603050405020304" pitchFamily="18" charset="0"/>
              <a:cs typeface="Times New Roman" panose="02020603050405020304" pitchFamily="18" charset="0"/>
            </a:rPr>
            <a:t>6. repeat steps 1-5 for all 4 flds. </a:t>
          </a:r>
        </a:p>
        <a:p>
          <a:pPr>
            <a:lnSpc>
              <a:spcPts val="1200"/>
            </a:lnSpc>
          </a:pPr>
          <a:r>
            <a:rPr lang="en-US" sz="1200" baseline="0">
              <a:latin typeface="Times New Roman" panose="02020603050405020304" pitchFamily="18" charset="0"/>
              <a:cs typeface="Times New Roman" panose="02020603050405020304" pitchFamily="18" charset="0"/>
            </a:rPr>
            <a:t>7. use Doselab to do the analysis, single image analysis&gt;machine QA&gt; </a:t>
          </a:r>
          <a:r>
            <a:rPr lang="en-US" sz="1200" baseline="0">
              <a:solidFill>
                <a:schemeClr val="accent2"/>
              </a:solidFill>
              <a:latin typeface="Times New Roman" panose="02020603050405020304" pitchFamily="18" charset="0"/>
              <a:cs typeface="Times New Roman" panose="02020603050405020304" pitchFamily="18" charset="0"/>
            </a:rPr>
            <a:t>MLC strip test</a:t>
          </a:r>
          <a:endParaRPr lang="en-US" sz="1200">
            <a:solidFill>
              <a:schemeClr val="accent2"/>
            </a:solidFill>
            <a:latin typeface="Times New Roman" panose="02020603050405020304" pitchFamily="18" charset="0"/>
            <a:cs typeface="Times New Roman" panose="02020603050405020304" pitchFamily="18" charset="0"/>
          </a:endParaRPr>
        </a:p>
      </xdr:txBody>
    </xdr:sp>
    <xdr:clientData/>
  </xdr:oneCellAnchor>
  <xdr:oneCellAnchor>
    <xdr:from>
      <xdr:col>0</xdr:col>
      <xdr:colOff>590548</xdr:colOff>
      <xdr:row>13</xdr:row>
      <xdr:rowOff>66673</xdr:rowOff>
    </xdr:from>
    <xdr:ext cx="7486651" cy="2047877"/>
    <xdr:sp macro="" textlink="">
      <xdr:nvSpPr>
        <xdr:cNvPr id="6" name="TextBox 5">
          <a:extLst>
            <a:ext uri="{FF2B5EF4-FFF2-40B4-BE49-F238E27FC236}">
              <a16:creationId xmlns:a16="http://schemas.microsoft.com/office/drawing/2014/main" id="{00000000-0008-0000-0400-000006000000}"/>
            </a:ext>
          </a:extLst>
        </xdr:cNvPr>
        <xdr:cNvSpPr txBox="1"/>
      </xdr:nvSpPr>
      <xdr:spPr>
        <a:xfrm>
          <a:off x="590548" y="2609848"/>
          <a:ext cx="7486651" cy="2047877"/>
        </a:xfrm>
        <a:prstGeom prst="rect">
          <a:avLst/>
        </a:prstGeom>
        <a:solidFill>
          <a:schemeClr val="bg2">
            <a:lumMod val="9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1200"/>
            </a:lnSpc>
          </a:pPr>
          <a:r>
            <a:rPr lang="en-US" sz="1200">
              <a:latin typeface="Times New Roman" panose="02020603050405020304" pitchFamily="18" charset="0"/>
              <a:cs typeface="Times New Roman" panose="02020603050405020304" pitchFamily="18" charset="0"/>
            </a:rPr>
            <a:t>1. </a:t>
          </a:r>
          <a:r>
            <a:rPr lang="en-US" sz="1200" baseline="0">
              <a:latin typeface="Times New Roman" panose="02020603050405020304" pitchFamily="18" charset="0"/>
              <a:cs typeface="Times New Roman" panose="02020603050405020304" pitchFamily="18" charset="0"/>
            </a:rPr>
            <a:t>open </a:t>
          </a:r>
          <a:r>
            <a:rPr lang="en-US" sz="1200" b="1" u="sng" baseline="0">
              <a:solidFill>
                <a:schemeClr val="accent2"/>
              </a:solidFill>
              <a:latin typeface="Times New Roman" panose="02020603050405020304" pitchFamily="18" charset="0"/>
              <a:cs typeface="Times New Roman" panose="02020603050405020304" pitchFamily="18" charset="0"/>
            </a:rPr>
            <a:t>MLC_Light&amp;Rad</a:t>
          </a:r>
          <a:r>
            <a:rPr lang="en-US" sz="1200" baseline="0">
              <a:latin typeface="Times New Roman" panose="02020603050405020304" pitchFamily="18" charset="0"/>
              <a:cs typeface="Times New Roman" panose="02020603050405020304" pitchFamily="18" charset="0"/>
            </a:rPr>
            <a:t>.dcm</a:t>
          </a:r>
        </a:p>
        <a:p>
          <a:pPr>
            <a:lnSpc>
              <a:spcPts val="1200"/>
            </a:lnSpc>
          </a:pPr>
          <a:r>
            <a:rPr lang="en-US" sz="1200" baseline="0">
              <a:latin typeface="Times New Roman" panose="02020603050405020304" pitchFamily="18" charset="0"/>
              <a:cs typeface="Times New Roman" panose="02020603050405020304" pitchFamily="18" charset="0"/>
            </a:rPr>
            <a:t>2. Machine override all fields.</a:t>
          </a:r>
        </a:p>
        <a:p>
          <a:pPr>
            <a:lnSpc>
              <a:spcPts val="1200"/>
            </a:lnSpc>
          </a:pPr>
          <a:r>
            <a:rPr lang="en-US" sz="1200" baseline="0">
              <a:latin typeface="Times New Roman" panose="02020603050405020304" pitchFamily="18" charset="0"/>
              <a:cs typeface="Times New Roman" panose="02020603050405020304" pitchFamily="18" charset="0"/>
            </a:rPr>
            <a:t>2. Select fld #1 10x10 MLC field or fld#2 15x15 cm MLC field </a:t>
          </a:r>
          <a:r>
            <a:rPr lang="en-US" sz="1200" b="1" i="1" u="sng" baseline="0">
              <a:latin typeface="Times New Roman" panose="02020603050405020304" pitchFamily="18" charset="0"/>
              <a:cs typeface="Times New Roman" panose="02020603050405020304" pitchFamily="18" charset="0"/>
            </a:rPr>
            <a:t>and add image </a:t>
          </a:r>
          <a:r>
            <a:rPr lang="en-US" sz="1200" baseline="0">
              <a:latin typeface="Times New Roman" panose="02020603050405020304" pitchFamily="18" charset="0"/>
              <a:cs typeface="Times New Roman" panose="02020603050405020304" pitchFamily="18" charset="0"/>
            </a:rPr>
            <a:t>, </a:t>
          </a:r>
          <a:r>
            <a:rPr lang="en-US" sz="1200" b="1" u="sng" baseline="0">
              <a:solidFill>
                <a:schemeClr val="accent2"/>
              </a:solidFill>
              <a:latin typeface="Times New Roman" panose="02020603050405020304" pitchFamily="18" charset="0"/>
              <a:cs typeface="Times New Roman" panose="02020603050405020304" pitchFamily="18" charset="0"/>
            </a:rPr>
            <a:t>MV,before, planned,treatment Port</a:t>
          </a:r>
        </a:p>
        <a:p>
          <a:pPr>
            <a:lnSpc>
              <a:spcPts val="1200"/>
            </a:lnSpc>
          </a:pPr>
          <a:r>
            <a:rPr lang="en-US" sz="1200" baseline="0">
              <a:latin typeface="Times New Roman" panose="02020603050405020304" pitchFamily="18" charset="0"/>
              <a:cs typeface="Times New Roman" panose="02020603050405020304" pitchFamily="18" charset="0"/>
            </a:rPr>
            <a:t>3. save the image by click save icon on the left upper corner and click yes to comfirm you want to save.</a:t>
          </a:r>
        </a:p>
        <a:p>
          <a:pPr>
            <a:lnSpc>
              <a:spcPts val="1200"/>
            </a:lnSpc>
          </a:pPr>
          <a:r>
            <a:rPr lang="en-US" sz="1200" baseline="0">
              <a:latin typeface="Times New Roman" panose="02020603050405020304" pitchFamily="18" charset="0"/>
              <a:cs typeface="Times New Roman" panose="02020603050405020304" pitchFamily="18" charset="0"/>
            </a:rPr>
            <a:t>4. Calculate image and check if there is any deviation &gt; 1.0mm, file the printed report in the Monthly QA folder.</a:t>
          </a:r>
        </a:p>
        <a:p>
          <a:pPr>
            <a:lnSpc>
              <a:spcPts val="1200"/>
            </a:lnSpc>
          </a:pPr>
          <a:r>
            <a:rPr lang="en-US" sz="1200" baseline="0">
              <a:latin typeface="Times New Roman" panose="02020603050405020304" pitchFamily="18" charset="0"/>
              <a:cs typeface="Times New Roman" panose="02020603050405020304" pitchFamily="18" charset="0"/>
            </a:rPr>
            <a:t>5. </a:t>
          </a:r>
          <a:r>
            <a:rPr lang="en-US" sz="1200" baseline="0">
              <a:solidFill>
                <a:schemeClr val="tx1"/>
              </a:solidFill>
              <a:latin typeface="Times New Roman" panose="02020603050405020304" pitchFamily="18" charset="0"/>
              <a:ea typeface="+mn-ea"/>
              <a:cs typeface="Times New Roman" panose="02020603050405020304" pitchFamily="18" charset="0"/>
            </a:rPr>
            <a:t>go to the QA computer, go to </a:t>
          </a:r>
          <a:r>
            <a:rPr lang="en-US" sz="1200" b="1" baseline="0">
              <a:solidFill>
                <a:schemeClr val="tx1"/>
              </a:solidFill>
              <a:latin typeface="Times New Roman" panose="02020603050405020304" pitchFamily="18" charset="0"/>
              <a:ea typeface="+mn-ea"/>
              <a:cs typeface="Times New Roman" panose="02020603050405020304" pitchFamily="18" charset="0"/>
            </a:rPr>
            <a:t>W:\Varian\Transfer\TDS\H192905\monthlyQA</a:t>
          </a:r>
          <a:r>
            <a:rPr lang="en-US" sz="1200" baseline="0">
              <a:solidFill>
                <a:schemeClr val="tx1"/>
              </a:solidFill>
              <a:latin typeface="Times New Roman" panose="02020603050405020304" pitchFamily="18" charset="0"/>
              <a:ea typeface="+mn-ea"/>
              <a:cs typeface="Times New Roman" panose="02020603050405020304" pitchFamily="18" charset="0"/>
            </a:rPr>
            <a:t>, you will see a folder named as a day and time, (for example  17-03-08_12-06-26, indicate a image take on 3/8/2017 at 12:06) go inside the folder, copy the dicom image to U drive, Truebeam monthlyQA folder, rename it with more meaningful name.  </a:t>
          </a:r>
        </a:p>
        <a:p>
          <a:pPr>
            <a:lnSpc>
              <a:spcPts val="1200"/>
            </a:lnSpc>
          </a:pPr>
          <a:r>
            <a:rPr lang="en-US" sz="1200" baseline="0">
              <a:solidFill>
                <a:schemeClr val="tx1"/>
              </a:solidFill>
              <a:latin typeface="Times New Roman" panose="02020603050405020304" pitchFamily="18" charset="0"/>
              <a:ea typeface="+mn-ea"/>
              <a:cs typeface="Times New Roman" panose="02020603050405020304" pitchFamily="18" charset="0"/>
            </a:rPr>
            <a:t>6. use doselab&gt;single image&gt; flatness and sysmmtry&gt;  in the Analysis settings, select TrueBeam or  TrueBeam 15cm mlc fld as the base profiles ,  then process</a:t>
          </a:r>
        </a:p>
        <a:p>
          <a:pPr>
            <a:lnSpc>
              <a:spcPts val="1100"/>
            </a:lnSpc>
          </a:pPr>
          <a:r>
            <a:rPr lang="en-US" sz="1200" baseline="0">
              <a:solidFill>
                <a:schemeClr val="tx1"/>
              </a:solidFill>
              <a:latin typeface="Times New Roman" panose="02020603050405020304" pitchFamily="18" charset="0"/>
              <a:ea typeface="+mn-ea"/>
              <a:cs typeface="Times New Roman" panose="02020603050405020304" pitchFamily="18" charset="0"/>
            </a:rPr>
            <a:t>if it is within 1mm of the baseline value. it is a pass.  The baseline  for 10X10 MLC fld  is: vertical 9.88cm and horizotal 9.97cm.</a:t>
          </a:r>
          <a:r>
            <a:rPr lang="en-US" sz="1200" baseline="0">
              <a:solidFill>
                <a:schemeClr val="tx1"/>
              </a:solidFill>
              <a:effectLst/>
              <a:latin typeface="Times New Roman" panose="02020603050405020304" pitchFamily="18" charset="0"/>
              <a:ea typeface="+mn-ea"/>
              <a:cs typeface="Times New Roman" panose="02020603050405020304" pitchFamily="18" charset="0"/>
            </a:rPr>
            <a:t>The baseline  for 15X15 MLC fld  is: vertical 14.85cm and horizotal 15.01cm</a:t>
          </a:r>
          <a:r>
            <a:rPr lang="en-US" sz="1200" baseline="0">
              <a:solidFill>
                <a:schemeClr val="tx1"/>
              </a:solidFill>
              <a:latin typeface="Times New Roman" panose="02020603050405020304" pitchFamily="18" charset="0"/>
              <a:ea typeface="+mn-ea"/>
              <a:cs typeface="Times New Roman" panose="02020603050405020304" pitchFamily="18" charset="0"/>
            </a:rPr>
            <a:t> </a:t>
          </a:r>
        </a:p>
        <a:p>
          <a:pPr>
            <a:lnSpc>
              <a:spcPts val="1300"/>
            </a:lnSpc>
          </a:pPr>
          <a:endParaRPr lang="en-US" sz="1200"/>
        </a:p>
        <a:p>
          <a:pPr>
            <a:lnSpc>
              <a:spcPts val="1200"/>
            </a:lnSpc>
          </a:pPr>
          <a:endParaRPr lang="en-US" sz="1200"/>
        </a:p>
      </xdr:txBody>
    </xdr:sp>
    <xdr:clientData/>
  </xdr:oneCellAnchor>
  <xdr:oneCellAnchor>
    <xdr:from>
      <xdr:col>1</xdr:col>
      <xdr:colOff>19050</xdr:colOff>
      <xdr:row>3</xdr:row>
      <xdr:rowOff>161924</xdr:rowOff>
    </xdr:from>
    <xdr:ext cx="7400925" cy="1181101"/>
    <xdr:sp macro="" textlink="">
      <xdr:nvSpPr>
        <xdr:cNvPr id="7" name="TextBox 6">
          <a:extLst>
            <a:ext uri="{FF2B5EF4-FFF2-40B4-BE49-F238E27FC236}">
              <a16:creationId xmlns:a16="http://schemas.microsoft.com/office/drawing/2014/main" id="{00000000-0008-0000-0400-000007000000}"/>
            </a:ext>
          </a:extLst>
        </xdr:cNvPr>
        <xdr:cNvSpPr txBox="1"/>
      </xdr:nvSpPr>
      <xdr:spPr>
        <a:xfrm>
          <a:off x="628650" y="761999"/>
          <a:ext cx="7400925" cy="1181101"/>
        </a:xfrm>
        <a:prstGeom prst="rect">
          <a:avLst/>
        </a:prstGeom>
        <a:solidFill>
          <a:schemeClr val="bg2">
            <a:lumMod val="9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0" i="0" u="none" strike="noStrike">
              <a:solidFill>
                <a:schemeClr val="tx1"/>
              </a:solidFill>
              <a:latin typeface="Times New Roman" panose="02020603050405020304" pitchFamily="18" charset="0"/>
              <a:ea typeface="+mn-ea"/>
              <a:cs typeface="Times New Roman" panose="02020603050405020304" pitchFamily="18" charset="0"/>
            </a:rPr>
            <a:t>1</a:t>
          </a:r>
          <a:r>
            <a:rPr lang="en-US" sz="1200" b="0" i="0" u="none" strike="noStrike">
              <a:solidFill>
                <a:srgbClr val="FF0000"/>
              </a:solidFill>
              <a:latin typeface="Times New Roman" panose="02020603050405020304" pitchFamily="18" charset="0"/>
              <a:ea typeface="+mn-ea"/>
              <a:cs typeface="Times New Roman" panose="02020603050405020304" pitchFamily="18" charset="0"/>
            </a:rPr>
            <a:t>. Move couch out</a:t>
          </a:r>
          <a:r>
            <a:rPr lang="en-US" sz="1200" b="0" i="0" u="none" strike="noStrike">
              <a:solidFill>
                <a:schemeClr val="tx1"/>
              </a:solidFill>
              <a:latin typeface="Times New Roman" panose="02020603050405020304" pitchFamily="18" charset="0"/>
              <a:ea typeface="+mn-ea"/>
              <a:cs typeface="Times New Roman" panose="02020603050405020304" pitchFamily="18" charset="0"/>
            </a:rPr>
            <a:t>, couch position to vert 0, lng, 19 , and lat 0.</a:t>
          </a:r>
        </a:p>
        <a:p>
          <a:r>
            <a:rPr lang="en-US" sz="1200" b="0" i="0" u="none" strike="noStrike">
              <a:solidFill>
                <a:schemeClr val="tx1"/>
              </a:solidFill>
              <a:latin typeface="Times New Roman" panose="02020603050405020304" pitchFamily="18" charset="0"/>
              <a:ea typeface="+mn-ea"/>
              <a:cs typeface="Times New Roman" panose="02020603050405020304" pitchFamily="18" charset="0"/>
            </a:rPr>
            <a:t>2.</a:t>
          </a:r>
          <a:r>
            <a:rPr lang="en-US" sz="1200" b="0" i="0" u="none" strike="noStrike" baseline="0">
              <a:solidFill>
                <a:schemeClr val="tx1"/>
              </a:solidFill>
              <a:latin typeface="Times New Roman" panose="02020603050405020304" pitchFamily="18" charset="0"/>
              <a:ea typeface="+mn-ea"/>
              <a:cs typeface="Times New Roman" panose="02020603050405020304" pitchFamily="18" charset="0"/>
            </a:rPr>
            <a:t> Select Machine QA from the major mode</a:t>
          </a:r>
        </a:p>
        <a:p>
          <a:r>
            <a:rPr lang="en-US" sz="1200" b="0" i="0" u="none" strike="noStrike" baseline="0">
              <a:solidFill>
                <a:schemeClr val="tx1"/>
              </a:solidFill>
              <a:latin typeface="Times New Roman" panose="02020603050405020304" pitchFamily="18" charset="0"/>
              <a:ea typeface="+mn-ea"/>
              <a:cs typeface="Times New Roman" panose="02020603050405020304" pitchFamily="18" charset="0"/>
            </a:rPr>
            <a:t>3. Open plan per each test. all plans are located at  I:/transfer/TDS/H192905/monthlyQA</a:t>
          </a:r>
        </a:p>
        <a:p>
          <a:r>
            <a:rPr lang="en-US" sz="1200" b="0" i="0" u="none" strike="noStrike" baseline="0">
              <a:solidFill>
                <a:schemeClr val="tx1"/>
              </a:solidFill>
              <a:latin typeface="Times New Roman" panose="02020603050405020304" pitchFamily="18" charset="0"/>
              <a:ea typeface="+mn-ea"/>
              <a:cs typeface="Times New Roman" panose="02020603050405020304" pitchFamily="18" charset="0"/>
            </a:rPr>
            <a:t>4. After opening the plan, apply machine override,  select all and convert. If warning messages show on the image disply, select each one </a:t>
          </a:r>
        </a:p>
        <a:p>
          <a:r>
            <a:rPr lang="en-US" sz="1200" b="0" i="0" u="none" strike="noStrike" baseline="0">
              <a:solidFill>
                <a:schemeClr val="tx1"/>
              </a:solidFill>
              <a:latin typeface="Times New Roman" panose="02020603050405020304" pitchFamily="18" charset="0"/>
              <a:ea typeface="+mn-ea"/>
              <a:cs typeface="Times New Roman" panose="02020603050405020304" pitchFamily="18" charset="0"/>
            </a:rPr>
            <a:t>and click OK. </a:t>
          </a:r>
          <a:endParaRPr lang="en-US" sz="1200">
            <a:latin typeface="Times New Roman" panose="02020603050405020304" pitchFamily="18" charset="0"/>
            <a:cs typeface="Times New Roman" panose="02020603050405020304" pitchFamily="18" charset="0"/>
          </a:endParaRPr>
        </a:p>
      </xdr:txBody>
    </xdr:sp>
    <xdr:clientData/>
  </xdr:oneCellAnchor>
  <xdr:twoCellAnchor editAs="oneCell">
    <xdr:from>
      <xdr:col>14</xdr:col>
      <xdr:colOff>409575</xdr:colOff>
      <xdr:row>1</xdr:row>
      <xdr:rowOff>66675</xdr:rowOff>
    </xdr:from>
    <xdr:to>
      <xdr:col>26</xdr:col>
      <xdr:colOff>314325</xdr:colOff>
      <xdr:row>26</xdr:row>
      <xdr:rowOff>0</xdr:rowOff>
    </xdr:to>
    <xdr:pic>
      <xdr:nvPicPr>
        <xdr:cNvPr id="25683" name="Picture 4">
          <a:extLst>
            <a:ext uri="{FF2B5EF4-FFF2-40B4-BE49-F238E27FC236}">
              <a16:creationId xmlns:a16="http://schemas.microsoft.com/office/drawing/2014/main" id="{00000000-0008-0000-0400-00005364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896475" y="266700"/>
          <a:ext cx="7219950" cy="487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0</xdr:col>
      <xdr:colOff>609598</xdr:colOff>
      <xdr:row>6</xdr:row>
      <xdr:rowOff>47625</xdr:rowOff>
    </xdr:from>
    <xdr:ext cx="8567531" cy="4543425"/>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609598" y="1247775"/>
          <a:ext cx="8567531" cy="4543425"/>
        </a:xfrm>
        <a:prstGeom prst="rect">
          <a:avLst/>
        </a:prstGeom>
        <a:solidFill>
          <a:schemeClr val="bg2">
            <a:lumMod val="9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200" b="1" u="sng">
              <a:latin typeface="Times New Roman" panose="02020603050405020304" pitchFamily="18" charset="0"/>
              <a:cs typeface="Times New Roman" panose="02020603050405020304" pitchFamily="18" charset="0"/>
            </a:rPr>
            <a:t>Setup</a:t>
          </a:r>
        </a:p>
        <a:p>
          <a:r>
            <a:rPr lang="en-US" sz="1200">
              <a:latin typeface="Times New Roman" panose="02020603050405020304" pitchFamily="18" charset="0"/>
              <a:cs typeface="Times New Roman" panose="02020603050405020304" pitchFamily="18" charset="0"/>
            </a:rPr>
            <a:t>1.</a:t>
          </a:r>
          <a:r>
            <a:rPr lang="en-US" sz="1200" baseline="0">
              <a:latin typeface="Times New Roman" panose="02020603050405020304" pitchFamily="18" charset="0"/>
              <a:cs typeface="Times New Roman" panose="02020603050405020304" pitchFamily="18" charset="0"/>
            </a:rPr>
            <a:t> set image QA phantom at H4, put the block on the </a:t>
          </a:r>
          <a:r>
            <a:rPr lang="en-US" sz="1200" b="1" baseline="0">
              <a:latin typeface="Times New Roman" panose="02020603050405020304" pitchFamily="18" charset="0"/>
              <a:cs typeface="Times New Roman" panose="02020603050405020304" pitchFamily="18" charset="0"/>
            </a:rPr>
            <a:t>top stair</a:t>
          </a:r>
          <a:r>
            <a:rPr lang="en-US" sz="1200" baseline="0">
              <a:latin typeface="Times New Roman" panose="02020603050405020304" pitchFamily="18" charset="0"/>
              <a:cs typeface="Times New Roman" panose="02020603050405020304" pitchFamily="18" charset="0"/>
            </a:rPr>
            <a:t>. align to the isocenter using cross hair.</a:t>
          </a:r>
        </a:p>
        <a:p>
          <a:r>
            <a:rPr lang="en-US" sz="1200" baseline="0">
              <a:latin typeface="Times New Roman" panose="02020603050405020304" pitchFamily="18" charset="0"/>
              <a:cs typeface="Times New Roman" panose="02020603050405020304" pitchFamily="18" charset="0"/>
            </a:rPr>
            <a:t>Then move the block to the </a:t>
          </a:r>
          <a:r>
            <a:rPr lang="en-US" sz="1200" b="1" baseline="0">
              <a:latin typeface="Times New Roman" panose="02020603050405020304" pitchFamily="18" charset="0"/>
              <a:cs typeface="Times New Roman" panose="02020603050405020304" pitchFamily="18" charset="0"/>
            </a:rPr>
            <a:t>middle stair </a:t>
          </a:r>
          <a:r>
            <a:rPr lang="en-US" sz="1200" baseline="0">
              <a:latin typeface="Times New Roman" panose="02020603050405020304" pitchFamily="18" charset="0"/>
              <a:cs typeface="Times New Roman" panose="02020603050405020304" pitchFamily="18" charset="0"/>
            </a:rPr>
            <a:t>(</a:t>
          </a:r>
          <a:r>
            <a:rPr lang="en-US" sz="1200" baseline="0">
              <a:solidFill>
                <a:srgbClr val="FF0000"/>
              </a:solidFill>
              <a:latin typeface="Times New Roman" panose="02020603050405020304" pitchFamily="18" charset="0"/>
              <a:cs typeface="Times New Roman" panose="02020603050405020304" pitchFamily="18" charset="0"/>
            </a:rPr>
            <a:t>don't move table here, do not re-align the phatom</a:t>
          </a:r>
          <a:r>
            <a:rPr lang="en-US" sz="1200" baseline="0">
              <a:latin typeface="Times New Roman" panose="02020603050405020304" pitchFamily="18" charset="0"/>
              <a:cs typeface="Times New Roman" panose="02020603050405020304" pitchFamily="18" charset="0"/>
            </a:rPr>
            <a:t>). so it introduce an intentional 2cm in each direction.</a:t>
          </a:r>
        </a:p>
        <a:p>
          <a:r>
            <a:rPr lang="en-US" sz="1200" baseline="0">
              <a:latin typeface="Times New Roman" panose="02020603050405020304" pitchFamily="18" charset="0"/>
              <a:cs typeface="Times New Roman" panose="02020603050405020304" pitchFamily="18" charset="0"/>
            </a:rPr>
            <a:t>2. open patient: Truebeam, monthlyQA.</a:t>
          </a:r>
        </a:p>
        <a:p>
          <a:r>
            <a:rPr lang="en-US" sz="1200" b="1" baseline="0">
              <a:latin typeface="Times New Roman" panose="02020603050405020304" pitchFamily="18" charset="0"/>
              <a:cs typeface="Times New Roman" panose="02020603050405020304" pitchFamily="18" charset="0"/>
            </a:rPr>
            <a:t> </a:t>
          </a:r>
          <a:r>
            <a:rPr lang="en-US" sz="1200" b="1" u="sng" baseline="0">
              <a:latin typeface="Times New Roman" panose="02020603050405020304" pitchFamily="18" charset="0"/>
              <a:cs typeface="Times New Roman" panose="02020603050405020304" pitchFamily="18" charset="0"/>
            </a:rPr>
            <a:t>kV/kV</a:t>
          </a:r>
          <a:r>
            <a:rPr lang="en-US" sz="1200" b="1" baseline="0">
              <a:latin typeface="Times New Roman" panose="02020603050405020304" pitchFamily="18" charset="0"/>
              <a:cs typeface="Times New Roman" panose="02020603050405020304" pitchFamily="18" charset="0"/>
            </a:rPr>
            <a:t>  </a:t>
          </a:r>
        </a:p>
        <a:p>
          <a:r>
            <a:rPr lang="en-US" sz="1200" baseline="0">
              <a:solidFill>
                <a:schemeClr val="tx1"/>
              </a:solidFill>
              <a:latin typeface="Times New Roman" panose="02020603050405020304" pitchFamily="18" charset="0"/>
              <a:ea typeface="+mn-ea"/>
              <a:cs typeface="Times New Roman" panose="02020603050405020304" pitchFamily="18" charset="0"/>
            </a:rPr>
            <a:t>3. select the kV/kV pair setup fld.   Acquiring setup kV image pair by using default technology, then  do a manual 2D-2D match on </a:t>
          </a:r>
        </a:p>
        <a:p>
          <a:r>
            <a:rPr lang="en-US" sz="1200" baseline="0">
              <a:solidFill>
                <a:schemeClr val="tx1"/>
              </a:solidFill>
              <a:latin typeface="Times New Roman" panose="02020603050405020304" pitchFamily="18" charset="0"/>
              <a:ea typeface="+mn-ea"/>
              <a:cs typeface="Times New Roman" panose="02020603050405020304" pitchFamily="18" charset="0"/>
            </a:rPr>
            <a:t>imaging screen with DRR, align on the 5 BBs.  write down the shift  values in table. </a:t>
          </a:r>
          <a:r>
            <a:rPr lang="en-US" sz="1200" b="1" baseline="0">
              <a:solidFill>
                <a:schemeClr val="tx1"/>
              </a:solidFill>
              <a:effectLst/>
              <a:latin typeface="Times New Roman" panose="02020603050405020304" pitchFamily="18" charset="0"/>
              <a:ea typeface="+mn-ea"/>
              <a:cs typeface="Times New Roman" panose="02020603050405020304" pitchFamily="18" charset="0"/>
            </a:rPr>
            <a:t>Do not apply the shift.</a:t>
          </a:r>
        </a:p>
        <a:p>
          <a:r>
            <a:rPr lang="en-US" sz="1200" b="1" u="sng" baseline="0">
              <a:solidFill>
                <a:schemeClr val="tx1"/>
              </a:solidFill>
              <a:effectLst/>
              <a:latin typeface="Times New Roman" panose="02020603050405020304" pitchFamily="18" charset="0"/>
              <a:ea typeface="+mn-ea"/>
              <a:cs typeface="Times New Roman" panose="02020603050405020304" pitchFamily="18" charset="0"/>
            </a:rPr>
            <a:t>CBCT</a:t>
          </a:r>
          <a:endParaRPr lang="en-US" sz="1200" u="sng" baseline="0">
            <a:solidFill>
              <a:schemeClr val="tx1"/>
            </a:solidFill>
            <a:latin typeface="Times New Roman" panose="02020603050405020304" pitchFamily="18" charset="0"/>
            <a:ea typeface="+mn-ea"/>
            <a:cs typeface="Times New Roman" panose="02020603050405020304" pitchFamily="18" charset="0"/>
          </a:endParaRPr>
        </a:p>
        <a:p>
          <a:r>
            <a:rPr lang="en-US" sz="1200" baseline="0">
              <a:latin typeface="Times New Roman" panose="02020603050405020304" pitchFamily="18" charset="0"/>
              <a:cs typeface="Times New Roman" panose="02020603050405020304" pitchFamily="18" charset="0"/>
            </a:rPr>
            <a:t>4. select the CBCT setup fld. Take a CBCT image, do 3D/3D match, auto-match then check the registration of the 5 BBs, domanually match </a:t>
          </a:r>
        </a:p>
        <a:p>
          <a:r>
            <a:rPr lang="en-US" sz="1200" baseline="0">
              <a:latin typeface="Times New Roman" panose="02020603050405020304" pitchFamily="18" charset="0"/>
              <a:cs typeface="Times New Roman" panose="02020603050405020304" pitchFamily="18" charset="0"/>
            </a:rPr>
            <a:t>when necessary. write down the shifts values in the table below.  Apply the shift (you may need to go inside the room to use pendant.)</a:t>
          </a:r>
        </a:p>
        <a:p>
          <a:r>
            <a:rPr lang="en-US" sz="1200" baseline="0">
              <a:solidFill>
                <a:schemeClr val="tx1"/>
              </a:solidFill>
              <a:effectLst/>
              <a:latin typeface="Times New Roman" panose="02020603050405020304" pitchFamily="18" charset="0"/>
              <a:ea typeface="+mn-ea"/>
              <a:cs typeface="Times New Roman" panose="02020603050405020304" pitchFamily="18" charset="0"/>
            </a:rPr>
            <a:t>5. go inside the Tx room, check the " + "marker on the phantom is aligned with the crosshair at gantry 0 and 90.  if it is </a:t>
          </a:r>
        </a:p>
        <a:p>
          <a:r>
            <a:rPr lang="en-US" sz="1200" baseline="0">
              <a:solidFill>
                <a:schemeClr val="tx1"/>
              </a:solidFill>
              <a:effectLst/>
              <a:latin typeface="Times New Roman" panose="02020603050405020304" pitchFamily="18" charset="0"/>
              <a:ea typeface="+mn-ea"/>
              <a:cs typeface="Times New Roman" panose="02020603050405020304" pitchFamily="18" charset="0"/>
            </a:rPr>
            <a:t>within 1mm , it is a pass. Fill the table with pass or fail.</a:t>
          </a:r>
        </a:p>
        <a:p>
          <a:r>
            <a:rPr lang="en-US" sz="1200" b="1" u="sng" baseline="0">
              <a:solidFill>
                <a:schemeClr val="tx1"/>
              </a:solidFill>
              <a:effectLst/>
              <a:latin typeface="Times New Roman" panose="02020603050405020304" pitchFamily="18" charset="0"/>
              <a:ea typeface="+mn-ea"/>
              <a:cs typeface="Times New Roman" panose="02020603050405020304" pitchFamily="18" charset="0"/>
            </a:rPr>
            <a:t>Perfect Pitch</a:t>
          </a:r>
          <a:endParaRPr lang="en-US" sz="1200" b="1" u="sng">
            <a:effectLst/>
            <a:latin typeface="Times New Roman" panose="02020603050405020304" pitchFamily="18" charset="0"/>
            <a:cs typeface="Times New Roman" panose="02020603050405020304" pitchFamily="18" charset="0"/>
          </a:endParaRPr>
        </a:p>
        <a:p>
          <a:r>
            <a:rPr lang="en-US" sz="1200" baseline="0">
              <a:solidFill>
                <a:schemeClr val="tx1"/>
              </a:solidFill>
              <a:effectLst/>
              <a:latin typeface="Times New Roman" panose="02020603050405020304" pitchFamily="18" charset="0"/>
              <a:ea typeface="+mn-ea"/>
              <a:cs typeface="Times New Roman" panose="02020603050405020304" pitchFamily="18" charset="0"/>
            </a:rPr>
            <a:t>6. back to the control room, take another  CBCT, if  by some reason CBCT is not allowed via the CBCT setup fld, then select G0 fld, add </a:t>
          </a:r>
          <a:endParaRPr lang="en-US" sz="1200">
            <a:effectLst/>
            <a:latin typeface="Times New Roman" panose="02020603050405020304" pitchFamily="18" charset="0"/>
            <a:cs typeface="Times New Roman" panose="02020603050405020304" pitchFamily="18" charset="0"/>
          </a:endParaRPr>
        </a:p>
        <a:p>
          <a:r>
            <a:rPr lang="en-US" sz="1200" baseline="0">
              <a:solidFill>
                <a:schemeClr val="tx1"/>
              </a:solidFill>
              <a:effectLst/>
              <a:latin typeface="Times New Roman" panose="02020603050405020304" pitchFamily="18" charset="0"/>
              <a:ea typeface="+mn-ea"/>
              <a:cs typeface="Times New Roman" panose="02020603050405020304" pitchFamily="18" charset="0"/>
            </a:rPr>
            <a:t>CBCT before, or close the patient and resend it from mosaiq. now we </a:t>
          </a:r>
          <a:r>
            <a:rPr lang="en-US" sz="1200" b="1" baseline="0">
              <a:solidFill>
                <a:schemeClr val="tx1"/>
              </a:solidFill>
              <a:effectLst/>
              <a:latin typeface="Times New Roman" panose="02020603050405020304" pitchFamily="18" charset="0"/>
              <a:ea typeface="+mn-ea"/>
              <a:cs typeface="Times New Roman" panose="02020603050405020304" pitchFamily="18" charset="0"/>
            </a:rPr>
            <a:t>only exam the central BB , </a:t>
          </a:r>
          <a:r>
            <a:rPr lang="en-US" sz="1200" b="0" baseline="0">
              <a:solidFill>
                <a:schemeClr val="tx1"/>
              </a:solidFill>
              <a:effectLst/>
              <a:latin typeface="Times New Roman" panose="02020603050405020304" pitchFamily="18" charset="0"/>
              <a:ea typeface="+mn-ea"/>
              <a:cs typeface="Times New Roman" panose="02020603050405020304" pitchFamily="18" charset="0"/>
            </a:rPr>
            <a:t> write down the shift needed to perfectly</a:t>
          </a:r>
        </a:p>
        <a:p>
          <a:r>
            <a:rPr lang="en-US" sz="1200" b="0" baseline="0">
              <a:solidFill>
                <a:schemeClr val="tx1"/>
              </a:solidFill>
              <a:effectLst/>
              <a:latin typeface="Times New Roman" panose="02020603050405020304" pitchFamily="18" charset="0"/>
              <a:ea typeface="+mn-ea"/>
              <a:cs typeface="Times New Roman" panose="02020603050405020304" pitchFamily="18" charset="0"/>
            </a:rPr>
            <a:t>align the central BB. Then Reset the match (0 shift). </a:t>
          </a:r>
        </a:p>
        <a:p>
          <a:r>
            <a:rPr lang="en-US" sz="1200" b="0" baseline="0">
              <a:solidFill>
                <a:schemeClr val="tx1"/>
              </a:solidFill>
              <a:effectLst/>
              <a:latin typeface="Times New Roman" panose="02020603050405020304" pitchFamily="18" charset="0"/>
              <a:ea typeface="+mn-ea"/>
              <a:cs typeface="Times New Roman" panose="02020603050405020304" pitchFamily="18" charset="0"/>
            </a:rPr>
            <a:t>7</a:t>
          </a:r>
          <a:r>
            <a:rPr lang="en-US" sz="1200" baseline="0">
              <a:latin typeface="Times New Roman" panose="02020603050405020304" pitchFamily="18" charset="0"/>
              <a:cs typeface="Times New Roman" panose="02020603050405020304" pitchFamily="18" charset="0"/>
            </a:rPr>
            <a:t>. under manual match,  on each plane view, place the  mouse outside the red circle, it will allow to rotate. </a:t>
          </a:r>
        </a:p>
        <a:p>
          <a:r>
            <a:rPr lang="en-US" sz="1200" baseline="0">
              <a:latin typeface="Times New Roman" panose="02020603050405020304" pitchFamily="18" charset="0"/>
              <a:cs typeface="Times New Roman" panose="02020603050405020304" pitchFamily="18" charset="0"/>
            </a:rPr>
            <a:t>use mouse drag on each of the 3 planes, to get 3 degree Rtn, ptich and Roll.  </a:t>
          </a:r>
          <a:r>
            <a:rPr lang="en-US" sz="1200" b="1" baseline="0">
              <a:latin typeface="Times New Roman" panose="02020603050405020304" pitchFamily="18" charset="0"/>
              <a:cs typeface="Times New Roman" panose="02020603050405020304" pitchFamily="18" charset="0"/>
            </a:rPr>
            <a:t>Check to make sure the shifts in X, Y, Z directions are 0</a:t>
          </a:r>
          <a:r>
            <a:rPr lang="en-US" sz="1200" baseline="0">
              <a:latin typeface="Times New Roman" panose="02020603050405020304" pitchFamily="18" charset="0"/>
              <a:cs typeface="Times New Roman" panose="02020603050405020304" pitchFamily="18" charset="0"/>
            </a:rPr>
            <a:t>.</a:t>
          </a:r>
        </a:p>
        <a:p>
          <a:r>
            <a:rPr lang="en-US" sz="1200" baseline="0">
              <a:latin typeface="Times New Roman" panose="02020603050405020304" pitchFamily="18" charset="0"/>
              <a:cs typeface="Times New Roman" panose="02020603050405020304" pitchFamily="18" charset="0"/>
            </a:rPr>
            <a:t>Apply the shift.  on the control console, it will do both rotioanal and translational move of the table, this is fine.</a:t>
          </a:r>
        </a:p>
        <a:p>
          <a:r>
            <a:rPr lang="en-US" sz="1200" baseline="0">
              <a:latin typeface="Times New Roman" panose="02020603050405020304" pitchFamily="18" charset="0"/>
              <a:cs typeface="Times New Roman" panose="02020603050405020304" pitchFamily="18" charset="0"/>
            </a:rPr>
            <a:t>for couch rotation </a:t>
          </a:r>
          <a:r>
            <a:rPr lang="en-US" sz="1200" b="1" baseline="0">
              <a:latin typeface="Times New Roman" panose="02020603050405020304" pitchFamily="18" charset="0"/>
              <a:cs typeface="Times New Roman" panose="02020603050405020304" pitchFamily="18" charset="0"/>
            </a:rPr>
            <a:t>WATCH FOR COLLISION!!</a:t>
          </a:r>
          <a:r>
            <a:rPr lang="en-US" sz="1200" baseline="0">
              <a:latin typeface="Times New Roman" panose="02020603050405020304" pitchFamily="18" charset="0"/>
              <a:cs typeface="Times New Roman" panose="02020603050405020304" pitchFamily="18" charset="0"/>
            </a:rPr>
            <a:t>. make sure not to zero the couch.</a:t>
          </a:r>
        </a:p>
        <a:p>
          <a:r>
            <a:rPr lang="en-US" sz="1200" baseline="0">
              <a:latin typeface="Times New Roman" panose="02020603050405020304" pitchFamily="18" charset="0"/>
              <a:cs typeface="Times New Roman" panose="02020603050405020304" pitchFamily="18" charset="0"/>
            </a:rPr>
            <a:t>8. take another CBCT with table with 3 degree Rtn, pitch and Roll, </a:t>
          </a:r>
          <a:r>
            <a:rPr lang="en-US" sz="1200" b="1" baseline="0">
              <a:latin typeface="Times New Roman" panose="02020603050405020304" pitchFamily="18" charset="0"/>
              <a:cs typeface="Times New Roman" panose="02020603050405020304" pitchFamily="18" charset="0"/>
            </a:rPr>
            <a:t>check the central BB only</a:t>
          </a:r>
          <a:r>
            <a:rPr lang="en-US" sz="1200" baseline="0">
              <a:latin typeface="Times New Roman" panose="02020603050405020304" pitchFamily="18" charset="0"/>
              <a:cs typeface="Times New Roman" panose="02020603050405020304" pitchFamily="18" charset="0"/>
            </a:rPr>
            <a:t>, write down the shifts needed for align the central BB.</a:t>
          </a:r>
          <a:endParaRPr lang="en-US" sz="1200">
            <a:latin typeface="Times New Roman" panose="02020603050405020304" pitchFamily="18" charset="0"/>
            <a:cs typeface="Times New Roman" panose="02020603050405020304" pitchFamily="18" charset="0"/>
          </a:endParaRP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0</xdr:col>
      <xdr:colOff>581025</xdr:colOff>
      <xdr:row>6</xdr:row>
      <xdr:rowOff>149504</xdr:rowOff>
    </xdr:from>
    <xdr:ext cx="8134350" cy="7975322"/>
    <xdr:sp macro="" textlink="">
      <xdr:nvSpPr>
        <xdr:cNvPr id="2" name="TextBox 1">
          <a:extLst>
            <a:ext uri="{FF2B5EF4-FFF2-40B4-BE49-F238E27FC236}">
              <a16:creationId xmlns:a16="http://schemas.microsoft.com/office/drawing/2014/main" id="{00000000-0008-0000-0600-000002000000}"/>
            </a:ext>
          </a:extLst>
        </xdr:cNvPr>
        <xdr:cNvSpPr txBox="1"/>
      </xdr:nvSpPr>
      <xdr:spPr>
        <a:xfrm>
          <a:off x="581025" y="1349654"/>
          <a:ext cx="8134350" cy="7975322"/>
        </a:xfrm>
        <a:prstGeom prst="rect">
          <a:avLst/>
        </a:prstGeom>
        <a:solidFill>
          <a:schemeClr val="bg2">
            <a:lumMod val="9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nSpc>
              <a:spcPts val="1300"/>
            </a:lnSpc>
          </a:pPr>
          <a:r>
            <a:rPr lang="en-US" sz="1200" b="1" i="0" u="none" strike="noStrike" baseline="0">
              <a:solidFill>
                <a:schemeClr val="tx1"/>
              </a:solidFill>
              <a:latin typeface="Times New Roman" panose="02020603050405020304" pitchFamily="18" charset="0"/>
              <a:ea typeface="+mn-ea"/>
              <a:cs typeface="Times New Roman" panose="02020603050405020304" pitchFamily="18" charset="0"/>
            </a:rPr>
            <a:t>Image Acquisition CBCT</a:t>
          </a:r>
        </a:p>
        <a:p>
          <a:pPr>
            <a:lnSpc>
              <a:spcPts val="1300"/>
            </a:lnSpc>
          </a:pPr>
          <a:r>
            <a:rPr lang="en-US" sz="1200" b="0" i="0" u="none" strike="noStrike" baseline="0">
              <a:solidFill>
                <a:schemeClr val="tx1"/>
              </a:solidFill>
              <a:latin typeface="Times New Roman" panose="02020603050405020304" pitchFamily="18" charset="0"/>
              <a:ea typeface="+mn-ea"/>
              <a:cs typeface="Times New Roman" panose="02020603050405020304" pitchFamily="18" charset="0"/>
            </a:rPr>
            <a:t>1. Ensure couch has no pitch, roll and rotation</a:t>
          </a:r>
        </a:p>
        <a:p>
          <a:pPr>
            <a:lnSpc>
              <a:spcPts val="1300"/>
            </a:lnSpc>
          </a:pPr>
          <a:r>
            <a:rPr lang="en-US" sz="1200" b="0" i="0" u="none" strike="noStrike">
              <a:solidFill>
                <a:schemeClr val="tx1"/>
              </a:solidFill>
              <a:latin typeface="Times New Roman" panose="02020603050405020304" pitchFamily="18" charset="0"/>
              <a:ea typeface="+mn-ea"/>
              <a:cs typeface="Times New Roman" panose="02020603050405020304" pitchFamily="18" charset="0"/>
            </a:rPr>
            <a:t>2.</a:t>
          </a:r>
          <a:r>
            <a:rPr lang="en-US" sz="1200" b="0" i="0" u="none" strike="noStrike" baseline="0">
              <a:solidFill>
                <a:schemeClr val="tx1"/>
              </a:solidFill>
              <a:latin typeface="Times New Roman" panose="02020603050405020304" pitchFamily="18" charset="0"/>
              <a:ea typeface="+mn-ea"/>
              <a:cs typeface="Times New Roman" panose="02020603050405020304" pitchFamily="18" charset="0"/>
            </a:rPr>
            <a:t> Align Catphan 604 phantom with the 2nd dot from the superior edge.</a:t>
          </a:r>
        </a:p>
        <a:p>
          <a:pPr marL="0" marR="0" lvl="0" indent="0" defTabSz="914400" eaLnBrk="1" fontAlgn="auto" latinLnBrk="0" hangingPunct="1">
            <a:lnSpc>
              <a:spcPts val="1300"/>
            </a:lnSpc>
            <a:spcBef>
              <a:spcPts val="0"/>
            </a:spcBef>
            <a:spcAft>
              <a:spcPts val="0"/>
            </a:spcAft>
            <a:buClrTx/>
            <a:buSzTx/>
            <a:buFontTx/>
            <a:buNone/>
            <a:tabLst/>
            <a:defRPr/>
          </a:pPr>
          <a:r>
            <a:rPr lang="en-US" sz="1200" b="0" i="0" baseline="0">
              <a:solidFill>
                <a:schemeClr val="tx1"/>
              </a:solidFill>
              <a:effectLst/>
              <a:latin typeface="Times New Roman" panose="02020603050405020304" pitchFamily="18" charset="0"/>
              <a:ea typeface="+mn-ea"/>
              <a:cs typeface="Times New Roman" panose="02020603050405020304" pitchFamily="18" charset="0"/>
            </a:rPr>
            <a:t>3. Double check that after phantom placement couch pitch remains zero, otherwise level couch.</a:t>
          </a:r>
        </a:p>
        <a:p>
          <a:pPr marL="0" marR="0" lvl="0" indent="0" defTabSz="914400" eaLnBrk="1" fontAlgn="auto" latinLnBrk="0" hangingPunct="1">
            <a:lnSpc>
              <a:spcPts val="1300"/>
            </a:lnSpc>
            <a:spcBef>
              <a:spcPts val="0"/>
            </a:spcBef>
            <a:spcAft>
              <a:spcPts val="0"/>
            </a:spcAft>
            <a:buClrTx/>
            <a:buSzTx/>
            <a:buFontTx/>
            <a:buNone/>
            <a:tabLst/>
            <a:defRPr/>
          </a:pPr>
          <a:r>
            <a:rPr lang="en-US" sz="1200" b="0" i="0" u="none" strike="noStrike" baseline="0">
              <a:solidFill>
                <a:schemeClr val="tx1"/>
              </a:solidFill>
              <a:latin typeface="Times New Roman" panose="02020603050405020304" pitchFamily="18" charset="0"/>
              <a:ea typeface="+mn-ea"/>
              <a:cs typeface="Times New Roman" panose="02020603050405020304" pitchFamily="18" charset="0"/>
            </a:rPr>
            <a:t>3. From the major mode screen select machine QA mode.</a:t>
          </a:r>
        </a:p>
        <a:p>
          <a:pPr marL="0" marR="0" lvl="0" indent="0" defTabSz="914400" eaLnBrk="1" fontAlgn="auto" latinLnBrk="0" hangingPunct="1">
            <a:lnSpc>
              <a:spcPts val="1300"/>
            </a:lnSpc>
            <a:spcBef>
              <a:spcPts val="0"/>
            </a:spcBef>
            <a:spcAft>
              <a:spcPts val="0"/>
            </a:spcAft>
            <a:buClrTx/>
            <a:buSzTx/>
            <a:buFontTx/>
            <a:buNone/>
            <a:tabLst/>
            <a:defRPr/>
          </a:pPr>
          <a:r>
            <a:rPr lang="en-US" sz="1200" b="0" i="0" u="none" strike="noStrike" baseline="0">
              <a:solidFill>
                <a:schemeClr val="tx1"/>
              </a:solidFill>
              <a:latin typeface="Times New Roman" panose="02020603050405020304" pitchFamily="18" charset="0"/>
              <a:ea typeface="+mn-ea"/>
              <a:cs typeface="Times New Roman" panose="02020603050405020304" pitchFamily="18" charset="0"/>
            </a:rPr>
            <a:t>4. File open</a:t>
          </a:r>
          <a:r>
            <a:rPr lang="en-US" sz="1200" b="1" i="0" u="none" strike="noStrike" baseline="0">
              <a:solidFill>
                <a:schemeClr val="tx1"/>
              </a:solidFill>
              <a:latin typeface="Times New Roman" panose="02020603050405020304" pitchFamily="18" charset="0"/>
              <a:ea typeface="+mn-ea"/>
              <a:cs typeface="Times New Roman" panose="02020603050405020304" pitchFamily="18" charset="0"/>
            </a:rPr>
            <a:t>: I:\monthlyQA\Imaging QA\Imaging monthly</a:t>
          </a:r>
          <a:r>
            <a:rPr lang="en-US" sz="1200" b="0" i="0" u="none" strike="noStrike" baseline="0">
              <a:solidFill>
                <a:schemeClr val="tx1"/>
              </a:solidFill>
              <a:latin typeface="Times New Roman" panose="02020603050405020304" pitchFamily="18" charset="0"/>
              <a:ea typeface="+mn-ea"/>
              <a:cs typeface="Times New Roman" panose="02020603050405020304" pitchFamily="18" charset="0"/>
            </a:rPr>
            <a:t>, note that this folder can be accessed also from a standard computer here: W:\Varian\Transfer\TDS\H19905\monthlyQA\ImagingQA\Imaging monthly</a:t>
          </a:r>
        </a:p>
        <a:p>
          <a:pPr>
            <a:lnSpc>
              <a:spcPts val="1300"/>
            </a:lnSpc>
          </a:pPr>
          <a:r>
            <a:rPr lang="en-US" sz="1200" b="0" i="0" u="none" strike="noStrike" baseline="0">
              <a:solidFill>
                <a:schemeClr val="tx1"/>
              </a:solidFill>
              <a:latin typeface="Times New Roman" panose="02020603050405020304" pitchFamily="18" charset="0"/>
              <a:ea typeface="+mn-ea"/>
              <a:cs typeface="Times New Roman" panose="02020603050405020304" pitchFamily="18" charset="0"/>
            </a:rPr>
            <a:t>4. Select the file </a:t>
          </a:r>
          <a:r>
            <a:rPr lang="en-US" sz="1200" b="1" i="0" u="none" strike="noStrike" baseline="0">
              <a:solidFill>
                <a:schemeClr val="tx1"/>
              </a:solidFill>
              <a:latin typeface="Times New Roman" panose="02020603050405020304" pitchFamily="18" charset="0"/>
              <a:ea typeface="+mn-ea"/>
              <a:cs typeface="Times New Roman" panose="02020603050405020304" pitchFamily="18" charset="0"/>
            </a:rPr>
            <a:t>aMonthly Im.dcm</a:t>
          </a:r>
          <a:r>
            <a:rPr lang="en-US" sz="1200" b="0" i="0" u="none" strike="noStrike" baseline="0">
              <a:solidFill>
                <a:schemeClr val="tx1"/>
              </a:solidFill>
              <a:latin typeface="Times New Roman" panose="02020603050405020304" pitchFamily="18" charset="0"/>
              <a:ea typeface="+mn-ea"/>
              <a:cs typeface="Times New Roman" panose="02020603050405020304" pitchFamily="18" charset="0"/>
            </a:rPr>
            <a:t>. You will need to apply the machine override to all the fields.</a:t>
          </a:r>
        </a:p>
        <a:p>
          <a:pPr>
            <a:lnSpc>
              <a:spcPts val="1300"/>
            </a:lnSpc>
          </a:pPr>
          <a:r>
            <a:rPr lang="en-US" sz="1200" b="0" i="0" u="none" strike="noStrike" baseline="0">
              <a:solidFill>
                <a:schemeClr val="tx1"/>
              </a:solidFill>
              <a:latin typeface="Times New Roman" panose="02020603050405020304" pitchFamily="18" charset="0"/>
              <a:ea typeface="+mn-ea"/>
              <a:cs typeface="Times New Roman" panose="02020603050405020304" pitchFamily="18" charset="0"/>
            </a:rPr>
            <a:t>5. Choose the CBCT.5 field and select on of the following options (either Head or Pelvis depending on the month).</a:t>
          </a:r>
        </a:p>
        <a:p>
          <a:pPr>
            <a:lnSpc>
              <a:spcPts val="1300"/>
            </a:lnSpc>
          </a:pPr>
          <a:r>
            <a:rPr lang="en-US" sz="1200" b="0" i="0" u="none" strike="noStrike" baseline="0">
              <a:solidFill>
                <a:schemeClr val="tx1"/>
              </a:solidFill>
              <a:latin typeface="Times New Roman" panose="02020603050405020304" pitchFamily="18" charset="0"/>
              <a:ea typeface="+mn-ea"/>
              <a:cs typeface="Times New Roman" panose="02020603050405020304" pitchFamily="18" charset="0"/>
            </a:rPr>
            <a:t>6. Acquire the CBCT. No shifts should be applied. The images will automatically be saved to a folder on the I drive.</a:t>
          </a:r>
        </a:p>
        <a:p>
          <a:pPr>
            <a:lnSpc>
              <a:spcPts val="1300"/>
            </a:lnSpc>
          </a:pPr>
          <a:endParaRPr lang="en-US" sz="1200" b="0" i="0" u="none" strike="noStrike" baseline="0">
            <a:solidFill>
              <a:schemeClr val="tx1"/>
            </a:solidFill>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ts val="1300"/>
            </a:lnSpc>
            <a:spcBef>
              <a:spcPts val="0"/>
            </a:spcBef>
            <a:spcAft>
              <a:spcPts val="0"/>
            </a:spcAft>
            <a:buClrTx/>
            <a:buSzTx/>
            <a:buFontTx/>
            <a:buNone/>
            <a:tabLst/>
            <a:defRPr/>
          </a:pPr>
          <a:r>
            <a:rPr lang="en-US" sz="1200" b="1" i="0" baseline="0">
              <a:solidFill>
                <a:schemeClr val="tx1"/>
              </a:solidFill>
              <a:effectLst/>
              <a:latin typeface="Times New Roman" panose="02020603050405020304" pitchFamily="18" charset="0"/>
              <a:ea typeface="+mn-ea"/>
              <a:cs typeface="Times New Roman" panose="02020603050405020304" pitchFamily="18" charset="0"/>
            </a:rPr>
            <a:t>Image Acquisition MV image</a:t>
          </a:r>
          <a:endParaRPr lang="en-US" sz="1200">
            <a:effectLst/>
            <a:latin typeface="Times New Roman" panose="02020603050405020304" pitchFamily="18" charset="0"/>
            <a:cs typeface="Times New Roman" panose="02020603050405020304" pitchFamily="18" charset="0"/>
          </a:endParaRPr>
        </a:p>
        <a:p>
          <a:pPr>
            <a:lnSpc>
              <a:spcPts val="1300"/>
            </a:lnSpc>
          </a:pPr>
          <a:r>
            <a:rPr lang="en-US" sz="1200">
              <a:effectLst/>
              <a:latin typeface="Times New Roman" panose="02020603050405020304" pitchFamily="18" charset="0"/>
              <a:cs typeface="Times New Roman" panose="02020603050405020304" pitchFamily="18" charset="0"/>
            </a:rPr>
            <a:t>1. Setup MV phantom as shown. The ceiling laser should</a:t>
          </a:r>
          <a:r>
            <a:rPr lang="en-US" sz="1200" baseline="0">
              <a:effectLst/>
              <a:latin typeface="Times New Roman" panose="02020603050405020304" pitchFamily="18" charset="0"/>
              <a:cs typeface="Times New Roman" panose="02020603050405020304" pitchFamily="18" charset="0"/>
            </a:rPr>
            <a:t> align with the black marks on the top edge and the light field crosshairs (@ 270 gantry) should aling with the crosshairs on the front of the phantom.</a:t>
          </a:r>
        </a:p>
        <a:p>
          <a:pPr>
            <a:lnSpc>
              <a:spcPts val="1100"/>
            </a:lnSpc>
          </a:pPr>
          <a:r>
            <a:rPr lang="en-US" sz="1200" baseline="0">
              <a:effectLst/>
              <a:latin typeface="Times New Roman" panose="02020603050405020304" pitchFamily="18" charset="0"/>
              <a:cs typeface="Times New Roman" panose="02020603050405020304" pitchFamily="18" charset="0"/>
            </a:rPr>
            <a:t>2. Choose the Rt Lat MV port field and acquire the image. Use the default acquisition parameters.</a:t>
          </a:r>
          <a:endParaRPr lang="en-US" sz="1200">
            <a:effectLst/>
            <a:latin typeface="Times New Roman" panose="02020603050405020304" pitchFamily="18" charset="0"/>
            <a:cs typeface="Times New Roman" panose="02020603050405020304" pitchFamily="18" charset="0"/>
          </a:endParaRPr>
        </a:p>
        <a:p>
          <a:pPr>
            <a:lnSpc>
              <a:spcPts val="1300"/>
            </a:lnSpc>
          </a:pPr>
          <a:r>
            <a:rPr lang="en-US" sz="1200" b="0" i="0" u="none" strike="noStrike" baseline="0">
              <a:solidFill>
                <a:schemeClr val="tx1"/>
              </a:solidFill>
              <a:latin typeface="Times New Roman" panose="02020603050405020304" pitchFamily="18" charset="0"/>
              <a:ea typeface="+mn-ea"/>
              <a:cs typeface="Times New Roman" panose="02020603050405020304" pitchFamily="18" charset="0"/>
            </a:rPr>
            <a:t> </a:t>
          </a:r>
        </a:p>
        <a:p>
          <a:pPr>
            <a:lnSpc>
              <a:spcPts val="1200"/>
            </a:lnSpc>
          </a:pPr>
          <a:r>
            <a:rPr lang="en-US" sz="1200" b="1" i="0" u="none" strike="noStrike" baseline="0">
              <a:solidFill>
                <a:schemeClr val="tx1"/>
              </a:solidFill>
              <a:latin typeface="Times New Roman" panose="02020603050405020304" pitchFamily="18" charset="0"/>
              <a:ea typeface="+mn-ea"/>
              <a:cs typeface="Times New Roman" panose="02020603050405020304" pitchFamily="18" charset="0"/>
            </a:rPr>
            <a:t>Image Acquisition kV image</a:t>
          </a:r>
        </a:p>
        <a:p>
          <a:pPr>
            <a:lnSpc>
              <a:spcPts val="1200"/>
            </a:lnSpc>
          </a:pPr>
          <a:r>
            <a:rPr lang="en-US" sz="1200" b="0" i="0" u="none" strike="noStrike" baseline="0">
              <a:solidFill>
                <a:schemeClr val="tx1"/>
              </a:solidFill>
              <a:latin typeface="Times New Roman" panose="02020603050405020304" pitchFamily="18" charset="0"/>
              <a:ea typeface="+mn-ea"/>
              <a:cs typeface="Times New Roman" panose="02020603050405020304" pitchFamily="18" charset="0"/>
            </a:rPr>
            <a:t>1. Setup the kV phantom in a similar fashion using the ceiling lasers and light field crosshair @ 270 gantry.</a:t>
          </a:r>
        </a:p>
        <a:p>
          <a:pPr>
            <a:lnSpc>
              <a:spcPts val="1300"/>
            </a:lnSpc>
          </a:pPr>
          <a:r>
            <a:rPr lang="en-US" sz="1200" b="0" i="0" u="none" strike="noStrike" baseline="0">
              <a:solidFill>
                <a:schemeClr val="tx1"/>
              </a:solidFill>
              <a:latin typeface="Times New Roman" panose="02020603050405020304" pitchFamily="18" charset="0"/>
              <a:ea typeface="+mn-ea"/>
              <a:cs typeface="Times New Roman" panose="02020603050405020304" pitchFamily="18" charset="0"/>
            </a:rPr>
            <a:t>2. Choose the kV-kV setup pair and use the "Extremity" settings to acquire the Rt lateral kV image.</a:t>
          </a:r>
        </a:p>
        <a:p>
          <a:pPr>
            <a:lnSpc>
              <a:spcPts val="1100"/>
            </a:lnSpc>
          </a:pPr>
          <a:endParaRPr lang="en-US" sz="120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ts val="1200"/>
            </a:lnSpc>
            <a:spcBef>
              <a:spcPts val="0"/>
            </a:spcBef>
            <a:spcAft>
              <a:spcPts val="0"/>
            </a:spcAft>
            <a:buClrTx/>
            <a:buSzTx/>
            <a:buFontTx/>
            <a:buNone/>
            <a:tabLst/>
            <a:defRPr/>
          </a:pPr>
          <a:r>
            <a:rPr lang="en-US" sz="1200" b="1" i="0" baseline="0">
              <a:solidFill>
                <a:schemeClr val="tx1"/>
              </a:solidFill>
              <a:effectLst/>
              <a:latin typeface="Times New Roman" panose="02020603050405020304" pitchFamily="18" charset="0"/>
              <a:ea typeface="+mn-ea"/>
              <a:cs typeface="Times New Roman" panose="02020603050405020304" pitchFamily="18" charset="0"/>
            </a:rPr>
            <a:t>Image Analysis CBCT</a:t>
          </a:r>
          <a:endParaRPr lang="en-US" sz="1200">
            <a:effectLst/>
            <a:latin typeface="Times New Roman" panose="02020603050405020304" pitchFamily="18" charset="0"/>
            <a:cs typeface="Times New Roman" panose="02020603050405020304" pitchFamily="18" charset="0"/>
          </a:endParaRPr>
        </a:p>
        <a:p>
          <a:pPr>
            <a:lnSpc>
              <a:spcPts val="1300"/>
            </a:lnSpc>
          </a:pPr>
          <a:r>
            <a:rPr lang="en-US" sz="1200">
              <a:latin typeface="Times New Roman" panose="02020603050405020304" pitchFamily="18" charset="0"/>
              <a:cs typeface="Times New Roman" panose="02020603050405020304" pitchFamily="18" charset="0"/>
            </a:rPr>
            <a:t>1. Open the DoseLab</a:t>
          </a:r>
          <a:r>
            <a:rPr lang="en-US" sz="1200" baseline="0">
              <a:latin typeface="Times New Roman" panose="02020603050405020304" pitchFamily="18" charset="0"/>
              <a:cs typeface="Times New Roman" panose="02020603050405020304" pitchFamily="18" charset="0"/>
            </a:rPr>
            <a:t> software and select "CT/CBCT".</a:t>
          </a:r>
        </a:p>
        <a:p>
          <a:pPr>
            <a:lnSpc>
              <a:spcPts val="1200"/>
            </a:lnSpc>
          </a:pPr>
          <a:r>
            <a:rPr lang="en-US" sz="1200" baseline="0">
              <a:latin typeface="Times New Roman" panose="02020603050405020304" pitchFamily="18" charset="0"/>
              <a:cs typeface="Times New Roman" panose="02020603050405020304" pitchFamily="18" charset="0"/>
            </a:rPr>
            <a:t>2. Select the folder which houses the CBCT to analyze, i.e. W\Varian\Transfer\TDS\H192905\monthlyQA\Imaging QA\Imaging monthly\ "date of acquisition". Or having previously copied the files to another folder, navigate to the desired location.</a:t>
          </a:r>
        </a:p>
        <a:p>
          <a:pPr>
            <a:lnSpc>
              <a:spcPts val="1300"/>
            </a:lnSpc>
          </a:pPr>
          <a:r>
            <a:rPr lang="en-US" sz="1200" baseline="0">
              <a:latin typeface="Times New Roman" panose="02020603050405020304" pitchFamily="18" charset="0"/>
              <a:cs typeface="Times New Roman" panose="02020603050405020304" pitchFamily="18" charset="0"/>
            </a:rPr>
            <a:t>3. A CBCT acquired using the </a:t>
          </a:r>
          <a:r>
            <a:rPr lang="en-US" sz="1200" baseline="0">
              <a:solidFill>
                <a:srgbClr val="FF0000"/>
              </a:solidFill>
              <a:latin typeface="Times New Roman" panose="02020603050405020304" pitchFamily="18" charset="0"/>
              <a:cs typeface="Times New Roman" panose="02020603050405020304" pitchFamily="18" charset="0"/>
            </a:rPr>
            <a:t>head</a:t>
          </a:r>
          <a:r>
            <a:rPr lang="en-US" sz="1200" baseline="0">
              <a:latin typeface="Times New Roman" panose="02020603050405020304" pitchFamily="18" charset="0"/>
              <a:cs typeface="Times New Roman" panose="02020603050405020304" pitchFamily="18" charset="0"/>
            </a:rPr>
            <a:t> protocol should have </a:t>
          </a:r>
          <a:r>
            <a:rPr lang="en-US" sz="1200" baseline="0">
              <a:solidFill>
                <a:srgbClr val="FF0000"/>
              </a:solidFill>
              <a:latin typeface="Times New Roman" panose="02020603050405020304" pitchFamily="18" charset="0"/>
              <a:cs typeface="Times New Roman" panose="02020603050405020304" pitchFamily="18" charset="0"/>
            </a:rPr>
            <a:t>93 images</a:t>
          </a:r>
          <a:r>
            <a:rPr lang="en-US" sz="1200" baseline="0">
              <a:latin typeface="Times New Roman" panose="02020603050405020304" pitchFamily="18" charset="0"/>
              <a:cs typeface="Times New Roman" panose="02020603050405020304" pitchFamily="18" charset="0"/>
            </a:rPr>
            <a:t>. The CBCT acquired using </a:t>
          </a:r>
          <a:r>
            <a:rPr lang="en-US" sz="1200" baseline="0">
              <a:solidFill>
                <a:srgbClr val="FF0000"/>
              </a:solidFill>
              <a:latin typeface="Times New Roman" panose="02020603050405020304" pitchFamily="18" charset="0"/>
              <a:cs typeface="Times New Roman" panose="02020603050405020304" pitchFamily="18" charset="0"/>
            </a:rPr>
            <a:t>the pelvis </a:t>
          </a:r>
          <a:r>
            <a:rPr lang="en-US" sz="1200" baseline="0">
              <a:latin typeface="Times New Roman" panose="02020603050405020304" pitchFamily="18" charset="0"/>
              <a:cs typeface="Times New Roman" panose="02020603050405020304" pitchFamily="18" charset="0"/>
            </a:rPr>
            <a:t>protocol should have </a:t>
          </a:r>
          <a:r>
            <a:rPr lang="en-US" sz="1200" baseline="0">
              <a:solidFill>
                <a:srgbClr val="FF0000"/>
              </a:solidFill>
              <a:latin typeface="Times New Roman" panose="02020603050405020304" pitchFamily="18" charset="0"/>
              <a:cs typeface="Times New Roman" panose="02020603050405020304" pitchFamily="18" charset="0"/>
            </a:rPr>
            <a:t>88 images</a:t>
          </a:r>
          <a:r>
            <a:rPr lang="en-US" sz="1200" baseline="0">
              <a:latin typeface="Times New Roman" panose="02020603050405020304" pitchFamily="18" charset="0"/>
              <a:cs typeface="Times New Roman" panose="02020603050405020304" pitchFamily="18" charset="0"/>
            </a:rPr>
            <a:t>.</a:t>
          </a:r>
        </a:p>
        <a:p>
          <a:pPr marL="0" marR="0" lvl="0" indent="0" defTabSz="914400" eaLnBrk="1" fontAlgn="auto" latinLnBrk="0" hangingPunct="1">
            <a:lnSpc>
              <a:spcPts val="1100"/>
            </a:lnSpc>
            <a:spcBef>
              <a:spcPts val="0"/>
            </a:spcBef>
            <a:spcAft>
              <a:spcPts val="0"/>
            </a:spcAft>
            <a:buClrTx/>
            <a:buSzTx/>
            <a:buFontTx/>
            <a:buNone/>
            <a:tabLst/>
            <a:defRPr/>
          </a:pPr>
          <a:r>
            <a:rPr lang="en-US" sz="1200" baseline="0">
              <a:latin typeface="Times New Roman" panose="02020603050405020304" pitchFamily="18" charset="0"/>
              <a:cs typeface="Times New Roman" panose="02020603050405020304" pitchFamily="18" charset="0"/>
            </a:rPr>
            <a:t>4. </a:t>
          </a:r>
          <a:r>
            <a:rPr lang="en-US" sz="1200">
              <a:solidFill>
                <a:schemeClr val="tx1"/>
              </a:solidFill>
              <a:effectLst/>
              <a:latin typeface="Times New Roman" panose="02020603050405020304" pitchFamily="18" charset="0"/>
              <a:ea typeface="+mn-ea"/>
              <a:cs typeface="Times New Roman" panose="02020603050405020304" pitchFamily="18" charset="0"/>
            </a:rPr>
            <a:t>For phantom select the “Catphan 604”. For Machine choose the Vero. Use the tolerance set for the Truebeam (TB) which applies, either pelvis or head. The DPI, slice width, magnification, and energy should auto-populate.</a:t>
          </a:r>
        </a:p>
        <a:p>
          <a:pPr marL="0" marR="0" lvl="0" indent="0" defTabSz="914400" eaLnBrk="1" fontAlgn="auto" latinLnBrk="0" hangingPunct="1">
            <a:lnSpc>
              <a:spcPts val="1300"/>
            </a:lnSpc>
            <a:spcBef>
              <a:spcPts val="0"/>
            </a:spcBef>
            <a:spcAft>
              <a:spcPts val="0"/>
            </a:spcAft>
            <a:buClrTx/>
            <a:buSzTx/>
            <a:buFontTx/>
            <a:buNone/>
            <a:tabLst/>
            <a:defRPr/>
          </a:pPr>
          <a:r>
            <a:rPr lang="en-US" sz="1200">
              <a:solidFill>
                <a:schemeClr val="tx1"/>
              </a:solidFill>
              <a:effectLst/>
              <a:latin typeface="Times New Roman" panose="02020603050405020304" pitchFamily="18" charset="0"/>
              <a:ea typeface="+mn-ea"/>
              <a:cs typeface="Times New Roman" panose="02020603050405020304" pitchFamily="18" charset="0"/>
            </a:rPr>
            <a:t>5. The slice for each module will be automatically selected by the software. This should mostly be ok, except for potentially the Low contrast module. You can view the slices of the CBCT and determine which slice represents the middle of the Low contrast module. Look for the anterior BB as highlighted</a:t>
          </a:r>
          <a:r>
            <a:rPr lang="en-US" sz="1200" baseline="0">
              <a:solidFill>
                <a:schemeClr val="tx1"/>
              </a:solidFill>
              <a:effectLst/>
              <a:latin typeface="Times New Roman" panose="02020603050405020304" pitchFamily="18" charset="0"/>
              <a:ea typeface="+mn-ea"/>
              <a:cs typeface="Times New Roman" panose="02020603050405020304" pitchFamily="18" charset="0"/>
            </a:rPr>
            <a:t> in the figure below.</a:t>
          </a:r>
        </a:p>
        <a:p>
          <a:pPr marL="0" marR="0" lvl="0" indent="0" defTabSz="914400" eaLnBrk="1" fontAlgn="auto" latinLnBrk="0" hangingPunct="1">
            <a:lnSpc>
              <a:spcPts val="1200"/>
            </a:lnSpc>
            <a:spcBef>
              <a:spcPts val="0"/>
            </a:spcBef>
            <a:spcAft>
              <a:spcPts val="0"/>
            </a:spcAft>
            <a:buClrTx/>
            <a:buSzTx/>
            <a:buFontTx/>
            <a:buNone/>
            <a:tabLst/>
            <a:defRPr/>
          </a:pPr>
          <a:r>
            <a:rPr lang="en-US" sz="1200" baseline="0">
              <a:solidFill>
                <a:schemeClr val="tx1"/>
              </a:solidFill>
              <a:effectLst/>
              <a:latin typeface="Times New Roman" panose="02020603050405020304" pitchFamily="18" charset="0"/>
              <a:ea typeface="+mn-ea"/>
              <a:cs typeface="Times New Roman" panose="02020603050405020304" pitchFamily="18" charset="0"/>
            </a:rPr>
            <a:t>6. Record the results below.</a:t>
          </a:r>
          <a:endParaRPr lang="en-US" sz="1200">
            <a:solidFill>
              <a:schemeClr val="tx1"/>
            </a:solidFill>
            <a:effectLst/>
            <a:latin typeface="Times New Roman" panose="02020603050405020304" pitchFamily="18" charset="0"/>
            <a:ea typeface="+mn-ea"/>
            <a:cs typeface="Times New Roman" panose="02020603050405020304" pitchFamily="18" charset="0"/>
          </a:endParaRPr>
        </a:p>
        <a:p>
          <a:pPr>
            <a:lnSpc>
              <a:spcPts val="1200"/>
            </a:lnSpc>
          </a:pPr>
          <a:endParaRPr lang="en-US" sz="120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ts val="1200"/>
            </a:lnSpc>
            <a:spcBef>
              <a:spcPts val="0"/>
            </a:spcBef>
            <a:spcAft>
              <a:spcPts val="0"/>
            </a:spcAft>
            <a:buClrTx/>
            <a:buSzTx/>
            <a:buFontTx/>
            <a:buNone/>
            <a:tabLst/>
            <a:defRPr/>
          </a:pPr>
          <a:r>
            <a:rPr lang="en-US" sz="1200" b="1" i="0" baseline="0">
              <a:solidFill>
                <a:schemeClr val="tx1"/>
              </a:solidFill>
              <a:effectLst/>
              <a:latin typeface="Times New Roman" panose="02020603050405020304" pitchFamily="18" charset="0"/>
              <a:ea typeface="+mn-ea"/>
              <a:cs typeface="Times New Roman" panose="02020603050405020304" pitchFamily="18" charset="0"/>
            </a:rPr>
            <a:t>Image Analysis MV image</a:t>
          </a:r>
          <a:endParaRPr lang="en-US" sz="1200">
            <a:effectLst/>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ts val="1100"/>
            </a:lnSpc>
            <a:spcBef>
              <a:spcPts val="0"/>
            </a:spcBef>
            <a:spcAft>
              <a:spcPts val="0"/>
            </a:spcAft>
            <a:buClrTx/>
            <a:buSzTx/>
            <a:buFontTx/>
            <a:buNone/>
            <a:tabLst/>
            <a:defRPr/>
          </a:pPr>
          <a:r>
            <a:rPr lang="en-US" sz="1200">
              <a:latin typeface="Times New Roman" panose="02020603050405020304" pitchFamily="18" charset="0"/>
              <a:cs typeface="Times New Roman" panose="02020603050405020304" pitchFamily="18" charset="0"/>
            </a:rPr>
            <a:t>1. </a:t>
          </a:r>
          <a:r>
            <a:rPr lang="en-US" sz="1200">
              <a:solidFill>
                <a:schemeClr val="tx1"/>
              </a:solidFill>
              <a:effectLst/>
              <a:latin typeface="Times New Roman" panose="02020603050405020304" pitchFamily="18" charset="0"/>
              <a:ea typeface="+mn-ea"/>
              <a:cs typeface="Times New Roman" panose="02020603050405020304" pitchFamily="18" charset="0"/>
            </a:rPr>
            <a:t>Next select “Single Image Analysis” from the home screen. Then File </a:t>
          </a:r>
          <a:r>
            <a:rPr lang="en-US" sz="1200">
              <a:solidFill>
                <a:schemeClr val="tx1"/>
              </a:solidFill>
              <a:effectLst/>
              <a:latin typeface="Times New Roman" panose="02020603050405020304" pitchFamily="18" charset="0"/>
              <a:ea typeface="+mn-ea"/>
              <a:cs typeface="Times New Roman" panose="02020603050405020304" pitchFamily="18" charset="0"/>
              <a:sym typeface="Wingdings" panose="05000000000000000000" pitchFamily="2" charset="2"/>
            </a:rPr>
            <a:t></a:t>
          </a:r>
          <a:r>
            <a:rPr lang="en-US" sz="1200">
              <a:solidFill>
                <a:schemeClr val="tx1"/>
              </a:solidFill>
              <a:effectLst/>
              <a:latin typeface="Times New Roman" panose="02020603050405020304" pitchFamily="18" charset="0"/>
              <a:ea typeface="+mn-ea"/>
              <a:cs typeface="Times New Roman" panose="02020603050405020304" pitchFamily="18" charset="0"/>
            </a:rPr>
            <a:t> Open image… choose your MV image from either W:\Varian\Transfer\TDS\H192905\monthlyQA\Imaging QA\Imaging monthly\ ”date of acquisition” or the designated folder. The size of the image should be around 3200 KB, and MV will be noted in the details to right of the screen once opened.</a:t>
          </a:r>
        </a:p>
        <a:p>
          <a:pPr marL="0" marR="0" lvl="0" indent="0" defTabSz="914400" eaLnBrk="1" fontAlgn="auto" latinLnBrk="0" hangingPunct="1">
            <a:lnSpc>
              <a:spcPts val="1300"/>
            </a:lnSpc>
            <a:spcBef>
              <a:spcPts val="0"/>
            </a:spcBef>
            <a:spcAft>
              <a:spcPts val="0"/>
            </a:spcAft>
            <a:buClrTx/>
            <a:buSzTx/>
            <a:buFontTx/>
            <a:buNone/>
            <a:tabLst/>
            <a:defRPr/>
          </a:pPr>
          <a:r>
            <a:rPr lang="en-US" sz="1200">
              <a:solidFill>
                <a:schemeClr val="tx1"/>
              </a:solidFill>
              <a:effectLst/>
              <a:latin typeface="Times New Roman" panose="02020603050405020304" pitchFamily="18" charset="0"/>
              <a:ea typeface="+mn-ea"/>
              <a:cs typeface="Times New Roman" panose="02020603050405020304" pitchFamily="18" charset="0"/>
            </a:rPr>
            <a:t>2. Next select Machine QA </a:t>
          </a:r>
          <a:r>
            <a:rPr lang="en-US" sz="1200">
              <a:solidFill>
                <a:schemeClr val="tx1"/>
              </a:solidFill>
              <a:effectLst/>
              <a:latin typeface="Times New Roman" panose="02020603050405020304" pitchFamily="18" charset="0"/>
              <a:ea typeface="+mn-ea"/>
              <a:cs typeface="Times New Roman" panose="02020603050405020304" pitchFamily="18" charset="0"/>
              <a:sym typeface="Wingdings" panose="05000000000000000000" pitchFamily="2" charset="2"/>
            </a:rPr>
            <a:t></a:t>
          </a:r>
          <a:r>
            <a:rPr lang="en-US" sz="1200">
              <a:solidFill>
                <a:schemeClr val="tx1"/>
              </a:solidFill>
              <a:effectLst/>
              <a:latin typeface="Times New Roman" panose="02020603050405020304" pitchFamily="18" charset="0"/>
              <a:ea typeface="+mn-ea"/>
              <a:cs typeface="Times New Roman" panose="02020603050405020304" pitchFamily="18" charset="0"/>
            </a:rPr>
            <a:t> MV and kV imaging… from the top menu.</a:t>
          </a:r>
        </a:p>
        <a:p>
          <a:pPr lvl="0">
            <a:lnSpc>
              <a:spcPts val="1200"/>
            </a:lnSpc>
          </a:pPr>
          <a:r>
            <a:rPr lang="en-US" sz="1200">
              <a:solidFill>
                <a:schemeClr val="tx1"/>
              </a:solidFill>
              <a:effectLst/>
              <a:latin typeface="Times New Roman" panose="02020603050405020304" pitchFamily="18" charset="0"/>
              <a:ea typeface="+mn-ea"/>
              <a:cs typeface="Times New Roman" panose="02020603050405020304" pitchFamily="18" charset="0"/>
            </a:rPr>
            <a:t>3. For phantom select “SNC MV-QA”. For Machine choose the Vero. Use the tolerance set “SNC MV-QA TB”. The DPI, SID, magnification, and energy should auto-populate. You may have to select MV instead of kV using the radio button. If the data doesn’t automatially process hit the process button. </a:t>
          </a:r>
        </a:p>
        <a:p>
          <a:pPr lvl="0">
            <a:lnSpc>
              <a:spcPts val="1300"/>
            </a:lnSpc>
          </a:pPr>
          <a:r>
            <a:rPr lang="en-US" sz="1200">
              <a:solidFill>
                <a:schemeClr val="tx1"/>
              </a:solidFill>
              <a:effectLst/>
              <a:latin typeface="Times New Roman" panose="02020603050405020304" pitchFamily="18" charset="0"/>
              <a:ea typeface="+mn-ea"/>
              <a:cs typeface="Times New Roman" panose="02020603050405020304" pitchFamily="18" charset="0"/>
            </a:rPr>
            <a:t>4. Record</a:t>
          </a:r>
          <a:r>
            <a:rPr lang="en-US" sz="1200" baseline="0">
              <a:solidFill>
                <a:schemeClr val="tx1"/>
              </a:solidFill>
              <a:effectLst/>
              <a:latin typeface="Times New Roman" panose="02020603050405020304" pitchFamily="18" charset="0"/>
              <a:ea typeface="+mn-ea"/>
              <a:cs typeface="Times New Roman" panose="02020603050405020304" pitchFamily="18" charset="0"/>
            </a:rPr>
            <a:t> the results below.</a:t>
          </a:r>
        </a:p>
        <a:p>
          <a:pPr lvl="0">
            <a:lnSpc>
              <a:spcPts val="1300"/>
            </a:lnSpc>
          </a:pPr>
          <a:endParaRPr lang="en-US" sz="1200" baseline="0">
            <a:solidFill>
              <a:schemeClr val="tx1"/>
            </a:solidFill>
            <a:effectLst/>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ts val="1200"/>
            </a:lnSpc>
            <a:spcBef>
              <a:spcPts val="0"/>
            </a:spcBef>
            <a:spcAft>
              <a:spcPts val="0"/>
            </a:spcAft>
            <a:buClrTx/>
            <a:buSzTx/>
            <a:buFontTx/>
            <a:buNone/>
            <a:tabLst/>
            <a:defRPr/>
          </a:pPr>
          <a:r>
            <a:rPr lang="en-US" sz="1200" b="1" i="0" baseline="0">
              <a:solidFill>
                <a:schemeClr val="tx1"/>
              </a:solidFill>
              <a:effectLst/>
              <a:latin typeface="Times New Roman" panose="02020603050405020304" pitchFamily="18" charset="0"/>
              <a:ea typeface="+mn-ea"/>
              <a:cs typeface="Times New Roman" panose="02020603050405020304" pitchFamily="18" charset="0"/>
            </a:rPr>
            <a:t>Image Analysis kV image</a:t>
          </a:r>
          <a:endParaRPr lang="en-US" sz="1200">
            <a:effectLst/>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ts val="1100"/>
            </a:lnSpc>
            <a:spcBef>
              <a:spcPts val="0"/>
            </a:spcBef>
            <a:spcAft>
              <a:spcPts val="0"/>
            </a:spcAft>
            <a:buClrTx/>
            <a:buSzTx/>
            <a:buFontTx/>
            <a:buNone/>
            <a:tabLst/>
            <a:defRPr/>
          </a:pPr>
          <a:r>
            <a:rPr lang="en-US" sz="1200">
              <a:solidFill>
                <a:schemeClr val="tx1"/>
              </a:solidFill>
              <a:effectLst/>
              <a:latin typeface="Times New Roman" panose="02020603050405020304" pitchFamily="18" charset="0"/>
              <a:ea typeface="+mn-ea"/>
              <a:cs typeface="Times New Roman" panose="02020603050405020304" pitchFamily="18" charset="0"/>
            </a:rPr>
            <a:t>1. Go back to the Single Image Analysis workspace and select the kV imaging using File </a:t>
          </a:r>
          <a:r>
            <a:rPr lang="en-US" sz="1200">
              <a:solidFill>
                <a:schemeClr val="tx1"/>
              </a:solidFill>
              <a:effectLst/>
              <a:latin typeface="Times New Roman" panose="02020603050405020304" pitchFamily="18" charset="0"/>
              <a:ea typeface="+mn-ea"/>
              <a:cs typeface="Times New Roman" panose="02020603050405020304" pitchFamily="18" charset="0"/>
              <a:sym typeface="Wingdings" panose="05000000000000000000" pitchFamily="2" charset="2"/>
            </a:rPr>
            <a:t></a:t>
          </a:r>
          <a:r>
            <a:rPr lang="en-US" sz="1200">
              <a:solidFill>
                <a:schemeClr val="tx1"/>
              </a:solidFill>
              <a:effectLst/>
              <a:latin typeface="Times New Roman" panose="02020603050405020304" pitchFamily="18" charset="0"/>
              <a:ea typeface="+mn-ea"/>
              <a:cs typeface="Times New Roman" panose="02020603050405020304" pitchFamily="18" charset="0"/>
            </a:rPr>
            <a:t> Open image… It should be around 1500 KB.</a:t>
          </a:r>
        </a:p>
        <a:p>
          <a:pPr lvl="0">
            <a:lnSpc>
              <a:spcPts val="1300"/>
            </a:lnSpc>
          </a:pPr>
          <a:r>
            <a:rPr lang="en-US" sz="1200">
              <a:solidFill>
                <a:schemeClr val="tx1"/>
              </a:solidFill>
              <a:effectLst/>
              <a:latin typeface="Times New Roman" panose="02020603050405020304" pitchFamily="18" charset="0"/>
              <a:ea typeface="+mn-ea"/>
              <a:cs typeface="Times New Roman" panose="02020603050405020304" pitchFamily="18" charset="0"/>
            </a:rPr>
            <a:t>2. For phantom select “SNC kV-QA”. For Machine choose the Vero. Use the tolerance set “SNC kV-QA TB”. The DPI, SID, magnification, and energy should auto-populate. You may have to select kV instead of MV using the radio button. If the data doesn’t automatially process hit the process button. </a:t>
          </a:r>
        </a:p>
        <a:p>
          <a:pPr>
            <a:lnSpc>
              <a:spcPts val="1200"/>
            </a:lnSpc>
          </a:pPr>
          <a:r>
            <a:rPr lang="en-US" sz="1200">
              <a:solidFill>
                <a:schemeClr val="tx1"/>
              </a:solidFill>
              <a:effectLst/>
              <a:latin typeface="Times New Roman" panose="02020603050405020304" pitchFamily="18" charset="0"/>
              <a:ea typeface="+mn-ea"/>
              <a:cs typeface="Times New Roman" panose="02020603050405020304" pitchFamily="18" charset="0"/>
            </a:rPr>
            <a:t>3. Record</a:t>
          </a:r>
          <a:r>
            <a:rPr lang="en-US" sz="1200" baseline="0">
              <a:solidFill>
                <a:schemeClr val="tx1"/>
              </a:solidFill>
              <a:effectLst/>
              <a:latin typeface="Times New Roman" panose="02020603050405020304" pitchFamily="18" charset="0"/>
              <a:ea typeface="+mn-ea"/>
              <a:cs typeface="Times New Roman" panose="02020603050405020304" pitchFamily="18" charset="0"/>
            </a:rPr>
            <a:t> the results below.</a:t>
          </a:r>
          <a:endParaRPr lang="en-US" sz="1200">
            <a:effectLst/>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ts val="1200"/>
            </a:lnSpc>
            <a:spcBef>
              <a:spcPts val="0"/>
            </a:spcBef>
            <a:spcAft>
              <a:spcPts val="0"/>
            </a:spcAft>
            <a:buClrTx/>
            <a:buSzTx/>
            <a:buFontTx/>
            <a:buNone/>
            <a:tabLst/>
            <a:defRPr/>
          </a:pPr>
          <a:endParaRPr lang="en-US" sz="1100">
            <a:solidFill>
              <a:schemeClr val="tx1"/>
            </a:solidFill>
            <a:effectLst/>
            <a:latin typeface="+mn-lt"/>
            <a:ea typeface="+mn-ea"/>
            <a:cs typeface="+mn-cs"/>
          </a:endParaRPr>
        </a:p>
        <a:p>
          <a:pPr lvl="0">
            <a:lnSpc>
              <a:spcPts val="1200"/>
            </a:lnSpc>
          </a:pPr>
          <a:endParaRPr lang="en-US" sz="1100">
            <a:solidFill>
              <a:schemeClr val="tx1"/>
            </a:solidFill>
            <a:effectLst/>
            <a:latin typeface="+mn-lt"/>
            <a:ea typeface="+mn-ea"/>
            <a:cs typeface="+mn-cs"/>
          </a:endParaRPr>
        </a:p>
        <a:p>
          <a:pPr marL="0" marR="0" lvl="0" indent="0" defTabSz="914400" eaLnBrk="1" fontAlgn="auto" latinLnBrk="0" hangingPunct="1">
            <a:lnSpc>
              <a:spcPts val="1100"/>
            </a:lnSpc>
            <a:spcBef>
              <a:spcPts val="0"/>
            </a:spcBef>
            <a:spcAft>
              <a:spcPts val="0"/>
            </a:spcAft>
            <a:buClrTx/>
            <a:buSzTx/>
            <a:buFontTx/>
            <a:buNone/>
            <a:tabLst/>
            <a:defRPr/>
          </a:pPr>
          <a:endParaRPr lang="en-US" sz="1100" b="1">
            <a:solidFill>
              <a:schemeClr val="tx1"/>
            </a:solidFill>
            <a:effectLst/>
            <a:latin typeface="+mn-lt"/>
            <a:ea typeface="+mn-ea"/>
            <a:cs typeface="+mn-cs"/>
          </a:endParaRPr>
        </a:p>
        <a:p>
          <a:pPr marL="0" marR="0" lvl="0" indent="0" defTabSz="914400" eaLnBrk="1" fontAlgn="auto" latinLnBrk="0" hangingPunct="1">
            <a:lnSpc>
              <a:spcPts val="1200"/>
            </a:lnSpc>
            <a:spcBef>
              <a:spcPts val="0"/>
            </a:spcBef>
            <a:spcAft>
              <a:spcPts val="0"/>
            </a:spcAft>
            <a:buClrTx/>
            <a:buSzTx/>
            <a:buFontTx/>
            <a:buNone/>
            <a:tabLst/>
            <a:defRPr/>
          </a:pPr>
          <a:endParaRPr lang="en-US" sz="1100" b="1">
            <a:solidFill>
              <a:schemeClr val="tx1"/>
            </a:solidFill>
            <a:effectLst/>
            <a:latin typeface="+mn-lt"/>
            <a:ea typeface="+mn-ea"/>
            <a:cs typeface="+mn-cs"/>
          </a:endParaRPr>
        </a:p>
        <a:p>
          <a:pPr>
            <a:lnSpc>
              <a:spcPts val="1100"/>
            </a:lnSpc>
          </a:pPr>
          <a:endParaRPr lang="en-US" sz="1100" b="1"/>
        </a:p>
      </xdr:txBody>
    </xdr:sp>
    <xdr:clientData/>
  </xdr:oneCellAnchor>
  <xdr:twoCellAnchor editAs="oneCell">
    <xdr:from>
      <xdr:col>14</xdr:col>
      <xdr:colOff>247650</xdr:colOff>
      <xdr:row>1</xdr:row>
      <xdr:rowOff>161925</xdr:rowOff>
    </xdr:from>
    <xdr:to>
      <xdr:col>19</xdr:col>
      <xdr:colOff>542925</xdr:colOff>
      <xdr:row>14</xdr:row>
      <xdr:rowOff>47625</xdr:rowOff>
    </xdr:to>
    <xdr:pic>
      <xdr:nvPicPr>
        <xdr:cNvPr id="15181" name="Picture 3">
          <a:extLst>
            <a:ext uri="{FF2B5EF4-FFF2-40B4-BE49-F238E27FC236}">
              <a16:creationId xmlns:a16="http://schemas.microsoft.com/office/drawing/2014/main" id="{00000000-0008-0000-0600-00004D3B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44175" y="361950"/>
          <a:ext cx="3343275" cy="2486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200025</xdr:colOff>
      <xdr:row>14</xdr:row>
      <xdr:rowOff>95250</xdr:rowOff>
    </xdr:from>
    <xdr:to>
      <xdr:col>19</xdr:col>
      <xdr:colOff>571500</xdr:colOff>
      <xdr:row>27</xdr:row>
      <xdr:rowOff>57150</xdr:rowOff>
    </xdr:to>
    <xdr:pic>
      <xdr:nvPicPr>
        <xdr:cNvPr id="15182" name="Picture 4">
          <a:extLst>
            <a:ext uri="{FF2B5EF4-FFF2-40B4-BE49-F238E27FC236}">
              <a16:creationId xmlns:a16="http://schemas.microsoft.com/office/drawing/2014/main" id="{00000000-0008-0000-0600-00004E3B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496550" y="2895600"/>
          <a:ext cx="3419475" cy="2562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161925</xdr:colOff>
      <xdr:row>27</xdr:row>
      <xdr:rowOff>104775</xdr:rowOff>
    </xdr:from>
    <xdr:to>
      <xdr:col>19</xdr:col>
      <xdr:colOff>438150</xdr:colOff>
      <xdr:row>40</xdr:row>
      <xdr:rowOff>9525</xdr:rowOff>
    </xdr:to>
    <xdr:pic>
      <xdr:nvPicPr>
        <xdr:cNvPr id="15183" name="Picture 5">
          <a:extLst>
            <a:ext uri="{FF2B5EF4-FFF2-40B4-BE49-F238E27FC236}">
              <a16:creationId xmlns:a16="http://schemas.microsoft.com/office/drawing/2014/main" id="{00000000-0008-0000-0600-00004F3B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458450" y="5505450"/>
          <a:ext cx="3324225" cy="2505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133350</xdr:colOff>
      <xdr:row>40</xdr:row>
      <xdr:rowOff>133350</xdr:rowOff>
    </xdr:from>
    <xdr:to>
      <xdr:col>20</xdr:col>
      <xdr:colOff>504825</xdr:colOff>
      <xdr:row>55</xdr:row>
      <xdr:rowOff>133350</xdr:rowOff>
    </xdr:to>
    <xdr:pic>
      <xdr:nvPicPr>
        <xdr:cNvPr id="15184" name="Picture 6">
          <a:extLst>
            <a:ext uri="{FF2B5EF4-FFF2-40B4-BE49-F238E27FC236}">
              <a16:creationId xmlns:a16="http://schemas.microsoft.com/office/drawing/2014/main" id="{00000000-0008-0000-0600-0000503B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429875" y="8134350"/>
          <a:ext cx="4029075" cy="3000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902784</xdr:colOff>
      <xdr:row>54</xdr:row>
      <xdr:rowOff>0</xdr:rowOff>
    </xdr:from>
    <xdr:to>
      <xdr:col>20</xdr:col>
      <xdr:colOff>485775</xdr:colOff>
      <xdr:row>70</xdr:row>
      <xdr:rowOff>76200</xdr:rowOff>
    </xdr:to>
    <xdr:pic>
      <xdr:nvPicPr>
        <xdr:cNvPr id="15185" name="Picture 7">
          <a:extLst>
            <a:ext uri="{FF2B5EF4-FFF2-40B4-BE49-F238E27FC236}">
              <a16:creationId xmlns:a16="http://schemas.microsoft.com/office/drawing/2014/main" id="{00000000-0008-0000-0600-0000513B0000}"/>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10237284" y="10801350"/>
          <a:ext cx="4345491" cy="3276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76200</xdr:colOff>
      <xdr:row>71</xdr:row>
      <xdr:rowOff>47625</xdr:rowOff>
    </xdr:from>
    <xdr:to>
      <xdr:col>18</xdr:col>
      <xdr:colOff>57150</xdr:colOff>
      <xdr:row>87</xdr:row>
      <xdr:rowOff>142875</xdr:rowOff>
    </xdr:to>
    <xdr:pic>
      <xdr:nvPicPr>
        <xdr:cNvPr id="15186" name="Picture 8">
          <a:extLst>
            <a:ext uri="{FF2B5EF4-FFF2-40B4-BE49-F238E27FC236}">
              <a16:creationId xmlns:a16="http://schemas.microsoft.com/office/drawing/2014/main" id="{00000000-0008-0000-0600-0000523B0000}"/>
            </a:ext>
          </a:extLst>
        </xdr:cNvPr>
        <xdr:cNvPicPr>
          <a:picLocks noChangeAspect="1" noChangeArrowheads="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10515600" y="14249400"/>
          <a:ext cx="2419350" cy="3295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104775</xdr:colOff>
      <xdr:row>71</xdr:row>
      <xdr:rowOff>47625</xdr:rowOff>
    </xdr:from>
    <xdr:to>
      <xdr:col>22</xdr:col>
      <xdr:colOff>561975</xdr:colOff>
      <xdr:row>87</xdr:row>
      <xdr:rowOff>142875</xdr:rowOff>
    </xdr:to>
    <xdr:pic>
      <xdr:nvPicPr>
        <xdr:cNvPr id="15187" name="Picture 9">
          <a:extLst>
            <a:ext uri="{FF2B5EF4-FFF2-40B4-BE49-F238E27FC236}">
              <a16:creationId xmlns:a16="http://schemas.microsoft.com/office/drawing/2014/main" id="{00000000-0008-0000-0600-0000533B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12982575" y="14249400"/>
          <a:ext cx="2895600" cy="3295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104775</xdr:colOff>
      <xdr:row>89</xdr:row>
      <xdr:rowOff>9525</xdr:rowOff>
    </xdr:from>
    <xdr:to>
      <xdr:col>19</xdr:col>
      <xdr:colOff>428625</xdr:colOff>
      <xdr:row>108</xdr:row>
      <xdr:rowOff>76200</xdr:rowOff>
    </xdr:to>
    <xdr:pic>
      <xdr:nvPicPr>
        <xdr:cNvPr id="15188" name="Picture 10">
          <a:extLst>
            <a:ext uri="{FF2B5EF4-FFF2-40B4-BE49-F238E27FC236}">
              <a16:creationId xmlns:a16="http://schemas.microsoft.com/office/drawing/2014/main" id="{00000000-0008-0000-0600-0000543B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t="12999"/>
        <a:stretch>
          <a:fillRect/>
        </a:stretch>
      </xdr:blipFill>
      <xdr:spPr bwMode="auto">
        <a:xfrm>
          <a:off x="10544175" y="17821275"/>
          <a:ext cx="3371850" cy="3876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133350</xdr:colOff>
      <xdr:row>109</xdr:row>
      <xdr:rowOff>57150</xdr:rowOff>
    </xdr:from>
    <xdr:to>
      <xdr:col>23</xdr:col>
      <xdr:colOff>390525</xdr:colOff>
      <xdr:row>131</xdr:row>
      <xdr:rowOff>133350</xdr:rowOff>
    </xdr:to>
    <xdr:pic>
      <xdr:nvPicPr>
        <xdr:cNvPr id="15189" name="Picture 11">
          <a:extLst>
            <a:ext uri="{FF2B5EF4-FFF2-40B4-BE49-F238E27FC236}">
              <a16:creationId xmlns:a16="http://schemas.microsoft.com/office/drawing/2014/main" id="{00000000-0008-0000-0600-0000553B0000}"/>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10572750" y="21878925"/>
          <a:ext cx="5743575" cy="447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133350</xdr:colOff>
      <xdr:row>132</xdr:row>
      <xdr:rowOff>190500</xdr:rowOff>
    </xdr:from>
    <xdr:to>
      <xdr:col>23</xdr:col>
      <xdr:colOff>590550</xdr:colOff>
      <xdr:row>148</xdr:row>
      <xdr:rowOff>171450</xdr:rowOff>
    </xdr:to>
    <xdr:pic>
      <xdr:nvPicPr>
        <xdr:cNvPr id="15190" name="Picture 12">
          <a:extLst>
            <a:ext uri="{FF2B5EF4-FFF2-40B4-BE49-F238E27FC236}">
              <a16:creationId xmlns:a16="http://schemas.microsoft.com/office/drawing/2014/main" id="{00000000-0008-0000-0600-0000563B0000}"/>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10572750" y="26612850"/>
          <a:ext cx="5943600" cy="3181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142875</xdr:colOff>
      <xdr:row>149</xdr:row>
      <xdr:rowOff>133350</xdr:rowOff>
    </xdr:from>
    <xdr:to>
      <xdr:col>23</xdr:col>
      <xdr:colOff>600075</xdr:colOff>
      <xdr:row>172</xdr:row>
      <xdr:rowOff>123825</xdr:rowOff>
    </xdr:to>
    <xdr:pic>
      <xdr:nvPicPr>
        <xdr:cNvPr id="15191" name="Picture 13">
          <a:extLst>
            <a:ext uri="{FF2B5EF4-FFF2-40B4-BE49-F238E27FC236}">
              <a16:creationId xmlns:a16="http://schemas.microsoft.com/office/drawing/2014/main" id="{00000000-0008-0000-0600-0000573B0000}"/>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10582275" y="29956125"/>
          <a:ext cx="5943600" cy="459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123825</xdr:colOff>
      <xdr:row>173</xdr:row>
      <xdr:rowOff>104775</xdr:rowOff>
    </xdr:from>
    <xdr:to>
      <xdr:col>23</xdr:col>
      <xdr:colOff>581025</xdr:colOff>
      <xdr:row>189</xdr:row>
      <xdr:rowOff>123825</xdr:rowOff>
    </xdr:to>
    <xdr:pic>
      <xdr:nvPicPr>
        <xdr:cNvPr id="15192" name="Picture 14">
          <a:extLst>
            <a:ext uri="{FF2B5EF4-FFF2-40B4-BE49-F238E27FC236}">
              <a16:creationId xmlns:a16="http://schemas.microsoft.com/office/drawing/2014/main" id="{00000000-0008-0000-0600-0000583B000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10563225" y="34728150"/>
          <a:ext cx="5943600" cy="3219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123825</xdr:colOff>
      <xdr:row>190</xdr:row>
      <xdr:rowOff>66675</xdr:rowOff>
    </xdr:from>
    <xdr:to>
      <xdr:col>23</xdr:col>
      <xdr:colOff>581025</xdr:colOff>
      <xdr:row>213</xdr:row>
      <xdr:rowOff>85725</xdr:rowOff>
    </xdr:to>
    <xdr:pic>
      <xdr:nvPicPr>
        <xdr:cNvPr id="15193" name="Picture 15">
          <a:extLst>
            <a:ext uri="{FF2B5EF4-FFF2-40B4-BE49-F238E27FC236}">
              <a16:creationId xmlns:a16="http://schemas.microsoft.com/office/drawing/2014/main" id="{00000000-0008-0000-0600-0000593B0000}"/>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bwMode="auto">
        <a:xfrm>
          <a:off x="10563225" y="38090475"/>
          <a:ext cx="5943600" cy="461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fs1.floridaproton.org\groups\QA\SystemQA\LINAC%20QA\TrueBeam\Monthly%20QA\2020\12_December\2020\January\2019\12-December\LinacB_TB_Monthly%20QA_August%20201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sheet"/>
      <sheetName val="Safety Tests"/>
      <sheetName val="Mechanical Tests"/>
      <sheetName val="Photon Tests"/>
      <sheetName val="Flatness &amp; Symmetry"/>
      <sheetName val="Output"/>
      <sheetName val="Energy"/>
      <sheetName val="EDW"/>
      <sheetName val="DMLC"/>
      <sheetName val="RPM QA"/>
      <sheetName val="Daily QA review"/>
      <sheetName val="Key"/>
    </sheetNames>
    <sheetDataSet>
      <sheetData sheetId="0"/>
      <sheetData sheetId="1"/>
      <sheetData sheetId="2"/>
      <sheetData sheetId="3"/>
      <sheetData sheetId="4"/>
      <sheetData sheetId="5"/>
      <sheetData sheetId="6"/>
      <sheetData sheetId="7"/>
      <sheetData sheetId="8"/>
      <sheetData sheetId="9"/>
      <sheetData sheetId="10"/>
      <sheetData sheetId="11">
        <row r="6">
          <cell r="A6" t="str">
            <v>SCC, Linac A</v>
          </cell>
          <cell r="D6" t="str">
            <v>Beth Bossart</v>
          </cell>
          <cell r="F6" t="str">
            <v>PASS</v>
          </cell>
          <cell r="H6" t="str">
            <v>Yes</v>
          </cell>
        </row>
        <row r="7">
          <cell r="A7" t="str">
            <v>SCC, Linac B_TB</v>
          </cell>
          <cell r="D7" t="str">
            <v>Joseph Both</v>
          </cell>
          <cell r="F7" t="str">
            <v>FAIL</v>
          </cell>
          <cell r="H7" t="str">
            <v>No</v>
          </cell>
        </row>
        <row r="8">
          <cell r="A8" t="str">
            <v>DFB, 23IX</v>
          </cell>
          <cell r="D8" t="str">
            <v>Svetlana Denissova</v>
          </cell>
        </row>
        <row r="9">
          <cell r="A9" t="str">
            <v>DFB, TrueBeam</v>
          </cell>
          <cell r="D9" t="str">
            <v>Alberto De la Zerda</v>
          </cell>
        </row>
        <row r="10">
          <cell r="A10" t="str">
            <v>JMH, 21EX</v>
          </cell>
          <cell r="D10" t="str">
            <v>Nesrin Dogan</v>
          </cell>
        </row>
        <row r="11">
          <cell r="A11" t="str">
            <v>JMH, 2300CD</v>
          </cell>
          <cell r="D11" t="str">
            <v>Irene Monterroso</v>
          </cell>
        </row>
        <row r="12">
          <cell r="A12" t="str">
            <v>UMH, 21EX</v>
          </cell>
          <cell r="D12" t="str">
            <v>Kyle Padgett</v>
          </cell>
        </row>
        <row r="13">
          <cell r="D13" t="str">
            <v>Xing Li</v>
          </cell>
        </row>
        <row r="14">
          <cell r="D14" t="str">
            <v>Fei Yang</v>
          </cell>
        </row>
        <row r="15">
          <cell r="D15" t="str">
            <v>Ivaylo Mihaylov</v>
          </cell>
        </row>
        <row r="16">
          <cell r="D16" t="str">
            <v>Matthew Studenski</v>
          </cell>
        </row>
        <row r="17">
          <cell r="D17" t="str">
            <v>Perry Johnson</v>
          </cell>
        </row>
        <row r="18">
          <cell r="D18" t="str">
            <v>Yidong Yang</v>
          </cell>
        </row>
        <row r="19">
          <cell r="D19" t="str">
            <v>Amir Keyvanloo</v>
          </cell>
        </row>
        <row r="20">
          <cell r="D20" t="str">
            <v>Chet Ford</v>
          </cell>
        </row>
        <row r="21">
          <cell r="D21" t="str">
            <v>Robabeh Rahimi</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3:L24"/>
  <sheetViews>
    <sheetView zoomScaleNormal="100" workbookViewId="0">
      <selection activeCell="M18" sqref="M18"/>
    </sheetView>
  </sheetViews>
  <sheetFormatPr defaultRowHeight="12.75" x14ac:dyDescent="0.2"/>
  <cols>
    <col min="1" max="9" width="9.140625" style="9"/>
    <col min="10" max="10" width="20.28515625" style="9" customWidth="1"/>
    <col min="11" max="16384" width="9.140625" style="9"/>
  </cols>
  <sheetData>
    <row r="3" spans="1:12" ht="18.75" x14ac:dyDescent="0.3">
      <c r="J3" s="10" t="s">
        <v>39</v>
      </c>
    </row>
    <row r="4" spans="1:12" ht="18.75" x14ac:dyDescent="0.3">
      <c r="J4" s="10" t="s">
        <v>37</v>
      </c>
    </row>
    <row r="7" spans="1:12" ht="15.75" x14ac:dyDescent="0.25">
      <c r="A7" s="223" t="s">
        <v>38</v>
      </c>
      <c r="B7" s="223"/>
      <c r="C7" s="223"/>
      <c r="D7" s="223"/>
      <c r="E7" s="223"/>
      <c r="F7" s="223"/>
      <c r="G7" s="223"/>
      <c r="H7" s="223"/>
      <c r="I7" s="223"/>
      <c r="J7" s="223"/>
    </row>
    <row r="9" spans="1:12" ht="15.75" x14ac:dyDescent="0.25">
      <c r="A9" s="223" t="s">
        <v>212</v>
      </c>
      <c r="B9" s="223"/>
      <c r="C9" s="223"/>
      <c r="D9" s="223"/>
      <c r="E9" s="223"/>
      <c r="F9" s="223"/>
      <c r="G9" s="223"/>
      <c r="H9" s="223"/>
      <c r="I9" s="223"/>
      <c r="J9" s="223"/>
    </row>
    <row r="10" spans="1:12" ht="15.75" x14ac:dyDescent="0.25">
      <c r="A10" s="11"/>
      <c r="B10" s="12"/>
      <c r="C10" s="12"/>
      <c r="D10" s="12"/>
      <c r="E10" s="12"/>
      <c r="F10" s="12"/>
      <c r="G10" s="12"/>
      <c r="H10" s="12"/>
      <c r="I10" s="12"/>
      <c r="J10" s="12"/>
    </row>
    <row r="11" spans="1:12" ht="15.75" x14ac:dyDescent="0.25">
      <c r="A11" s="224" t="s">
        <v>211</v>
      </c>
      <c r="B11" s="224"/>
      <c r="C11" s="224"/>
      <c r="D11" s="224"/>
      <c r="E11" s="224"/>
      <c r="F11" s="224"/>
      <c r="G11" s="224"/>
      <c r="H11" s="224"/>
      <c r="I11" s="224"/>
      <c r="J11" s="224"/>
    </row>
    <row r="12" spans="1:12" ht="15.75" x14ac:dyDescent="0.25">
      <c r="A12" s="11"/>
      <c r="B12" s="12"/>
      <c r="C12" s="12"/>
      <c r="D12" s="12"/>
      <c r="E12" s="12"/>
      <c r="F12" s="12"/>
      <c r="G12" s="12"/>
      <c r="H12" s="12"/>
      <c r="I12" s="12"/>
      <c r="J12" s="12"/>
    </row>
    <row r="13" spans="1:12" s="1" customFormat="1" ht="15" customHeight="1" x14ac:dyDescent="0.25">
      <c r="A13" s="225" t="s">
        <v>207</v>
      </c>
      <c r="B13" s="225"/>
      <c r="C13" s="225"/>
      <c r="D13" s="225"/>
      <c r="E13" s="225"/>
      <c r="F13" s="225"/>
      <c r="G13" s="225"/>
      <c r="H13" s="225"/>
      <c r="I13" s="225"/>
      <c r="J13" s="225"/>
      <c r="K13" s="152"/>
      <c r="L13" s="152"/>
    </row>
    <row r="14" spans="1:12" ht="15.75" x14ac:dyDescent="0.25">
      <c r="A14" s="6"/>
      <c r="B14" s="12"/>
      <c r="C14" s="12"/>
      <c r="D14" s="12"/>
      <c r="E14" s="12"/>
      <c r="F14" s="12"/>
      <c r="G14" s="12"/>
      <c r="H14" s="12"/>
      <c r="I14" s="12"/>
      <c r="J14" s="12"/>
    </row>
    <row r="15" spans="1:12" s="1" customFormat="1" ht="15.75" x14ac:dyDescent="0.25">
      <c r="A15" s="226" t="s">
        <v>202</v>
      </c>
      <c r="B15" s="226"/>
      <c r="C15" s="226"/>
      <c r="D15" s="226"/>
      <c r="E15" s="226"/>
      <c r="F15" s="226"/>
      <c r="G15" s="226"/>
      <c r="H15" s="226"/>
      <c r="I15" s="226"/>
      <c r="J15" s="226"/>
    </row>
    <row r="16" spans="1:12" ht="15.75" x14ac:dyDescent="0.25">
      <c r="A16" s="13"/>
      <c r="B16" s="13"/>
      <c r="C16" s="13"/>
      <c r="D16" s="13"/>
      <c r="E16" s="13"/>
      <c r="F16" s="13"/>
      <c r="G16" s="13"/>
      <c r="H16" s="13"/>
      <c r="I16" s="13"/>
      <c r="J16" s="13"/>
    </row>
    <row r="17" spans="1:10" s="1" customFormat="1" ht="15.75" x14ac:dyDescent="0.25">
      <c r="A17" s="226" t="s">
        <v>200</v>
      </c>
      <c r="B17" s="226"/>
      <c r="C17" s="226"/>
      <c r="D17" s="226"/>
      <c r="E17" s="226"/>
      <c r="F17" s="226"/>
      <c r="G17" s="226"/>
      <c r="H17" s="226"/>
      <c r="I17" s="226"/>
      <c r="J17" s="226"/>
    </row>
    <row r="18" spans="1:10" ht="15.75" x14ac:dyDescent="0.25">
      <c r="A18" s="13"/>
      <c r="B18" s="13"/>
      <c r="C18" s="13"/>
      <c r="D18" s="13"/>
      <c r="E18" s="13"/>
      <c r="F18" s="13"/>
      <c r="G18" s="13"/>
      <c r="H18" s="13"/>
      <c r="I18" s="13"/>
      <c r="J18" s="13"/>
    </row>
    <row r="19" spans="1:10" s="1" customFormat="1" ht="15.75" x14ac:dyDescent="0.25">
      <c r="A19" s="226" t="s">
        <v>199</v>
      </c>
      <c r="B19" s="226"/>
      <c r="C19" s="226"/>
      <c r="D19" s="226"/>
      <c r="E19" s="226"/>
      <c r="F19" s="226"/>
      <c r="G19" s="226"/>
      <c r="H19" s="226"/>
      <c r="I19" s="226"/>
      <c r="J19" s="226"/>
    </row>
    <row r="20" spans="1:10" ht="12.75" customHeight="1" x14ac:dyDescent="0.2">
      <c r="A20" s="17"/>
      <c r="B20" s="17"/>
      <c r="C20" s="17"/>
      <c r="D20" s="17"/>
      <c r="E20" s="17"/>
      <c r="F20" s="17"/>
      <c r="G20" s="17"/>
      <c r="H20" s="17"/>
      <c r="I20" s="17"/>
      <c r="J20" s="17"/>
    </row>
    <row r="21" spans="1:10" ht="15.75" customHeight="1" x14ac:dyDescent="0.2">
      <c r="A21" s="222" t="s">
        <v>213</v>
      </c>
      <c r="B21" s="222"/>
      <c r="C21" s="222"/>
      <c r="D21" s="222"/>
      <c r="E21" s="222"/>
      <c r="F21" s="222"/>
      <c r="G21" s="222"/>
      <c r="H21" s="222"/>
      <c r="I21" s="222"/>
      <c r="J21" s="222"/>
    </row>
    <row r="22" spans="1:10" ht="12.75" customHeight="1" x14ac:dyDescent="0.2">
      <c r="A22" s="222"/>
      <c r="B22" s="222"/>
      <c r="C22" s="222"/>
      <c r="D22" s="222"/>
      <c r="E22" s="222"/>
      <c r="F22" s="222"/>
      <c r="G22" s="222"/>
      <c r="H22" s="222"/>
      <c r="I22" s="222"/>
      <c r="J22" s="222"/>
    </row>
    <row r="23" spans="1:10" ht="12.75" customHeight="1" x14ac:dyDescent="0.2">
      <c r="A23" s="222"/>
      <c r="B23" s="222"/>
      <c r="C23" s="222"/>
      <c r="D23" s="222"/>
      <c r="E23" s="222"/>
      <c r="F23" s="222"/>
      <c r="G23" s="222"/>
      <c r="H23" s="222"/>
      <c r="I23" s="222"/>
      <c r="J23" s="222"/>
    </row>
    <row r="24" spans="1:10" x14ac:dyDescent="0.2">
      <c r="A24" s="222"/>
      <c r="B24" s="222"/>
      <c r="C24" s="222"/>
      <c r="D24" s="222"/>
      <c r="E24" s="222"/>
      <c r="F24" s="222"/>
      <c r="G24" s="222"/>
      <c r="H24" s="222"/>
      <c r="I24" s="222"/>
      <c r="J24" s="222"/>
    </row>
  </sheetData>
  <mergeCells count="8">
    <mergeCell ref="A21:J24"/>
    <mergeCell ref="A7:J7"/>
    <mergeCell ref="A9:J9"/>
    <mergeCell ref="A11:J11"/>
    <mergeCell ref="A13:J13"/>
    <mergeCell ref="A15:J15"/>
    <mergeCell ref="A17:J17"/>
    <mergeCell ref="A19:J19"/>
  </mergeCells>
  <printOptions horizontalCentered="1"/>
  <pageMargins left="0.25" right="0.25" top="0.25" bottom="0.25" header="0.05" footer="0.05"/>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K15"/>
  <sheetViews>
    <sheetView zoomScaleNormal="100" workbookViewId="0">
      <selection activeCell="F3" sqref="F3:H3"/>
    </sheetView>
  </sheetViews>
  <sheetFormatPr defaultRowHeight="15.75" x14ac:dyDescent="0.25"/>
  <cols>
    <col min="1" max="1" width="9.140625" style="1"/>
    <col min="2" max="2" width="23.85546875" style="1" customWidth="1"/>
    <col min="3" max="8" width="9.140625" style="1"/>
    <col min="9" max="9" width="9.140625" style="1" customWidth="1"/>
    <col min="10" max="16384" width="9.140625" style="1"/>
  </cols>
  <sheetData>
    <row r="1" spans="1:11" x14ac:dyDescent="0.25">
      <c r="A1" s="227" t="s">
        <v>46</v>
      </c>
      <c r="B1" s="227"/>
      <c r="C1" s="227"/>
      <c r="D1" s="227"/>
      <c r="E1" s="227"/>
      <c r="F1" s="227"/>
      <c r="G1" s="227"/>
      <c r="H1" s="227"/>
      <c r="I1" s="227"/>
      <c r="J1" s="227"/>
      <c r="K1" s="227"/>
    </row>
    <row r="2" spans="1:11" x14ac:dyDescent="0.25">
      <c r="A2" s="3"/>
      <c r="B2" s="3"/>
      <c r="C2" s="3"/>
      <c r="D2" s="3"/>
    </row>
    <row r="3" spans="1:11" x14ac:dyDescent="0.25">
      <c r="A3" s="3" t="s">
        <v>2</v>
      </c>
      <c r="B3" s="162"/>
      <c r="E3" s="24"/>
      <c r="F3" s="228"/>
      <c r="G3" s="229"/>
      <c r="H3" s="230"/>
    </row>
    <row r="4" spans="1:11" x14ac:dyDescent="0.25">
      <c r="A4" s="3"/>
      <c r="B4" s="3"/>
      <c r="C4" s="3"/>
      <c r="D4" s="3"/>
    </row>
    <row r="5" spans="1:11" x14ac:dyDescent="0.25">
      <c r="B5" s="22"/>
      <c r="C5" s="7" t="s">
        <v>31</v>
      </c>
      <c r="D5" s="38"/>
    </row>
    <row r="6" spans="1:11" x14ac:dyDescent="0.25">
      <c r="A6" s="2" t="s">
        <v>100</v>
      </c>
      <c r="B6" s="39" t="s">
        <v>41</v>
      </c>
      <c r="C6" s="16"/>
    </row>
    <row r="7" spans="1:11" x14ac:dyDescent="0.25">
      <c r="A7" s="2" t="s">
        <v>101</v>
      </c>
      <c r="B7" s="39" t="s">
        <v>42</v>
      </c>
      <c r="C7" s="16"/>
    </row>
    <row r="8" spans="1:11" x14ac:dyDescent="0.25">
      <c r="A8" s="2" t="s">
        <v>102</v>
      </c>
      <c r="B8" s="39" t="s">
        <v>43</v>
      </c>
      <c r="C8" s="16"/>
    </row>
    <row r="9" spans="1:11" x14ac:dyDescent="0.25">
      <c r="A9" s="2" t="s">
        <v>103</v>
      </c>
      <c r="B9" s="39" t="s">
        <v>44</v>
      </c>
      <c r="C9" s="16"/>
    </row>
    <row r="10" spans="1:11" x14ac:dyDescent="0.25">
      <c r="A10" s="2" t="s">
        <v>104</v>
      </c>
      <c r="B10" s="1" t="s">
        <v>45</v>
      </c>
      <c r="C10" s="16"/>
    </row>
    <row r="12" spans="1:11" x14ac:dyDescent="0.25">
      <c r="B12" s="3" t="s">
        <v>23</v>
      </c>
      <c r="C12" s="3"/>
      <c r="E12" s="6"/>
      <c r="F12" s="11"/>
      <c r="G12" s="2"/>
      <c r="H12" s="2"/>
      <c r="I12" s="2"/>
      <c r="J12" s="2"/>
    </row>
    <row r="13" spans="1:11" x14ac:dyDescent="0.25">
      <c r="B13" s="231"/>
      <c r="C13" s="232"/>
      <c r="D13" s="232"/>
      <c r="E13" s="232"/>
      <c r="F13" s="232"/>
      <c r="G13" s="232"/>
      <c r="H13" s="232"/>
      <c r="I13" s="232"/>
      <c r="J13" s="232"/>
      <c r="K13" s="233"/>
    </row>
    <row r="14" spans="1:11" x14ac:dyDescent="0.25">
      <c r="B14" s="234"/>
      <c r="C14" s="235"/>
      <c r="D14" s="235"/>
      <c r="E14" s="235"/>
      <c r="F14" s="235"/>
      <c r="G14" s="235"/>
      <c r="H14" s="235"/>
      <c r="I14" s="235"/>
      <c r="J14" s="235"/>
      <c r="K14" s="236"/>
    </row>
    <row r="15" spans="1:11" x14ac:dyDescent="0.25">
      <c r="B15" s="237"/>
      <c r="C15" s="238"/>
      <c r="D15" s="238"/>
      <c r="E15" s="238"/>
      <c r="F15" s="238"/>
      <c r="G15" s="238"/>
      <c r="H15" s="238"/>
      <c r="I15" s="238"/>
      <c r="J15" s="238"/>
      <c r="K15" s="239"/>
    </row>
  </sheetData>
  <mergeCells count="3">
    <mergeCell ref="A1:K1"/>
    <mergeCell ref="F3:H3"/>
    <mergeCell ref="B13:K15"/>
  </mergeCells>
  <conditionalFormatting sqref="C6:C10">
    <cfRule type="cellIs" dxfId="28" priority="1" operator="equal">
      <formula>"N/A"</formula>
    </cfRule>
    <cfRule type="cellIs" dxfId="27" priority="2" operator="equal">
      <formula>"FAIL"</formula>
    </cfRule>
    <cfRule type="cellIs" dxfId="26" priority="3" operator="equal">
      <formula>"PASS"</formula>
    </cfRule>
    <cfRule type="cellIs" dxfId="25" priority="4" operator="equal">
      <formula>"""PASS"""</formula>
    </cfRule>
  </conditionalFormatting>
  <printOptions horizontalCentered="1"/>
  <pageMargins left="0.25" right="0.25" top="0.25" bottom="0.25" header="0.05" footer="0.05"/>
  <pageSetup scale="83"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List!$C$5:$C$7</xm:f>
          </x14:formula1>
          <xm:sqref>C6:C10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V86"/>
  <sheetViews>
    <sheetView topLeftCell="A61" zoomScale="90" zoomScaleNormal="90" workbookViewId="0">
      <selection activeCell="D54" sqref="D54:I54"/>
    </sheetView>
  </sheetViews>
  <sheetFormatPr defaultRowHeight="15.75" x14ac:dyDescent="0.25"/>
  <cols>
    <col min="1" max="2" width="9.140625" style="1"/>
    <col min="3" max="3" width="11.85546875" style="1" customWidth="1"/>
    <col min="4" max="4" width="16.28515625" style="1" customWidth="1"/>
    <col min="5" max="5" width="13.28515625" style="2" customWidth="1"/>
    <col min="6" max="6" width="15.42578125" style="2" customWidth="1"/>
    <col min="7" max="7" width="14" style="2" customWidth="1"/>
    <col min="8" max="8" width="10.85546875" style="2" customWidth="1"/>
    <col min="9" max="9" width="9.85546875" style="2" customWidth="1"/>
    <col min="10" max="10" width="50" style="2" customWidth="1"/>
    <col min="11" max="11" width="11.140625" style="1" customWidth="1"/>
    <col min="12" max="12" width="11.28515625" style="2" customWidth="1"/>
    <col min="13" max="13" width="13" style="4" customWidth="1"/>
    <col min="14" max="14" width="48.7109375" style="35" customWidth="1"/>
    <col min="15" max="15" width="10.42578125" style="35" customWidth="1"/>
    <col min="16" max="22" width="9.140625" style="35"/>
    <col min="23" max="16384" width="9.140625" style="1"/>
  </cols>
  <sheetData>
    <row r="1" spans="1:14" x14ac:dyDescent="0.25">
      <c r="A1" s="227" t="s">
        <v>198</v>
      </c>
      <c r="B1" s="227"/>
      <c r="C1" s="227"/>
      <c r="D1" s="227"/>
      <c r="E1" s="227"/>
      <c r="F1" s="227"/>
      <c r="G1" s="227"/>
      <c r="H1" s="227"/>
      <c r="I1" s="227"/>
      <c r="J1" s="227"/>
      <c r="K1" s="227"/>
      <c r="L1" s="227"/>
      <c r="M1" s="36"/>
      <c r="N1" s="36"/>
    </row>
    <row r="3" spans="1:14" x14ac:dyDescent="0.25">
      <c r="B3" s="3" t="s">
        <v>2</v>
      </c>
      <c r="C3" s="162"/>
      <c r="E3" s="1"/>
      <c r="F3" s="24"/>
      <c r="G3" s="255"/>
      <c r="H3" s="255"/>
      <c r="I3" s="255"/>
    </row>
    <row r="5" spans="1:14" x14ac:dyDescent="0.25">
      <c r="A5" s="1"/>
      <c r="B5" s="21" t="s">
        <v>47</v>
      </c>
      <c r="C5" s="3" t="s">
        <v>58</v>
      </c>
    </row>
    <row r="6" spans="1:14" x14ac:dyDescent="0.25">
      <c r="B6" s="21"/>
      <c r="C6" s="3" t="s">
        <v>50</v>
      </c>
      <c r="L6" s="3" t="s">
        <v>99</v>
      </c>
    </row>
    <row r="7" spans="1:14" ht="20.25" customHeight="1" x14ac:dyDescent="0.25">
      <c r="B7" s="2"/>
      <c r="C7" s="7" t="s">
        <v>3</v>
      </c>
      <c r="D7" s="23" t="s">
        <v>36</v>
      </c>
      <c r="E7" s="7"/>
      <c r="F7" s="7">
        <v>180</v>
      </c>
      <c r="G7" s="7">
        <v>90</v>
      </c>
      <c r="H7" s="7">
        <v>0</v>
      </c>
      <c r="I7" s="7">
        <v>270</v>
      </c>
      <c r="J7" s="3"/>
    </row>
    <row r="8" spans="1:14" x14ac:dyDescent="0.25">
      <c r="B8" s="2"/>
      <c r="C8" s="2"/>
      <c r="D8" s="251" t="s">
        <v>35</v>
      </c>
      <c r="E8" s="252"/>
      <c r="F8" s="8"/>
      <c r="G8" s="8"/>
      <c r="H8" s="8"/>
      <c r="I8" s="8"/>
    </row>
    <row r="9" spans="1:14" x14ac:dyDescent="0.25">
      <c r="B9" s="2"/>
      <c r="C9" s="2"/>
      <c r="E9" s="7"/>
      <c r="F9" s="50" t="str">
        <f>IF(ISBLANK(F8),"",(IF(AND(F8&lt;=181,F8&gt;=179),"Pass","Fail")))</f>
        <v/>
      </c>
      <c r="G9" s="50" t="str">
        <f>IF(ISBLANK(G8),"",(IF(AND(G8&lt;=91,G8&gt;=89),"Pass","Fail")))</f>
        <v/>
      </c>
      <c r="H9" s="50" t="str">
        <f>IF(ISBLANK(H8),"",(IF(OR(AND(H8&lt;=1,H8&gt;=0),AND(H8&lt;=360,H8&gt;=359)),"Pass","Fail")))</f>
        <v/>
      </c>
      <c r="I9" s="50" t="str">
        <f>IF(ISBLANK(I8),"",(IF(AND(I8&lt;=271,I8&gt;=269),"Pass","Fail")))</f>
        <v/>
      </c>
    </row>
    <row r="10" spans="1:14" x14ac:dyDescent="0.25">
      <c r="B10" s="2"/>
      <c r="C10" s="2"/>
    </row>
    <row r="11" spans="1:14" x14ac:dyDescent="0.25">
      <c r="A11" s="1" t="s">
        <v>10</v>
      </c>
      <c r="B11" s="2"/>
      <c r="C11" s="7" t="s">
        <v>4</v>
      </c>
      <c r="D11" s="23" t="s">
        <v>30</v>
      </c>
      <c r="E11" s="7"/>
      <c r="F11" s="7">
        <v>90</v>
      </c>
      <c r="G11" s="7">
        <v>0</v>
      </c>
      <c r="H11" s="7">
        <v>270</v>
      </c>
      <c r="I11" s="3"/>
    </row>
    <row r="12" spans="1:14" x14ac:dyDescent="0.25">
      <c r="B12" s="2"/>
      <c r="D12" s="251" t="s">
        <v>35</v>
      </c>
      <c r="E12" s="251"/>
      <c r="F12" s="8"/>
      <c r="G12" s="8"/>
      <c r="H12" s="8"/>
      <c r="I12" s="20"/>
    </row>
    <row r="13" spans="1:14" x14ac:dyDescent="0.25">
      <c r="B13" s="2"/>
      <c r="E13" s="7"/>
      <c r="F13" s="50" t="str">
        <f>IF(ISBLANK(F12),"",(IF(AND(F12&lt;=91,F12&gt;=89),"Pass","Fail")))</f>
        <v/>
      </c>
      <c r="G13" s="50" t="str">
        <f>IF(ISBLANK(G12),"",(IF(OR(AND(G12&lt;=1,G12&gt;=0),AND(G12&lt;=360,G12&gt;=359)),"Pass","Fail")))</f>
        <v/>
      </c>
      <c r="H13" s="50" t="str">
        <f>IF(ISBLANK(H12),"",(IF(AND(H12&lt;=271,H12&gt;=269),"Pass","Fail")))</f>
        <v/>
      </c>
      <c r="I13" s="20"/>
    </row>
    <row r="14" spans="1:14" x14ac:dyDescent="0.25">
      <c r="B14" s="2"/>
    </row>
    <row r="15" spans="1:14" x14ac:dyDescent="0.25">
      <c r="B15" s="21" t="s">
        <v>48</v>
      </c>
      <c r="C15" s="3" t="s">
        <v>54</v>
      </c>
    </row>
    <row r="16" spans="1:14" x14ac:dyDescent="0.25">
      <c r="B16" s="21"/>
      <c r="C16" s="3" t="s">
        <v>51</v>
      </c>
      <c r="L16" s="3" t="s">
        <v>94</v>
      </c>
    </row>
    <row r="17" spans="2:12" x14ac:dyDescent="0.25">
      <c r="B17" s="2"/>
      <c r="D17" s="251" t="s">
        <v>53</v>
      </c>
      <c r="E17" s="251"/>
      <c r="F17" s="7">
        <v>100</v>
      </c>
      <c r="G17" s="1"/>
    </row>
    <row r="18" spans="2:12" x14ac:dyDescent="0.25">
      <c r="B18" s="2"/>
      <c r="D18" s="251" t="s">
        <v>52</v>
      </c>
      <c r="E18" s="252"/>
      <c r="F18" s="8"/>
    </row>
    <row r="19" spans="2:12" x14ac:dyDescent="0.25">
      <c r="B19" s="2"/>
      <c r="F19" s="50" t="str">
        <f>IF(ISBLANK(F18),"",(IF(AND(F18&lt;=100.1,F18&gt;=99.9),"Pass","Fail")))</f>
        <v/>
      </c>
    </row>
    <row r="20" spans="2:12" x14ac:dyDescent="0.25">
      <c r="B20" s="2"/>
    </row>
    <row r="21" spans="2:12" x14ac:dyDescent="0.25">
      <c r="B21" s="21" t="s">
        <v>49</v>
      </c>
      <c r="C21" s="3" t="s">
        <v>55</v>
      </c>
    </row>
    <row r="22" spans="2:12" ht="34.5" customHeight="1" x14ac:dyDescent="0.25">
      <c r="B22" s="2"/>
      <c r="C22" s="224" t="s">
        <v>56</v>
      </c>
      <c r="D22" s="224"/>
      <c r="E22" s="224"/>
      <c r="F22" s="224"/>
      <c r="G22" s="224"/>
      <c r="H22" s="224"/>
      <c r="I22" s="224"/>
      <c r="J22" s="224"/>
      <c r="L22" s="3" t="s">
        <v>95</v>
      </c>
    </row>
    <row r="23" spans="2:12" x14ac:dyDescent="0.25">
      <c r="B23" s="2"/>
      <c r="D23" s="251" t="s">
        <v>57</v>
      </c>
      <c r="E23" s="252"/>
      <c r="F23" s="8"/>
    </row>
    <row r="24" spans="2:12" x14ac:dyDescent="0.25">
      <c r="B24" s="2"/>
      <c r="F24" s="50" t="str">
        <f>IF(ISBLANK(F23),"",(IF(F23&lt;1,"Pass","Fail")))</f>
        <v/>
      </c>
    </row>
    <row r="25" spans="2:12" x14ac:dyDescent="0.25">
      <c r="B25" s="2"/>
    </row>
    <row r="26" spans="2:12" x14ac:dyDescent="0.25">
      <c r="B26" s="21" t="s">
        <v>71</v>
      </c>
      <c r="C26" s="253" t="s">
        <v>248</v>
      </c>
      <c r="D26" s="253"/>
      <c r="E26" s="253"/>
      <c r="F26" s="253"/>
      <c r="G26" s="253"/>
      <c r="H26" s="253"/>
      <c r="I26" s="253"/>
      <c r="J26" s="253"/>
      <c r="K26" s="253"/>
      <c r="L26" s="253"/>
    </row>
    <row r="27" spans="2:12" x14ac:dyDescent="0.25">
      <c r="B27" s="2"/>
      <c r="C27" s="253"/>
      <c r="D27" s="253"/>
      <c r="E27" s="253"/>
      <c r="F27" s="253"/>
      <c r="G27" s="253"/>
      <c r="H27" s="253"/>
      <c r="I27" s="253"/>
      <c r="J27" s="253"/>
      <c r="K27" s="253"/>
      <c r="L27" s="253"/>
    </row>
    <row r="28" spans="2:12" x14ac:dyDescent="0.25">
      <c r="C28" s="1" t="s">
        <v>81</v>
      </c>
      <c r="E28" s="1"/>
      <c r="F28" s="1"/>
      <c r="G28" s="1"/>
      <c r="H28" s="1"/>
      <c r="I28" s="1"/>
    </row>
    <row r="29" spans="2:12" x14ac:dyDescent="0.25">
      <c r="C29" s="7" t="s">
        <v>3</v>
      </c>
      <c r="D29" s="3" t="s">
        <v>72</v>
      </c>
      <c r="E29" s="1"/>
      <c r="F29" s="1"/>
      <c r="G29" s="1"/>
      <c r="H29" s="1"/>
      <c r="I29" s="1"/>
      <c r="L29" s="3" t="s">
        <v>98</v>
      </c>
    </row>
    <row r="30" spans="2:12" x14ac:dyDescent="0.25">
      <c r="C30" s="2"/>
      <c r="D30" s="19" t="s">
        <v>73</v>
      </c>
      <c r="E30" s="19" t="s">
        <v>59</v>
      </c>
      <c r="F30" s="19" t="s">
        <v>60</v>
      </c>
      <c r="G30" s="19" t="s">
        <v>61</v>
      </c>
      <c r="H30" s="19" t="s">
        <v>62</v>
      </c>
      <c r="I30" s="19" t="s">
        <v>63</v>
      </c>
      <c r="J30" s="19" t="s">
        <v>64</v>
      </c>
      <c r="K30" s="31"/>
    </row>
    <row r="31" spans="2:12" x14ac:dyDescent="0.25">
      <c r="C31" s="2"/>
      <c r="D31" s="19" t="s">
        <v>65</v>
      </c>
      <c r="E31" s="15"/>
      <c r="F31" s="15"/>
      <c r="G31" s="51">
        <f>E31+F31</f>
      </c>
      <c r="H31" s="16"/>
      <c r="I31" s="16"/>
      <c r="J31" s="51">
        <f>H31+I31</f>
      </c>
      <c r="K31" s="50" t="str">
        <f>IF(G31=0,"",(IF(AND(G31&lt;=4.2,G31&gt;=3.8,J31&lt;=4.2,J31&gt;=3.8),"Pass","Fail")))</f>
        <v/>
      </c>
    </row>
    <row r="32" spans="2:12" x14ac:dyDescent="0.25">
      <c r="C32" s="2"/>
      <c r="D32" s="19" t="s">
        <v>66</v>
      </c>
      <c r="E32" s="15"/>
      <c r="F32" s="15"/>
      <c r="G32" s="51">
        <f>E32+F32</f>
      </c>
      <c r="H32" s="16"/>
      <c r="I32" s="16"/>
      <c r="J32" s="51">
        <f>H32+I32</f>
      </c>
      <c r="K32" s="50" t="str">
        <f>IF(G32=0,"",(IF(AND(G32&lt;=30.2,G32&gt;=29.8,J32&lt;=30.2,J32&gt;=29.8),"Pass","Fail")))</f>
        <v/>
      </c>
    </row>
    <row r="33" spans="1:12" x14ac:dyDescent="0.25">
      <c r="C33" s="2"/>
      <c r="E33" s="1"/>
      <c r="F33" s="1"/>
      <c r="G33" s="1"/>
      <c r="H33" s="1"/>
      <c r="I33" s="1"/>
    </row>
    <row r="34" spans="1:12" ht="15.75" customHeight="1" x14ac:dyDescent="0.25">
      <c r="C34" s="7" t="s">
        <v>4</v>
      </c>
      <c r="D34" s="254" t="s">
        <v>82</v>
      </c>
      <c r="E34" s="254"/>
      <c r="F34" s="254"/>
      <c r="G34" s="254"/>
      <c r="H34" s="254"/>
      <c r="I34" s="254"/>
      <c r="J34" s="254"/>
      <c r="L34" s="3" t="s">
        <v>94</v>
      </c>
    </row>
    <row r="35" spans="1:12" x14ac:dyDescent="0.25">
      <c r="D35" s="19" t="s">
        <v>67</v>
      </c>
      <c r="E35" s="16"/>
      <c r="F35" s="50">
        <f>IF(ISBLANK(E35),"",(IF(AND(E35&lt;=2,E35&gt;=1.8),"Pass","Fail")))</f>
        <v/>
      </c>
      <c r="G35" s="32" t="s">
        <v>68</v>
      </c>
      <c r="H35" s="16"/>
      <c r="I35" s="50">
        <f>IF(ISBLANK(H35),"",(IF(AND(H35&lt;=-1.8,H35&gt;=-2),"Pass","Fail")))</f>
        <v/>
      </c>
    </row>
    <row r="36" spans="1:12" x14ac:dyDescent="0.25">
      <c r="D36" s="32" t="s">
        <v>69</v>
      </c>
      <c r="E36" s="16"/>
      <c r="F36" s="50">
        <f>IF(ISBLANK(E36),"",(IF(AND(E36&lt;=9.1,E36&gt;=8.9),"Pass","Fail")))</f>
        <v/>
      </c>
      <c r="G36" s="19" t="s">
        <v>70</v>
      </c>
      <c r="H36" s="16"/>
      <c r="I36" s="50">
        <f>IF(ISBLANK(H36),"",(IF(AND(H36&lt;=-8.9,H36&gt;=-9.1),"Pass","Fail")))</f>
        <v/>
      </c>
    </row>
    <row r="38" spans="1:12" x14ac:dyDescent="0.25">
      <c r="A38" s="1" t="s">
        <v>10</v>
      </c>
      <c r="B38" s="21" t="s">
        <v>80</v>
      </c>
      <c r="C38" s="1" t="s">
        <v>83</v>
      </c>
      <c r="E38" s="1"/>
      <c r="F38" s="1"/>
      <c r="G38" s="1"/>
    </row>
    <row r="39" spans="1:12" ht="18.75" customHeight="1" x14ac:dyDescent="0.25">
      <c r="C39" s="23" t="s">
        <v>84</v>
      </c>
      <c r="D39" s="3"/>
      <c r="E39" s="1"/>
      <c r="F39" s="1"/>
      <c r="G39" s="1"/>
      <c r="L39" s="3" t="s">
        <v>94</v>
      </c>
    </row>
    <row r="40" spans="1:12" ht="31.5" x14ac:dyDescent="0.25">
      <c r="C40" s="33" t="s">
        <v>3</v>
      </c>
      <c r="D40" s="26" t="s">
        <v>74</v>
      </c>
      <c r="E40" s="34" t="s">
        <v>75</v>
      </c>
      <c r="F40" s="34" t="s">
        <v>76</v>
      </c>
      <c r="G40" s="27"/>
    </row>
    <row r="41" spans="1:12" x14ac:dyDescent="0.25">
      <c r="D41" s="31" t="s">
        <v>77</v>
      </c>
      <c r="E41" s="19">
        <v>10</v>
      </c>
      <c r="F41" s="16"/>
      <c r="G41" s="50">
        <f>IF(ISBLANK(F41),"",(IF(AND(F41&lt;=11,F41&gt;=9),"Pass","Fail")))</f>
        <v/>
      </c>
    </row>
    <row r="42" spans="1:12" x14ac:dyDescent="0.25">
      <c r="D42" s="31" t="s">
        <v>78</v>
      </c>
      <c r="E42" s="19">
        <v>10</v>
      </c>
      <c r="F42" s="16"/>
      <c r="G42" s="50">
        <f>IF(ISBLANK(F42),"",(IF(AND(F42&lt;=11,F42&gt;=9),"Pass","Fail")))</f>
        <v/>
      </c>
    </row>
    <row r="43" spans="1:12" x14ac:dyDescent="0.25">
      <c r="D43" s="31" t="s">
        <v>79</v>
      </c>
      <c r="E43" s="19">
        <v>10</v>
      </c>
      <c r="F43" s="16"/>
      <c r="G43" s="50">
        <f>IF(ISBLANK(F43),"",(IF(AND(F43&lt;=11,F43&gt;=9),"Pass","Fail")))</f>
        <v/>
      </c>
    </row>
    <row r="45" spans="1:12" ht="15.75" customHeight="1" x14ac:dyDescent="0.25">
      <c r="C45" s="227" t="s">
        <v>86</v>
      </c>
      <c r="D45" s="227"/>
      <c r="E45" s="227"/>
      <c r="F45" s="227"/>
      <c r="G45" s="227"/>
      <c r="H45" s="227"/>
      <c r="I45" s="227"/>
      <c r="J45" s="227"/>
      <c r="L45" s="3" t="s">
        <v>97</v>
      </c>
    </row>
    <row r="46" spans="1:12" x14ac:dyDescent="0.25">
      <c r="C46" s="227"/>
      <c r="D46" s="227"/>
      <c r="E46" s="227"/>
      <c r="F46" s="227"/>
      <c r="G46" s="227"/>
      <c r="H46" s="227"/>
      <c r="I46" s="227"/>
      <c r="J46" s="227"/>
      <c r="K46" s="17"/>
    </row>
    <row r="47" spans="1:12" x14ac:dyDescent="0.25">
      <c r="C47" s="7" t="s">
        <v>4</v>
      </c>
      <c r="D47" s="23" t="s">
        <v>85</v>
      </c>
      <c r="E47" s="7"/>
      <c r="F47" s="7">
        <v>90</v>
      </c>
      <c r="G47" s="7">
        <v>270</v>
      </c>
      <c r="H47" s="7"/>
    </row>
    <row r="48" spans="1:12" x14ac:dyDescent="0.25">
      <c r="D48" s="251" t="s">
        <v>35</v>
      </c>
      <c r="E48" s="251"/>
      <c r="F48" s="8"/>
      <c r="G48" s="8"/>
      <c r="H48" s="20"/>
    </row>
    <row r="49" spans="2:17" x14ac:dyDescent="0.25">
      <c r="E49" s="7"/>
      <c r="F49" s="50" t="str">
        <f>IF(ISBLANK(F48),"",(IF(AND(F48&lt;=90.5,F48&gt;=89.5),"Pass","Fail")))</f>
        <v/>
      </c>
      <c r="G49" s="50" t="str">
        <f>IF(ISBLANK(G48),"",(IF(AND(G48&lt;=270.5,G48&gt;=269.5),"Pass","Fail")))</f>
        <v/>
      </c>
      <c r="H49" s="20"/>
    </row>
    <row r="51" spans="2:17" x14ac:dyDescent="0.25">
      <c r="B51" s="21" t="s">
        <v>87</v>
      </c>
      <c r="C51" s="22" t="s">
        <v>208</v>
      </c>
      <c r="F51" s="7"/>
      <c r="G51" s="7"/>
      <c r="H51" s="7"/>
      <c r="I51" s="7"/>
      <c r="J51" s="7"/>
    </row>
    <row r="52" spans="2:17" x14ac:dyDescent="0.25">
      <c r="B52" s="21"/>
      <c r="C52" s="23" t="s">
        <v>89</v>
      </c>
      <c r="F52" s="7"/>
      <c r="G52" s="7"/>
      <c r="H52" s="7"/>
      <c r="I52" s="7"/>
      <c r="J52" s="7"/>
      <c r="L52" s="3" t="s">
        <v>94</v>
      </c>
    </row>
    <row r="53" spans="2:17" x14ac:dyDescent="0.25">
      <c r="B53" s="24"/>
      <c r="D53" s="7" t="s">
        <v>24</v>
      </c>
      <c r="E53" s="7" t="s">
        <v>25</v>
      </c>
      <c r="F53" s="7" t="s">
        <v>26</v>
      </c>
      <c r="G53" s="7" t="s">
        <v>27</v>
      </c>
      <c r="H53" s="7" t="s">
        <v>28</v>
      </c>
      <c r="I53" s="7" t="s">
        <v>29</v>
      </c>
      <c r="J53" s="7"/>
    </row>
    <row r="54" spans="2:17" x14ac:dyDescent="0.25">
      <c r="B54" s="24"/>
      <c r="D54" s="16"/>
      <c r="E54" s="16"/>
      <c r="F54" s="16"/>
      <c r="G54" s="16"/>
      <c r="H54" s="16"/>
      <c r="I54" s="16"/>
      <c r="J54" s="7"/>
    </row>
    <row r="55" spans="2:17" x14ac:dyDescent="0.25">
      <c r="B55" s="24"/>
      <c r="D55" s="50" t="str">
        <f t="shared" ref="D55:I55" si="0">IF(ISBLANK(D54),"",(IF(AND(D54&lt;=1,D54&gt;=-1),"Pass","Fail")))</f>
        <v/>
      </c>
      <c r="E55" s="50" t="str">
        <f t="shared" si="0"/>
        <v/>
      </c>
      <c r="F55" s="50" t="str">
        <f t="shared" si="0"/>
        <v/>
      </c>
      <c r="G55" s="50" t="str">
        <f t="shared" si="0"/>
        <v/>
      </c>
      <c r="H55" s="50" t="str">
        <f t="shared" si="0"/>
        <v/>
      </c>
      <c r="I55" s="50" t="str">
        <f t="shared" si="0"/>
        <v/>
      </c>
    </row>
    <row r="57" spans="2:17" x14ac:dyDescent="0.25">
      <c r="B57" s="21" t="s">
        <v>88</v>
      </c>
      <c r="C57" s="3" t="s">
        <v>210</v>
      </c>
    </row>
    <row r="58" spans="2:17" ht="16.5" customHeight="1" x14ac:dyDescent="0.25">
      <c r="B58" s="24"/>
      <c r="C58" s="240" t="s">
        <v>243</v>
      </c>
      <c r="D58" s="240"/>
      <c r="E58" s="240"/>
      <c r="F58" s="240"/>
      <c r="G58" s="240"/>
      <c r="H58" s="240"/>
      <c r="I58" s="240"/>
      <c r="J58" s="240"/>
      <c r="L58" s="3" t="s">
        <v>95</v>
      </c>
      <c r="N58" s="189" t="s">
        <v>246</v>
      </c>
      <c r="O58" s="189"/>
      <c r="P58" s="189"/>
      <c r="Q58" s="189"/>
    </row>
    <row r="59" spans="2:17" ht="30.75" customHeight="1" x14ac:dyDescent="0.25">
      <c r="B59" s="24"/>
      <c r="C59" s="253" t="s">
        <v>244</v>
      </c>
      <c r="D59" s="253"/>
      <c r="E59" s="253"/>
      <c r="F59" s="253"/>
      <c r="G59" s="253"/>
      <c r="H59" s="253"/>
      <c r="I59" s="253"/>
      <c r="J59" s="253"/>
      <c r="L59" s="3"/>
      <c r="N59" s="35" t="s">
        <v>228</v>
      </c>
    </row>
    <row r="60" spans="2:17" ht="19.5" customHeight="1" x14ac:dyDescent="0.25">
      <c r="B60" s="24"/>
      <c r="C60" s="253" t="s">
        <v>249</v>
      </c>
      <c r="D60" s="253"/>
      <c r="E60" s="253"/>
      <c r="F60" s="253"/>
      <c r="G60" s="253"/>
      <c r="H60" s="253"/>
      <c r="I60" s="253"/>
      <c r="J60" s="253"/>
      <c r="L60" s="3"/>
    </row>
    <row r="61" spans="2:17" ht="53.25" customHeight="1" x14ac:dyDescent="0.25">
      <c r="B61" s="24"/>
      <c r="C61" s="253" t="s">
        <v>250</v>
      </c>
      <c r="D61" s="253"/>
      <c r="E61" s="253"/>
      <c r="F61" s="253"/>
      <c r="G61" s="253"/>
      <c r="H61" s="253"/>
      <c r="I61" s="253"/>
      <c r="J61" s="253"/>
      <c r="L61" s="3"/>
      <c r="N61" s="35" t="s">
        <v>229</v>
      </c>
    </row>
    <row r="62" spans="2:17" x14ac:dyDescent="0.25">
      <c r="B62" s="24"/>
      <c r="C62" s="24" t="s">
        <v>3</v>
      </c>
      <c r="D62" s="3" t="s">
        <v>32</v>
      </c>
      <c r="E62" s="7"/>
      <c r="F62" s="7"/>
      <c r="G62" s="7"/>
      <c r="H62" s="7"/>
      <c r="I62" s="7"/>
      <c r="J62" s="7"/>
      <c r="L62" s="25"/>
      <c r="M62" s="37"/>
    </row>
    <row r="63" spans="2:17" x14ac:dyDescent="0.25">
      <c r="B63" s="24"/>
      <c r="C63" s="24"/>
      <c r="D63" s="26" t="s">
        <v>220</v>
      </c>
      <c r="E63" s="16"/>
      <c r="F63" s="50">
        <f>IF(ISBLANK(E63),"",(IF(E63&lt;1,"Pass","Fail")))</f>
        <v/>
      </c>
      <c r="H63" s="7"/>
      <c r="I63" s="7"/>
      <c r="J63" s="7"/>
    </row>
    <row r="64" spans="2:17" x14ac:dyDescent="0.25">
      <c r="B64" s="24"/>
      <c r="C64" s="24"/>
      <c r="D64" s="3"/>
      <c r="E64" s="7"/>
      <c r="F64" s="7"/>
      <c r="G64" s="7"/>
      <c r="H64" s="7"/>
      <c r="I64" s="7"/>
      <c r="J64" s="7"/>
      <c r="N64" s="166"/>
    </row>
    <row r="65" spans="2:16" x14ac:dyDescent="0.25">
      <c r="B65" s="24"/>
      <c r="C65" s="24" t="s">
        <v>4</v>
      </c>
      <c r="D65" s="3" t="s">
        <v>33</v>
      </c>
      <c r="E65" s="7"/>
      <c r="F65" s="7"/>
      <c r="G65" s="7"/>
      <c r="H65" s="7"/>
      <c r="I65" s="7"/>
      <c r="J65" s="7"/>
    </row>
    <row r="66" spans="2:16" x14ac:dyDescent="0.25">
      <c r="B66" s="24"/>
      <c r="C66" s="24"/>
      <c r="D66" s="26" t="s">
        <v>220</v>
      </c>
      <c r="E66" s="16"/>
      <c r="F66" s="50">
        <f>IF(ISBLANK(E66),"",(IF(E66&lt;1,"Pass","Fail")))</f>
        <v/>
      </c>
      <c r="H66" s="7"/>
      <c r="I66" s="7"/>
      <c r="J66" s="7"/>
    </row>
    <row r="67" spans="2:16" x14ac:dyDescent="0.25">
      <c r="B67" s="24"/>
      <c r="C67" s="24"/>
      <c r="D67" s="3"/>
      <c r="E67" s="7"/>
      <c r="F67" s="7"/>
      <c r="G67" s="7"/>
      <c r="H67" s="7"/>
      <c r="I67" s="7"/>
      <c r="J67" s="7"/>
    </row>
    <row r="68" spans="2:16" x14ac:dyDescent="0.25">
      <c r="B68" s="24"/>
      <c r="C68" s="24" t="s">
        <v>5</v>
      </c>
      <c r="D68" s="3" t="s">
        <v>34</v>
      </c>
      <c r="E68" s="7"/>
      <c r="F68" s="7"/>
      <c r="G68" s="7"/>
      <c r="H68" s="7"/>
      <c r="I68" s="7"/>
      <c r="J68" s="7"/>
    </row>
    <row r="69" spans="2:16" x14ac:dyDescent="0.25">
      <c r="B69" s="24"/>
      <c r="C69" s="24"/>
      <c r="D69" s="26" t="s">
        <v>220</v>
      </c>
      <c r="E69" s="16"/>
      <c r="F69" s="50">
        <f>IF(ISBLANK(E69),"",(IF(E69&lt;1,"Pass","Fail")))</f>
        <v/>
      </c>
      <c r="H69" s="7"/>
      <c r="I69" s="7"/>
      <c r="J69" s="7"/>
    </row>
    <row r="70" spans="2:16" x14ac:dyDescent="0.25">
      <c r="B70" s="24"/>
      <c r="F70" s="7"/>
      <c r="G70" s="7"/>
      <c r="H70" s="7"/>
      <c r="I70" s="7"/>
      <c r="J70" s="7"/>
    </row>
    <row r="71" spans="2:16" x14ac:dyDescent="0.25">
      <c r="B71" s="7" t="s">
        <v>90</v>
      </c>
      <c r="C71" s="3" t="s">
        <v>209</v>
      </c>
      <c r="E71" s="1"/>
      <c r="F71" s="1"/>
      <c r="G71" s="1"/>
      <c r="H71" s="1"/>
      <c r="I71" s="1"/>
      <c r="J71" s="1"/>
    </row>
    <row r="72" spans="2:16" ht="15.75" customHeight="1" x14ac:dyDescent="0.25">
      <c r="C72" s="241" t="s">
        <v>226</v>
      </c>
      <c r="D72" s="241"/>
      <c r="E72" s="241"/>
      <c r="F72" s="241"/>
      <c r="G72" s="241"/>
      <c r="H72" s="241"/>
      <c r="I72" s="241"/>
      <c r="J72" s="241"/>
      <c r="L72" s="227" t="s">
        <v>96</v>
      </c>
      <c r="M72" s="227"/>
    </row>
    <row r="73" spans="2:16" ht="15.75" customHeight="1" x14ac:dyDescent="0.25">
      <c r="C73" s="241"/>
      <c r="D73" s="241"/>
      <c r="E73" s="241"/>
      <c r="F73" s="241"/>
      <c r="G73" s="241"/>
      <c r="H73" s="241"/>
      <c r="I73" s="241"/>
      <c r="J73" s="241"/>
      <c r="L73" s="227"/>
      <c r="M73" s="227"/>
    </row>
    <row r="74" spans="2:16" ht="15.75" customHeight="1" x14ac:dyDescent="0.25">
      <c r="C74" s="241"/>
      <c r="D74" s="241"/>
      <c r="E74" s="241"/>
      <c r="F74" s="241"/>
      <c r="G74" s="241"/>
      <c r="H74" s="241"/>
      <c r="I74" s="241"/>
      <c r="J74" s="241"/>
      <c r="L74" s="227"/>
      <c r="M74" s="227"/>
    </row>
    <row r="75" spans="2:16" ht="15.75" customHeight="1" x14ac:dyDescent="0.25">
      <c r="C75" s="241"/>
      <c r="D75" s="241"/>
      <c r="E75" s="241"/>
      <c r="F75" s="241"/>
      <c r="G75" s="241"/>
      <c r="H75" s="241"/>
      <c r="I75" s="241"/>
      <c r="J75" s="241"/>
      <c r="L75" s="227"/>
      <c r="M75" s="227"/>
    </row>
    <row r="76" spans="2:16" ht="15.75" customHeight="1" x14ac:dyDescent="0.25">
      <c r="C76" s="241"/>
      <c r="D76" s="241"/>
      <c r="E76" s="241"/>
      <c r="F76" s="241"/>
      <c r="G76" s="241"/>
      <c r="H76" s="241"/>
      <c r="I76" s="241"/>
      <c r="J76" s="241"/>
      <c r="L76" s="227"/>
      <c r="M76" s="227"/>
    </row>
    <row r="77" spans="2:16" x14ac:dyDescent="0.25">
      <c r="C77" s="125"/>
      <c r="D77" s="28"/>
      <c r="E77" s="29" t="s">
        <v>137</v>
      </c>
      <c r="F77" s="29" t="s">
        <v>138</v>
      </c>
      <c r="G77" s="29"/>
      <c r="H77" s="130"/>
      <c r="I77" s="125"/>
      <c r="J77" s="125"/>
      <c r="K77" s="165"/>
      <c r="L77" s="227"/>
      <c r="M77" s="227"/>
    </row>
    <row r="78" spans="2:16" x14ac:dyDescent="0.25">
      <c r="C78" s="24"/>
      <c r="D78" s="26" t="s">
        <v>7</v>
      </c>
      <c r="E78" s="16"/>
      <c r="F78" s="16"/>
      <c r="G78" s="50">
        <f>IF(OR(ISBLANK(E78),ISBLANK(F78)),"",IF(AND(E78&lt;=11,E78&gt;=9,F78&lt;=11,F78&gt;=9),"Pass","Fail"))</f>
        <v/>
      </c>
      <c r="H78" s="4"/>
      <c r="I78" s="7"/>
      <c r="J78" s="30"/>
      <c r="K78" s="165"/>
      <c r="L78" s="227"/>
      <c r="M78" s="227"/>
      <c r="N78" s="4"/>
      <c r="O78" s="4"/>
      <c r="P78" s="5"/>
    </row>
    <row r="79" spans="2:16" x14ac:dyDescent="0.25">
      <c r="C79" s="24"/>
      <c r="D79" s="26" t="s">
        <v>8</v>
      </c>
      <c r="E79" s="16"/>
      <c r="F79" s="16"/>
      <c r="G79" s="50">
        <f>IF(OR(ISBLANK(E79),ISBLANK(F79)),"",IF(AND(E79&lt;=11,E79&gt;=9,F79&lt;=11,F79&gt;=9),"Pass","Fail"))</f>
        <v/>
      </c>
      <c r="H79" s="4"/>
      <c r="I79" s="7"/>
      <c r="J79" s="30"/>
      <c r="K79" s="2"/>
      <c r="N79" s="4"/>
      <c r="O79" s="4"/>
      <c r="P79" s="5"/>
    </row>
    <row r="80" spans="2:16" x14ac:dyDescent="0.25">
      <c r="C80" s="24"/>
      <c r="D80" s="26" t="s">
        <v>91</v>
      </c>
      <c r="E80" s="16"/>
      <c r="F80" s="16"/>
      <c r="G80" s="50">
        <f>IF(OR(ISBLANK(E80),ISBLANK(F80)),"",IF(AND(E80&lt;=11,E80&gt;=9,F80&lt;=11,F80&gt;=9),"Pass","Fail"))</f>
        <v/>
      </c>
      <c r="H80" s="4"/>
      <c r="I80" s="7"/>
      <c r="J80" s="30"/>
      <c r="K80" s="2"/>
      <c r="N80" s="4"/>
      <c r="O80" s="4"/>
      <c r="P80" s="5"/>
    </row>
    <row r="81" spans="2:16" x14ac:dyDescent="0.25">
      <c r="C81" s="24"/>
      <c r="D81" s="26" t="s">
        <v>92</v>
      </c>
      <c r="E81" s="16"/>
      <c r="F81" s="16"/>
      <c r="G81" s="50">
        <f>IF(OR(ISBLANK(E81),ISBLANK(F81)),"",IF(AND(E81&lt;=11,E81&gt;=9,F81&lt;=11,F81&gt;=9),"Pass","Fail"))</f>
        <v/>
      </c>
      <c r="H81" s="4"/>
      <c r="I81" s="7"/>
      <c r="J81" s="30"/>
      <c r="K81" s="2"/>
      <c r="N81" s="4"/>
      <c r="O81" s="4"/>
      <c r="P81" s="5"/>
    </row>
    <row r="82" spans="2:16" x14ac:dyDescent="0.25">
      <c r="E82" s="6"/>
      <c r="F82" s="11"/>
    </row>
    <row r="83" spans="2:16" x14ac:dyDescent="0.25">
      <c r="B83" s="3" t="s">
        <v>23</v>
      </c>
      <c r="C83" s="3"/>
      <c r="E83" s="6"/>
      <c r="F83" s="11"/>
    </row>
    <row r="84" spans="2:16" x14ac:dyDescent="0.25">
      <c r="B84" s="242"/>
      <c r="C84" s="243"/>
      <c r="D84" s="243"/>
      <c r="E84" s="243"/>
      <c r="F84" s="243"/>
      <c r="G84" s="243"/>
      <c r="H84" s="243"/>
      <c r="I84" s="243"/>
      <c r="J84" s="243"/>
      <c r="K84" s="243"/>
      <c r="L84" s="244"/>
      <c r="M84" s="18"/>
    </row>
    <row r="85" spans="2:16" x14ac:dyDescent="0.25">
      <c r="B85" s="245"/>
      <c r="C85" s="246"/>
      <c r="D85" s="246"/>
      <c r="E85" s="246"/>
      <c r="F85" s="246"/>
      <c r="G85" s="246"/>
      <c r="H85" s="246"/>
      <c r="I85" s="246"/>
      <c r="J85" s="246"/>
      <c r="K85" s="246"/>
      <c r="L85" s="247"/>
      <c r="M85" s="18"/>
    </row>
    <row r="86" spans="2:16" x14ac:dyDescent="0.25">
      <c r="B86" s="248"/>
      <c r="C86" s="249"/>
      <c r="D86" s="249"/>
      <c r="E86" s="249"/>
      <c r="F86" s="249"/>
      <c r="G86" s="249"/>
      <c r="H86" s="249"/>
      <c r="I86" s="249"/>
      <c r="J86" s="249"/>
      <c r="K86" s="249"/>
      <c r="L86" s="250"/>
      <c r="M86" s="18"/>
    </row>
  </sheetData>
  <mergeCells count="19">
    <mergeCell ref="D18:E18"/>
    <mergeCell ref="A1:L1"/>
    <mergeCell ref="G3:I3"/>
    <mergeCell ref="D8:E8"/>
    <mergeCell ref="D12:E12"/>
    <mergeCell ref="D17:E17"/>
    <mergeCell ref="C58:J58"/>
    <mergeCell ref="L72:M78"/>
    <mergeCell ref="C72:J76"/>
    <mergeCell ref="B84:L86"/>
    <mergeCell ref="C22:J22"/>
    <mergeCell ref="D23:E23"/>
    <mergeCell ref="C26:L27"/>
    <mergeCell ref="D34:J34"/>
    <mergeCell ref="C45:J46"/>
    <mergeCell ref="D48:E48"/>
    <mergeCell ref="C59:J59"/>
    <mergeCell ref="C60:J60"/>
    <mergeCell ref="C61:J61"/>
  </mergeCells>
  <conditionalFormatting sqref="F9:I9 F13:H13 F19 F24 K31:K32 F35:F36 I35:I36 G41:G43 F49:G49 D55:I55 F63 F66 F69 I78:I81">
    <cfRule type="cellIs" dxfId="24" priority="8" operator="equal">
      <formula>"FAIL"</formula>
    </cfRule>
  </conditionalFormatting>
  <conditionalFormatting sqref="G78:G81">
    <cfRule type="cellIs" dxfId="23" priority="1" operator="equal">
      <formula>"FAIL"</formula>
    </cfRule>
  </conditionalFormatting>
  <printOptions horizontalCentered="1"/>
  <pageMargins left="0.25" right="0.25" top="0.25" bottom="0.25" header="0.05" footer="0.05"/>
  <pageSetup scale="52" orientation="portrait" r:id="rId1"/>
  <headerFooter alignWithMargins="0">
    <oddFooter xml:space="preserve">&amp;L&amp;F&amp;D&amp;ACRL/DK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W79"/>
  <sheetViews>
    <sheetView topLeftCell="A40" zoomScale="80" zoomScaleNormal="80" workbookViewId="0">
      <selection activeCell="H54" sqref="H54"/>
    </sheetView>
  </sheetViews>
  <sheetFormatPr defaultRowHeight="15.75" x14ac:dyDescent="0.25"/>
  <cols>
    <col min="1" max="1" width="9.140625" style="1"/>
    <col min="2" max="2" width="7.7109375" style="1" customWidth="1"/>
    <col min="3" max="3" width="25.85546875" style="1" customWidth="1"/>
    <col min="4" max="4" width="18.7109375" style="1" customWidth="1"/>
    <col min="5" max="5" width="21.7109375" style="1" customWidth="1"/>
    <col min="6" max="6" width="10.7109375" style="1" customWidth="1"/>
    <col min="7" max="7" width="14.140625" style="1" customWidth="1"/>
    <col min="8" max="8" width="13.5703125" style="1" customWidth="1"/>
    <col min="9" max="9" width="10.28515625" style="1" customWidth="1"/>
    <col min="10" max="10" width="10.7109375" style="1" customWidth="1"/>
    <col min="11" max="11" width="14.140625" style="1" customWidth="1"/>
    <col min="12" max="12" width="12" style="1" customWidth="1"/>
    <col min="13" max="14" width="9.85546875" style="1" customWidth="1"/>
    <col min="15" max="18" width="9.140625" style="1"/>
    <col min="19" max="19" width="18.140625" style="1" customWidth="1"/>
    <col min="20" max="20" width="9.5703125" style="1" customWidth="1"/>
    <col min="21" max="16384" width="9.140625" style="1"/>
  </cols>
  <sheetData>
    <row r="1" spans="1:23" ht="15" customHeight="1" x14ac:dyDescent="0.25">
      <c r="A1" s="225" t="s">
        <v>207</v>
      </c>
      <c r="B1" s="225"/>
      <c r="C1" s="225"/>
      <c r="D1" s="225"/>
      <c r="E1" s="225"/>
      <c r="F1" s="225"/>
      <c r="G1" s="225"/>
      <c r="H1" s="225"/>
      <c r="I1" s="225"/>
      <c r="J1" s="225"/>
      <c r="K1" s="225"/>
      <c r="L1" s="225"/>
    </row>
    <row r="3" spans="1:23" x14ac:dyDescent="0.25">
      <c r="B3" s="3" t="s">
        <v>2</v>
      </c>
      <c r="C3" s="212"/>
      <c r="F3" s="24"/>
      <c r="G3" s="228"/>
      <c r="H3" s="229"/>
      <c r="I3" s="229"/>
      <c r="J3" s="230"/>
      <c r="M3" s="257"/>
      <c r="N3" s="257"/>
      <c r="O3" s="257"/>
      <c r="P3" s="257"/>
      <c r="Q3" s="257"/>
      <c r="R3" s="257"/>
      <c r="S3" s="193">
        <v>48100000</v>
      </c>
      <c r="T3" s="1" t="s">
        <v>234</v>
      </c>
    </row>
    <row r="4" spans="1:23" x14ac:dyDescent="0.25">
      <c r="G4" s="197"/>
      <c r="M4" s="251" t="s">
        <v>233</v>
      </c>
      <c r="N4" s="251"/>
      <c r="O4" s="251"/>
      <c r="P4" s="251"/>
      <c r="Q4" s="251"/>
      <c r="R4" s="251"/>
      <c r="S4" s="193">
        <v>48120000</v>
      </c>
      <c r="T4" s="1" t="s">
        <v>234</v>
      </c>
    </row>
    <row r="5" spans="1:23" ht="16.5" customHeight="1" x14ac:dyDescent="0.25">
      <c r="B5" s="21" t="s">
        <v>105</v>
      </c>
      <c r="C5" s="258" t="s">
        <v>204</v>
      </c>
      <c r="D5" s="258"/>
      <c r="E5" s="258"/>
      <c r="F5" s="258"/>
      <c r="G5" s="258"/>
      <c r="H5" s="2"/>
      <c r="I5" s="2"/>
      <c r="J5" s="2"/>
      <c r="K5" s="2"/>
      <c r="M5" s="251" t="s">
        <v>235</v>
      </c>
      <c r="N5" s="251"/>
      <c r="O5" s="251"/>
      <c r="P5" s="251"/>
      <c r="Q5" s="251"/>
      <c r="R5" s="251"/>
      <c r="S5" s="193">
        <f>S4/S3</f>
      </c>
    </row>
    <row r="6" spans="1:23" ht="49.5" customHeight="1" x14ac:dyDescent="0.25">
      <c r="B6" s="21"/>
      <c r="C6" s="227" t="s">
        <v>222</v>
      </c>
      <c r="D6" s="227"/>
      <c r="E6" s="227"/>
      <c r="F6" s="227"/>
      <c r="G6" s="227"/>
      <c r="H6" s="227"/>
      <c r="I6" s="227"/>
      <c r="J6" s="227"/>
      <c r="L6" s="23" t="s">
        <v>194</v>
      </c>
      <c r="M6" s="17"/>
    </row>
    <row r="7" spans="1:23" x14ac:dyDescent="0.25">
      <c r="B7" s="21"/>
      <c r="C7" s="210"/>
      <c r="D7" s="211" t="s">
        <v>12</v>
      </c>
      <c r="E7" s="211" t="s">
        <v>107</v>
      </c>
      <c r="G7" s="3"/>
      <c r="H7" s="210"/>
      <c r="I7" s="210"/>
      <c r="J7" s="210"/>
      <c r="K7" s="210"/>
      <c r="L7" s="210"/>
      <c r="M7" s="210"/>
    </row>
    <row r="8" spans="1:23" x14ac:dyDescent="0.25">
      <c r="B8" s="21"/>
      <c r="C8" s="210" t="s">
        <v>121</v>
      </c>
      <c r="D8" s="167">
        <v>44842</v>
      </c>
      <c r="E8" s="158"/>
      <c r="G8" s="3"/>
      <c r="H8" s="210"/>
      <c r="I8" s="210"/>
      <c r="J8" s="210"/>
      <c r="K8" s="210"/>
      <c r="L8" s="210"/>
      <c r="M8" s="213"/>
    </row>
    <row r="9" spans="1:23" x14ac:dyDescent="0.25">
      <c r="C9" s="6" t="s">
        <v>11</v>
      </c>
      <c r="D9" s="211"/>
      <c r="E9" s="211"/>
      <c r="F9" s="211"/>
      <c r="G9" s="211"/>
      <c r="H9" s="211"/>
      <c r="I9" s="211"/>
      <c r="J9" s="211"/>
      <c r="K9" s="211"/>
      <c r="L9" s="3"/>
      <c r="M9" s="180"/>
    </row>
    <row r="10" spans="1:23" x14ac:dyDescent="0.25">
      <c r="C10" s="46" t="s">
        <v>111</v>
      </c>
      <c r="D10" s="43" t="s">
        <v>236</v>
      </c>
      <c r="E10" s="181"/>
      <c r="F10" s="211"/>
      <c r="G10" s="211"/>
      <c r="H10" s="211"/>
      <c r="I10" s="211"/>
      <c r="J10" s="211"/>
      <c r="K10" s="211"/>
      <c r="L10" s="3"/>
      <c r="M10" s="180"/>
      <c r="W10" s="1" t="s">
        <v>247</v>
      </c>
    </row>
    <row r="11" spans="1:23" x14ac:dyDescent="0.25">
      <c r="C11" s="46" t="s">
        <v>112</v>
      </c>
      <c r="D11" s="43">
        <v>1511</v>
      </c>
      <c r="E11" s="181"/>
      <c r="F11" s="211"/>
      <c r="G11" s="211" t="s">
        <v>6</v>
      </c>
      <c r="H11" s="211"/>
      <c r="I11" s="211"/>
      <c r="J11" s="211"/>
      <c r="K11" s="211"/>
      <c r="L11" s="3"/>
      <c r="M11" s="180"/>
    </row>
    <row r="12" spans="1:23" ht="18.75" x14ac:dyDescent="0.35">
      <c r="C12" s="47" t="s">
        <v>113</v>
      </c>
      <c r="D12" s="43">
        <v>4.851</v>
      </c>
      <c r="E12" s="174"/>
      <c r="F12" s="194" t="s">
        <v>238</v>
      </c>
      <c r="G12" s="211"/>
      <c r="H12" s="211"/>
      <c r="I12" s="211"/>
      <c r="J12" s="40"/>
      <c r="K12" s="211"/>
      <c r="L12" s="211"/>
    </row>
    <row r="13" spans="1:23" x14ac:dyDescent="0.25">
      <c r="C13" s="6" t="s">
        <v>0</v>
      </c>
      <c r="D13" s="211"/>
      <c r="E13" s="211"/>
      <c r="F13" s="211"/>
      <c r="G13" s="211"/>
      <c r="H13" s="211"/>
      <c r="I13" s="211"/>
      <c r="J13" s="196"/>
      <c r="K13" s="211"/>
      <c r="L13" s="4"/>
    </row>
    <row r="14" spans="1:23" x14ac:dyDescent="0.25">
      <c r="C14" s="46" t="s">
        <v>111</v>
      </c>
      <c r="D14" s="43" t="s">
        <v>221</v>
      </c>
      <c r="E14" s="181"/>
      <c r="F14" s="211"/>
      <c r="G14" s="211"/>
      <c r="H14" s="211"/>
      <c r="I14" s="211"/>
      <c r="J14" s="41"/>
      <c r="K14" s="211"/>
      <c r="L14" s="4"/>
    </row>
    <row r="15" spans="1:23" x14ac:dyDescent="0.25">
      <c r="C15" s="46" t="s">
        <v>112</v>
      </c>
      <c r="D15" s="43" t="s">
        <v>237</v>
      </c>
      <c r="E15" s="181"/>
      <c r="F15" s="211"/>
      <c r="G15" s="211"/>
      <c r="H15" s="211"/>
      <c r="I15" s="211"/>
      <c r="J15" s="41"/>
      <c r="K15" s="211"/>
      <c r="L15" s="4"/>
    </row>
    <row r="16" spans="1:23" ht="18.75" x14ac:dyDescent="0.35">
      <c r="C16" s="47" t="s">
        <v>116</v>
      </c>
      <c r="D16" s="43">
        <v>1</v>
      </c>
      <c r="E16" s="181"/>
      <c r="F16" s="211"/>
      <c r="G16" s="211" t="s">
        <v>6</v>
      </c>
      <c r="H16" s="211"/>
      <c r="I16" s="211"/>
      <c r="J16" s="42"/>
      <c r="K16" s="211"/>
    </row>
    <row r="17" spans="2:15" x14ac:dyDescent="0.25">
      <c r="C17" s="3" t="s">
        <v>114</v>
      </c>
      <c r="D17" s="211"/>
      <c r="E17" s="211"/>
      <c r="F17" s="211" t="s">
        <v>6</v>
      </c>
      <c r="G17" s="211"/>
      <c r="H17" s="211"/>
      <c r="I17" s="211"/>
      <c r="J17" s="42"/>
      <c r="K17" s="211"/>
    </row>
    <row r="18" spans="2:15" x14ac:dyDescent="0.25">
      <c r="C18" s="46" t="s">
        <v>115</v>
      </c>
      <c r="D18" s="43">
        <v>22.8</v>
      </c>
      <c r="E18" s="14"/>
      <c r="F18" s="211"/>
      <c r="G18" s="211"/>
      <c r="H18" s="211"/>
      <c r="I18" s="211"/>
      <c r="J18" s="211"/>
      <c r="K18" s="211"/>
    </row>
    <row r="19" spans="2:15" x14ac:dyDescent="0.25">
      <c r="C19" s="46"/>
      <c r="D19" s="43">
        <v>1025.7</v>
      </c>
      <c r="E19" s="14"/>
      <c r="F19" s="211"/>
      <c r="G19" s="211"/>
      <c r="H19" s="211"/>
      <c r="I19" s="211"/>
      <c r="J19" s="211"/>
      <c r="K19" s="211"/>
    </row>
    <row r="20" spans="2:15" ht="18.75" x14ac:dyDescent="0.35">
      <c r="C20" s="47"/>
      <c r="D20" s="61">
        <f>IF(OR(ISBLANK(D18),ISBLANK(D19)),"",(273.2+D18)/(273.2+22)*1013.3/D19)</f>
      </c>
      <c r="E20" s="174" t="str">
        <f>IF(OR(ISBLANK(E18),ISBLANK(E19)),"",(273.2+E18)/(273.2+22)*1013.3/E19)</f>
        <v/>
      </c>
      <c r="F20" s="211"/>
      <c r="G20" s="211"/>
      <c r="H20" s="211"/>
      <c r="I20" s="211"/>
      <c r="J20" s="211"/>
      <c r="K20" s="211"/>
    </row>
    <row r="21" spans="2:15" ht="16.5" thickBot="1" x14ac:dyDescent="0.3">
      <c r="C21" s="211"/>
      <c r="D21" s="211"/>
      <c r="E21" s="211"/>
      <c r="F21" s="211"/>
      <c r="G21" s="211"/>
      <c r="H21" s="211"/>
      <c r="I21" s="211"/>
      <c r="J21" s="211"/>
      <c r="K21" s="211"/>
    </row>
    <row r="22" spans="2:15" ht="16.5" thickBot="1" x14ac:dyDescent="0.3">
      <c r="C22" s="211"/>
      <c r="D22" s="259" t="s">
        <v>223</v>
      </c>
      <c r="E22" s="260"/>
      <c r="F22" s="259" t="s">
        <v>224</v>
      </c>
      <c r="G22" s="260"/>
      <c r="H22" s="261" t="s">
        <v>31</v>
      </c>
      <c r="I22" s="260"/>
      <c r="J22" s="211"/>
    </row>
    <row r="23" spans="2:15" ht="18" thickBot="1" x14ac:dyDescent="0.35">
      <c r="C23" s="100" t="s">
        <v>106</v>
      </c>
      <c r="D23" s="48" t="s">
        <v>110</v>
      </c>
      <c r="E23" s="59" t="s">
        <v>118</v>
      </c>
      <c r="F23" s="48" t="s">
        <v>110</v>
      </c>
      <c r="G23" s="59" t="s">
        <v>118</v>
      </c>
      <c r="H23" s="63" t="s">
        <v>1</v>
      </c>
      <c r="I23" s="59" t="s">
        <v>119</v>
      </c>
      <c r="J23" s="49"/>
    </row>
    <row r="24" spans="2:15" x14ac:dyDescent="0.25">
      <c r="C24" s="101" t="s">
        <v>7</v>
      </c>
      <c r="D24" s="168">
        <f>AVERAGE(1.904,1.9,1.901,1.904)</f>
      </c>
      <c r="E24" s="170">
        <f>IF(ISBLANK(D24),"",D24*$D$12*$D$16*$D$20)</f>
      </c>
      <c r="F24" s="169"/>
      <c r="G24" s="153">
        <f>IF(ISBLANK(F24),"",F24*$E$12*$E$16*$E$20)</f>
        <v/>
      </c>
      <c r="H24" s="58" t="str">
        <f>IF(ISBLANK(F24),"",100*G24/E24)</f>
        <v/>
      </c>
      <c r="I24" s="154" t="str">
        <f>IF(ISBLANK(F24),"",100*(G24/E24-1))</f>
        <v/>
      </c>
      <c r="J24" s="55" t="str">
        <f>IF(H24="","",IF(AND(H24&lt;=102,H24&gt;=98),"PASS","FAIL"))</f>
        <v/>
      </c>
      <c r="L24" s="190"/>
    </row>
    <row r="25" spans="2:15" x14ac:dyDescent="0.25">
      <c r="C25" s="101" t="s">
        <v>8</v>
      </c>
      <c r="D25" s="176">
        <f>AVERAGE(1.967,1.965,1.966)</f>
      </c>
      <c r="E25" s="171">
        <f>IF(ISBLANK(D25),"",D25*$D$12*$D$16*$D$20)</f>
      </c>
      <c r="F25" s="191"/>
      <c r="G25" s="153">
        <f t="shared" ref="G25:G27" si="0">IF(ISBLANK(F25),"",F25*$E$12*$E$16*$E$20)</f>
        <v/>
      </c>
      <c r="H25" s="58" t="str">
        <f t="shared" ref="H25:H27" si="1">IF(ISBLANK(F25),"",100*G25/E25)</f>
        <v/>
      </c>
      <c r="I25" s="154" t="str">
        <f t="shared" ref="I25:I27" si="2">IF(ISBLANK(F25),"",100*(G25/E25-1))</f>
        <v/>
      </c>
      <c r="J25" s="56" t="str">
        <f>IF(H25="","",IF(AND(H25&lt;=102,H25&gt;=98),"PASS","FAIL"))</f>
        <v/>
      </c>
      <c r="L25" s="211"/>
    </row>
    <row r="26" spans="2:15" x14ac:dyDescent="0.25">
      <c r="C26" s="101" t="s">
        <v>91</v>
      </c>
      <c r="D26" s="176">
        <f>AVERAGE(1.878,1.877,1.877)</f>
      </c>
      <c r="E26" s="172">
        <f>IF(ISBLANK(D26),"",D26*$D$12*$D$16*$D$20)</f>
      </c>
      <c r="F26" s="191"/>
      <c r="G26" s="153">
        <f t="shared" si="0"/>
        <v/>
      </c>
      <c r="H26" s="58" t="str">
        <f t="shared" si="1"/>
        <v/>
      </c>
      <c r="I26" s="154" t="str">
        <f t="shared" si="2"/>
        <v/>
      </c>
      <c r="J26" s="56" t="str">
        <f>IF(H26="","",IF(AND(H26&lt;=102,H26&gt;=98),"PASS","FAIL"))</f>
        <v/>
      </c>
      <c r="L26" s="211"/>
    </row>
    <row r="27" spans="2:15" ht="16.5" thickBot="1" x14ac:dyDescent="0.3">
      <c r="C27" s="102" t="s">
        <v>92</v>
      </c>
      <c r="D27" s="175">
        <f>AVERAGE(1.953,1.951,1.954,1.953)</f>
      </c>
      <c r="E27" s="173">
        <f>IF(ISBLANK(D27),"",D27*$D$12*$D$16*$D$20)</f>
      </c>
      <c r="F27" s="192"/>
      <c r="G27" s="153">
        <f t="shared" si="0"/>
        <v/>
      </c>
      <c r="H27" s="58" t="str">
        <f t="shared" si="1"/>
        <v/>
      </c>
      <c r="I27" s="154" t="str">
        <f t="shared" si="2"/>
        <v/>
      </c>
      <c r="J27" s="57" t="str">
        <f>IF(H27="","",IF(AND(H27&lt;=102,H27&gt;=98),"PASS","FAIL"))</f>
        <v/>
      </c>
      <c r="L27" s="211"/>
    </row>
    <row r="28" spans="2:15" x14ac:dyDescent="0.25">
      <c r="D28" s="44"/>
      <c r="E28" s="45"/>
      <c r="F28" s="45"/>
      <c r="G28" s="45"/>
      <c r="H28" s="45"/>
      <c r="I28" s="45"/>
      <c r="J28" s="45"/>
      <c r="M28" s="3"/>
      <c r="N28" s="211"/>
      <c r="O28" s="211"/>
    </row>
    <row r="29" spans="2:15" x14ac:dyDescent="0.25">
      <c r="B29" s="21" t="s">
        <v>120</v>
      </c>
      <c r="C29" s="258" t="s">
        <v>203</v>
      </c>
      <c r="D29" s="258"/>
      <c r="E29" s="258"/>
      <c r="F29" s="258"/>
      <c r="G29" s="258"/>
      <c r="H29" s="2"/>
      <c r="I29" s="2"/>
      <c r="J29" s="2"/>
      <c r="K29" s="2"/>
      <c r="N29" s="211"/>
      <c r="O29" s="211"/>
    </row>
    <row r="30" spans="2:15" ht="17.25" customHeight="1" thickBot="1" x14ac:dyDescent="0.3">
      <c r="B30" s="21"/>
      <c r="C30" s="256" t="s">
        <v>125</v>
      </c>
      <c r="D30" s="256"/>
      <c r="E30" s="256"/>
      <c r="F30" s="256"/>
      <c r="G30" s="256"/>
      <c r="H30" s="256"/>
      <c r="I30" s="256"/>
      <c r="J30" s="256"/>
      <c r="L30" s="3" t="s">
        <v>194</v>
      </c>
      <c r="M30" s="17"/>
      <c r="N30" s="211"/>
      <c r="O30" s="211"/>
    </row>
    <row r="31" spans="2:15" ht="16.5" thickBot="1" x14ac:dyDescent="0.3">
      <c r="B31" s="21"/>
      <c r="C31" s="210"/>
      <c r="D31" s="268" t="s">
        <v>223</v>
      </c>
      <c r="E31" s="269"/>
      <c r="F31" s="270"/>
      <c r="G31" s="271" t="s">
        <v>224</v>
      </c>
      <c r="H31" s="272"/>
      <c r="I31" s="273"/>
      <c r="J31" s="216" t="s">
        <v>31</v>
      </c>
      <c r="K31" s="210"/>
      <c r="L31" s="210"/>
      <c r="M31" s="210"/>
      <c r="N31" s="211"/>
      <c r="O31" s="211"/>
    </row>
    <row r="32" spans="2:15" ht="18" thickBot="1" x14ac:dyDescent="0.35">
      <c r="B32" s="21"/>
      <c r="C32" s="100" t="s">
        <v>106</v>
      </c>
      <c r="D32" s="48" t="s">
        <v>110</v>
      </c>
      <c r="E32" s="62" t="s">
        <v>118</v>
      </c>
      <c r="F32" s="59" t="s">
        <v>108</v>
      </c>
      <c r="G32" s="68" t="s">
        <v>110</v>
      </c>
      <c r="H32" s="69" t="s">
        <v>118</v>
      </c>
      <c r="I32" s="59" t="s">
        <v>108</v>
      </c>
      <c r="J32" s="156" t="s">
        <v>119</v>
      </c>
      <c r="K32" s="210"/>
      <c r="L32" s="211"/>
      <c r="M32" s="210"/>
      <c r="N32" s="211"/>
      <c r="O32" s="211"/>
    </row>
    <row r="33" spans="2:15" x14ac:dyDescent="0.25">
      <c r="B33" s="21"/>
      <c r="C33" s="101" t="s">
        <v>7</v>
      </c>
      <c r="D33" s="195">
        <f>AVERAGE(1.633, 1.629,1.63, 1.629)</f>
      </c>
      <c r="E33" s="70">
        <f>IF(ISBLANK(D33),"",D33*$D$12*$D$16*$D$20)</f>
      </c>
      <c r="F33" s="185">
        <f>E33/E24</f>
      </c>
      <c r="G33" s="182"/>
      <c r="H33" s="65">
        <f>IF(ISBLANK(G33),"",G33*$E$12*$E$16*$E$20)</f>
        <v/>
      </c>
      <c r="I33" s="157" t="str">
        <f>IF(ISBLANK(G33),"",H33/G24)</f>
        <v/>
      </c>
      <c r="J33" s="155" t="str">
        <f>IF(ISBLANK(G33),"",100*(I33/F33-1))</f>
        <v/>
      </c>
      <c r="K33" s="55" t="str">
        <f>IF(G33="","",IF(AND(J33&lt;=2,I33&gt;=-2),"PASS","FAIL"))</f>
        <v/>
      </c>
      <c r="L33" s="211"/>
      <c r="M33" s="214"/>
      <c r="N33" s="211"/>
      <c r="O33" s="211"/>
    </row>
    <row r="34" spans="2:15" x14ac:dyDescent="0.25">
      <c r="C34" s="101" t="s">
        <v>8</v>
      </c>
      <c r="D34" s="176">
        <f>AVERAGE(1.782, 1.78, 1.78)</f>
      </c>
      <c r="E34" s="177">
        <f>IF(ISBLANK(D34),"",D34*$D$12*$D$16*$D$20)</f>
      </c>
      <c r="F34" s="61">
        <f>E34/E25</f>
      </c>
      <c r="G34" s="183"/>
      <c r="H34" s="65">
        <f t="shared" ref="H34:H36" si="3">IF(ISBLANK(G34),"",G34*$E$12*$E$16*$E$20)</f>
        <v/>
      </c>
      <c r="I34" s="157" t="str">
        <f t="shared" ref="I34:I36" si="4">IF(ISBLANK(G34),"",H34/G25)</f>
        <v/>
      </c>
      <c r="J34" s="155" t="str">
        <f t="shared" ref="J34:J36" si="5">IF(ISBLANK(G34),"",100*(I34/F34-1))</f>
        <v/>
      </c>
      <c r="K34" s="56" t="str">
        <f>IF(G34="","",IF(AND(J34&lt;=2,I34&gt;=-2),"PASS","FAIL"))</f>
        <v/>
      </c>
      <c r="L34" s="211"/>
      <c r="M34" s="190"/>
    </row>
    <row r="35" spans="2:15" x14ac:dyDescent="0.25">
      <c r="C35" s="101" t="s">
        <v>91</v>
      </c>
      <c r="D35" s="176">
        <f>AVERAGE(1.565, 1.565)</f>
      </c>
      <c r="E35" s="178">
        <f>IF(ISBLANK(D35),"",D35*$D$12*$D$16*$D$20)</f>
      </c>
      <c r="F35" s="61">
        <f>E35/E26</f>
      </c>
      <c r="G35" s="183"/>
      <c r="H35" s="65">
        <f t="shared" si="3"/>
        <v/>
      </c>
      <c r="I35" s="157" t="str">
        <f t="shared" si="4"/>
        <v/>
      </c>
      <c r="J35" s="155" t="str">
        <f t="shared" si="5"/>
        <v/>
      </c>
      <c r="K35" s="56" t="str">
        <f>IF(G35="","",IF(AND(J35&lt;=2,I35&gt;=-2),"PASS","FAIL"))</f>
        <v/>
      </c>
      <c r="L35" s="211"/>
      <c r="M35" s="190"/>
    </row>
    <row r="36" spans="2:15" ht="16.5" thickBot="1" x14ac:dyDescent="0.3">
      <c r="C36" s="102" t="s">
        <v>92</v>
      </c>
      <c r="D36" s="175">
        <f>AVERAGE(1.724,1.722,1.721)</f>
      </c>
      <c r="E36" s="179">
        <f>IF(ISBLANK(D36),"",D36*$D$12*$D$16*$D$20)</f>
      </c>
      <c r="F36" s="186">
        <f>E36/E27</f>
      </c>
      <c r="G36" s="184"/>
      <c r="H36" s="65">
        <f t="shared" si="3"/>
        <v/>
      </c>
      <c r="I36" s="157" t="str">
        <f t="shared" si="4"/>
        <v/>
      </c>
      <c r="J36" s="155" t="str">
        <f t="shared" si="5"/>
        <v/>
      </c>
      <c r="K36" s="57" t="str">
        <f>IF(G36="","",IF(AND(J36&lt;=2,I36&gt;=-2),"PASS","FAIL"))</f>
        <v/>
      </c>
      <c r="L36" s="211"/>
      <c r="M36" s="190"/>
    </row>
    <row r="37" spans="2:15" x14ac:dyDescent="0.25">
      <c r="C37" s="211"/>
      <c r="D37" s="45"/>
      <c r="E37" s="45"/>
      <c r="F37" s="45"/>
      <c r="G37" s="45"/>
      <c r="H37" s="45"/>
      <c r="I37" s="45"/>
      <c r="J37" s="45"/>
      <c r="K37" s="45"/>
    </row>
    <row r="38" spans="2:15" x14ac:dyDescent="0.25">
      <c r="B38" s="21" t="s">
        <v>122</v>
      </c>
      <c r="C38" s="215" t="s">
        <v>205</v>
      </c>
      <c r="D38" s="215"/>
      <c r="E38" s="215"/>
      <c r="F38" s="215"/>
      <c r="G38" s="215"/>
      <c r="H38" s="209"/>
      <c r="I38" s="209"/>
      <c r="J38" s="209"/>
      <c r="K38" s="2"/>
    </row>
    <row r="39" spans="2:15" ht="15.75" customHeight="1" x14ac:dyDescent="0.25">
      <c r="B39" s="21" t="s">
        <v>3</v>
      </c>
      <c r="C39" s="227" t="s">
        <v>215</v>
      </c>
      <c r="D39" s="227"/>
      <c r="E39" s="227"/>
      <c r="F39" s="227"/>
      <c r="G39" s="227"/>
      <c r="H39" s="227"/>
      <c r="I39" s="227"/>
      <c r="J39" s="227"/>
      <c r="L39" s="3" t="s">
        <v>135</v>
      </c>
      <c r="M39" s="17"/>
    </row>
    <row r="40" spans="2:15" ht="16.5" thickBot="1" x14ac:dyDescent="0.3">
      <c r="C40" s="211"/>
      <c r="D40" s="45"/>
      <c r="E40" s="45"/>
      <c r="F40" s="45"/>
      <c r="G40" s="45"/>
      <c r="H40" s="45"/>
      <c r="I40" s="45"/>
      <c r="J40" s="45"/>
      <c r="K40" s="45"/>
    </row>
    <row r="41" spans="2:15" ht="18" thickBot="1" x14ac:dyDescent="0.35">
      <c r="C41" s="211"/>
      <c r="D41" s="274" t="s">
        <v>110</v>
      </c>
      <c r="E41" s="275"/>
      <c r="F41" s="73" t="s">
        <v>31</v>
      </c>
      <c r="G41" s="45"/>
      <c r="H41" s="45"/>
      <c r="I41" s="45"/>
      <c r="J41" s="45"/>
      <c r="K41" s="45"/>
    </row>
    <row r="42" spans="2:15" ht="16.5" thickBot="1" x14ac:dyDescent="0.3">
      <c r="C42" s="100" t="s">
        <v>106</v>
      </c>
      <c r="D42" s="77" t="s">
        <v>123</v>
      </c>
      <c r="E42" s="103" t="s">
        <v>124</v>
      </c>
      <c r="F42" s="78" t="s">
        <v>119</v>
      </c>
      <c r="G42" s="45"/>
      <c r="H42" s="45"/>
      <c r="I42" s="45"/>
      <c r="J42" s="45"/>
      <c r="K42" s="45"/>
    </row>
    <row r="43" spans="2:15" x14ac:dyDescent="0.25">
      <c r="C43" s="101" t="s">
        <v>7</v>
      </c>
      <c r="D43" s="182"/>
      <c r="E43" s="160"/>
      <c r="F43" s="76">
        <f>IF(OR(ISBLANK(D43),ISBLANK(E43)),"",100*(E43/D43-1))</f>
        <v/>
      </c>
      <c r="G43" s="79" t="str">
        <f>IF(OR(ISBLANK(D43),ISBLANK(E43)),"",IF(AND(F43&lt;=2,F43&gt;=-2),"PASS","FAIL"))</f>
        <v/>
      </c>
      <c r="H43" s="45"/>
      <c r="I43" s="45"/>
      <c r="J43" s="45"/>
      <c r="K43" s="45"/>
    </row>
    <row r="44" spans="2:15" x14ac:dyDescent="0.25">
      <c r="C44" s="101" t="s">
        <v>8</v>
      </c>
      <c r="D44" s="183"/>
      <c r="E44" s="159"/>
      <c r="F44" s="74">
        <f>IF(OR(ISBLANK(D44),ISBLANK(E44)),"",100*(E44/D44-1))</f>
        <v/>
      </c>
      <c r="G44" s="80" t="str">
        <f>IF(OR(ISBLANK(D44),ISBLANK(E44)),"",IF(AND(F44&lt;=2,F44&gt;=-2),"PASS","FAIL"))</f>
        <v/>
      </c>
      <c r="H44" s="45"/>
      <c r="I44" s="45"/>
      <c r="J44" s="45"/>
      <c r="K44" s="45"/>
    </row>
    <row r="45" spans="2:15" x14ac:dyDescent="0.25">
      <c r="C45" s="101" t="s">
        <v>91</v>
      </c>
      <c r="D45" s="183"/>
      <c r="E45" s="159"/>
      <c r="F45" s="74">
        <f>IF(OR(ISBLANK(D45),ISBLANK(E45)),"",100*(E45/D45-1))</f>
        <v/>
      </c>
      <c r="G45" s="80" t="str">
        <f>IF(OR(ISBLANK(D45),ISBLANK(E45)),"",IF(AND(F45&lt;=2,F45&gt;=-2),"PASS","FAIL"))</f>
        <v/>
      </c>
      <c r="H45" s="45"/>
      <c r="I45" s="45"/>
      <c r="J45" s="45"/>
      <c r="K45" s="45"/>
    </row>
    <row r="46" spans="2:15" ht="16.5" thickBot="1" x14ac:dyDescent="0.3">
      <c r="C46" s="102" t="s">
        <v>92</v>
      </c>
      <c r="D46" s="184"/>
      <c r="E46" s="161"/>
      <c r="F46" s="75">
        <f>IF(OR(ISBLANK(D46),ISBLANK(E46)),"",100*(E46/D46-1))</f>
        <v/>
      </c>
      <c r="G46" s="81" t="str">
        <f>IF(OR(ISBLANK(D46),ISBLANK(E46)),"",IF(AND(F46&lt;=2,F46&gt;=-2),"PASS","FAIL"))</f>
        <v/>
      </c>
      <c r="H46" s="45"/>
      <c r="I46" s="45"/>
      <c r="J46" s="45"/>
      <c r="K46" s="45"/>
    </row>
    <row r="47" spans="2:15" x14ac:dyDescent="0.25">
      <c r="C47" s="211"/>
      <c r="D47" s="45"/>
      <c r="E47" s="45"/>
      <c r="F47" s="45"/>
      <c r="G47" s="45"/>
      <c r="H47" s="45"/>
      <c r="I47" s="45"/>
      <c r="J47" s="45"/>
      <c r="K47" s="45"/>
    </row>
    <row r="48" spans="2:15" ht="16.5" customHeight="1" thickBot="1" x14ac:dyDescent="0.3">
      <c r="B48" s="2" t="s">
        <v>4</v>
      </c>
      <c r="C48" s="227" t="s">
        <v>214</v>
      </c>
      <c r="D48" s="227"/>
      <c r="E48" s="227"/>
      <c r="F48" s="227"/>
      <c r="G48" s="227"/>
      <c r="H48" s="227"/>
      <c r="I48" s="227"/>
      <c r="J48" s="17"/>
      <c r="L48" s="3" t="s">
        <v>135</v>
      </c>
      <c r="M48" s="17"/>
    </row>
    <row r="49" spans="2:14" ht="16.5" thickBot="1" x14ac:dyDescent="0.3">
      <c r="C49" s="211"/>
      <c r="D49" s="274" t="s">
        <v>126</v>
      </c>
      <c r="E49" s="276"/>
      <c r="F49" s="73" t="s">
        <v>31</v>
      </c>
      <c r="G49" s="45"/>
      <c r="H49" s="45"/>
      <c r="I49" s="45"/>
      <c r="J49" s="45"/>
      <c r="K49" s="45"/>
    </row>
    <row r="50" spans="2:14" ht="16.5" thickBot="1" x14ac:dyDescent="0.3">
      <c r="C50" s="100" t="s">
        <v>106</v>
      </c>
      <c r="D50" s="85" t="s">
        <v>127</v>
      </c>
      <c r="E50" s="86" t="s">
        <v>128</v>
      </c>
      <c r="F50" s="78" t="s">
        <v>119</v>
      </c>
      <c r="G50" s="45"/>
      <c r="H50" s="45"/>
      <c r="J50" s="45"/>
      <c r="K50" s="45"/>
    </row>
    <row r="51" spans="2:14" x14ac:dyDescent="0.25">
      <c r="C51" s="101" t="s">
        <v>7</v>
      </c>
      <c r="D51" s="66"/>
      <c r="E51" s="71"/>
      <c r="F51" s="82">
        <f>IF(OR(ISBLANK(D51),ISBLANK(E51)),"",100*(E51/D51-1))</f>
        <v/>
      </c>
      <c r="G51" s="79" t="str">
        <f>IF(OR(ISBLANK(D51),ISBLANK(E51)),"",IF(AND(F51&lt;=2,F51&gt;=-2),"PASS","FAIL"))</f>
        <v/>
      </c>
      <c r="H51" s="45"/>
      <c r="I51" s="45"/>
      <c r="J51" s="45"/>
      <c r="K51" s="45"/>
    </row>
    <row r="52" spans="2:14" x14ac:dyDescent="0.25">
      <c r="C52" s="101" t="s">
        <v>8</v>
      </c>
      <c r="D52" s="66"/>
      <c r="E52" s="71"/>
      <c r="F52" s="83">
        <f>IF(OR(ISBLANK(D52),ISBLANK(E52)),"",100*(E52/D52-1))</f>
        <v/>
      </c>
      <c r="G52" s="80" t="str">
        <f>IF(OR(ISBLANK(D52),ISBLANK(E52)),"",IF(AND(F52&lt;=2,F52&gt;=-2),"PASS","FAIL"))</f>
        <v/>
      </c>
      <c r="H52" s="45"/>
      <c r="I52" s="45"/>
      <c r="J52" s="45"/>
      <c r="K52" s="45"/>
    </row>
    <row r="53" spans="2:14" x14ac:dyDescent="0.25">
      <c r="C53" s="101" t="s">
        <v>91</v>
      </c>
      <c r="D53" s="66"/>
      <c r="E53" s="71"/>
      <c r="F53" s="83">
        <f>IF(OR(ISBLANK(D53),ISBLANK(E53)),"",100*(E53/D53-1))</f>
        <v/>
      </c>
      <c r="G53" s="80" t="str">
        <f>IF(OR(ISBLANK(D53),ISBLANK(E53)),"",IF(AND(F53&lt;=2,F53&gt;=-2),"PASS","FAIL"))</f>
        <v/>
      </c>
      <c r="H53" s="45"/>
      <c r="I53" s="45"/>
      <c r="J53" s="45"/>
      <c r="K53" s="45"/>
    </row>
    <row r="54" spans="2:14" ht="16.5" thickBot="1" x14ac:dyDescent="0.3">
      <c r="C54" s="102" t="s">
        <v>92</v>
      </c>
      <c r="D54" s="67"/>
      <c r="E54" s="72"/>
      <c r="F54" s="84">
        <f>IF(OR(ISBLANK(D54),ISBLANK(E54)),"",100*(E54/D54-1))</f>
        <v/>
      </c>
      <c r="G54" s="81" t="str">
        <f>IF(OR(ISBLANK(D54),ISBLANK(E54)),"",IF(AND(F54&lt;=2,F54&gt;=-2),"PASS","FAIL"))</f>
        <v/>
      </c>
      <c r="H54" s="45"/>
      <c r="I54" s="45"/>
      <c r="J54" s="45"/>
      <c r="K54" s="45"/>
    </row>
    <row r="55" spans="2:14" x14ac:dyDescent="0.25">
      <c r="C55" s="211"/>
      <c r="D55" s="45"/>
      <c r="E55" s="45"/>
      <c r="F55" s="45"/>
      <c r="G55" s="45"/>
      <c r="H55" s="45"/>
      <c r="I55" s="45"/>
      <c r="J55" s="45"/>
      <c r="K55" s="45"/>
    </row>
    <row r="56" spans="2:14" x14ac:dyDescent="0.25">
      <c r="B56" s="21" t="s">
        <v>129</v>
      </c>
      <c r="C56" s="215" t="s">
        <v>206</v>
      </c>
      <c r="D56" s="215"/>
      <c r="E56" s="215"/>
      <c r="F56" s="215"/>
      <c r="G56" s="215"/>
      <c r="H56" s="209"/>
      <c r="I56" s="209"/>
      <c r="J56" s="209"/>
      <c r="K56" s="2"/>
    </row>
    <row r="57" spans="2:14" ht="15.75" customHeight="1" thickBot="1" x14ac:dyDescent="0.3">
      <c r="B57" s="21"/>
      <c r="C57" s="256" t="s">
        <v>130</v>
      </c>
      <c r="D57" s="256"/>
      <c r="E57" s="256"/>
      <c r="F57" s="256"/>
      <c r="G57" s="256"/>
      <c r="H57" s="256"/>
      <c r="I57" s="256"/>
      <c r="J57" s="256"/>
      <c r="L57" s="3" t="s">
        <v>135</v>
      </c>
      <c r="M57" s="17"/>
      <c r="N57" s="1" t="s">
        <v>230</v>
      </c>
    </row>
    <row r="58" spans="2:14" ht="16.5" thickBot="1" x14ac:dyDescent="0.3">
      <c r="C58" s="277" t="s">
        <v>227</v>
      </c>
      <c r="D58" s="277"/>
      <c r="E58" s="278"/>
      <c r="F58" s="105" t="s">
        <v>12</v>
      </c>
      <c r="G58" s="106" t="s">
        <v>107</v>
      </c>
      <c r="H58" s="104" t="s">
        <v>119</v>
      </c>
      <c r="I58" s="107"/>
      <c r="J58" s="45"/>
      <c r="K58" s="45"/>
      <c r="N58" s="1" t="s">
        <v>231</v>
      </c>
    </row>
    <row r="59" spans="2:14" x14ac:dyDescent="0.25">
      <c r="C59" s="262" t="s">
        <v>7</v>
      </c>
      <c r="D59" s="265" t="s">
        <v>131</v>
      </c>
      <c r="E59" s="97" t="s">
        <v>132</v>
      </c>
      <c r="F59" s="90">
        <v>2.2999999999999998</v>
      </c>
      <c r="G59" s="91"/>
      <c r="H59" s="52">
        <f>IF(ISBLANK(G59),"",G59-F59)</f>
        <v/>
      </c>
      <c r="I59" s="92" t="str">
        <f>IF(ISBLANK(G59),"",IF(AND(H59&lt;=1,H59&gt;=-1),"PASS","FAIL"))</f>
        <v/>
      </c>
      <c r="J59" s="45"/>
      <c r="K59" s="45"/>
    </row>
    <row r="60" spans="2:14" x14ac:dyDescent="0.25">
      <c r="C60" s="263"/>
      <c r="D60" s="266"/>
      <c r="E60" s="98" t="s">
        <v>133</v>
      </c>
      <c r="F60" s="60">
        <v>0.1</v>
      </c>
      <c r="G60" s="64"/>
      <c r="H60" s="53">
        <f t="shared" ref="H60:H74" si="6">IF(ISBLANK(G60),"",G60-F60)</f>
        <v/>
      </c>
      <c r="I60" s="93" t="str">
        <f t="shared" ref="I60:I74" si="7">IF(ISBLANK(G60),"",IF(AND(H60&lt;=1,H60&gt;=-1),"PASS","FAIL"))</f>
        <v/>
      </c>
      <c r="J60" s="45"/>
      <c r="K60" s="45"/>
    </row>
    <row r="61" spans="2:14" x14ac:dyDescent="0.25">
      <c r="C61" s="263"/>
      <c r="D61" s="266" t="s">
        <v>134</v>
      </c>
      <c r="E61" s="98" t="s">
        <v>132</v>
      </c>
      <c r="F61" s="60">
        <v>1.9</v>
      </c>
      <c r="G61" s="64"/>
      <c r="H61" s="53">
        <f t="shared" si="6"/>
        <v/>
      </c>
      <c r="I61" s="93" t="str">
        <f t="shared" si="7"/>
        <v/>
      </c>
      <c r="J61" s="45"/>
      <c r="K61" s="45"/>
    </row>
    <row r="62" spans="2:14" ht="16.5" thickBot="1" x14ac:dyDescent="0.3">
      <c r="C62" s="264"/>
      <c r="D62" s="267"/>
      <c r="E62" s="99" t="s">
        <v>133</v>
      </c>
      <c r="F62" s="94">
        <v>0.1</v>
      </c>
      <c r="G62" s="95"/>
      <c r="H62" s="54">
        <f t="shared" si="6"/>
        <v/>
      </c>
      <c r="I62" s="96" t="str">
        <f t="shared" si="7"/>
        <v/>
      </c>
      <c r="J62" s="45"/>
      <c r="K62" s="45"/>
    </row>
    <row r="63" spans="2:14" x14ac:dyDescent="0.25">
      <c r="C63" s="262" t="s">
        <v>8</v>
      </c>
      <c r="D63" s="265" t="s">
        <v>131</v>
      </c>
      <c r="E63" s="97" t="s">
        <v>132</v>
      </c>
      <c r="F63" s="90">
        <v>1.8</v>
      </c>
      <c r="G63" s="91"/>
      <c r="H63" s="52">
        <f t="shared" si="6"/>
        <v/>
      </c>
      <c r="I63" s="92" t="str">
        <f t="shared" si="7"/>
        <v/>
      </c>
      <c r="J63" s="45"/>
      <c r="K63" s="45"/>
    </row>
    <row r="64" spans="2:14" x14ac:dyDescent="0.25">
      <c r="C64" s="263"/>
      <c r="D64" s="266"/>
      <c r="E64" s="98" t="s">
        <v>133</v>
      </c>
      <c r="F64" s="60">
        <v>0.3</v>
      </c>
      <c r="G64" s="64"/>
      <c r="H64" s="53">
        <f t="shared" si="6"/>
        <v/>
      </c>
      <c r="I64" s="93" t="str">
        <f t="shared" si="7"/>
        <v/>
      </c>
      <c r="J64" s="45"/>
      <c r="K64" s="45"/>
    </row>
    <row r="65" spans="2:14" x14ac:dyDescent="0.25">
      <c r="C65" s="263"/>
      <c r="D65" s="266" t="s">
        <v>134</v>
      </c>
      <c r="E65" s="98" t="s">
        <v>132</v>
      </c>
      <c r="F65" s="60">
        <v>1.5</v>
      </c>
      <c r="G65" s="64"/>
      <c r="H65" s="53">
        <f t="shared" si="6"/>
        <v/>
      </c>
      <c r="I65" s="93" t="str">
        <f t="shared" si="7"/>
        <v/>
      </c>
      <c r="J65" s="45"/>
      <c r="K65" s="45"/>
    </row>
    <row r="66" spans="2:14" ht="16.5" thickBot="1" x14ac:dyDescent="0.3">
      <c r="C66" s="264"/>
      <c r="D66" s="267"/>
      <c r="E66" s="99" t="s">
        <v>133</v>
      </c>
      <c r="F66" s="94">
        <v>0</v>
      </c>
      <c r="G66" s="95"/>
      <c r="H66" s="54">
        <f t="shared" si="6"/>
        <v/>
      </c>
      <c r="I66" s="96" t="str">
        <f t="shared" si="7"/>
        <v/>
      </c>
      <c r="J66" s="45"/>
      <c r="K66" s="45"/>
    </row>
    <row r="67" spans="2:14" x14ac:dyDescent="0.25">
      <c r="C67" s="262" t="s">
        <v>91</v>
      </c>
      <c r="D67" s="265" t="s">
        <v>131</v>
      </c>
      <c r="E67" s="97" t="s">
        <v>132</v>
      </c>
      <c r="F67" s="90">
        <v>13</v>
      </c>
      <c r="G67" s="91"/>
      <c r="H67" s="52">
        <f t="shared" si="6"/>
        <v/>
      </c>
      <c r="I67" s="92" t="str">
        <f t="shared" si="7"/>
        <v/>
      </c>
      <c r="J67" s="45"/>
      <c r="K67" s="45"/>
    </row>
    <row r="68" spans="2:14" x14ac:dyDescent="0.25">
      <c r="C68" s="263"/>
      <c r="D68" s="266"/>
      <c r="E68" s="98" t="s">
        <v>133</v>
      </c>
      <c r="F68" s="60">
        <v>0.2</v>
      </c>
      <c r="G68" s="64"/>
      <c r="H68" s="53">
        <f t="shared" si="6"/>
        <v/>
      </c>
      <c r="I68" s="93" t="str">
        <f t="shared" si="7"/>
        <v/>
      </c>
      <c r="J68" s="45"/>
      <c r="K68" s="45"/>
      <c r="M68" s="3"/>
      <c r="N68" s="3"/>
    </row>
    <row r="69" spans="2:14" x14ac:dyDescent="0.25">
      <c r="C69" s="263"/>
      <c r="D69" s="266" t="s">
        <v>134</v>
      </c>
      <c r="E69" s="98" t="s">
        <v>132</v>
      </c>
      <c r="F69" s="60">
        <v>12.6</v>
      </c>
      <c r="G69" s="64"/>
      <c r="H69" s="53">
        <f t="shared" si="6"/>
        <v/>
      </c>
      <c r="I69" s="93" t="str">
        <f t="shared" si="7"/>
        <v/>
      </c>
      <c r="J69" s="45"/>
      <c r="K69" s="45"/>
      <c r="N69" s="3"/>
    </row>
    <row r="70" spans="2:14" ht="16.5" thickBot="1" x14ac:dyDescent="0.3">
      <c r="C70" s="264"/>
      <c r="D70" s="267"/>
      <c r="E70" s="99" t="s">
        <v>133</v>
      </c>
      <c r="F70" s="94">
        <v>-0.6</v>
      </c>
      <c r="G70" s="95"/>
      <c r="H70" s="54">
        <f t="shared" si="6"/>
        <v/>
      </c>
      <c r="I70" s="96" t="str">
        <f t="shared" si="7"/>
        <v/>
      </c>
      <c r="J70" s="45"/>
      <c r="K70" s="45"/>
    </row>
    <row r="71" spans="2:14" x14ac:dyDescent="0.25">
      <c r="C71" s="287" t="s">
        <v>92</v>
      </c>
      <c r="D71" s="288" t="s">
        <v>131</v>
      </c>
      <c r="E71" s="108" t="s">
        <v>132</v>
      </c>
      <c r="F71" s="87">
        <v>21.2</v>
      </c>
      <c r="G71" s="88"/>
      <c r="H71" s="89">
        <f t="shared" si="6"/>
        <v/>
      </c>
      <c r="I71" s="109" t="str">
        <f t="shared" si="7"/>
        <v/>
      </c>
      <c r="J71" s="45"/>
      <c r="K71" s="45"/>
    </row>
    <row r="72" spans="2:14" x14ac:dyDescent="0.25">
      <c r="C72" s="263"/>
      <c r="D72" s="266"/>
      <c r="E72" s="98" t="s">
        <v>133</v>
      </c>
      <c r="F72" s="60">
        <v>0.6</v>
      </c>
      <c r="G72" s="64"/>
      <c r="H72" s="53">
        <f t="shared" si="6"/>
        <v/>
      </c>
      <c r="I72" s="93" t="str">
        <f t="shared" si="7"/>
        <v/>
      </c>
      <c r="J72" s="45"/>
      <c r="K72" s="45"/>
    </row>
    <row r="73" spans="2:14" x14ac:dyDescent="0.25">
      <c r="C73" s="263"/>
      <c r="D73" s="266" t="s">
        <v>134</v>
      </c>
      <c r="E73" s="98" t="s">
        <v>132</v>
      </c>
      <c r="F73" s="60">
        <v>20.8</v>
      </c>
      <c r="G73" s="64"/>
      <c r="H73" s="53">
        <f t="shared" si="6"/>
        <v/>
      </c>
      <c r="I73" s="93" t="str">
        <f t="shared" si="7"/>
        <v/>
      </c>
      <c r="J73" s="45"/>
      <c r="K73" s="45"/>
    </row>
    <row r="74" spans="2:14" ht="16.5" thickBot="1" x14ac:dyDescent="0.3">
      <c r="C74" s="264"/>
      <c r="D74" s="267"/>
      <c r="E74" s="99" t="s">
        <v>133</v>
      </c>
      <c r="F74" s="94">
        <v>-0.5</v>
      </c>
      <c r="G74" s="95"/>
      <c r="H74" s="54">
        <f t="shared" si="6"/>
        <v/>
      </c>
      <c r="I74" s="96" t="str">
        <f t="shared" si="7"/>
        <v/>
      </c>
      <c r="J74" s="45"/>
      <c r="K74" s="45"/>
    </row>
    <row r="75" spans="2:14" x14ac:dyDescent="0.25">
      <c r="C75" s="211"/>
      <c r="D75" s="45"/>
      <c r="E75" s="45"/>
      <c r="F75" s="45"/>
      <c r="G75" s="45"/>
      <c r="H75" s="45"/>
      <c r="I75" s="45"/>
      <c r="J75" s="45"/>
      <c r="K75" s="45"/>
    </row>
    <row r="76" spans="2:14" ht="16.5" thickBot="1" x14ac:dyDescent="0.3">
      <c r="B76" s="3" t="s">
        <v>23</v>
      </c>
      <c r="C76" s="3"/>
      <c r="E76" s="6"/>
      <c r="F76" s="209"/>
      <c r="G76" s="2"/>
      <c r="H76" s="2"/>
      <c r="I76" s="2"/>
      <c r="J76" s="2"/>
      <c r="L76" s="2"/>
      <c r="M76" s="35"/>
      <c r="N76" s="35"/>
    </row>
    <row r="77" spans="2:14" x14ac:dyDescent="0.25">
      <c r="B77" s="279"/>
      <c r="C77" s="280"/>
      <c r="D77" s="280"/>
      <c r="E77" s="280"/>
      <c r="F77" s="280"/>
      <c r="G77" s="280"/>
      <c r="H77" s="280"/>
      <c r="I77" s="280"/>
      <c r="J77" s="280"/>
      <c r="K77" s="281"/>
      <c r="L77" s="110"/>
      <c r="M77" s="35"/>
      <c r="N77" s="35"/>
    </row>
    <row r="78" spans="2:14" x14ac:dyDescent="0.25">
      <c r="B78" s="282"/>
      <c r="C78" s="246"/>
      <c r="D78" s="246"/>
      <c r="E78" s="246"/>
      <c r="F78" s="246"/>
      <c r="G78" s="246"/>
      <c r="H78" s="246"/>
      <c r="I78" s="246"/>
      <c r="J78" s="246"/>
      <c r="K78" s="283"/>
      <c r="L78" s="110"/>
    </row>
    <row r="79" spans="2:14" ht="16.5" thickBot="1" x14ac:dyDescent="0.3">
      <c r="B79" s="284"/>
      <c r="C79" s="285"/>
      <c r="D79" s="285"/>
      <c r="E79" s="285"/>
      <c r="F79" s="285"/>
      <c r="G79" s="285"/>
      <c r="H79" s="285"/>
      <c r="I79" s="285"/>
      <c r="J79" s="285"/>
      <c r="K79" s="286"/>
      <c r="L79" s="110"/>
    </row>
  </sheetData>
  <mergeCells count="33">
    <mergeCell ref="B77:K79"/>
    <mergeCell ref="C67:C70"/>
    <mergeCell ref="D67:D68"/>
    <mergeCell ref="D69:D70"/>
    <mergeCell ref="C71:C74"/>
    <mergeCell ref="D71:D72"/>
    <mergeCell ref="D73:D74"/>
    <mergeCell ref="C63:C66"/>
    <mergeCell ref="D63:D64"/>
    <mergeCell ref="D65:D66"/>
    <mergeCell ref="D31:F31"/>
    <mergeCell ref="G31:I31"/>
    <mergeCell ref="C39:J39"/>
    <mergeCell ref="D41:E41"/>
    <mergeCell ref="C48:I48"/>
    <mergeCell ref="D49:E49"/>
    <mergeCell ref="C57:J57"/>
    <mergeCell ref="C58:E58"/>
    <mergeCell ref="C59:C62"/>
    <mergeCell ref="D59:D60"/>
    <mergeCell ref="D61:D62"/>
    <mergeCell ref="C30:J30"/>
    <mergeCell ref="A1:L1"/>
    <mergeCell ref="G3:J3"/>
    <mergeCell ref="M3:R3"/>
    <mergeCell ref="M4:R4"/>
    <mergeCell ref="C5:G5"/>
    <mergeCell ref="M5:R5"/>
    <mergeCell ref="C6:J6"/>
    <mergeCell ref="D22:E22"/>
    <mergeCell ref="F22:G22"/>
    <mergeCell ref="H22:I22"/>
    <mergeCell ref="C29:G29"/>
  </mergeCells>
  <conditionalFormatting sqref="I10 J24:J27 K33:K36 G43:G46 G51:G54 I59:I74">
    <cfRule type="cellIs" dxfId="22" priority="1" operator="equal">
      <formula>"FAIL"</formula>
    </cfRule>
  </conditionalFormatting>
  <printOptions horizontalCentered="1"/>
  <pageMargins left="0.25" right="0.25" top="0.25" bottom="0.25" header="0.05" footer="0.05"/>
  <pageSetup scale="58" orientation="portrait" r:id="rId1"/>
  <headerFooter alignWithMargins="0">
    <oddFooter xml:space="preserve">&amp;L&amp;F&amp;D&amp;ACRL/DK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pageSetUpPr fitToPage="1"/>
  </sheetPr>
  <dimension ref="A1:V86"/>
  <sheetViews>
    <sheetView topLeftCell="A61" zoomScale="90" zoomScaleNormal="90" workbookViewId="0">
      <selection activeCell="H77" sqref="H77"/>
    </sheetView>
  </sheetViews>
  <sheetFormatPr defaultRowHeight="15.75" x14ac:dyDescent="0.25"/>
  <cols>
    <col min="1" max="1" width="9.140625" style="1"/>
    <col min="2" max="2" width="15.140625" style="1" customWidth="1"/>
    <col min="3" max="3" width="12" style="1" customWidth="1"/>
    <col min="4" max="4" width="9.85546875" style="1" customWidth="1"/>
    <col min="5" max="5" width="10" style="1" customWidth="1"/>
    <col min="6" max="6" width="10.28515625" style="1" customWidth="1"/>
    <col min="7" max="7" width="10.140625" style="1" customWidth="1"/>
    <col min="8" max="8" width="11.42578125" style="1" customWidth="1"/>
    <col min="9" max="9" width="14" style="1" customWidth="1"/>
    <col min="10" max="16384" width="9.140625" style="1"/>
  </cols>
  <sheetData>
    <row r="1" spans="1:18" x14ac:dyDescent="0.25">
      <c r="A1" s="226" t="s">
        <v>202</v>
      </c>
      <c r="B1" s="226"/>
      <c r="C1" s="226"/>
      <c r="D1" s="226"/>
      <c r="E1" s="226"/>
      <c r="F1" s="226"/>
      <c r="G1" s="226"/>
      <c r="H1" s="226"/>
      <c r="I1" s="226"/>
      <c r="J1" s="226"/>
      <c r="K1" s="226"/>
      <c r="L1" s="226"/>
    </row>
    <row r="3" spans="1:18" x14ac:dyDescent="0.25">
      <c r="B3" s="3" t="s">
        <v>2</v>
      </c>
      <c r="C3" s="162"/>
      <c r="F3" s="24"/>
      <c r="G3" s="228"/>
      <c r="H3" s="229"/>
      <c r="I3" s="229"/>
      <c r="J3" s="230"/>
    </row>
    <row r="11" spans="1:18" ht="11.25" customHeight="1" x14ac:dyDescent="0.25"/>
    <row r="12" spans="1:18" x14ac:dyDescent="0.25">
      <c r="A12" s="21"/>
      <c r="B12" s="22" t="s">
        <v>148</v>
      </c>
      <c r="C12" s="22"/>
      <c r="D12" s="22"/>
      <c r="E12" s="22"/>
      <c r="F12" s="22"/>
      <c r="G12" s="11"/>
      <c r="H12" s="11"/>
      <c r="I12" s="11"/>
      <c r="J12" s="11"/>
      <c r="K12" s="11"/>
      <c r="L12" s="11"/>
      <c r="M12" s="11"/>
      <c r="N12" s="11"/>
      <c r="O12" s="11"/>
    </row>
    <row r="13" spans="1:18" ht="15.75" customHeight="1" x14ac:dyDescent="0.25">
      <c r="A13" s="21"/>
      <c r="B13" s="227" t="s">
        <v>136</v>
      </c>
      <c r="C13" s="227"/>
      <c r="D13" s="227"/>
      <c r="E13" s="227"/>
      <c r="F13" s="17"/>
      <c r="G13" s="17"/>
      <c r="H13" s="17"/>
      <c r="I13" s="17"/>
      <c r="J13" s="17"/>
      <c r="K13" s="17"/>
      <c r="L13" s="3" t="s">
        <v>94</v>
      </c>
      <c r="M13" s="17"/>
      <c r="N13" s="17"/>
      <c r="O13" s="126"/>
      <c r="P13" s="126"/>
      <c r="Q13" s="126"/>
      <c r="R13" s="126"/>
    </row>
    <row r="14" spans="1:18" x14ac:dyDescent="0.25">
      <c r="J14" s="126"/>
      <c r="K14" s="126"/>
      <c r="L14" s="126"/>
      <c r="M14" s="126"/>
      <c r="N14" s="126"/>
      <c r="O14" s="126"/>
      <c r="P14" s="126"/>
      <c r="Q14" s="126"/>
      <c r="R14" s="126"/>
    </row>
    <row r="15" spans="1:18" x14ac:dyDescent="0.25">
      <c r="J15" s="126"/>
      <c r="K15" s="126"/>
      <c r="L15" s="126"/>
      <c r="M15" s="126"/>
      <c r="N15" s="126"/>
      <c r="O15" s="126"/>
      <c r="P15" s="126"/>
      <c r="Q15" s="126"/>
      <c r="R15" s="126"/>
    </row>
    <row r="16" spans="1:18" x14ac:dyDescent="0.25">
      <c r="J16" s="126"/>
      <c r="K16" s="126"/>
      <c r="L16" s="126"/>
      <c r="M16" s="126"/>
      <c r="N16" s="126"/>
      <c r="O16" s="126"/>
      <c r="P16" s="126"/>
      <c r="Q16" s="126"/>
      <c r="R16" s="126"/>
    </row>
    <row r="17" spans="1:18" x14ac:dyDescent="0.25">
      <c r="J17" s="126"/>
      <c r="K17" s="126"/>
      <c r="L17" s="126"/>
      <c r="M17" s="126"/>
      <c r="N17" s="126"/>
      <c r="O17" s="126"/>
      <c r="P17" s="126"/>
      <c r="Q17" s="126"/>
      <c r="R17" s="126"/>
    </row>
    <row r="18" spans="1:18" x14ac:dyDescent="0.25">
      <c r="J18" s="126"/>
      <c r="K18" s="126"/>
      <c r="L18" s="126"/>
      <c r="M18" s="126"/>
      <c r="N18" s="126"/>
      <c r="O18" s="126"/>
      <c r="P18" s="126"/>
      <c r="Q18" s="126"/>
      <c r="R18" s="126"/>
    </row>
    <row r="19" spans="1:18" x14ac:dyDescent="0.25">
      <c r="J19" s="126"/>
      <c r="K19" s="126"/>
      <c r="L19" s="126"/>
      <c r="M19" s="126"/>
      <c r="N19" s="126"/>
      <c r="O19" s="126"/>
      <c r="P19" s="126"/>
      <c r="Q19" s="126"/>
      <c r="R19" s="126"/>
    </row>
    <row r="20" spans="1:18" x14ac:dyDescent="0.25">
      <c r="B20" s="126"/>
      <c r="C20" s="126"/>
      <c r="D20" s="126"/>
      <c r="E20" s="126"/>
      <c r="F20" s="126"/>
      <c r="G20" s="126"/>
      <c r="H20" s="126"/>
      <c r="I20" s="126"/>
      <c r="J20" s="126"/>
      <c r="K20" s="126"/>
      <c r="L20" s="126"/>
      <c r="M20" s="126"/>
      <c r="N20" s="126"/>
      <c r="O20" s="126"/>
      <c r="P20" s="126"/>
      <c r="Q20" s="126"/>
      <c r="R20" s="126"/>
    </row>
    <row r="21" spans="1:18" x14ac:dyDescent="0.25">
      <c r="E21" s="126"/>
      <c r="F21" s="126"/>
      <c r="G21" s="126"/>
      <c r="H21" s="126"/>
      <c r="I21" s="126"/>
      <c r="J21" s="126"/>
      <c r="K21" s="126"/>
      <c r="L21" s="126"/>
      <c r="M21" s="126"/>
      <c r="N21" s="126"/>
      <c r="O21" s="126"/>
      <c r="P21" s="126"/>
      <c r="Q21" s="126"/>
      <c r="R21" s="126"/>
    </row>
    <row r="22" spans="1:18" x14ac:dyDescent="0.25">
      <c r="B22" s="126"/>
      <c r="C22" s="126"/>
      <c r="D22" s="126"/>
      <c r="E22" s="126"/>
      <c r="F22" s="126"/>
      <c r="G22" s="126"/>
      <c r="H22" s="126"/>
      <c r="I22" s="126"/>
      <c r="J22" s="126"/>
      <c r="K22" s="126"/>
      <c r="L22" s="126"/>
      <c r="M22" s="126"/>
      <c r="N22" s="126"/>
      <c r="O22" s="126"/>
      <c r="P22" s="126"/>
      <c r="Q22" s="126"/>
      <c r="R22" s="126"/>
    </row>
    <row r="23" spans="1:18" x14ac:dyDescent="0.25">
      <c r="B23" s="126"/>
      <c r="C23" s="126"/>
      <c r="D23" s="126"/>
      <c r="E23" s="126"/>
      <c r="F23" s="126"/>
      <c r="G23" s="126"/>
      <c r="H23" s="126"/>
      <c r="I23" s="126"/>
      <c r="J23" s="126"/>
      <c r="K23" s="126"/>
      <c r="L23" s="126"/>
      <c r="M23" s="126"/>
      <c r="N23" s="126"/>
      <c r="O23" s="126"/>
      <c r="P23" s="126"/>
      <c r="Q23" s="126"/>
      <c r="R23" s="126"/>
    </row>
    <row r="24" spans="1:18" x14ac:dyDescent="0.25">
      <c r="B24" s="126"/>
      <c r="C24" s="126"/>
      <c r="D24" s="126"/>
      <c r="E24" s="126"/>
      <c r="F24" s="126"/>
      <c r="G24" s="126"/>
      <c r="H24" s="126"/>
      <c r="I24" s="126"/>
      <c r="J24" s="126"/>
      <c r="K24" s="126"/>
      <c r="L24" s="126"/>
      <c r="M24" s="126"/>
      <c r="N24" s="126"/>
      <c r="O24" s="126"/>
      <c r="P24" s="126"/>
      <c r="Q24" s="126"/>
      <c r="R24" s="126"/>
    </row>
    <row r="25" spans="1:18" x14ac:dyDescent="0.25">
      <c r="C25" s="23"/>
      <c r="E25" s="127" t="s">
        <v>12</v>
      </c>
      <c r="F25" s="127" t="s">
        <v>107</v>
      </c>
      <c r="G25" s="134"/>
      <c r="H25" s="126"/>
      <c r="I25" s="126"/>
      <c r="J25" s="126"/>
      <c r="K25" s="126"/>
      <c r="L25" s="126"/>
      <c r="M25" s="126"/>
      <c r="N25" s="126"/>
      <c r="O25" s="126"/>
      <c r="P25" s="126"/>
      <c r="Q25" s="126"/>
      <c r="R25" s="126"/>
    </row>
    <row r="26" spans="1:18" x14ac:dyDescent="0.25">
      <c r="B26" s="292" t="s">
        <v>139</v>
      </c>
      <c r="C26" s="293" t="s">
        <v>137</v>
      </c>
      <c r="D26" s="293"/>
      <c r="E26" s="128">
        <v>9.8800000000000008</v>
      </c>
      <c r="F26" s="217"/>
      <c r="G26" s="129">
        <f>IF(ISBLANK(F26),"",IF(AND(F26&gt;=9.78,F26&lt;=9.98),"PASS","FAIL"))</f>
        <v/>
      </c>
      <c r="H26" s="130"/>
      <c r="I26" s="130"/>
      <c r="J26" s="126"/>
      <c r="K26" s="126"/>
      <c r="L26" s="126"/>
      <c r="M26" s="126"/>
      <c r="N26" s="126"/>
      <c r="O26" s="126"/>
      <c r="P26" s="126"/>
      <c r="Q26" s="126"/>
      <c r="R26" s="126"/>
    </row>
    <row r="27" spans="1:18" x14ac:dyDescent="0.25">
      <c r="B27" s="292"/>
      <c r="C27" s="293" t="s">
        <v>138</v>
      </c>
      <c r="D27" s="293"/>
      <c r="E27" s="128">
        <v>9.9700000000000006</v>
      </c>
      <c r="F27" s="217"/>
      <c r="G27" s="129">
        <f>IF(ISBLANK(F27),"",IF(AND(F27&gt;=9.87,F27&lt;=10.07),"PASS","FAIL"))</f>
        <v/>
      </c>
      <c r="H27" s="126"/>
      <c r="I27" s="126"/>
      <c r="J27" s="126"/>
      <c r="K27" s="126"/>
      <c r="L27" s="126"/>
      <c r="M27" s="126"/>
      <c r="N27" s="126"/>
      <c r="O27" s="126"/>
      <c r="P27" s="126"/>
      <c r="Q27" s="126"/>
      <c r="R27" s="126"/>
    </row>
    <row r="28" spans="1:18" ht="6" customHeight="1" x14ac:dyDescent="0.25">
      <c r="B28" s="131"/>
      <c r="C28" s="125"/>
      <c r="D28" s="11"/>
      <c r="E28" s="130"/>
      <c r="F28" s="218"/>
      <c r="G28" s="126"/>
      <c r="H28" s="126"/>
      <c r="I28" s="126"/>
      <c r="J28" s="126"/>
      <c r="K28" s="126"/>
      <c r="L28" s="126"/>
      <c r="M28" s="126"/>
      <c r="N28" s="126"/>
      <c r="O28" s="126"/>
      <c r="P28" s="126"/>
      <c r="Q28" s="126"/>
      <c r="R28" s="126"/>
    </row>
    <row r="29" spans="1:18" x14ac:dyDescent="0.25">
      <c r="B29" s="292" t="s">
        <v>140</v>
      </c>
      <c r="C29" s="293" t="s">
        <v>137</v>
      </c>
      <c r="D29" s="293"/>
      <c r="E29" s="128">
        <v>14.87</v>
      </c>
      <c r="F29" s="217"/>
      <c r="G29" s="129">
        <f>IF(ISBLANK(F29),"",IF(AND(F29&gt;=14.75,F29&lt;=14.95),"PASS","FAIL"))</f>
        <v/>
      </c>
      <c r="H29" s="126"/>
      <c r="I29" s="126"/>
      <c r="J29" s="130"/>
      <c r="K29" s="130"/>
      <c r="L29" s="130"/>
      <c r="M29" s="130"/>
      <c r="N29" s="130"/>
      <c r="O29" s="126"/>
      <c r="P29" s="126"/>
      <c r="Q29" s="126"/>
      <c r="R29" s="126"/>
    </row>
    <row r="30" spans="1:18" x14ac:dyDescent="0.25">
      <c r="B30" s="292"/>
      <c r="C30" s="293" t="s">
        <v>138</v>
      </c>
      <c r="D30" s="293"/>
      <c r="E30" s="128">
        <v>15.07</v>
      </c>
      <c r="F30" s="217"/>
      <c r="G30" s="129">
        <f>IF(ISBLANK(F30),"",IF(AND(F30&gt;=14.91,F30&lt;=15.11),"PASS","FAIL"))</f>
        <v/>
      </c>
      <c r="H30" s="126"/>
      <c r="I30" s="126"/>
    </row>
    <row r="31" spans="1:18" x14ac:dyDescent="0.25">
      <c r="B31" s="33"/>
      <c r="C31" s="130"/>
      <c r="D31" s="130"/>
      <c r="E31" s="130"/>
      <c r="F31" s="130"/>
      <c r="G31" s="130"/>
      <c r="H31" s="130"/>
      <c r="I31" s="130"/>
    </row>
    <row r="32" spans="1:18" x14ac:dyDescent="0.25">
      <c r="A32" s="21" t="s">
        <v>154</v>
      </c>
      <c r="B32" s="22" t="s">
        <v>149</v>
      </c>
      <c r="C32" s="22"/>
      <c r="D32" s="22"/>
      <c r="E32" s="22"/>
      <c r="F32" s="22"/>
      <c r="G32" s="11"/>
      <c r="H32" s="11"/>
      <c r="I32" s="11"/>
      <c r="J32" s="11"/>
      <c r="K32" s="11"/>
      <c r="L32" s="11"/>
      <c r="M32" s="11"/>
      <c r="N32" s="11"/>
    </row>
    <row r="33" spans="1:14" ht="15.75" customHeight="1" x14ac:dyDescent="0.25">
      <c r="A33" s="21"/>
      <c r="B33" s="227" t="s">
        <v>136</v>
      </c>
      <c r="C33" s="227"/>
      <c r="D33" s="227"/>
      <c r="E33" s="17"/>
      <c r="F33" s="17"/>
      <c r="G33" s="17"/>
      <c r="H33" s="17"/>
      <c r="I33" s="17"/>
      <c r="J33" s="17"/>
      <c r="K33" s="17"/>
      <c r="L33" s="23" t="s">
        <v>135</v>
      </c>
      <c r="M33" s="17"/>
      <c r="N33" s="17"/>
    </row>
    <row r="48" spans="1:14" x14ac:dyDescent="0.25">
      <c r="N48" s="198"/>
    </row>
    <row r="49" spans="1:14" x14ac:dyDescent="0.25">
      <c r="A49" s="2" t="s">
        <v>3</v>
      </c>
      <c r="E49" s="127" t="s">
        <v>12</v>
      </c>
      <c r="F49" s="127" t="s">
        <v>107</v>
      </c>
      <c r="G49" s="31"/>
      <c r="I49" s="199"/>
      <c r="J49" s="199"/>
      <c r="K49" s="199"/>
      <c r="L49" s="200"/>
      <c r="M49" s="200"/>
      <c r="N49" s="199"/>
    </row>
    <row r="50" spans="1:14" x14ac:dyDescent="0.25">
      <c r="B50" s="294" t="s">
        <v>146</v>
      </c>
      <c r="C50" s="289" t="s">
        <v>141</v>
      </c>
      <c r="D50" s="290"/>
      <c r="E50" s="163">
        <v>0</v>
      </c>
      <c r="F50" s="217"/>
      <c r="G50" s="129">
        <f>IF(ISBLANK(F50),"",IF(ABS(F50-E50)&lt;1,"PASS","FAIL"))</f>
        <v/>
      </c>
      <c r="H50" s="23"/>
      <c r="I50" s="221"/>
      <c r="J50" s="204"/>
      <c r="K50" s="204"/>
      <c r="L50" s="201"/>
      <c r="M50" s="202"/>
      <c r="N50" s="203"/>
    </row>
    <row r="51" spans="1:14" x14ac:dyDescent="0.25">
      <c r="B51" s="295"/>
      <c r="C51" s="289" t="s">
        <v>142</v>
      </c>
      <c r="D51" s="290"/>
      <c r="E51" s="163">
        <v>0</v>
      </c>
      <c r="F51" s="217"/>
      <c r="G51" s="129">
        <f>IF(ISBLANK(F51),"",IF(ABS(F51-E51)&lt;0.5,"PASS","FAIL"))</f>
        <v/>
      </c>
      <c r="H51" s="23"/>
      <c r="I51" s="200"/>
      <c r="J51" s="204"/>
      <c r="K51" s="204"/>
      <c r="L51" s="201"/>
      <c r="M51" s="202"/>
      <c r="N51" s="203"/>
    </row>
    <row r="52" spans="1:14" x14ac:dyDescent="0.25">
      <c r="B52" s="295"/>
      <c r="C52" s="289" t="s">
        <v>144</v>
      </c>
      <c r="D52" s="290"/>
      <c r="E52" s="163">
        <v>0</v>
      </c>
      <c r="F52" s="217"/>
      <c r="G52" s="129">
        <f>IF(ISBLANK(F52),"",IF(ABS(F52-E52)&lt;0.2,"PASS","FAIL"))</f>
        <v/>
      </c>
      <c r="H52" s="23"/>
      <c r="I52" s="200"/>
      <c r="J52" s="204"/>
      <c r="K52" s="204"/>
      <c r="L52" s="201"/>
      <c r="M52" s="202"/>
      <c r="N52" s="203"/>
    </row>
    <row r="53" spans="1:14" x14ac:dyDescent="0.25">
      <c r="B53" s="295"/>
      <c r="C53" s="289" t="s">
        <v>145</v>
      </c>
      <c r="D53" s="290"/>
      <c r="E53" s="163">
        <v>33</v>
      </c>
      <c r="F53" s="217"/>
      <c r="G53" s="129">
        <f>IF(ISBLANK(F53),"",IF(ABS(F53-E53)&lt;3,"PASS","FAIL"))</f>
        <v/>
      </c>
      <c r="H53" s="23"/>
      <c r="I53" s="221"/>
      <c r="J53" s="204"/>
      <c r="K53" s="204"/>
      <c r="L53" s="201"/>
      <c r="M53" s="202"/>
      <c r="N53" s="203"/>
    </row>
    <row r="54" spans="1:14" x14ac:dyDescent="0.25">
      <c r="B54" s="296"/>
      <c r="C54" s="289" t="s">
        <v>143</v>
      </c>
      <c r="D54" s="290"/>
      <c r="E54" s="163">
        <v>-0.7</v>
      </c>
      <c r="F54" s="217"/>
      <c r="G54" s="129">
        <f>IF(ISBLANK(F54),"",IF(ABS(F54-E54)&lt;1,"PASS","FAIL"))</f>
        <v/>
      </c>
      <c r="H54" s="23"/>
      <c r="I54" s="200"/>
      <c r="J54" s="204"/>
      <c r="K54" s="204"/>
      <c r="L54" s="201"/>
      <c r="M54" s="202"/>
      <c r="N54" s="203"/>
    </row>
    <row r="55" spans="1:14" x14ac:dyDescent="0.25">
      <c r="B55" s="33"/>
      <c r="C55" s="11"/>
      <c r="D55" s="11"/>
      <c r="H55" s="23"/>
    </row>
    <row r="56" spans="1:14" x14ac:dyDescent="0.25">
      <c r="A56" s="2" t="s">
        <v>4</v>
      </c>
      <c r="E56" s="127" t="s">
        <v>12</v>
      </c>
      <c r="F56" s="127" t="s">
        <v>107</v>
      </c>
      <c r="G56" s="31"/>
    </row>
    <row r="57" spans="1:14" x14ac:dyDescent="0.25">
      <c r="B57" s="294" t="s">
        <v>147</v>
      </c>
      <c r="C57" s="289" t="s">
        <v>141</v>
      </c>
      <c r="D57" s="290"/>
      <c r="E57" s="187"/>
      <c r="F57" s="188"/>
      <c r="G57" s="187"/>
    </row>
    <row r="58" spans="1:14" x14ac:dyDescent="0.25">
      <c r="B58" s="295"/>
      <c r="C58" s="289" t="s">
        <v>142</v>
      </c>
      <c r="D58" s="290"/>
      <c r="E58" s="187"/>
      <c r="F58" s="188"/>
      <c r="G58" s="187"/>
    </row>
    <row r="59" spans="1:14" x14ac:dyDescent="0.25">
      <c r="B59" s="295"/>
      <c r="C59" s="289" t="s">
        <v>144</v>
      </c>
      <c r="D59" s="290"/>
      <c r="E59" s="187"/>
      <c r="F59" s="188"/>
      <c r="G59" s="187"/>
    </row>
    <row r="60" spans="1:14" x14ac:dyDescent="0.25">
      <c r="B60" s="295"/>
      <c r="C60" s="289" t="s">
        <v>145</v>
      </c>
      <c r="D60" s="290"/>
      <c r="E60" s="187"/>
      <c r="F60" s="188"/>
      <c r="G60" s="187"/>
    </row>
    <row r="61" spans="1:14" x14ac:dyDescent="0.25">
      <c r="B61" s="296"/>
      <c r="C61" s="289" t="s">
        <v>143</v>
      </c>
      <c r="D61" s="290"/>
      <c r="E61" s="187"/>
      <c r="F61" s="188"/>
      <c r="G61" s="187"/>
    </row>
    <row r="63" spans="1:14" x14ac:dyDescent="0.25">
      <c r="A63" s="21" t="s">
        <v>155</v>
      </c>
      <c r="B63" s="22" t="s">
        <v>150</v>
      </c>
      <c r="C63" s="22"/>
      <c r="D63" s="22"/>
      <c r="E63" s="22"/>
      <c r="F63" s="22"/>
      <c r="G63" s="11"/>
      <c r="H63" s="11"/>
      <c r="I63" s="11"/>
      <c r="J63" s="11"/>
      <c r="K63" s="11"/>
      <c r="L63" s="11"/>
    </row>
    <row r="64" spans="1:14" ht="15.75" customHeight="1" x14ac:dyDescent="0.25">
      <c r="A64" s="21"/>
      <c r="B64" s="227" t="s">
        <v>136</v>
      </c>
      <c r="C64" s="227"/>
      <c r="D64" s="227"/>
      <c r="E64" s="17"/>
      <c r="F64" s="17"/>
      <c r="G64" s="17"/>
      <c r="H64" s="17"/>
      <c r="I64" s="17"/>
      <c r="J64" s="17"/>
      <c r="K64" s="17"/>
      <c r="L64" s="3" t="s">
        <v>151</v>
      </c>
    </row>
    <row r="66" spans="2:22" x14ac:dyDescent="0.25">
      <c r="E66" s="3"/>
      <c r="F66" s="3"/>
      <c r="G66" s="3"/>
      <c r="H66" s="3"/>
      <c r="I66" s="3"/>
    </row>
    <row r="73" spans="2:22" ht="16.5" customHeight="1" x14ac:dyDescent="0.25"/>
    <row r="74" spans="2:22" ht="16.5" customHeight="1" x14ac:dyDescent="0.25"/>
    <row r="75" spans="2:22" x14ac:dyDescent="0.25">
      <c r="C75" s="291" t="s">
        <v>245</v>
      </c>
      <c r="D75" s="291"/>
      <c r="E75" s="291"/>
      <c r="F75" s="291"/>
      <c r="S75" s="1" t="s">
        <v>245</v>
      </c>
    </row>
    <row r="76" spans="2:22" x14ac:dyDescent="0.25">
      <c r="B76" s="7"/>
      <c r="C76" s="27">
        <v>-4.5</v>
      </c>
      <c r="D76" s="27">
        <v>-1.5</v>
      </c>
      <c r="E76" s="27">
        <v>1.5</v>
      </c>
      <c r="F76" s="27">
        <v>4.5</v>
      </c>
      <c r="S76" s="1">
        <v>-5</v>
      </c>
      <c r="T76" s="1">
        <v>-1</v>
      </c>
      <c r="U76" s="1">
        <v>1</v>
      </c>
      <c r="V76" s="1">
        <v>5</v>
      </c>
    </row>
    <row r="77" spans="2:22" x14ac:dyDescent="0.25">
      <c r="B77" s="19" t="s">
        <v>192</v>
      </c>
      <c r="C77" s="219"/>
      <c r="D77" s="219"/>
      <c r="E77" s="219"/>
      <c r="F77" s="219"/>
      <c r="H77" s="205"/>
      <c r="I77" s="205"/>
      <c r="J77" s="205"/>
      <c r="K77" s="205"/>
      <c r="R77" s="1"/>
      <c r="S77" s="1"/>
      <c r="T77" s="1"/>
      <c r="U77" s="1"/>
      <c r="V77" s="1"/>
    </row>
    <row r="78" spans="2:22" x14ac:dyDescent="0.25">
      <c r="B78" s="19" t="s">
        <v>13</v>
      </c>
      <c r="C78" s="219"/>
      <c r="D78" s="219"/>
      <c r="E78" s="219"/>
      <c r="F78" s="219"/>
      <c r="R78" s="1"/>
      <c r="S78" s="1"/>
      <c r="T78" s="1"/>
      <c r="U78" s="1"/>
      <c r="V78" s="1"/>
    </row>
    <row r="79" spans="2:22" x14ac:dyDescent="0.25">
      <c r="B79" s="19" t="s">
        <v>14</v>
      </c>
      <c r="C79" s="132" t="str">
        <f>IF(OR(ISBLANK(C77),ISBLANK(C78)),"",C77/C78)</f>
        <v/>
      </c>
      <c r="D79" s="132" t="str">
        <f>IF(OR(ISBLANK(D77),ISBLANK(D78)),"",D77/D78)</f>
        <v/>
      </c>
      <c r="E79" s="132" t="str">
        <f>IF(OR(ISBLANK(E77),ISBLANK(E78)),"",E77/E78)</f>
        <v/>
      </c>
      <c r="F79" s="132" t="str">
        <f>IF(OR(ISBLANK(F77),ISBLANK(F78)),"",F77/F78)</f>
        <v/>
      </c>
      <c r="R79" s="1" t="s">
        <v>14</v>
      </c>
      <c r="S79" s="1">
        <f>IF(OR(ISBLANK(S77),ISBLANK(S78)),"",S77/S78)</f>
      </c>
      <c r="T79" s="1">
        <f>IF(OR(ISBLANK(T77),ISBLANK(T78)),"",T77/T78)</f>
      </c>
      <c r="U79" s="1">
        <f>IF(OR(ISBLANK(U77),ISBLANK(U78)),"",U77/U78)</f>
      </c>
      <c r="V79" s="1">
        <f>IF(OR(ISBLANK(V77),ISBLANK(V78)),"",V77/V78)</f>
      </c>
    </row>
    <row r="80" spans="2:22" x14ac:dyDescent="0.25">
      <c r="B80" s="19" t="s">
        <v>15</v>
      </c>
      <c r="C80" s="51" t="str">
        <f>IF(OR(ISBLANK(C77),ISBLANK(C78)),"",C79*100/AVERAGE($C$79:$F$79)-100)</f>
        <v/>
      </c>
      <c r="D80" s="51" t="str">
        <f>IF(OR(ISBLANK(D77),ISBLANK(D78)),"",D79*100/AVERAGE($C$79:$F$79)-100)</f>
        <v/>
      </c>
      <c r="E80" s="51" t="str">
        <f>IF(OR(ISBLANK(E77),ISBLANK(E78)),"",E79*100/AVERAGE($C$79:$F$79)-100)</f>
        <v/>
      </c>
      <c r="F80" s="51" t="str">
        <f>IF(OR(ISBLANK(F77),ISBLANK(F78)),"",F79*100/AVERAGE($C$79:$F$79)-100)</f>
        <v/>
      </c>
      <c r="R80" s="1" t="s">
        <v>15</v>
      </c>
      <c r="S80" s="1">
        <f>IF(OR(ISBLANK(S77),ISBLANK(S78)),"",S79*100/AVERAGE($S$79:$V$79)-100)</f>
      </c>
      <c r="T80" s="1">
        <f>IF(OR(ISBLANK(T77),ISBLANK(T78)),"",T79*100/AVERAGE($S$79:$V$79)-100)</f>
      </c>
      <c r="U80" s="1">
        <f>IF(OR(ISBLANK(U77),ISBLANK(U78)),"",U79*100/AVERAGE($S$79:$V$79)-100)</f>
      </c>
      <c r="V80" s="1">
        <f>IF(OR(ISBLANK(V77),ISBLANK(V78)),"",V79*100/AVERAGE($S$79:$V$79)-100)</f>
      </c>
    </row>
    <row r="81" spans="2:22" x14ac:dyDescent="0.25">
      <c r="B81" s="19" t="s">
        <v>16</v>
      </c>
      <c r="C81" s="133" t="str">
        <f>IF(OR(ISBLANK(C77),ISBLANK(C78)),"",IF(ABS(C80)&lt;=2.5,"PASS","FAIL"))</f>
        <v/>
      </c>
      <c r="D81" s="133" t="str">
        <f>IF(OR(ISBLANK(D77),ISBLANK(D78)),"",IF(ABS(D80)&lt;=2.5,"PASS","FAIL"))</f>
        <v/>
      </c>
      <c r="E81" s="133" t="str">
        <f>IF(OR(ISBLANK(E77),ISBLANK(E78)),"",IF(ABS(E80)&lt;=2.5,"PASS","FAIL"))</f>
        <v/>
      </c>
      <c r="F81" s="133" t="str">
        <f>IF(OR(ISBLANK(F77),ISBLANK(F78)),"",IF(ABS(F80)&lt;=2.5,"PASS","FAIL"))</f>
        <v/>
      </c>
      <c r="R81" s="1" t="s">
        <v>16</v>
      </c>
      <c r="S81" s="1">
        <f>IF(OR(ISBLANK(S77),ISBLANK(S78)),"",IF(ABS(S80)&lt;=2.5,"PASS","FAIL"))</f>
      </c>
      <c r="T81" s="1">
        <f>IF(OR(ISBLANK(T77),ISBLANK(T78)),"",IF(ABS(T80)&lt;=2.5,"PASS","FAIL"))</f>
      </c>
      <c r="U81" s="1">
        <f>IF(OR(ISBLANK(U77),ISBLANK(U78)),"",IF(ABS(U80)&lt;=2.5,"PASS","FAIL"))</f>
      </c>
      <c r="V81" s="1">
        <f>IF(OR(ISBLANK(V77),ISBLANK(V78)),"",IF(ABS(V80)&lt;=2.5,"PASS","FAIL"))</f>
      </c>
    </row>
    <row r="83" spans="2:22" ht="16.5" thickBot="1" x14ac:dyDescent="0.3">
      <c r="B83" s="3" t="s">
        <v>23</v>
      </c>
      <c r="C83" s="3"/>
      <c r="E83" s="6"/>
      <c r="F83" s="11"/>
      <c r="G83" s="2"/>
      <c r="H83" s="2"/>
      <c r="I83" s="2"/>
      <c r="J83" s="2"/>
    </row>
    <row r="84" spans="2:22" x14ac:dyDescent="0.25">
      <c r="B84" s="279"/>
      <c r="C84" s="280"/>
      <c r="D84" s="280"/>
      <c r="E84" s="280"/>
      <c r="F84" s="280"/>
      <c r="G84" s="280"/>
      <c r="H84" s="280"/>
      <c r="I84" s="280"/>
      <c r="J84" s="280"/>
      <c r="K84" s="281"/>
    </row>
    <row r="85" spans="2:22" x14ac:dyDescent="0.25">
      <c r="B85" s="282"/>
      <c r="C85" s="246"/>
      <c r="D85" s="246"/>
      <c r="E85" s="246"/>
      <c r="F85" s="246"/>
      <c r="G85" s="246"/>
      <c r="H85" s="246"/>
      <c r="I85" s="246"/>
      <c r="J85" s="246"/>
      <c r="K85" s="283"/>
    </row>
    <row r="86" spans="2:22" ht="16.5" thickBot="1" x14ac:dyDescent="0.3">
      <c r="B86" s="284"/>
      <c r="C86" s="285"/>
      <c r="D86" s="285"/>
      <c r="E86" s="285"/>
      <c r="F86" s="285"/>
      <c r="G86" s="285"/>
      <c r="H86" s="285"/>
      <c r="I86" s="285"/>
      <c r="J86" s="285"/>
      <c r="K86" s="286"/>
    </row>
  </sheetData>
  <mergeCells count="25">
    <mergeCell ref="A1:L1"/>
    <mergeCell ref="G3:J3"/>
    <mergeCell ref="B26:B27"/>
    <mergeCell ref="B64:D64"/>
    <mergeCell ref="C26:D26"/>
    <mergeCell ref="C27:D27"/>
    <mergeCell ref="C29:D29"/>
    <mergeCell ref="C30:D30"/>
    <mergeCell ref="B57:B61"/>
    <mergeCell ref="B29:B30"/>
    <mergeCell ref="B13:E13"/>
    <mergeCell ref="B33:D33"/>
    <mergeCell ref="B50:B54"/>
    <mergeCell ref="C50:D50"/>
    <mergeCell ref="C51:D51"/>
    <mergeCell ref="C52:D52"/>
    <mergeCell ref="C53:D53"/>
    <mergeCell ref="C54:D54"/>
    <mergeCell ref="B84:K86"/>
    <mergeCell ref="C57:D57"/>
    <mergeCell ref="C58:D58"/>
    <mergeCell ref="C59:D59"/>
    <mergeCell ref="C60:D60"/>
    <mergeCell ref="C61:D61"/>
    <mergeCell ref="C75:F75"/>
  </mergeCells>
  <conditionalFormatting sqref="A7 G26:G27 G29:G30 G50:G54 G57:G61 C81:F81">
    <cfRule type="cellIs" dxfId="21" priority="14" operator="equal">
      <formula>"FAIL"</formula>
    </cfRule>
  </conditionalFormatting>
  <conditionalFormatting sqref="N50:N54">
    <cfRule type="cellIs" dxfId="20" priority="13" operator="equal">
      <formula>"FAIL"</formula>
    </cfRule>
  </conditionalFormatting>
  <conditionalFormatting sqref="F50:F54">
    <cfRule type="cellIs" dxfId="19" priority="10" stopIfTrue="1" operator="equal">
      <formula>"FAIL"</formula>
    </cfRule>
    <cfRule type="cellIs" dxfId="18" priority="11" stopIfTrue="1" operator="equal">
      <formula>"PASS"</formula>
    </cfRule>
    <cfRule type="cellIs" dxfId="17" priority="12" operator="equal">
      <formula>"NYD"</formula>
    </cfRule>
  </conditionalFormatting>
  <conditionalFormatting sqref="F26:F30">
    <cfRule type="cellIs" dxfId="16" priority="7" stopIfTrue="1" operator="equal">
      <formula>"FAIL"</formula>
    </cfRule>
    <cfRule type="cellIs" dxfId="15" priority="8" stopIfTrue="1" operator="equal">
      <formula>"PASS"</formula>
    </cfRule>
    <cfRule type="cellIs" dxfId="14" priority="9" operator="equal">
      <formula>"NYD"</formula>
    </cfRule>
  </conditionalFormatting>
  <conditionalFormatting sqref="C78:F78">
    <cfRule type="cellIs" dxfId="13" priority="4" stopIfTrue="1" operator="equal">
      <formula>"FAIL"</formula>
    </cfRule>
    <cfRule type="cellIs" dxfId="12" priority="5" stopIfTrue="1" operator="equal">
      <formula>"PASS"</formula>
    </cfRule>
    <cfRule type="cellIs" dxfId="11" priority="6" operator="equal">
      <formula>"NYD"</formula>
    </cfRule>
  </conditionalFormatting>
  <conditionalFormatting sqref="C77:F77">
    <cfRule type="cellIs" dxfId="10" priority="1" stopIfTrue="1" operator="equal">
      <formula>"FAIL"</formula>
    </cfRule>
    <cfRule type="cellIs" dxfId="9" priority="2" stopIfTrue="1" operator="equal">
      <formula>"PASS"</formula>
    </cfRule>
    <cfRule type="cellIs" dxfId="8" priority="3" operator="equal">
      <formula>"NYD"</formula>
    </cfRule>
  </conditionalFormatting>
  <printOptions horizontalCentered="1"/>
  <pageMargins left="0.25" right="0.25" top="0.25" bottom="0.25" header="0.05" footer="0.05"/>
  <pageSetup scale="59" orientation="portrait"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R56"/>
  <sheetViews>
    <sheetView topLeftCell="A43" zoomScaleNormal="100" workbookViewId="0">
      <selection activeCell="L46" sqref="L46:L48"/>
    </sheetView>
  </sheetViews>
  <sheetFormatPr defaultRowHeight="15.75" x14ac:dyDescent="0.25"/>
  <cols>
    <col min="1" max="2" width="9.140625" style="1"/>
    <col min="3" max="3" width="11.28515625" style="1" bestFit="1" customWidth="1"/>
    <col min="4" max="4" width="11.5703125" style="1" customWidth="1"/>
    <col min="5" max="5" width="11" style="1" customWidth="1"/>
    <col min="6" max="7" width="9.140625" style="1"/>
    <col min="8" max="8" width="3.42578125" style="1" customWidth="1"/>
    <col min="9" max="10" width="9.140625" style="1"/>
    <col min="11" max="11" width="11.28515625" style="1" customWidth="1"/>
    <col min="12" max="12" width="11.7109375" style="1" customWidth="1"/>
    <col min="13" max="16384" width="9.140625" style="1"/>
  </cols>
  <sheetData>
    <row r="1" spans="1:18" x14ac:dyDescent="0.25">
      <c r="A1" s="226" t="s">
        <v>200</v>
      </c>
      <c r="B1" s="226"/>
      <c r="C1" s="226"/>
      <c r="D1" s="226"/>
      <c r="E1" s="226"/>
      <c r="F1" s="226"/>
      <c r="G1" s="226"/>
      <c r="H1" s="226"/>
      <c r="I1" s="226"/>
      <c r="J1" s="226"/>
      <c r="K1" s="226"/>
      <c r="L1" s="226"/>
    </row>
    <row r="2" spans="1:18" x14ac:dyDescent="0.25">
      <c r="A2" s="11"/>
      <c r="B2" s="11"/>
      <c r="C2" s="11"/>
      <c r="D2" s="11"/>
      <c r="E2" s="11"/>
      <c r="F2" s="11"/>
      <c r="G2" s="11"/>
      <c r="H2" s="11"/>
      <c r="I2" s="11"/>
      <c r="J2" s="11"/>
      <c r="K2" s="11"/>
      <c r="L2" s="11"/>
    </row>
    <row r="3" spans="1:18" x14ac:dyDescent="0.25">
      <c r="B3" s="3" t="s">
        <v>2</v>
      </c>
      <c r="C3" s="162"/>
      <c r="F3" s="24"/>
      <c r="G3" s="228"/>
      <c r="H3" s="229"/>
      <c r="I3" s="229"/>
      <c r="J3" s="230"/>
    </row>
    <row r="5" spans="1:18" x14ac:dyDescent="0.25">
      <c r="A5" s="21"/>
      <c r="B5" s="22" t="s">
        <v>201</v>
      </c>
      <c r="C5" s="22"/>
      <c r="D5" s="22"/>
      <c r="E5" s="22"/>
      <c r="F5" s="22"/>
      <c r="G5" s="11"/>
      <c r="H5" s="11"/>
      <c r="I5" s="11"/>
      <c r="J5" s="11"/>
      <c r="K5" s="11"/>
      <c r="L5" s="11"/>
      <c r="M5" s="11"/>
      <c r="N5" s="11"/>
      <c r="O5" s="11"/>
    </row>
    <row r="6" spans="1:18" ht="15.75" customHeight="1" x14ac:dyDescent="0.25">
      <c r="A6" s="21"/>
      <c r="B6" s="227" t="s">
        <v>136</v>
      </c>
      <c r="C6" s="227"/>
      <c r="D6" s="227"/>
      <c r="E6" s="227"/>
      <c r="F6" s="17"/>
      <c r="G6" s="17"/>
      <c r="H6" s="17"/>
      <c r="I6" s="17"/>
      <c r="J6" s="17"/>
      <c r="K6" s="17"/>
      <c r="M6" s="6" t="s">
        <v>191</v>
      </c>
      <c r="N6" s="6"/>
      <c r="O6" s="125"/>
      <c r="P6" s="126"/>
      <c r="Q6" s="126"/>
      <c r="R6" s="126"/>
    </row>
    <row r="10" spans="1:18" x14ac:dyDescent="0.25">
      <c r="A10" s="124"/>
      <c r="B10" s="124"/>
      <c r="C10" s="124"/>
      <c r="D10" s="124"/>
      <c r="E10" s="124"/>
      <c r="F10" s="124"/>
      <c r="G10" s="124"/>
      <c r="H10" s="124"/>
      <c r="I10" s="124"/>
      <c r="J10" s="124"/>
      <c r="K10" s="124"/>
      <c r="L10" s="124"/>
      <c r="M10" s="124"/>
      <c r="N10" s="124"/>
      <c r="O10" s="124"/>
    </row>
    <row r="31" spans="1:14" x14ac:dyDescent="0.25">
      <c r="A31" s="2"/>
      <c r="B31" s="3" t="s">
        <v>157</v>
      </c>
      <c r="I31" s="3" t="s">
        <v>158</v>
      </c>
    </row>
    <row r="32" spans="1:14" ht="31.5" customHeight="1" x14ac:dyDescent="0.25">
      <c r="B32" s="305" t="s">
        <v>156</v>
      </c>
      <c r="C32" s="111"/>
      <c r="D32" s="112" t="s">
        <v>160</v>
      </c>
      <c r="E32" s="113" t="s">
        <v>161</v>
      </c>
      <c r="F32" s="114" t="s">
        <v>162</v>
      </c>
      <c r="G32" s="29"/>
      <c r="I32" s="305" t="s">
        <v>159</v>
      </c>
      <c r="J32" s="111"/>
      <c r="K32" s="112" t="s">
        <v>160</v>
      </c>
      <c r="L32" s="113" t="s">
        <v>161</v>
      </c>
      <c r="M32" s="114" t="s">
        <v>162</v>
      </c>
      <c r="N32" s="29"/>
    </row>
    <row r="33" spans="2:18" x14ac:dyDescent="0.25">
      <c r="B33" s="305"/>
      <c r="C33" s="115" t="s">
        <v>17</v>
      </c>
      <c r="D33" s="116">
        <v>2</v>
      </c>
      <c r="E33" s="220"/>
      <c r="F33" s="117">
        <f t="shared" ref="F33:F38" si="0">IF(ISBLANK(E33),"",E33-D33)</f>
        <v/>
      </c>
      <c r="G33" s="118" t="str">
        <f t="shared" ref="G33:G38" si="1">IF(ISBLANK(E33),"",IF(AND(F33&gt;=-0.1,F33&lt;=0.1),"PASS","FAIL"))</f>
        <v/>
      </c>
      <c r="I33" s="305"/>
      <c r="J33" s="115" t="s">
        <v>17</v>
      </c>
      <c r="K33" s="119">
        <v>2</v>
      </c>
      <c r="L33" s="220"/>
      <c r="M33" s="117">
        <f t="shared" ref="M33:M38" si="2">IF(ISBLANK(L33),"",L33-K33)</f>
        <v/>
      </c>
      <c r="N33" s="118" t="str">
        <f t="shared" ref="N33:N38" si="3">IF(ISBLANK(L33),"",IF(AND(M33&gt;=-0.1,M33&lt;=0.1),"PASS","FAIL"))</f>
        <v/>
      </c>
    </row>
    <row r="34" spans="2:18" x14ac:dyDescent="0.25">
      <c r="B34" s="305"/>
      <c r="C34" s="115" t="s">
        <v>18</v>
      </c>
      <c r="D34" s="116">
        <v>2</v>
      </c>
      <c r="E34" s="220"/>
      <c r="F34" s="117">
        <f t="shared" si="0"/>
        <v/>
      </c>
      <c r="G34" s="118" t="str">
        <f t="shared" si="1"/>
        <v/>
      </c>
      <c r="I34" s="305"/>
      <c r="J34" s="115" t="s">
        <v>18</v>
      </c>
      <c r="K34" s="119">
        <v>2</v>
      </c>
      <c r="L34" s="220"/>
      <c r="M34" s="117">
        <f t="shared" si="2"/>
        <v/>
      </c>
      <c r="N34" s="118" t="str">
        <f t="shared" si="3"/>
        <v/>
      </c>
    </row>
    <row r="35" spans="2:18" x14ac:dyDescent="0.25">
      <c r="B35" s="305"/>
      <c r="C35" s="115" t="s">
        <v>19</v>
      </c>
      <c r="D35" s="116">
        <v>-2</v>
      </c>
      <c r="E35" s="220"/>
      <c r="F35" s="117">
        <f t="shared" si="0"/>
        <v/>
      </c>
      <c r="G35" s="118" t="str">
        <f t="shared" si="1"/>
        <v/>
      </c>
      <c r="I35" s="305"/>
      <c r="J35" s="115" t="s">
        <v>19</v>
      </c>
      <c r="K35" s="119">
        <v>-2</v>
      </c>
      <c r="L35" s="220"/>
      <c r="M35" s="117">
        <f t="shared" si="2"/>
        <v/>
      </c>
      <c r="N35" s="118" t="str">
        <f t="shared" si="3"/>
        <v/>
      </c>
    </row>
    <row r="36" spans="2:18" x14ac:dyDescent="0.25">
      <c r="B36" s="305"/>
      <c r="C36" s="115" t="s">
        <v>20</v>
      </c>
      <c r="D36" s="116">
        <v>0</v>
      </c>
      <c r="E36" s="220"/>
      <c r="F36" s="117">
        <f>IF(ISBLANK(E36),"",E36-D36)</f>
        <v/>
      </c>
      <c r="G36" s="118" t="str">
        <f t="shared" si="1"/>
        <v/>
      </c>
      <c r="I36" s="305"/>
      <c r="J36" s="115" t="s">
        <v>20</v>
      </c>
      <c r="K36" s="119">
        <v>0</v>
      </c>
      <c r="L36" s="220"/>
      <c r="M36" s="117">
        <f t="shared" si="2"/>
        <v/>
      </c>
      <c r="N36" s="118" t="str">
        <f>IF(ISBLANK(L36),"",IF(AND(M36&gt;=-0.5,M36&lt;=0.5),"PASS","FAIL"))</f>
        <v/>
      </c>
    </row>
    <row r="37" spans="2:18" x14ac:dyDescent="0.25">
      <c r="B37" s="305"/>
      <c r="C37" s="115" t="s">
        <v>21</v>
      </c>
      <c r="D37" s="116">
        <v>0</v>
      </c>
      <c r="E37" s="220"/>
      <c r="F37" s="117">
        <f t="shared" si="0"/>
        <v/>
      </c>
      <c r="G37" s="118" t="str">
        <f t="shared" si="1"/>
        <v/>
      </c>
      <c r="I37" s="305"/>
      <c r="J37" s="115" t="s">
        <v>21</v>
      </c>
      <c r="K37" s="119">
        <v>0</v>
      </c>
      <c r="L37" s="220"/>
      <c r="M37" s="117">
        <f t="shared" si="2"/>
        <v/>
      </c>
      <c r="N37" s="118" t="str">
        <f>IF(ISBLANK(L37),"",IF(AND(M37&gt;=-0.5,M37&lt;=0.5),"PASS","FAIL"))</f>
        <v/>
      </c>
    </row>
    <row r="38" spans="2:18" x14ac:dyDescent="0.25">
      <c r="B38" s="305"/>
      <c r="C38" s="115" t="s">
        <v>22</v>
      </c>
      <c r="D38" s="116">
        <v>0</v>
      </c>
      <c r="E38" s="217"/>
      <c r="F38" s="117">
        <f t="shared" si="0"/>
        <v/>
      </c>
      <c r="G38" s="118" t="str">
        <f t="shared" si="1"/>
        <v/>
      </c>
      <c r="I38" s="305"/>
      <c r="J38" s="115" t="s">
        <v>22</v>
      </c>
      <c r="K38" s="119">
        <v>0</v>
      </c>
      <c r="L38" s="217"/>
      <c r="M38" s="117">
        <f t="shared" si="2"/>
        <v/>
      </c>
      <c r="N38" s="118" t="str">
        <f t="shared" si="3"/>
        <v/>
      </c>
    </row>
    <row r="39" spans="2:18" x14ac:dyDescent="0.25">
      <c r="B39" s="123"/>
      <c r="C39" s="120"/>
      <c r="D39" s="121"/>
      <c r="E39" s="2"/>
      <c r="F39" s="121"/>
      <c r="G39" s="121"/>
      <c r="I39" s="123"/>
      <c r="J39" s="120"/>
      <c r="K39" s="121"/>
      <c r="L39" s="2"/>
      <c r="M39" s="121"/>
      <c r="N39" s="121"/>
    </row>
    <row r="40" spans="2:18" x14ac:dyDescent="0.25">
      <c r="B40" s="3" t="s">
        <v>163</v>
      </c>
      <c r="C40" s="120" t="s">
        <v>164</v>
      </c>
      <c r="I40" s="1"/>
    </row>
    <row r="41" spans="2:18" x14ac:dyDescent="0.25">
      <c r="B41" s="3"/>
      <c r="C41" s="122" t="s">
        <v>31</v>
      </c>
    </row>
    <row r="42" spans="2:18" x14ac:dyDescent="0.25">
      <c r="C42" s="16" t="s">
        <v>165</v>
      </c>
      <c r="R42" s="35"/>
    </row>
    <row r="43" spans="2:18" x14ac:dyDescent="0.25">
      <c r="C43" s="120"/>
    </row>
    <row r="44" spans="2:18" x14ac:dyDescent="0.25">
      <c r="B44" s="3" t="s">
        <v>168</v>
      </c>
      <c r="I44" s="3" t="s">
        <v>167</v>
      </c>
    </row>
    <row r="45" spans="2:18" ht="31.5" x14ac:dyDescent="0.25">
      <c r="B45" s="305" t="s">
        <v>159</v>
      </c>
      <c r="C45" s="111"/>
      <c r="D45" s="112" t="s">
        <v>160</v>
      </c>
      <c r="E45" s="113" t="s">
        <v>161</v>
      </c>
      <c r="F45" s="114" t="s">
        <v>162</v>
      </c>
      <c r="G45" s="29"/>
      <c r="I45" s="305" t="s">
        <v>159</v>
      </c>
      <c r="J45" s="111"/>
      <c r="K45" s="112" t="s">
        <v>160</v>
      </c>
      <c r="L45" s="113" t="s">
        <v>161</v>
      </c>
      <c r="M45" s="114" t="s">
        <v>162</v>
      </c>
      <c r="N45" s="29"/>
    </row>
    <row r="46" spans="2:18" ht="15.75" customHeight="1" x14ac:dyDescent="0.25">
      <c r="B46" s="305"/>
      <c r="C46" s="115" t="s">
        <v>17</v>
      </c>
      <c r="D46" s="116">
        <v>0</v>
      </c>
      <c r="E46" s="220"/>
      <c r="F46" s="117">
        <f>IF(ISBLANK(E46),"",E46-D46)</f>
        <v/>
      </c>
      <c r="G46" s="118" t="str">
        <f>IF(ISBLANK(E46),"",IF(AND(F46&gt;=-0.1,F46&lt;=0.1),"PASS","FAIL"))</f>
        <v/>
      </c>
      <c r="I46" s="305"/>
      <c r="J46" s="115" t="s">
        <v>17</v>
      </c>
      <c r="K46" s="119">
        <v>0</v>
      </c>
      <c r="L46" s="220"/>
      <c r="M46" s="117">
        <f>IF(ISBLANK(L46),"",L46-K46)</f>
        <v/>
      </c>
      <c r="N46" s="118" t="str">
        <f>IF(ISBLANK(L46),"",IF(AND(M46&gt;=-0.1,M46&lt;=0.1),"PASS","FAIL"))</f>
        <v/>
      </c>
    </row>
    <row r="47" spans="2:18" x14ac:dyDescent="0.25">
      <c r="B47" s="305"/>
      <c r="C47" s="115" t="s">
        <v>18</v>
      </c>
      <c r="D47" s="116">
        <v>0</v>
      </c>
      <c r="E47" s="220"/>
      <c r="F47" s="117">
        <f>IF(ISBLANK(E47),"",E47-D47)</f>
        <v/>
      </c>
      <c r="G47" s="118" t="str">
        <f>IF(ISBLANK(E47),"",IF(AND(F47&gt;=-0.1,F47&lt;=0.1),"PASS","FAIL"))</f>
        <v/>
      </c>
      <c r="I47" s="305"/>
      <c r="J47" s="115" t="s">
        <v>18</v>
      </c>
      <c r="K47" s="119">
        <v>0</v>
      </c>
      <c r="L47" s="220"/>
      <c r="M47" s="117">
        <f>IF(ISBLANK(L47),"",L47-K47)</f>
        <v/>
      </c>
      <c r="N47" s="118" t="str">
        <f>IF(ISBLANK(L47),"",IF(AND(M47&gt;=-0.1,M47&lt;=0.1),"PASS","FAIL"))</f>
        <v/>
      </c>
    </row>
    <row r="48" spans="2:18" x14ac:dyDescent="0.25">
      <c r="B48" s="305"/>
      <c r="C48" s="115" t="s">
        <v>19</v>
      </c>
      <c r="D48" s="116">
        <v>0</v>
      </c>
      <c r="E48" s="220"/>
      <c r="F48" s="117">
        <f>IF(ISBLANK(E48),"",E48-D48)</f>
        <v/>
      </c>
      <c r="G48" s="118" t="str">
        <f>IF(ISBLANK(E48),"",IF(AND(F48&gt;=-0.1,F48&lt;=0.1),"PASS","FAIL"))</f>
        <v/>
      </c>
      <c r="I48" s="305"/>
      <c r="J48" s="115" t="s">
        <v>19</v>
      </c>
      <c r="K48" s="119">
        <v>0</v>
      </c>
      <c r="L48" s="220"/>
      <c r="M48" s="117">
        <f>IF(ISBLANK(L48),"",L48-K48)</f>
        <v/>
      </c>
      <c r="N48" s="118" t="str">
        <f>IF(ISBLANK(L48),"",IF(AND(M48&gt;=-0.1,M48&lt;=0.1),"PASS","FAIL"))</f>
        <v/>
      </c>
    </row>
    <row r="49" spans="1:15" x14ac:dyDescent="0.25">
      <c r="B49" s="305"/>
      <c r="C49" s="306"/>
      <c r="D49" s="307"/>
      <c r="E49" s="307"/>
      <c r="F49" s="307"/>
      <c r="G49" s="308"/>
      <c r="I49" s="305"/>
      <c r="J49" s="306"/>
      <c r="K49" s="307"/>
      <c r="L49" s="307"/>
      <c r="M49" s="307"/>
      <c r="N49" s="308"/>
    </row>
    <row r="50" spans="1:15" x14ac:dyDescent="0.25">
      <c r="B50" s="305"/>
      <c r="C50" s="309"/>
      <c r="D50" s="310"/>
      <c r="E50" s="310"/>
      <c r="F50" s="310"/>
      <c r="G50" s="311"/>
      <c r="I50" s="305"/>
      <c r="J50" s="309"/>
      <c r="K50" s="310"/>
      <c r="L50" s="310"/>
      <c r="M50" s="310"/>
      <c r="N50" s="311"/>
    </row>
    <row r="51" spans="1:15" x14ac:dyDescent="0.25">
      <c r="B51" s="305"/>
      <c r="C51" s="312"/>
      <c r="D51" s="313"/>
      <c r="E51" s="313"/>
      <c r="F51" s="313"/>
      <c r="G51" s="314"/>
      <c r="I51" s="305"/>
      <c r="J51" s="312"/>
      <c r="K51" s="313"/>
      <c r="L51" s="313"/>
      <c r="M51" s="313"/>
      <c r="N51" s="314"/>
    </row>
    <row r="53" spans="1:15" ht="16.5" thickBot="1" x14ac:dyDescent="0.3">
      <c r="B53" s="3" t="s">
        <v>23</v>
      </c>
      <c r="C53" s="3"/>
      <c r="E53" s="6"/>
      <c r="F53" s="11"/>
      <c r="G53" s="2"/>
      <c r="H53" s="2"/>
      <c r="I53" s="2"/>
      <c r="J53" s="2"/>
    </row>
    <row r="54" spans="1:15" ht="12.75" customHeight="1" x14ac:dyDescent="0.25">
      <c r="A54" s="124"/>
      <c r="B54" s="297"/>
      <c r="C54" s="298"/>
      <c r="D54" s="298"/>
      <c r="E54" s="298"/>
      <c r="F54" s="298"/>
      <c r="G54" s="298"/>
      <c r="H54" s="298"/>
      <c r="I54" s="298"/>
      <c r="J54" s="298"/>
      <c r="K54" s="298"/>
      <c r="L54" s="298"/>
      <c r="M54" s="298"/>
      <c r="N54" s="299"/>
      <c r="O54" s="124"/>
    </row>
    <row r="55" spans="1:15" ht="12.75" customHeight="1" x14ac:dyDescent="0.25">
      <c r="B55" s="300"/>
      <c r="C55" s="235"/>
      <c r="D55" s="235"/>
      <c r="E55" s="235"/>
      <c r="F55" s="235"/>
      <c r="G55" s="235"/>
      <c r="H55" s="235"/>
      <c r="I55" s="235"/>
      <c r="J55" s="235"/>
      <c r="K55" s="235"/>
      <c r="L55" s="235"/>
      <c r="M55" s="235"/>
      <c r="N55" s="301"/>
    </row>
    <row r="56" spans="1:15" ht="29.25" customHeight="1" thickBot="1" x14ac:dyDescent="0.3">
      <c r="B56" s="302"/>
      <c r="C56" s="303"/>
      <c r="D56" s="303"/>
      <c r="E56" s="303"/>
      <c r="F56" s="303"/>
      <c r="G56" s="303"/>
      <c r="H56" s="303"/>
      <c r="I56" s="303"/>
      <c r="J56" s="303"/>
      <c r="K56" s="303"/>
      <c r="L56" s="303"/>
      <c r="M56" s="303"/>
      <c r="N56" s="304"/>
    </row>
  </sheetData>
  <mergeCells count="10">
    <mergeCell ref="B54:N56"/>
    <mergeCell ref="A1:L1"/>
    <mergeCell ref="B6:E6"/>
    <mergeCell ref="B32:B38"/>
    <mergeCell ref="I32:I38"/>
    <mergeCell ref="B45:B51"/>
    <mergeCell ref="I45:I51"/>
    <mergeCell ref="J49:N51"/>
    <mergeCell ref="C49:G51"/>
    <mergeCell ref="G3:J3"/>
  </mergeCells>
  <conditionalFormatting sqref="C42">
    <cfRule type="cellIs" dxfId="7" priority="2" operator="equal">
      <formula>"N/A"</formula>
    </cfRule>
    <cfRule type="cellIs" dxfId="6" priority="3" operator="equal">
      <formula>"FAIL"</formula>
    </cfRule>
    <cfRule type="cellIs" dxfId="5" priority="4" operator="equal">
      <formula>"PASS"</formula>
    </cfRule>
    <cfRule type="cellIs" dxfId="4" priority="5" operator="equal">
      <formula>"""PASS"""</formula>
    </cfRule>
  </conditionalFormatting>
  <conditionalFormatting sqref="G33:G38 N33:N38 G46:G48 N46:N48">
    <cfRule type="cellIs" dxfId="3" priority="1" operator="equal">
      <formula>"FAIL"</formula>
    </cfRule>
  </conditionalFormatting>
  <printOptions horizontalCentered="1"/>
  <pageMargins left="0.25" right="0.25" top="0.25" bottom="0.25" header="0.05" footer="0.05"/>
  <pageSetup scale="72"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List!$C$5:$C$7</xm:f>
          </x14:formula1>
          <xm:sqref>C42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C5:C7"/>
  <sheetViews>
    <sheetView workbookViewId="0">
      <selection activeCell="C7" sqref="C7"/>
    </sheetView>
  </sheetViews>
  <sheetFormatPr defaultRowHeight="12.75" x14ac:dyDescent="0.2"/>
  <sheetData>
    <row r="5" spans="3:3" x14ac:dyDescent="0.2">
      <c r="C5" t="s">
        <v>165</v>
      </c>
    </row>
    <row r="6" spans="3:3" x14ac:dyDescent="0.2">
      <c r="C6" t="s">
        <v>166</v>
      </c>
    </row>
    <row r="7" spans="3:3" x14ac:dyDescent="0.2">
      <c r="C7" t="s">
        <v>93</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N175"/>
  <sheetViews>
    <sheetView tabSelected="1" zoomScale="90" zoomScaleNormal="90" workbookViewId="0">
      <selection activeCell="G3" sqref="G3:J3"/>
    </sheetView>
  </sheetViews>
  <sheetFormatPr defaultRowHeight="15.75" x14ac:dyDescent="0.25"/>
  <cols>
    <col min="1" max="1" width="9.140625" style="1"/>
    <col min="2" max="2" width="10.85546875" style="1" customWidth="1"/>
    <col min="3" max="3" width="11.28515625" style="1" bestFit="1" customWidth="1"/>
    <col min="4" max="4" width="16.85546875" style="1" customWidth="1"/>
    <col min="5" max="5" width="9.5703125" style="1" customWidth="1"/>
    <col min="6" max="8" width="9.140625" style="1"/>
    <col min="9" max="9" width="20.42578125" style="1" customWidth="1"/>
    <col min="10" max="12" width="9.140625" style="1"/>
    <col min="13" max="13" width="7" style="1" customWidth="1"/>
    <col min="14" max="14" width="16.5703125" style="1" customWidth="1"/>
    <col min="15" max="16384" width="9.140625" style="1"/>
  </cols>
  <sheetData>
    <row r="1" spans="1:14" x14ac:dyDescent="0.25">
      <c r="A1" s="226" t="s">
        <v>199</v>
      </c>
      <c r="B1" s="226"/>
      <c r="C1" s="226"/>
      <c r="D1" s="226"/>
      <c r="E1" s="226"/>
      <c r="F1" s="226"/>
      <c r="G1" s="226"/>
      <c r="H1" s="226"/>
      <c r="I1" s="226"/>
      <c r="J1" s="226"/>
      <c r="K1" s="226"/>
    </row>
    <row r="2" spans="1:14" x14ac:dyDescent="0.25">
      <c r="A2" s="11"/>
      <c r="B2" s="11"/>
      <c r="C2" s="11"/>
      <c r="D2" s="11"/>
      <c r="E2" s="11"/>
      <c r="F2" s="11"/>
      <c r="G2" s="11"/>
      <c r="H2" s="11"/>
      <c r="I2" s="11"/>
      <c r="J2" s="11"/>
      <c r="K2" s="11"/>
    </row>
    <row r="3" spans="1:14" x14ac:dyDescent="0.25">
      <c r="B3" s="3" t="s">
        <v>2</v>
      </c>
      <c r="C3" s="162"/>
      <c r="F3" s="24" t="s">
        <v>9</v>
      </c>
      <c r="G3" s="228"/>
      <c r="H3" s="229"/>
      <c r="I3" s="229"/>
      <c r="J3" s="230"/>
      <c r="N3" s="3" t="s">
        <v>173</v>
      </c>
    </row>
    <row r="4" spans="1:14" x14ac:dyDescent="0.25">
      <c r="B4" s="3"/>
      <c r="C4" s="135"/>
      <c r="F4" s="24"/>
      <c r="G4" s="135"/>
      <c r="H4" s="135"/>
      <c r="I4" s="135"/>
      <c r="J4" s="135"/>
    </row>
    <row r="5" spans="1:14" x14ac:dyDescent="0.25">
      <c r="A5" s="21" t="s">
        <v>169</v>
      </c>
      <c r="B5" s="22" t="s">
        <v>175</v>
      </c>
      <c r="C5" s="22"/>
      <c r="D5" s="22"/>
      <c r="E5" s="22"/>
      <c r="F5" s="22"/>
      <c r="G5" s="11"/>
      <c r="H5" s="11"/>
      <c r="I5" s="11"/>
      <c r="J5" s="11"/>
      <c r="K5" s="11"/>
    </row>
    <row r="6" spans="1:14" x14ac:dyDescent="0.25">
      <c r="A6" s="21"/>
      <c r="B6" s="227" t="s">
        <v>136</v>
      </c>
      <c r="C6" s="227"/>
      <c r="D6" s="227"/>
      <c r="E6" s="227"/>
      <c r="F6" s="17"/>
      <c r="G6" s="17"/>
      <c r="H6" s="17"/>
      <c r="I6" s="17"/>
      <c r="J6" s="17"/>
      <c r="K6" s="17"/>
    </row>
    <row r="24" spans="1:12" x14ac:dyDescent="0.25">
      <c r="A24" s="136"/>
      <c r="B24" s="136"/>
      <c r="C24" s="136"/>
      <c r="D24" s="136"/>
      <c r="E24" s="136"/>
      <c r="F24" s="136"/>
      <c r="G24" s="136"/>
      <c r="H24" s="136"/>
      <c r="I24" s="136"/>
      <c r="J24" s="136"/>
      <c r="K24" s="136"/>
      <c r="L24" s="136"/>
    </row>
    <row r="25" spans="1:12" x14ac:dyDescent="0.25">
      <c r="A25" s="136"/>
      <c r="B25" s="136"/>
      <c r="C25" s="136"/>
      <c r="D25" s="136"/>
      <c r="E25" s="136"/>
      <c r="F25" s="136"/>
      <c r="G25" s="136"/>
      <c r="H25" s="136"/>
      <c r="I25" s="136"/>
      <c r="J25" s="136"/>
      <c r="K25" s="136"/>
      <c r="L25" s="136"/>
    </row>
    <row r="26" spans="1:12" x14ac:dyDescent="0.25">
      <c r="A26" s="136"/>
      <c r="B26" s="136"/>
      <c r="C26" s="136"/>
      <c r="D26" s="136"/>
      <c r="E26" s="136"/>
      <c r="F26" s="136"/>
      <c r="G26" s="136"/>
      <c r="H26" s="136"/>
      <c r="I26" s="136"/>
      <c r="J26" s="136"/>
      <c r="K26" s="136"/>
      <c r="L26" s="136"/>
    </row>
    <row r="27" spans="1:12" x14ac:dyDescent="0.25">
      <c r="A27" s="136"/>
      <c r="B27" s="136"/>
      <c r="C27" s="136"/>
      <c r="D27" s="136"/>
      <c r="E27" s="136"/>
      <c r="F27" s="136"/>
      <c r="G27" s="136"/>
      <c r="H27" s="136"/>
      <c r="I27" s="136"/>
      <c r="J27" s="136"/>
      <c r="K27" s="136"/>
      <c r="L27" s="136"/>
    </row>
    <row r="28" spans="1:12" x14ac:dyDescent="0.25">
      <c r="A28" s="136"/>
      <c r="B28" s="136"/>
      <c r="C28" s="136"/>
      <c r="D28" s="136"/>
      <c r="E28" s="136"/>
      <c r="F28" s="136"/>
      <c r="G28" s="136"/>
      <c r="H28" s="136"/>
      <c r="I28" s="136"/>
      <c r="J28" s="136"/>
      <c r="K28" s="136"/>
      <c r="L28" s="136"/>
    </row>
    <row r="29" spans="1:12" x14ac:dyDescent="0.25">
      <c r="A29" s="136"/>
      <c r="B29" s="136"/>
      <c r="C29" s="136"/>
      <c r="D29" s="136"/>
      <c r="E29" s="136"/>
      <c r="F29" s="136"/>
      <c r="G29" s="136"/>
      <c r="H29" s="136"/>
      <c r="I29" s="136"/>
      <c r="J29" s="136"/>
      <c r="K29" s="136"/>
      <c r="L29" s="136"/>
    </row>
    <row r="30" spans="1:12" x14ac:dyDescent="0.25">
      <c r="A30" s="136"/>
      <c r="B30" s="136"/>
      <c r="C30" s="136"/>
      <c r="D30" s="136"/>
      <c r="E30" s="136"/>
      <c r="F30" s="136"/>
      <c r="G30" s="136"/>
      <c r="H30" s="136"/>
      <c r="I30" s="136"/>
      <c r="J30" s="136"/>
      <c r="K30" s="136"/>
      <c r="L30" s="136"/>
    </row>
    <row r="31" spans="1:12" x14ac:dyDescent="0.25">
      <c r="A31" s="136"/>
      <c r="B31" s="136"/>
      <c r="C31" s="136"/>
      <c r="D31" s="136"/>
      <c r="E31" s="136"/>
      <c r="F31" s="136"/>
      <c r="G31" s="136"/>
      <c r="H31" s="136"/>
      <c r="I31" s="136"/>
      <c r="J31" s="136"/>
      <c r="K31" s="136"/>
      <c r="L31" s="136"/>
    </row>
    <row r="32" spans="1:12" x14ac:dyDescent="0.25">
      <c r="A32" s="136"/>
      <c r="B32" s="136"/>
      <c r="C32" s="136"/>
      <c r="D32" s="136"/>
      <c r="E32" s="136"/>
      <c r="F32" s="136"/>
      <c r="G32" s="136"/>
      <c r="H32" s="136"/>
      <c r="I32" s="136"/>
      <c r="J32" s="136"/>
      <c r="K32" s="136"/>
      <c r="L32" s="136"/>
    </row>
    <row r="33" spans="1:14" x14ac:dyDescent="0.25">
      <c r="A33" s="136"/>
      <c r="B33" s="136"/>
      <c r="C33" s="136"/>
      <c r="D33" s="136"/>
      <c r="E33" s="136"/>
      <c r="F33" s="136"/>
      <c r="G33" s="136"/>
      <c r="H33" s="136"/>
      <c r="I33" s="136"/>
      <c r="J33" s="136"/>
      <c r="K33" s="136"/>
      <c r="L33" s="136"/>
    </row>
    <row r="34" spans="1:14" x14ac:dyDescent="0.25">
      <c r="A34" s="136"/>
      <c r="B34" s="136"/>
      <c r="C34" s="136"/>
      <c r="D34" s="136"/>
      <c r="E34" s="136"/>
      <c r="F34" s="136"/>
      <c r="G34" s="136"/>
      <c r="H34" s="136"/>
      <c r="I34" s="136"/>
      <c r="J34" s="136"/>
      <c r="K34" s="136"/>
      <c r="L34" s="136"/>
    </row>
    <row r="35" spans="1:14" x14ac:dyDescent="0.25">
      <c r="A35" s="136"/>
      <c r="B35" s="136"/>
      <c r="C35" s="136"/>
      <c r="D35" s="136"/>
      <c r="E35" s="136"/>
      <c r="F35" s="136"/>
      <c r="G35" s="136"/>
      <c r="H35" s="136"/>
      <c r="I35" s="136"/>
      <c r="J35" s="136"/>
      <c r="K35" s="136"/>
      <c r="L35" s="136"/>
    </row>
    <row r="36" spans="1:14" x14ac:dyDescent="0.25">
      <c r="A36" s="136"/>
      <c r="B36" s="136"/>
      <c r="C36" s="136"/>
      <c r="D36" s="136"/>
      <c r="E36" s="136"/>
      <c r="F36" s="136"/>
      <c r="G36" s="136"/>
      <c r="H36" s="136"/>
      <c r="I36" s="136"/>
      <c r="J36" s="136"/>
      <c r="K36" s="136"/>
      <c r="L36" s="136"/>
    </row>
    <row r="37" spans="1:14" x14ac:dyDescent="0.25">
      <c r="A37" s="136"/>
      <c r="B37" s="136"/>
      <c r="C37" s="136"/>
      <c r="D37" s="136"/>
      <c r="E37" s="136"/>
      <c r="F37" s="136"/>
      <c r="G37" s="136"/>
      <c r="H37" s="136"/>
      <c r="I37" s="136"/>
      <c r="J37" s="136"/>
      <c r="K37" s="136"/>
      <c r="L37" s="136"/>
    </row>
    <row r="38" spans="1:14" x14ac:dyDescent="0.25">
      <c r="A38" s="136"/>
      <c r="B38" s="136"/>
      <c r="C38" s="136"/>
      <c r="D38" s="136"/>
      <c r="E38" s="136"/>
      <c r="F38" s="136"/>
      <c r="G38" s="136"/>
      <c r="H38" s="136"/>
      <c r="I38" s="136"/>
      <c r="J38" s="136"/>
      <c r="K38" s="136"/>
      <c r="L38" s="136"/>
    </row>
    <row r="39" spans="1:14" x14ac:dyDescent="0.25">
      <c r="A39" s="136"/>
      <c r="B39" s="136"/>
      <c r="C39" s="136"/>
      <c r="D39" s="136"/>
      <c r="E39" s="136"/>
      <c r="F39" s="136"/>
      <c r="G39" s="136"/>
      <c r="H39" s="136"/>
      <c r="I39" s="136"/>
      <c r="J39" s="136"/>
      <c r="K39" s="136"/>
      <c r="L39" s="136"/>
    </row>
    <row r="40" spans="1:14" x14ac:dyDescent="0.25">
      <c r="A40" s="136"/>
      <c r="B40" s="136"/>
      <c r="C40" s="136"/>
      <c r="D40" s="136"/>
      <c r="E40" s="136"/>
      <c r="F40" s="136"/>
      <c r="G40" s="136"/>
      <c r="H40" s="136"/>
      <c r="I40" s="136"/>
      <c r="J40" s="136"/>
      <c r="K40" s="136"/>
      <c r="L40" s="136"/>
    </row>
    <row r="41" spans="1:14" x14ac:dyDescent="0.25">
      <c r="A41" s="136"/>
      <c r="B41" s="136"/>
      <c r="C41" s="136"/>
      <c r="D41" s="136"/>
      <c r="E41" s="136"/>
      <c r="F41" s="136"/>
      <c r="G41" s="136"/>
      <c r="H41" s="136"/>
      <c r="I41" s="136"/>
      <c r="J41" s="136"/>
      <c r="K41" s="136"/>
      <c r="L41" s="136"/>
    </row>
    <row r="42" spans="1:14" x14ac:dyDescent="0.25">
      <c r="A42" s="136"/>
      <c r="B42" s="136"/>
      <c r="C42" s="136"/>
      <c r="D42" s="136"/>
      <c r="E42" s="136"/>
      <c r="F42" s="136"/>
      <c r="G42" s="136"/>
      <c r="H42" s="136"/>
      <c r="I42" s="136"/>
      <c r="J42" s="136"/>
      <c r="K42" s="136"/>
      <c r="L42" s="136"/>
      <c r="N42" s="3" t="s">
        <v>172</v>
      </c>
    </row>
    <row r="43" spans="1:14" x14ac:dyDescent="0.25">
      <c r="A43" s="136"/>
      <c r="B43" s="136"/>
      <c r="C43" s="136"/>
      <c r="D43" s="136"/>
      <c r="E43" s="136"/>
      <c r="F43" s="136"/>
      <c r="G43" s="136"/>
      <c r="H43" s="136"/>
      <c r="I43" s="136"/>
      <c r="J43" s="136"/>
      <c r="K43" s="136"/>
      <c r="L43" s="136"/>
    </row>
    <row r="44" spans="1:14" x14ac:dyDescent="0.25">
      <c r="A44" s="136"/>
      <c r="B44" s="136"/>
      <c r="C44" s="136"/>
      <c r="D44" s="136"/>
      <c r="E44" s="136"/>
      <c r="F44" s="136"/>
      <c r="G44" s="136"/>
      <c r="H44" s="136"/>
      <c r="I44" s="136"/>
      <c r="J44" s="136"/>
      <c r="K44" s="136"/>
      <c r="L44" s="136"/>
    </row>
    <row r="45" spans="1:14" x14ac:dyDescent="0.25">
      <c r="A45" s="136"/>
      <c r="B45" s="136"/>
      <c r="C45" s="136"/>
      <c r="D45" s="136"/>
      <c r="E45" s="136"/>
      <c r="F45" s="136"/>
      <c r="G45" s="136"/>
      <c r="H45" s="136"/>
      <c r="I45" s="136"/>
      <c r="J45" s="136"/>
      <c r="K45" s="136"/>
      <c r="L45" s="136"/>
    </row>
    <row r="46" spans="1:14" x14ac:dyDescent="0.25">
      <c r="A46" s="136"/>
      <c r="B46" s="136"/>
      <c r="C46" s="136"/>
      <c r="D46" s="136"/>
      <c r="E46" s="136"/>
      <c r="F46" s="136"/>
      <c r="G46" s="136"/>
      <c r="H46" s="136"/>
      <c r="I46" s="136"/>
      <c r="J46" s="136"/>
      <c r="K46" s="136"/>
      <c r="L46" s="136"/>
    </row>
    <row r="47" spans="1:14" x14ac:dyDescent="0.25">
      <c r="A47" s="136"/>
      <c r="B47" s="136"/>
      <c r="C47" s="136"/>
      <c r="D47" s="136"/>
      <c r="E47" s="136"/>
      <c r="F47" s="136"/>
      <c r="G47" s="136"/>
      <c r="H47" s="136"/>
      <c r="I47" s="136"/>
      <c r="J47" s="136"/>
      <c r="K47" s="136"/>
      <c r="L47" s="136"/>
    </row>
    <row r="48" spans="1:14" x14ac:dyDescent="0.25">
      <c r="A48" s="137" t="s">
        <v>3</v>
      </c>
      <c r="B48" s="136"/>
      <c r="C48" s="138"/>
      <c r="D48" s="139"/>
      <c r="E48" s="140" t="s">
        <v>12</v>
      </c>
      <c r="F48" s="140" t="s">
        <v>107</v>
      </c>
      <c r="G48" s="141"/>
      <c r="H48" s="136"/>
      <c r="I48" s="136"/>
      <c r="J48" s="136"/>
      <c r="K48" s="136"/>
      <c r="L48" s="136"/>
    </row>
    <row r="49" spans="1:12" x14ac:dyDescent="0.25">
      <c r="A49" s="136"/>
      <c r="B49" s="315" t="s">
        <v>216</v>
      </c>
      <c r="C49" s="318" t="s">
        <v>178</v>
      </c>
      <c r="D49" s="318"/>
      <c r="E49" s="142">
        <v>0</v>
      </c>
      <c r="F49" s="150"/>
      <c r="G49" s="143" t="str">
        <f>IF(ISBLANK(F49),"",IF(F49-E49&lt;=1,"PASS","FAIL"))</f>
      </c>
      <c r="H49" s="136"/>
      <c r="I49" s="6" t="s">
        <v>95</v>
      </c>
      <c r="J49" s="136"/>
      <c r="L49" s="136"/>
    </row>
    <row r="50" spans="1:12" x14ac:dyDescent="0.25">
      <c r="A50" s="136"/>
      <c r="B50" s="316"/>
      <c r="C50" s="318" t="s">
        <v>179</v>
      </c>
      <c r="D50" s="318"/>
      <c r="E50" s="142">
        <v>0</v>
      </c>
      <c r="F50" s="150"/>
      <c r="G50" s="143" t="str">
        <f>IF(ISBLANK(F50),"",IF(F50-E50&lt;=1,"PASS","FAIL"))</f>
      </c>
      <c r="H50" s="136"/>
      <c r="I50" s="6" t="s">
        <v>95</v>
      </c>
      <c r="J50" s="136"/>
      <c r="K50" s="136"/>
      <c r="L50" s="136"/>
    </row>
    <row r="51" spans="1:12" x14ac:dyDescent="0.25">
      <c r="A51" s="136"/>
      <c r="B51" s="316"/>
      <c r="C51" s="318" t="s">
        <v>180</v>
      </c>
      <c r="D51" s="318"/>
      <c r="E51" s="144">
        <v>0.46</v>
      </c>
      <c r="F51" s="151"/>
      <c r="G51" s="143" t="str">
        <f>IF(ISBLANK(F51),"",IF(AND(F51-E51&gt;=-0.07),"PASS","FAIL"))</f>
      </c>
      <c r="H51" s="145"/>
      <c r="I51" s="6" t="s">
        <v>193</v>
      </c>
      <c r="J51" s="136"/>
      <c r="K51" s="136"/>
      <c r="L51" s="136"/>
    </row>
    <row r="52" spans="1:12" x14ac:dyDescent="0.25">
      <c r="A52" s="136"/>
      <c r="B52" s="316"/>
      <c r="C52" s="318" t="s">
        <v>181</v>
      </c>
      <c r="D52" s="318"/>
      <c r="E52" s="142">
        <v>96</v>
      </c>
      <c r="F52" s="150"/>
      <c r="G52" s="143" t="str">
        <f>IF(ISBLANK(F52),"",IF(ABS(F52-E52)&lt;=2,"PASS","FAIL"))</f>
      </c>
      <c r="H52" s="136"/>
      <c r="I52" s="6" t="s">
        <v>194</v>
      </c>
      <c r="J52" s="136"/>
      <c r="K52" s="136"/>
      <c r="L52" s="136"/>
    </row>
    <row r="53" spans="1:12" x14ac:dyDescent="0.25">
      <c r="A53" s="136"/>
      <c r="B53" s="316"/>
      <c r="C53" s="318" t="s">
        <v>182</v>
      </c>
      <c r="D53" s="318"/>
      <c r="E53" s="142">
        <v>96</v>
      </c>
      <c r="F53" s="150"/>
      <c r="G53" s="143" t="str">
        <f>IF(ISBLANK(F53),"",IF(ABS(F53-E53)&lt;=2,"PASS","FAIL"))</f>
      </c>
      <c r="H53" s="136"/>
      <c r="I53" s="6" t="s">
        <v>194</v>
      </c>
      <c r="J53" s="136"/>
      <c r="K53" s="136"/>
      <c r="L53" s="136"/>
    </row>
    <row r="54" spans="1:12" x14ac:dyDescent="0.25">
      <c r="A54" s="136"/>
      <c r="B54" s="316"/>
      <c r="C54" s="318" t="s">
        <v>183</v>
      </c>
      <c r="D54" s="318"/>
      <c r="E54" s="142">
        <v>1</v>
      </c>
      <c r="F54" s="150"/>
      <c r="G54" s="143" t="str">
        <f>IF(ISBLANK(F54),"",IF(ABS(F54-E54)&lt;=1,"PASS","FAIL"))</f>
      </c>
      <c r="H54" s="136"/>
      <c r="I54" s="6" t="s">
        <v>135</v>
      </c>
      <c r="J54" s="136"/>
      <c r="K54" s="136"/>
      <c r="L54" s="136"/>
    </row>
    <row r="55" spans="1:12" x14ac:dyDescent="0.25">
      <c r="A55" s="136"/>
      <c r="B55" s="316"/>
      <c r="C55" s="318" t="s">
        <v>185</v>
      </c>
      <c r="D55" s="318"/>
      <c r="E55" s="142">
        <v>0.3</v>
      </c>
      <c r="F55" s="150"/>
      <c r="G55" s="143" t="str">
        <f>IF(ISBLANK(F55),"",IF(ABS(F55-E55)&lt;=1,"PASS","FAIL"))</f>
      </c>
      <c r="H55" s="136"/>
      <c r="I55" s="6" t="s">
        <v>196</v>
      </c>
      <c r="J55" s="136"/>
      <c r="K55" s="136"/>
      <c r="L55" s="136"/>
    </row>
    <row r="56" spans="1:12" x14ac:dyDescent="0.25">
      <c r="A56" s="136"/>
      <c r="B56" s="316"/>
      <c r="C56" s="318" t="s">
        <v>184</v>
      </c>
      <c r="D56" s="318"/>
      <c r="E56" s="142">
        <v>180</v>
      </c>
      <c r="F56" s="150"/>
      <c r="G56" s="143" t="str">
        <f>IF(ISBLANK(F56),"",IF(ABS(F56-E56)&lt;=100,"PASS","FAIL"))</f>
      </c>
      <c r="H56" s="136"/>
      <c r="I56" s="6" t="s">
        <v>218</v>
      </c>
      <c r="J56" s="136"/>
      <c r="K56" s="136"/>
      <c r="L56" s="136"/>
    </row>
    <row r="57" spans="1:12" x14ac:dyDescent="0.25">
      <c r="A57" s="136"/>
      <c r="B57" s="317"/>
      <c r="C57" s="318" t="s">
        <v>190</v>
      </c>
      <c r="D57" s="318"/>
      <c r="E57" s="142">
        <v>2</v>
      </c>
      <c r="F57" s="150"/>
      <c r="G57" s="143" t="str">
        <f>IF(ISBLANK(F57),"",IF(ABS(F57-E57)&lt;=1,"PASS","FAIL"))</f>
      </c>
      <c r="H57" s="136"/>
      <c r="I57" s="6" t="s">
        <v>95</v>
      </c>
      <c r="J57" s="136"/>
      <c r="K57" s="136"/>
      <c r="L57" s="136"/>
    </row>
    <row r="58" spans="1:12" x14ac:dyDescent="0.25">
      <c r="A58" s="136"/>
      <c r="B58" s="136"/>
      <c r="C58" s="146"/>
      <c r="D58" s="147"/>
      <c r="E58" s="148"/>
      <c r="F58" s="137"/>
      <c r="G58" s="137"/>
      <c r="H58" s="136"/>
      <c r="I58" s="136"/>
      <c r="J58" s="136"/>
      <c r="K58" s="136"/>
      <c r="L58" s="136"/>
    </row>
    <row r="59" spans="1:12" x14ac:dyDescent="0.25">
      <c r="A59" s="164" t="s">
        <v>4</v>
      </c>
      <c r="B59" s="136"/>
      <c r="C59" s="138"/>
      <c r="D59" s="139"/>
      <c r="E59" s="140" t="s">
        <v>12</v>
      </c>
      <c r="F59" s="140" t="s">
        <v>107</v>
      </c>
      <c r="G59" s="141"/>
      <c r="H59" s="136"/>
      <c r="I59" s="136"/>
      <c r="J59" s="136"/>
      <c r="K59" s="206"/>
      <c r="L59" s="136"/>
    </row>
    <row r="60" spans="1:12" x14ac:dyDescent="0.25">
      <c r="A60" s="136"/>
      <c r="B60" s="315" t="s">
        <v>217</v>
      </c>
      <c r="C60" s="318" t="s">
        <v>178</v>
      </c>
      <c r="D60" s="318"/>
      <c r="E60" s="142">
        <v>0</v>
      </c>
      <c r="F60" s="150"/>
      <c r="G60" s="143" t="str">
        <f>IF(ISBLANK(F60),"",IF(F60-E60&lt;=1,"PASS","FAIL"))</f>
      </c>
      <c r="H60" s="136"/>
      <c r="I60" s="6" t="s">
        <v>95</v>
      </c>
      <c r="J60" s="136"/>
      <c r="K60" s="207"/>
      <c r="L60" s="136"/>
    </row>
    <row r="61" spans="1:12" x14ac:dyDescent="0.25">
      <c r="A61" s="136"/>
      <c r="B61" s="316"/>
      <c r="C61" s="318" t="s">
        <v>179</v>
      </c>
      <c r="D61" s="318"/>
      <c r="E61" s="142">
        <v>0</v>
      </c>
      <c r="F61" s="150"/>
      <c r="G61" s="143" t="str">
        <f>IF(ISBLANK(F61),"",IF(F61-E61&lt;=1,"PASS","FAIL"))</f>
      </c>
      <c r="H61" s="136"/>
      <c r="I61" s="6" t="s">
        <v>95</v>
      </c>
      <c r="J61" s="136"/>
      <c r="K61" s="207"/>
      <c r="L61" s="136"/>
    </row>
    <row r="62" spans="1:12" x14ac:dyDescent="0.25">
      <c r="A62" s="136"/>
      <c r="B62" s="316"/>
      <c r="C62" s="318" t="s">
        <v>180</v>
      </c>
      <c r="D62" s="318"/>
      <c r="E62" s="144">
        <v>0.54</v>
      </c>
      <c r="F62" s="151"/>
      <c r="G62" s="143" t="str">
        <f>IF(ISBLANK(F62),"",IF(AND(F62-E62&lt;=0.1,F62-E62&gt;=-0.1),"PASS","FAIL"))</f>
      </c>
      <c r="H62" s="145"/>
      <c r="I62" s="6" t="s">
        <v>225</v>
      </c>
      <c r="J62" s="136"/>
      <c r="K62" s="208"/>
      <c r="L62" s="136"/>
    </row>
    <row r="63" spans="1:12" x14ac:dyDescent="0.25">
      <c r="A63" s="136"/>
      <c r="B63" s="316"/>
      <c r="C63" s="318" t="s">
        <v>181</v>
      </c>
      <c r="D63" s="318"/>
      <c r="E63" s="142">
        <v>98</v>
      </c>
      <c r="F63" s="150"/>
      <c r="G63" s="143" t="str">
        <f>IF(ISBLANK(F63),"",IF(ABS(F63-E63)&lt;=2,"PASS","FAIL"))</f>
      </c>
      <c r="H63" s="136"/>
      <c r="I63" s="6" t="s">
        <v>194</v>
      </c>
      <c r="J63" s="136"/>
      <c r="K63" s="207"/>
      <c r="L63" s="136"/>
    </row>
    <row r="64" spans="1:12" x14ac:dyDescent="0.25">
      <c r="A64" s="136"/>
      <c r="B64" s="316"/>
      <c r="C64" s="318" t="s">
        <v>182</v>
      </c>
      <c r="D64" s="318"/>
      <c r="E64" s="142">
        <v>98</v>
      </c>
      <c r="F64" s="150"/>
      <c r="G64" s="143" t="str">
        <f>IF(ISBLANK(F64),"",IF(ABS(F64-E64)&lt;=2,"PASS","FAIL"))</f>
      </c>
      <c r="H64" s="136"/>
      <c r="I64" s="6" t="s">
        <v>194</v>
      </c>
      <c r="J64" s="136"/>
      <c r="K64" s="207"/>
      <c r="L64" s="136"/>
    </row>
    <row r="65" spans="1:14" x14ac:dyDescent="0.25">
      <c r="A65" s="136"/>
      <c r="B65" s="316"/>
      <c r="C65" s="318" t="s">
        <v>183</v>
      </c>
      <c r="D65" s="318"/>
      <c r="E65" s="142">
        <v>1</v>
      </c>
      <c r="F65" s="150"/>
      <c r="G65" s="143" t="str">
        <f>IF(ISBLANK(F65),"",IF(ABS(F65-E65)&lt;=0.5,"PASS","FAIL"))</f>
      </c>
      <c r="H65" s="136"/>
      <c r="I65" s="6" t="s">
        <v>195</v>
      </c>
      <c r="J65" s="136"/>
      <c r="K65" s="207"/>
      <c r="L65" s="136"/>
    </row>
    <row r="66" spans="1:14" x14ac:dyDescent="0.25">
      <c r="A66" s="136"/>
      <c r="B66" s="316"/>
      <c r="C66" s="318" t="s">
        <v>185</v>
      </c>
      <c r="D66" s="318"/>
      <c r="E66" s="142">
        <v>2</v>
      </c>
      <c r="F66" s="150"/>
      <c r="G66" s="143" t="str">
        <f>IF(ISBLANK(F66),"",IF(ABS(F66-E66)&lt;=1,"PASS","FAIL"))</f>
      </c>
      <c r="H66" s="136"/>
      <c r="I66" s="6" t="s">
        <v>196</v>
      </c>
      <c r="J66" s="136"/>
      <c r="K66" s="207"/>
      <c r="L66" s="136"/>
    </row>
    <row r="67" spans="1:14" x14ac:dyDescent="0.25">
      <c r="A67" s="136"/>
      <c r="B67" s="316"/>
      <c r="C67" s="318" t="s">
        <v>184</v>
      </c>
      <c r="D67" s="318"/>
      <c r="E67" s="142">
        <v>0</v>
      </c>
      <c r="F67" s="150"/>
      <c r="G67" s="143" t="str">
        <f>IF(ISBLANK(F67),"",IF(ABS(F67-E67)&lt;=100,"PASS","FAIL"))</f>
      </c>
      <c r="H67" s="136"/>
      <c r="I67" s="6" t="s">
        <v>218</v>
      </c>
      <c r="J67" s="136"/>
      <c r="K67" s="207"/>
      <c r="L67" s="136"/>
    </row>
    <row r="68" spans="1:14" x14ac:dyDescent="0.25">
      <c r="A68" s="136"/>
      <c r="B68" s="317"/>
      <c r="C68" s="318" t="s">
        <v>190</v>
      </c>
      <c r="D68" s="318"/>
      <c r="E68" s="142">
        <v>2</v>
      </c>
      <c r="F68" s="150"/>
      <c r="G68" s="143" t="str">
        <f>IF(ISBLANK(F68),"",IF(ABS(F68-E68)&lt;=1,"PASS","FAIL"))</f>
      </c>
      <c r="H68" s="136"/>
      <c r="I68" s="6" t="s">
        <v>95</v>
      </c>
      <c r="J68" s="136"/>
      <c r="K68" s="207"/>
      <c r="L68" s="136"/>
    </row>
    <row r="69" spans="1:14" x14ac:dyDescent="0.25">
      <c r="A69" s="136"/>
      <c r="B69" s="136"/>
      <c r="C69" s="147"/>
      <c r="D69" s="147"/>
      <c r="E69" s="148"/>
      <c r="F69" s="137"/>
      <c r="G69" s="137"/>
      <c r="H69" s="136"/>
      <c r="I69" s="136"/>
      <c r="J69" s="136"/>
      <c r="K69" s="136"/>
      <c r="L69" s="136"/>
    </row>
    <row r="70" spans="1:14" x14ac:dyDescent="0.25">
      <c r="A70" s="137" t="s">
        <v>5</v>
      </c>
      <c r="B70" s="136"/>
      <c r="C70" s="138"/>
      <c r="D70" s="139"/>
      <c r="E70" s="140" t="s">
        <v>12</v>
      </c>
      <c r="F70" s="140" t="s">
        <v>107</v>
      </c>
      <c r="G70" s="140"/>
      <c r="H70" s="136"/>
      <c r="I70" s="136"/>
      <c r="J70" s="136"/>
      <c r="K70" s="136"/>
      <c r="L70" s="136"/>
    </row>
    <row r="71" spans="1:14" x14ac:dyDescent="0.25">
      <c r="A71" s="136"/>
      <c r="B71" s="319" t="s">
        <v>188</v>
      </c>
      <c r="C71" s="318" t="s">
        <v>178</v>
      </c>
      <c r="D71" s="318"/>
      <c r="E71" s="142">
        <v>3.5</v>
      </c>
      <c r="F71" s="150"/>
      <c r="G71" s="143">
        <f>IF(ISBLANK(F71),"",IF(F71-E71&lt;=1,"PASS","FAIL"))</f>
        <v/>
      </c>
      <c r="H71" s="136"/>
      <c r="I71" s="6" t="s">
        <v>95</v>
      </c>
      <c r="J71" s="136"/>
      <c r="L71" s="136"/>
    </row>
    <row r="72" spans="1:14" x14ac:dyDescent="0.25">
      <c r="A72" s="136"/>
      <c r="B72" s="319"/>
      <c r="C72" s="318" t="s">
        <v>180</v>
      </c>
      <c r="D72" s="318"/>
      <c r="E72" s="142">
        <v>0.34</v>
      </c>
      <c r="F72" s="150"/>
      <c r="G72" s="143">
        <f>IF(ISBLANK(F72),"",IF(AND(F72-E72&lt;=0.07,F72-E72&gt;=-0.07),"PASS","FAIL"))</f>
        <v/>
      </c>
      <c r="H72" s="136"/>
      <c r="I72" s="6" t="s">
        <v>193</v>
      </c>
      <c r="J72" s="136"/>
      <c r="L72" s="136"/>
      <c r="N72" s="3" t="s">
        <v>171</v>
      </c>
    </row>
    <row r="73" spans="1:14" x14ac:dyDescent="0.25">
      <c r="A73" s="136"/>
      <c r="B73" s="319"/>
      <c r="C73" s="318" t="s">
        <v>182</v>
      </c>
      <c r="D73" s="318"/>
      <c r="E73" s="142">
        <v>100</v>
      </c>
      <c r="F73" s="150"/>
      <c r="G73" s="143">
        <f>IF(ISBLANK(F73),"",IF(ABS(F73-E73)&lt;=2,"PASS","FAIL"))</f>
        <v/>
      </c>
      <c r="H73" s="136"/>
      <c r="I73" s="6" t="s">
        <v>194</v>
      </c>
      <c r="J73" s="136"/>
      <c r="L73" s="136"/>
    </row>
    <row r="74" spans="1:14" x14ac:dyDescent="0.25">
      <c r="A74" s="136"/>
      <c r="B74" s="319"/>
      <c r="C74" s="318" t="s">
        <v>183</v>
      </c>
      <c r="D74" s="318"/>
      <c r="E74" s="142">
        <v>2.6</v>
      </c>
      <c r="F74" s="150"/>
      <c r="G74" s="143">
        <f>IF(ISBLANK(F74),"",IF(ABS(F74-E74)&lt;=2,"PASS","FAIL"))</f>
        <v/>
      </c>
      <c r="H74" s="136"/>
      <c r="I74" s="6" t="s">
        <v>194</v>
      </c>
      <c r="J74" s="136"/>
      <c r="L74" s="136"/>
    </row>
    <row r="75" spans="1:14" x14ac:dyDescent="0.25">
      <c r="A75" s="136"/>
      <c r="B75" s="319"/>
      <c r="C75" s="318" t="s">
        <v>185</v>
      </c>
      <c r="D75" s="318"/>
      <c r="E75" s="142">
        <v>52.6</v>
      </c>
      <c r="F75" s="150"/>
      <c r="G75" s="143">
        <f>IF(ISBLANK(F75),"",IF(ABS(F75-E75)&lt;=5,"PASS","FAIL"))</f>
        <v/>
      </c>
      <c r="H75" s="136"/>
      <c r="I75" s="6" t="s">
        <v>197</v>
      </c>
      <c r="J75" s="136"/>
      <c r="L75" s="136"/>
    </row>
    <row r="76" spans="1:14" x14ac:dyDescent="0.25">
      <c r="A76" s="136"/>
      <c r="B76" s="319"/>
      <c r="C76" s="318" t="s">
        <v>186</v>
      </c>
      <c r="D76" s="318"/>
      <c r="E76" s="142">
        <v>0</v>
      </c>
      <c r="F76" s="150"/>
      <c r="G76" s="143">
        <f>IF(ISBLANK(F76),"",IF(F76-E76&lt;=1,"PASS","FAIL"))</f>
        <v/>
      </c>
      <c r="H76" s="136"/>
      <c r="I76" s="6" t="s">
        <v>95</v>
      </c>
      <c r="J76" s="136"/>
      <c r="L76" s="136"/>
    </row>
    <row r="77" spans="1:14" x14ac:dyDescent="0.25">
      <c r="A77" s="136"/>
      <c r="B77" s="319"/>
      <c r="C77" s="318" t="s">
        <v>187</v>
      </c>
      <c r="D77" s="318"/>
      <c r="E77" s="142">
        <v>0</v>
      </c>
      <c r="F77" s="150"/>
      <c r="G77" s="143">
        <f>IF(ISBLANK(F77),"",IF(F77-E77&lt;=1,"PASS","FAIL"))</f>
        <v/>
      </c>
      <c r="H77" s="136"/>
      <c r="I77" s="6" t="s">
        <v>95</v>
      </c>
      <c r="J77" s="136"/>
      <c r="L77" s="136"/>
    </row>
    <row r="78" spans="1:14" x14ac:dyDescent="0.25">
      <c r="A78" s="136"/>
      <c r="B78" s="136"/>
      <c r="C78" s="136"/>
      <c r="D78" s="136"/>
      <c r="E78" s="136"/>
      <c r="F78" s="137"/>
      <c r="G78" s="137"/>
      <c r="H78" s="136"/>
      <c r="I78" s="6"/>
      <c r="J78" s="136"/>
      <c r="K78" s="136"/>
      <c r="L78" s="136"/>
    </row>
    <row r="79" spans="1:14" x14ac:dyDescent="0.25">
      <c r="A79" s="137" t="s">
        <v>219</v>
      </c>
      <c r="B79" s="136"/>
      <c r="C79" s="138"/>
      <c r="D79" s="139"/>
      <c r="E79" s="140" t="s">
        <v>12</v>
      </c>
      <c r="F79" s="140" t="s">
        <v>107</v>
      </c>
      <c r="G79" s="140"/>
      <c r="H79" s="136"/>
      <c r="I79" s="136"/>
      <c r="J79" s="136"/>
      <c r="K79" s="136"/>
      <c r="L79" s="136"/>
    </row>
    <row r="80" spans="1:14" x14ac:dyDescent="0.25">
      <c r="A80" s="136"/>
      <c r="B80" s="319" t="s">
        <v>189</v>
      </c>
      <c r="C80" s="318" t="s">
        <v>178</v>
      </c>
      <c r="D80" s="318"/>
      <c r="E80" s="149">
        <v>0</v>
      </c>
      <c r="F80" s="150"/>
      <c r="G80" s="143" t="str">
        <f>IF(ISBLANK(F80),"",IF(F80-E80&lt;=1,"PASS","FAIL"))</f>
      </c>
      <c r="H80" s="136"/>
      <c r="I80" s="6" t="s">
        <v>95</v>
      </c>
      <c r="J80" s="136"/>
      <c r="K80" s="136"/>
      <c r="L80" s="136"/>
    </row>
    <row r="81" spans="1:14" x14ac:dyDescent="0.25">
      <c r="A81" s="136"/>
      <c r="B81" s="319"/>
      <c r="C81" s="318" t="s">
        <v>180</v>
      </c>
      <c r="D81" s="318"/>
      <c r="E81" s="149">
        <v>1.25</v>
      </c>
      <c r="F81" s="150"/>
      <c r="G81" s="143" t="str">
        <f>IF(ISBLANK(F81),"",IF(AND(F81-E81&lt;=0.07,F81-E81&gt;=-0.07),"PASS","FAIL"))</f>
      </c>
      <c r="H81" s="136"/>
      <c r="I81" s="6" t="s">
        <v>193</v>
      </c>
      <c r="J81" s="136"/>
      <c r="K81" s="136"/>
      <c r="L81" s="136"/>
    </row>
    <row r="82" spans="1:14" x14ac:dyDescent="0.25">
      <c r="A82" s="136"/>
      <c r="B82" s="319"/>
      <c r="C82" s="318" t="s">
        <v>182</v>
      </c>
      <c r="D82" s="318"/>
      <c r="E82" s="149">
        <v>100</v>
      </c>
      <c r="F82" s="150"/>
      <c r="G82" s="143" t="str">
        <f>IF(ISBLANK(F82),"",IF(ABS(F82-E82)&lt;=2,"PASS","FAIL"))</f>
      </c>
      <c r="H82" s="136"/>
      <c r="I82" s="6" t="s">
        <v>194</v>
      </c>
      <c r="J82" s="136"/>
      <c r="K82" s="136"/>
      <c r="L82" s="136"/>
    </row>
    <row r="83" spans="1:14" x14ac:dyDescent="0.25">
      <c r="A83" s="136"/>
      <c r="B83" s="319"/>
      <c r="C83" s="318" t="s">
        <v>183</v>
      </c>
      <c r="D83" s="318"/>
      <c r="E83" s="149">
        <v>19</v>
      </c>
      <c r="F83" s="150"/>
      <c r="G83" s="143" t="str">
        <f>IF(ISBLANK(F83),"",IF(ABS(F83-E83)&lt;=3,"PASS","FAIL"))</f>
      </c>
      <c r="H83" s="136"/>
      <c r="I83" s="6" t="s">
        <v>240</v>
      </c>
      <c r="J83" s="136"/>
      <c r="K83" s="136"/>
      <c r="L83" s="136"/>
    </row>
    <row r="84" spans="1:14" x14ac:dyDescent="0.25">
      <c r="A84" s="136"/>
      <c r="B84" s="319"/>
      <c r="C84" s="318" t="s">
        <v>185</v>
      </c>
      <c r="D84" s="318"/>
      <c r="E84" s="149">
        <v>65</v>
      </c>
      <c r="F84" s="150"/>
      <c r="G84" s="143" t="str">
        <f>IF(ISBLANK(F84),"",IF(ABS(F84-E84)&lt;=50,"PASS","FAIL"))</f>
      </c>
      <c r="H84" s="136"/>
      <c r="I84" s="6" t="s">
        <v>241</v>
      </c>
      <c r="J84" s="136"/>
      <c r="K84" s="136"/>
      <c r="L84" s="136"/>
    </row>
    <row r="85" spans="1:14" x14ac:dyDescent="0.25">
      <c r="A85" s="136"/>
      <c r="B85" s="319"/>
      <c r="C85" s="318" t="s">
        <v>186</v>
      </c>
      <c r="D85" s="318"/>
      <c r="E85" s="149">
        <v>0</v>
      </c>
      <c r="F85" s="150"/>
      <c r="G85" s="143" t="str">
        <f>IF(ISBLANK(F85),"",IF(F85-E85&lt;=1,"PASS","FAIL"))</f>
      </c>
      <c r="H85" s="136"/>
      <c r="I85" s="6" t="s">
        <v>95</v>
      </c>
      <c r="J85" s="136"/>
      <c r="K85" s="136"/>
      <c r="L85" s="136"/>
    </row>
    <row r="86" spans="1:14" x14ac:dyDescent="0.25">
      <c r="A86" s="136"/>
      <c r="B86" s="319"/>
      <c r="C86" s="318" t="s">
        <v>187</v>
      </c>
      <c r="D86" s="318"/>
      <c r="E86" s="149">
        <v>0</v>
      </c>
      <c r="F86" s="150"/>
      <c r="G86" s="143" t="str">
        <f>IF(ISBLANK(F86),"",IF(F86-E86&lt;=1,"PASS","FAIL"))</f>
      </c>
      <c r="H86" s="136"/>
      <c r="I86" s="6" t="s">
        <v>95</v>
      </c>
      <c r="J86" s="136"/>
      <c r="K86" s="136"/>
      <c r="L86" s="136"/>
    </row>
    <row r="87" spans="1:14" x14ac:dyDescent="0.25">
      <c r="A87" s="136"/>
      <c r="B87" s="136"/>
      <c r="C87" s="136"/>
      <c r="D87" s="136"/>
      <c r="E87" s="136"/>
      <c r="F87" s="136"/>
      <c r="G87" s="136"/>
      <c r="H87" s="136"/>
      <c r="I87" s="136"/>
      <c r="J87" s="136"/>
      <c r="K87" s="136"/>
      <c r="L87" s="136"/>
    </row>
    <row r="88" spans="1:14" ht="16.5" thickBot="1" x14ac:dyDescent="0.3">
      <c r="A88" s="136"/>
      <c r="B88" s="3" t="s">
        <v>23</v>
      </c>
      <c r="C88" s="3"/>
      <c r="E88" s="6"/>
      <c r="F88" s="11"/>
      <c r="G88" s="2"/>
      <c r="H88" s="2"/>
      <c r="I88" s="2"/>
      <c r="J88" s="2"/>
    </row>
    <row r="89" spans="1:14" x14ac:dyDescent="0.25">
      <c r="A89" s="136"/>
      <c r="B89" s="279"/>
      <c r="C89" s="280"/>
      <c r="D89" s="280"/>
      <c r="E89" s="280"/>
      <c r="F89" s="280"/>
      <c r="G89" s="280"/>
      <c r="H89" s="280"/>
      <c r="I89" s="280"/>
      <c r="J89" s="280"/>
      <c r="K89" s="280"/>
      <c r="L89" s="281"/>
      <c r="M89" s="110"/>
      <c r="N89" s="110"/>
    </row>
    <row r="90" spans="1:14" x14ac:dyDescent="0.25">
      <c r="A90" s="136"/>
      <c r="B90" s="282"/>
      <c r="C90" s="246"/>
      <c r="D90" s="246"/>
      <c r="E90" s="246"/>
      <c r="F90" s="246"/>
      <c r="G90" s="246"/>
      <c r="H90" s="246"/>
      <c r="I90" s="246"/>
      <c r="J90" s="246"/>
      <c r="K90" s="246"/>
      <c r="L90" s="283"/>
      <c r="M90" s="110"/>
      <c r="N90" s="3" t="s">
        <v>170</v>
      </c>
    </row>
    <row r="91" spans="1:14" ht="16.5" thickBot="1" x14ac:dyDescent="0.3">
      <c r="A91" s="136"/>
      <c r="B91" s="284"/>
      <c r="C91" s="285"/>
      <c r="D91" s="285"/>
      <c r="E91" s="285"/>
      <c r="F91" s="285"/>
      <c r="G91" s="285"/>
      <c r="H91" s="285"/>
      <c r="I91" s="285"/>
      <c r="J91" s="285"/>
      <c r="K91" s="285"/>
      <c r="L91" s="286"/>
      <c r="M91" s="110"/>
      <c r="N91" s="110"/>
    </row>
    <row r="92" spans="1:14" x14ac:dyDescent="0.25">
      <c r="A92" s="136"/>
      <c r="B92" s="136"/>
      <c r="C92" s="136"/>
      <c r="D92" s="136"/>
      <c r="E92" s="136"/>
      <c r="F92" s="136"/>
      <c r="G92" s="136"/>
      <c r="H92" s="136"/>
      <c r="I92" s="136"/>
      <c r="J92" s="136"/>
      <c r="K92" s="136"/>
      <c r="L92" s="136"/>
    </row>
    <row r="93" spans="1:14" x14ac:dyDescent="0.25">
      <c r="A93" s="136"/>
      <c r="B93" s="136"/>
      <c r="C93" s="136"/>
      <c r="D93" s="136"/>
      <c r="E93" s="136"/>
      <c r="F93" s="136"/>
      <c r="G93" s="136"/>
      <c r="H93" s="136"/>
      <c r="I93" s="136"/>
      <c r="J93" s="136"/>
      <c r="K93" s="136"/>
      <c r="L93" s="136"/>
    </row>
    <row r="94" spans="1:14" x14ac:dyDescent="0.25">
      <c r="A94" s="136"/>
      <c r="B94" s="136"/>
      <c r="C94" s="136"/>
      <c r="D94" s="136"/>
      <c r="E94" s="136"/>
      <c r="F94" s="136"/>
      <c r="G94" s="136"/>
      <c r="H94" s="136"/>
      <c r="I94" s="136"/>
      <c r="J94" s="136"/>
      <c r="K94" s="136"/>
      <c r="L94" s="136"/>
    </row>
    <row r="95" spans="1:14" x14ac:dyDescent="0.25">
      <c r="A95" s="136"/>
      <c r="B95" s="136"/>
      <c r="C95" s="136"/>
      <c r="D95" s="136"/>
      <c r="E95" s="136"/>
      <c r="F95" s="136"/>
      <c r="G95" s="136"/>
      <c r="H95" s="136"/>
      <c r="I95" s="136"/>
      <c r="J95" s="136"/>
      <c r="K95" s="136"/>
      <c r="L95" s="136"/>
    </row>
    <row r="96" spans="1:14" x14ac:dyDescent="0.25">
      <c r="A96" s="136"/>
      <c r="B96" s="136"/>
      <c r="C96" s="136"/>
      <c r="D96" s="136"/>
      <c r="E96" s="136"/>
      <c r="F96" s="136"/>
      <c r="G96" s="136"/>
      <c r="H96" s="136"/>
      <c r="I96" s="136"/>
      <c r="J96" s="136"/>
      <c r="K96" s="136"/>
      <c r="L96" s="136"/>
    </row>
    <row r="97" spans="1:14" x14ac:dyDescent="0.25">
      <c r="A97" s="136"/>
      <c r="B97" s="136"/>
      <c r="C97" s="136"/>
      <c r="D97" s="136"/>
      <c r="E97" s="136"/>
      <c r="F97" s="136"/>
      <c r="G97" s="136"/>
      <c r="H97" s="136"/>
      <c r="I97" s="136"/>
      <c r="J97" s="136"/>
      <c r="K97" s="136"/>
      <c r="L97" s="136"/>
    </row>
    <row r="98" spans="1:14" x14ac:dyDescent="0.25">
      <c r="A98" s="136"/>
      <c r="B98" s="315" t="s">
        <v>251</v>
      </c>
      <c r="C98" s="318" t="s">
        <v>178</v>
      </c>
      <c r="D98" s="318"/>
      <c r="E98" s="142">
        <v>0</v>
      </c>
      <c r="F98" s="150"/>
      <c r="G98" s="143" t="str">
        <f>IF(ISBLANK(F98),"",IF(F98-E98&lt;=1,"PASS","FAIL"))</f>
      </c>
      <c r="H98" s="136"/>
      <c r="I98" s="6" t="s">
        <v>95</v>
      </c>
      <c r="J98" s="136"/>
      <c r="K98" s="136"/>
      <c r="L98" s="136"/>
    </row>
    <row r="99" spans="1:14" x14ac:dyDescent="0.25">
      <c r="A99" s="136"/>
      <c r="B99" s="316"/>
      <c r="C99" s="318" t="s">
        <v>179</v>
      </c>
      <c r="D99" s="318"/>
      <c r="E99" s="142">
        <v>0</v>
      </c>
      <c r="F99" s="150"/>
      <c r="G99" s="143" t="str">
        <f>IF(ISBLANK(F99),"",IF(F99-E99&lt;=1,"PASS","FAIL"))</f>
      </c>
      <c r="H99" s="136"/>
      <c r="I99" s="6" t="s">
        <v>95</v>
      </c>
      <c r="J99" s="136"/>
      <c r="K99" s="136"/>
      <c r="L99" s="136"/>
    </row>
    <row r="100" spans="1:14" x14ac:dyDescent="0.25">
      <c r="A100" s="136"/>
      <c r="B100" s="316"/>
      <c r="C100" s="318" t="s">
        <v>180</v>
      </c>
      <c r="D100" s="318"/>
      <c r="E100" s="144">
        <v>0.54</v>
      </c>
      <c r="F100" s="151"/>
      <c r="G100" s="143" t="str">
        <f>IF(ISBLANK(F100),"",IF(AND(F100-E100&lt;=0.1,F100-E100&gt;=-0.1),"PASS","FAIL"))</f>
      </c>
      <c r="H100" s="145"/>
      <c r="I100" s="6" t="s">
        <v>225</v>
      </c>
      <c r="J100" s="136"/>
      <c r="K100" s="136"/>
      <c r="L100" s="136"/>
    </row>
    <row r="101" spans="1:14" x14ac:dyDescent="0.25">
      <c r="A101" s="136"/>
      <c r="B101" s="316"/>
      <c r="C101" s="318" t="s">
        <v>181</v>
      </c>
      <c r="D101" s="318"/>
      <c r="E101" s="142">
        <v>98</v>
      </c>
      <c r="F101" s="150"/>
      <c r="G101" s="143" t="str">
        <f>IF(ISBLANK(F101),"",IF(ABS(F101-E101)&lt;=2,"PASS","FAIL"))</f>
      </c>
      <c r="H101" s="136"/>
      <c r="I101" s="6" t="s">
        <v>194</v>
      </c>
      <c r="J101" s="136"/>
      <c r="K101" s="136"/>
      <c r="L101" s="136"/>
    </row>
    <row r="102" spans="1:14" x14ac:dyDescent="0.25">
      <c r="A102" s="136"/>
      <c r="B102" s="316"/>
      <c r="C102" s="318" t="s">
        <v>182</v>
      </c>
      <c r="D102" s="318"/>
      <c r="E102" s="142">
        <v>98</v>
      </c>
      <c r="F102" s="150"/>
      <c r="G102" s="143" t="str">
        <f>IF(ISBLANK(F102),"",IF(ABS(F102-E102)&lt;=2,"PASS","FAIL"))</f>
      </c>
      <c r="H102" s="136"/>
      <c r="I102" s="6" t="s">
        <v>194</v>
      </c>
      <c r="J102" s="136"/>
      <c r="K102" s="136"/>
      <c r="L102" s="136"/>
    </row>
    <row r="103" spans="1:14" x14ac:dyDescent="0.25">
      <c r="A103" s="136"/>
      <c r="B103" s="316"/>
      <c r="C103" s="318" t="s">
        <v>183</v>
      </c>
      <c r="D103" s="318"/>
      <c r="E103" s="142">
        <v>1</v>
      </c>
      <c r="F103" s="150"/>
      <c r="G103" s="143" t="str">
        <f>IF(ISBLANK(F103),"",IF(ABS(F103-E103)&lt;=0.5,"PASS","FAIL"))</f>
      </c>
      <c r="H103" s="136"/>
      <c r="I103" s="6" t="s">
        <v>195</v>
      </c>
      <c r="J103" s="136"/>
      <c r="K103" s="136"/>
      <c r="L103" s="136"/>
    </row>
    <row r="104" spans="1:14" x14ac:dyDescent="0.25">
      <c r="A104" s="136"/>
      <c r="B104" s="316"/>
      <c r="C104" s="318" t="s">
        <v>185</v>
      </c>
      <c r="D104" s="318"/>
      <c r="E104" s="142">
        <v>2</v>
      </c>
      <c r="F104" s="150"/>
      <c r="G104" s="143" t="str">
        <f>IF(ISBLANK(F104),"",IF(ABS(F104-E104)&lt;=1,"PASS","FAIL"))</f>
      </c>
      <c r="H104" s="136"/>
      <c r="I104" s="6" t="s">
        <v>196</v>
      </c>
      <c r="J104" s="136"/>
      <c r="K104" s="136"/>
      <c r="L104" s="136"/>
    </row>
    <row r="105" spans="1:14" x14ac:dyDescent="0.25">
      <c r="A105" s="136"/>
      <c r="B105" s="316"/>
      <c r="C105" s="318" t="s">
        <v>184</v>
      </c>
      <c r="D105" s="318"/>
      <c r="E105" s="142">
        <v>0</v>
      </c>
      <c r="F105" s="150"/>
      <c r="G105" s="143" t="str">
        <f>IF(ISBLANK(F105),"",IF(ABS(F105-E105)&lt;=100,"PASS","FAIL"))</f>
      </c>
      <c r="H105" s="136"/>
      <c r="I105" s="6" t="s">
        <v>218</v>
      </c>
      <c r="J105" s="136"/>
      <c r="K105" s="136"/>
      <c r="L105" s="136"/>
    </row>
    <row r="106" spans="1:14" x14ac:dyDescent="0.25">
      <c r="A106" s="136"/>
      <c r="B106" s="317"/>
      <c r="C106" s="318" t="s">
        <v>190</v>
      </c>
      <c r="D106" s="318"/>
      <c r="E106" s="142">
        <v>2</v>
      </c>
      <c r="F106" s="150"/>
      <c r="G106" s="143" t="str">
        <f>IF(ISBLANK(F106),"",IF(ABS(F106-E106)&lt;=1,"PASS","FAIL"))</f>
      </c>
      <c r="H106" s="136"/>
      <c r="I106" s="6" t="s">
        <v>95</v>
      </c>
      <c r="J106" s="136"/>
      <c r="K106" s="136"/>
      <c r="L106" s="136"/>
    </row>
    <row r="107" spans="1:14" x14ac:dyDescent="0.25">
      <c r="A107" s="136"/>
      <c r="B107" s="136"/>
      <c r="C107" s="136"/>
      <c r="D107" s="136"/>
      <c r="E107" s="136"/>
      <c r="F107" s="136"/>
      <c r="G107" s="136"/>
      <c r="H107" s="136"/>
      <c r="I107" s="136"/>
      <c r="J107" s="136"/>
      <c r="K107" s="136"/>
      <c r="L107" s="136"/>
    </row>
    <row r="111" spans="1:14" x14ac:dyDescent="0.25">
      <c r="N111" s="3" t="s">
        <v>174</v>
      </c>
    </row>
    <row r="135" spans="14:14" x14ac:dyDescent="0.25">
      <c r="N135" s="3" t="s">
        <v>176</v>
      </c>
    </row>
    <row r="175" spans="14:14" x14ac:dyDescent="0.25">
      <c r="N175" s="3" t="s">
        <v>177</v>
      </c>
    </row>
  </sheetData>
  <mergeCells count="50">
    <mergeCell ref="B98:B106"/>
    <mergeCell ref="C98:D98"/>
    <mergeCell ref="C99:D99"/>
    <mergeCell ref="C100:D100"/>
    <mergeCell ref="C101:D101"/>
    <mergeCell ref="C102:D102"/>
    <mergeCell ref="C103:D103"/>
    <mergeCell ref="C104:D104"/>
    <mergeCell ref="C105:D105"/>
    <mergeCell ref="C106:D106"/>
    <mergeCell ref="B89:L91"/>
    <mergeCell ref="A1:K1"/>
    <mergeCell ref="G3:J3"/>
    <mergeCell ref="B6:E6"/>
    <mergeCell ref="C49:D49"/>
    <mergeCell ref="C50:D50"/>
    <mergeCell ref="C54:D54"/>
    <mergeCell ref="C55:D55"/>
    <mergeCell ref="C56:D56"/>
    <mergeCell ref="B71:B77"/>
    <mergeCell ref="C71:D71"/>
    <mergeCell ref="C72:D72"/>
    <mergeCell ref="C73:D73"/>
    <mergeCell ref="C74:D74"/>
    <mergeCell ref="C75:D75"/>
    <mergeCell ref="C76:D76"/>
    <mergeCell ref="C57:D57"/>
    <mergeCell ref="B49:B57"/>
    <mergeCell ref="C51:D51"/>
    <mergeCell ref="C52:D52"/>
    <mergeCell ref="C53:D53"/>
    <mergeCell ref="C77:D77"/>
    <mergeCell ref="B80:B86"/>
    <mergeCell ref="C80:D80"/>
    <mergeCell ref="C81:D81"/>
    <mergeCell ref="C82:D82"/>
    <mergeCell ref="C83:D83"/>
    <mergeCell ref="C84:D84"/>
    <mergeCell ref="C85:D85"/>
    <mergeCell ref="C86:D86"/>
    <mergeCell ref="B60:B68"/>
    <mergeCell ref="C60:D60"/>
    <mergeCell ref="C61:D61"/>
    <mergeCell ref="C62:D62"/>
    <mergeCell ref="C63:D63"/>
    <mergeCell ref="C64:D64"/>
    <mergeCell ref="C65:D65"/>
    <mergeCell ref="C66:D66"/>
    <mergeCell ref="C67:D67"/>
    <mergeCell ref="C68:D68"/>
  </mergeCells>
  <conditionalFormatting sqref="G49:G57 G71:G77 G80:G86">
    <cfRule type="cellIs" dxfId="2" priority="3" operator="equal">
      <formula>"FAIL"</formula>
    </cfRule>
  </conditionalFormatting>
  <conditionalFormatting sqref="G60:G68">
    <cfRule type="cellIs" dxfId="1" priority="2" operator="equal">
      <formula>"FAIL"</formula>
    </cfRule>
  </conditionalFormatting>
  <conditionalFormatting sqref="G98:G106">
    <cfRule type="cellIs" dxfId="0" priority="1" operator="equal">
      <formula>"FAIL"</formula>
    </cfRule>
  </conditionalFormatting>
  <printOptions horizontalCentered="1"/>
  <pageMargins left="0.25" right="0.25" top="0.25" bottom="0.25" header="0.05" footer="0.05"/>
  <pageSetup scale="54"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Coversheet</vt:lpstr>
      <vt:lpstr>A. Safety</vt:lpstr>
      <vt:lpstr>B. Mechanical</vt:lpstr>
      <vt:lpstr>C. Dosimetry</vt:lpstr>
      <vt:lpstr>D. MLC</vt:lpstr>
      <vt:lpstr>E. Patient Alignment</vt:lpstr>
      <vt:lpstr>List</vt:lpstr>
      <vt:lpstr>F. Image Quality</vt:lpstr>
      <vt:lpstr>'A. Safety'!Print_Area</vt:lpstr>
      <vt:lpstr>'B. Mechanical'!Print_Area</vt:lpstr>
      <vt:lpstr>'C. Dosimetry'!Print_Area</vt:lpstr>
      <vt:lpstr>Coversheet!Print_Area</vt:lpstr>
      <vt:lpstr>'D. MLC'!Print_Area</vt:lpstr>
      <vt:lpstr>'E. Patient Alignment'!Print_Area</vt:lpstr>
      <vt:lpstr>'F. Image Quality'!Print_Area</vt:lpstr>
    </vt:vector>
  </TitlesOfParts>
  <Company>University Medical Center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cliu</dc:creator>
  <cp:lastModifiedBy>Radiation Therapist</cp:lastModifiedBy>
  <cp:lastPrinted>2025-11-25T00:43:02Z</cp:lastPrinted>
  <dcterms:created xsi:type="dcterms:W3CDTF">2001-04-11T15:30:13Z</dcterms:created>
  <dcterms:modified xsi:type="dcterms:W3CDTF">2026-10-01T20:43:13Z</dcterms:modified>
</cp:coreProperties>
</file>