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EACAR\IndicatorQuantiles\"/>
    </mc:Choice>
  </mc:AlternateContent>
  <xr:revisionPtr revIDLastSave="0" documentId="13_ncr:1_{9C693076-BF21-4A3B-91AD-D7F167A0C529}" xr6:coauthVersionLast="47" xr6:coauthVersionMax="47" xr10:uidLastSave="{00000000-0000-0000-0000-000000000000}"/>
  <bookViews>
    <workbookView xWindow="15" yWindow="1837" windowWidth="20505" windowHeight="9938" xr2:uid="{D790856F-7969-4548-8967-F52CF37FFD75}"/>
  </bookViews>
  <sheets>
    <sheet name="Ref_Parameters_Thresholds" sheetId="1" r:id="rId1"/>
  </sheets>
  <externalReferences>
    <externalReference r:id="rId2"/>
  </externalReferences>
  <definedNames>
    <definedName name="_xlnm._FilterDatabase" localSheetId="0" hidden="1">Ref_Parameters_Thresholds!$A$4:$R$87</definedName>
    <definedName name="AA_Rep">[1]Lookup_TypeName_Metadata!$A$8</definedName>
    <definedName name="Ammonia">[1]Lookup_ParameterNames!$A$7</definedName>
    <definedName name="Ammonium">[1]Lookup_ParameterNames!$A$8</definedName>
    <definedName name="AreaSwept">[1]Lookup_TypeName_Metadata!$A$9</definedName>
    <definedName name="BB">[1]Lookup_ParameterNames!$A$9</definedName>
    <definedName name="C_Diameter">[1]Lookup_ParameterNames!$A$12</definedName>
    <definedName name="C_Height">[1]Lookup_ParameterNames!$A$13</definedName>
    <definedName name="C_Length">[1]Lookup_ParameterNames!$A$14</definedName>
    <definedName name="C_Width">[1]Lookup_ParameterNames!$A$15</definedName>
    <definedName name="CanopyPerCov">[1]Lookup_ParameterNames!$A$54</definedName>
    <definedName name="CDOM">[1]Lookup_ParameterNames!$A$16</definedName>
    <definedName name="Chla_cor">[1]Lookup_ParameterNames!$A$10</definedName>
    <definedName name="Chla_uncor">[1]Lookup_ParameterNames!$A$11</definedName>
    <definedName name="Count">[1]Lookup_ParameterNames!$A$17</definedName>
    <definedName name="DA_Rep">[1]Lookup_TypeName_Metadata!$A$10</definedName>
    <definedName name="Density">[1]Lookup_ParameterNames!$A$18</definedName>
    <definedName name="DO">[1]Lookup_ParameterNames!$A$19</definedName>
    <definedName name="DOsat">[1]Lookup_ParameterNames!$A$20</definedName>
    <definedName name="FDOM">[1]Lookup_ParameterNames!$A$21</definedName>
    <definedName name="Fork_L">[1]Lookup_ParameterNames!$A$22</definedName>
    <definedName name="GearSize">[1]Lookup_TypeName_Metadata!$A$12</definedName>
    <definedName name="GearType">[1]Lookup_TypeName_Metadata!$A$13</definedName>
    <definedName name="Grid">[1]Lookup_TypeName_Metadata!$A$14</definedName>
    <definedName name="HabClass">[1]Lookup_TypeName_Metadata!$A$15</definedName>
    <definedName name="Hectares">[1]Lookup_ParameterNames!$A$23</definedName>
    <definedName name="LEC">[1]Lookup_ParameterNames!$A$24</definedName>
    <definedName name="MBB">[1]Lookup_ParameterNames!$A$25</definedName>
    <definedName name="MeshSize">[1]Lookup_TypeName_Metadata!$A$17</definedName>
    <definedName name="MinSizeM">[1]Lookup_TypeName_Metadata!$A$18</definedName>
    <definedName name="N_Dead">[1]Lookup_ParameterNames!$A$30</definedName>
    <definedName name="N_Live">[1]Lookup_ParameterNames!$A$31</definedName>
    <definedName name="N_Measured">[1]Lookup_TypeName_Metadata!$A$19</definedName>
    <definedName name="N_Org">[1]Lookup_ParameterNames!$A$28</definedName>
    <definedName name="N_Total">[1]Lookup_ParameterNames!$A$32</definedName>
    <definedName name="Nitrate">[1]Lookup_ParameterNames!$A$26</definedName>
    <definedName name="Nitrite">[1]Lookup_ParameterNames!$A$27</definedName>
    <definedName name="NO2_3">[1]Lookup_ParameterNames!$A$29</definedName>
    <definedName name="NoCover">[1]Lookup_TypeName_Metadata!$A$7</definedName>
    <definedName name="PerCov">[1]Lookup_ParameterNames!$A$33</definedName>
    <definedName name="PerLive">[1]Lookup_ParameterNames!$A$34</definedName>
    <definedName name="PerLiveMeth">[1]Lookup_TypeName_Metadata!$A$20</definedName>
    <definedName name="PerLiveTis">[1]Lookup_ParameterNames!$A$35</definedName>
    <definedName name="PerOcc">[1]Lookup_ParameterNames!$A$36</definedName>
    <definedName name="pH">[1]Lookup_ParameterNames!$A$37</definedName>
    <definedName name="Phosphate">[1]Lookup_ParameterNames!$A$38</definedName>
    <definedName name="PlotSize">[1]Lookup_TypeName_Metadata!$A$21</definedName>
    <definedName name="PresAbs">[1]Lookup_ParameterNames!$A$39</definedName>
    <definedName name="QA_Parameters_and_Units">Ref_Parameters_Thresholds!$A$4:$D$87</definedName>
    <definedName name="QuadSize">[1]Lookup_TypeName_Metadata!$A$22</definedName>
    <definedName name="Reef_H">[1]Lookup_ParameterNames!$A$40</definedName>
    <definedName name="RepLev">[1]Lookup_TypeName_Metadata!$A$23</definedName>
    <definedName name="Sal">[1]Lookup_ParameterNames!$A$41</definedName>
    <definedName name="SampMeth">[1]Lookup_TypeName_Metadata!$A$24</definedName>
    <definedName name="SampMeth1">[1]Lookup_TypeName_Metadata!$A$25</definedName>
    <definedName name="SampMeth2">[1]Lookup_TypeName_Metadata!$A$26</definedName>
    <definedName name="Secchi">[1]Lookup_ParameterNames!$A$42</definedName>
    <definedName name="Shell_H">[1]Lookup_ParameterNames!$A$43</definedName>
    <definedName name="Shoot_C">[1]Lookup_ParameterNames!$A$44</definedName>
    <definedName name="Sn_An">[1]Lookup_ParameterNames!$A$45</definedName>
    <definedName name="SpecCond">[1]Lookup_ParameterNames!$A$46</definedName>
    <definedName name="Std_L">[1]Lookup_ParameterNames!$A$47</definedName>
    <definedName name="Stem_D">[1]Lookup_ParameterNames!$A$48</definedName>
    <definedName name="Subtidal">[1]Lookup_TypeName_Metadata!$A$28</definedName>
    <definedName name="SurveyMeth">[1]Lookup_TypeName_Metadata!$A$29</definedName>
    <definedName name="TKN">[1]Lookup_ParameterNames!$A$49</definedName>
    <definedName name="Tot_L">[1]Lookup_ParameterNames!$A$50</definedName>
    <definedName name="Tot_N">[1]Lookup_ParameterNames!$A$51</definedName>
    <definedName name="Tot_P">[1]Lookup_ParameterNames!$A$52</definedName>
    <definedName name="TowDist">[1]Lookup_TypeName_Metadata!$A$11</definedName>
    <definedName name="TowSpeed">[1]Lookup_TypeName_Metadata!$A$27</definedName>
    <definedName name="TowTime">[1]Lookup_TypeName_Metadata!$A$16</definedName>
    <definedName name="TSS">[1]Lookup_ParameterNames!$A$53</definedName>
    <definedName name="Turb">[1]Lookup_ParameterNames!$A$55</definedName>
    <definedName name="W_Temp">[1]Lookup_ParameterNames!$A$56</definedName>
    <definedName name="Width">[1]Lookup_ParameterNames!$A$57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9" i="1"/>
  <c r="C18" i="1"/>
  <c r="C17" i="1"/>
  <c r="C16" i="1"/>
  <c r="C15" i="1"/>
  <c r="C14" i="1"/>
  <c r="C12" i="1"/>
  <c r="C11" i="1"/>
  <c r="C10" i="1"/>
  <c r="C9" i="1"/>
  <c r="C8" i="1"/>
  <c r="C7" i="1"/>
  <c r="C6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tc={DF25281E-420C-4BCC-8CCA-C136CE2AAAB8}</author>
    <author>tc={16398DDA-E345-46C6-98E0-33B749DCE761}</author>
    <author>tc={25C786D6-424A-480C-97A3-D32D0C75C96D}</author>
    <author>tc={11324358-22D0-4E2C-AC36-D644D9E6BD93}</author>
    <author>tc={E36FDCED-7A92-4722-B02B-CC34A556DA89}</author>
    <author>tc={DE70D264-A38F-464F-926D-A21D287E45C6}</author>
    <author>tc={5A7A13FC-ABCA-4C33-A9D1-C200B13D74AC}</author>
    <author>tc={A3260DB1-E3B8-481F-B0C6-730117BF5005}</author>
  </authors>
  <commentList>
    <comment ref="Q4" authorId="0" shapeId="0" xr:uid="{DF25281E-420C-4BCC-8CCA-C136CE2AAAB8}">
      <text>
        <t>[Threaded comment]
Your version of Excel allows you to read this threaded comment; however, any edits to it will get removed if the file is opened in a newer version of Excel. Learn more: https://go.microsoft.com/fwlink/?linkid=870924
Comment:
    @Durham, Stephen I think we need to calculate High questionable values so and perameter that does not have an established threshold, so unreasonable values are double checked.</t>
      </text>
    </comment>
    <comment ref="E45" authorId="1" shapeId="0" xr:uid="{16398DDA-E345-46C6-98E0-33B749DCE761}">
      <text>
        <t>[Threaded comment]
Your version of Excel allows you to read this threaded comment; however, any edits to it will get removed if the file is opened in a newer version of Excel. Learn more: https://go.microsoft.com/fwlink/?linkid=870924
Comment:
    identified as "Shell Height/NAm2" indicator quantiles export.</t>
      </text>
    </comment>
    <comment ref="C51" authorId="2" shapeId="0" xr:uid="{25C786D6-424A-480C-97A3-D32D0C75C96D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Cover</t>
      </text>
    </comment>
    <comment ref="C53" authorId="3" shapeId="0" xr:uid="{11324358-22D0-4E2C-AC36-D644D9E6BD93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Occurrance</t>
      </text>
    </comment>
    <comment ref="G57" authorId="4" shapeId="0" xr:uid="{E36FDCED-7A92-4722-B02B-CC34A556DA8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numeric, like WQ low thresholds (e.g., 0.00001)</t>
      </text>
    </comment>
    <comment ref="R63" authorId="5" shapeId="0" xr:uid="{DE70D264-A38F-464F-926D-A21D287E45C6}">
      <text>
        <t>[Threaded comment]
Your version of Excel allows you to read this threaded comment; however, any edits to it will get removed if the file is opened in a newer version of Excel. Learn more: https://go.microsoft.com/fwlink/?linkid=870924
Comment:
    [Mention was removed] were questionable values not calculated because the values were not in the exports? I am afraid if we only flag the calculated value the program data that does not include the calculated value will  not be flagged.</t>
      </text>
    </comment>
    <comment ref="C72" authorId="6" shapeId="0" xr:uid="{5A7A13FC-ABCA-4C33-A9D1-C200B13D74AC}">
      <text>
        <t>[Threaded comment]
Your version of Excel allows you to read this threaded comment; however, any edits to it will get removed if the file is opened in a newer version of Excel. Learn more: https://go.microsoft.com/fwlink/?linkid=870924
Comment:
    Row for calculated TN (high/low questionable values are based on both measured and calculated TN values)</t>
      </text>
    </comment>
    <comment ref="H86" authorId="7" shapeId="0" xr:uid="{A3260DB1-E3B8-481F-B0C6-730117BF5005}">
      <text>
        <t>[Threaded comment]
Your version of Excel allows you to read this threaded comment; however, any edits to it will get removed if the file is opened in a newer version of Excel. Learn more: https://go.microsoft.com/fwlink/?linkid=870924
Comment:
    New; we did not have thresholds for specific conductivity in this spreadsheet before May 2023.</t>
      </text>
    </comment>
  </commentList>
</comments>
</file>

<file path=xl/sharedStrings.xml><?xml version="1.0" encoding="utf-8"?>
<sst xmlns="http://schemas.openxmlformats.org/spreadsheetml/2006/main" count="875" uniqueCount="103">
  <si>
    <t>Master List of Parameters Defined for SEACAR, including units</t>
  </si>
  <si>
    <t>Note: Some parameters are not included within the export files, but are required for calculations during processing (e.g., nitrogen species)</t>
  </si>
  <si>
    <t>HabitatName</t>
  </si>
  <si>
    <t>IndicatorName</t>
  </si>
  <si>
    <t>ParameterName</t>
  </si>
  <si>
    <t>Units</t>
  </si>
  <si>
    <t>QuadSize_m2</t>
  </si>
  <si>
    <t>UpdatesPaused</t>
  </si>
  <si>
    <t>ThresholdMin</t>
  </si>
  <si>
    <t>ThresholdMax</t>
  </si>
  <si>
    <t>ThresholdSource</t>
  </si>
  <si>
    <t>ExpectedValues</t>
  </si>
  <si>
    <t>Conversions</t>
  </si>
  <si>
    <t>ValuesSource</t>
  </si>
  <si>
    <t>LowQuantile</t>
  </si>
  <si>
    <t>HighQuantile</t>
  </si>
  <si>
    <t>ActionNeeded</t>
  </si>
  <si>
    <t>ActionNeededDate</t>
  </si>
  <si>
    <t>QuestionableSource</t>
  </si>
  <si>
    <t>Comments</t>
  </si>
  <si>
    <t>Coastal Wetlands</t>
  </si>
  <si>
    <t>Acreage (by habitat)</t>
  </si>
  <si>
    <t>ha</t>
  </si>
  <si>
    <t>NA</t>
  </si>
  <si>
    <t>Calculated from aerial imagery</t>
  </si>
  <si>
    <t>%</t>
  </si>
  <si>
    <t>https://github.com/FloridaSEACAR/IndicatorQuantiles/blob/main/IndicatorQuantiles_2023-08-23.xlsx</t>
  </si>
  <si>
    <t>#/m2</t>
  </si>
  <si>
    <t>Coral/Coral Reef</t>
  </si>
  <si>
    <t>Acreage</t>
  </si>
  <si>
    <t>Community Composition</t>
  </si>
  <si>
    <t>Grazers and Reef Dependent Species</t>
  </si>
  <si>
    <t>Count</t>
  </si>
  <si>
    <t>Y/N</t>
  </si>
  <si>
    <t>boolean</t>
  </si>
  <si>
    <t>0 = FALSE = N; 1 = TRUE = Y</t>
  </si>
  <si>
    <t>Percent Cover</t>
  </si>
  <si>
    <t>cm</t>
  </si>
  <si>
    <t>C</t>
  </si>
  <si>
    <t>Presence/Absence</t>
  </si>
  <si>
    <t>Oyster/Oyster Reef</t>
  </si>
  <si>
    <t>Density</t>
  </si>
  <si>
    <t>Additional Indicators</t>
  </si>
  <si>
    <t>mm</t>
  </si>
  <si>
    <t>Percent Live</t>
  </si>
  <si>
    <t>Size Class</t>
  </si>
  <si>
    <t>Submerged Aquatic Vegetation</t>
  </si>
  <si>
    <t>Percent Cover (by species)</t>
  </si>
  <si>
    <t>Score</t>
  </si>
  <si>
    <t>0, 0.1, 0.5, 1, 2, 3, 4, 5</t>
  </si>
  <si>
    <t>van der Maarel (2007)</t>
  </si>
  <si>
    <t>n, t, 0, 0.1, 0.5, 1, 2, 3, 4, 5</t>
  </si>
  <si>
    <t>n = 0.1; t = 0.5</t>
  </si>
  <si>
    <t>Percent Cover (total)</t>
  </si>
  <si>
    <t>#</t>
  </si>
  <si>
    <t>Need SME input; Updates on this parameter were paused as of May 2023</t>
  </si>
  <si>
    <t>Water Column</t>
  </si>
  <si>
    <t>Nekton</t>
  </si>
  <si>
    <t>Snout to Anus data were not in Nekton DDI export file</t>
  </si>
  <si>
    <t>Total Length data were not in Nekton DDI export file</t>
  </si>
  <si>
    <t>Width data were not in Nekton DDI export file</t>
  </si>
  <si>
    <t>Nutrients</t>
  </si>
  <si>
    <t>mg/L</t>
  </si>
  <si>
    <t>Individual nitrogen species not assessed</t>
  </si>
  <si>
    <t>Row for measured TN only</t>
  </si>
  <si>
    <t>Row for calculated TN (high/low questionable values are based on both measured and calculated TN values)</t>
  </si>
  <si>
    <t>Water Clarity</t>
  </si>
  <si>
    <t>ug/L</t>
  </si>
  <si>
    <t>PCU</t>
  </si>
  <si>
    <t>QSE</t>
  </si>
  <si>
    <t>FDOM data were not in Discrete WQ DDI export file</t>
  </si>
  <si>
    <t>m^-1</t>
  </si>
  <si>
    <t>m</t>
  </si>
  <si>
    <t>From: Nelson, Justin M. &lt;Justin.M.Nelson@FloridaDEP.gov&gt;
Sent: Thursday, March 2, 2023 9:50 AM
Subject: WIN Range Check Updates</t>
  </si>
  <si>
    <t>VOB, 999, &gt;B</t>
  </si>
  <si>
    <t>VOB, 999, &gt;B = "visible on bottom"</t>
  </si>
  <si>
    <t>WIN</t>
  </si>
  <si>
    <t>Visible on bottom should be mapped to "total depth" and flagged; total depth should be plotted along with Secchi depth for necessary context</t>
  </si>
  <si>
    <t>NTU</t>
  </si>
  <si>
    <t>Water Quality</t>
  </si>
  <si>
    <t>http://publicfiles.dep.state.fl.us/DEAR/WIN/MDQS/4_Activity_Result_WIN_Standards.xlsx</t>
  </si>
  <si>
    <t>SU</t>
  </si>
  <si>
    <t>ppt</t>
  </si>
  <si>
    <t>1 ppt = 1 PSU</t>
  </si>
  <si>
    <t>check conversion with PSU; http://publicfiles.dep.state.fl.us/DEAR/WIN/MDQS/4_Activity_Result_WIN_Standards.xlsx</t>
  </si>
  <si>
    <t>mS/cm</t>
  </si>
  <si>
    <t>1 mS/cm = 1,000 μmhos/cm</t>
  </si>
  <si>
    <t>Degrees C</t>
  </si>
  <si>
    <t>Water Quality - Continuous</t>
  </si>
  <si>
    <t>U</t>
  </si>
  <si>
    <t>Dissolved Oxygen</t>
  </si>
  <si>
    <t>Dissolved Oxygen Saturation</t>
  </si>
  <si>
    <t>Salinity</t>
  </si>
  <si>
    <t>Water Temperature</t>
  </si>
  <si>
    <t>pH</t>
  </si>
  <si>
    <t>Turbidity</t>
  </si>
  <si>
    <t>Water Clarity - Continuous</t>
  </si>
  <si>
    <t>0 to 100 (inclusive)</t>
  </si>
  <si>
    <t>0 or positive integers</t>
  </si>
  <si>
    <t>0 to 100 (inclusive); values should match grid #/100 intervals</t>
  </si>
  <si>
    <t>values should match grid #/100 intervals</t>
  </si>
  <si>
    <t>IndicatorQuantiles_2023-11-27.xlsx</t>
  </si>
  <si>
    <t>Species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</si>
</sst>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2F5496"/>
      <name val="Calibri Light"/>
      <family val="2"/>
    </font>
    <font>
      <sz val="1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right"/>
    </xf>
    <xf numFmtId="22" fontId="0" fillId="0" borderId="0" xfId="0" applyNumberForma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1" fillId="2" borderId="0" xfId="1"/>
    <xf numFmtId="0" fontId="1" fillId="2" borderId="0" xfId="1" applyAlignment="1">
      <alignment horizontal="right"/>
    </xf>
    <xf numFmtId="0" fontId="2" fillId="0" borderId="0" xfId="0" applyFont="1"/>
    <xf numFmtId="0" fontId="0" fillId="0" borderId="0" xfId="0" quotePrefix="1"/>
    <xf numFmtId="0" fontId="10" fillId="0" borderId="0" xfId="2"/>
    <xf numFmtId="0" fontId="0" fillId="0" borderId="0" xfId="2" applyFont="1" applyAlignment="1">
      <alignment wrapText="1"/>
    </xf>
    <xf numFmtId="0" fontId="1" fillId="2" borderId="0" xfId="1" applyAlignment="1">
      <alignment horizontal="left"/>
    </xf>
    <xf numFmtId="14" fontId="1" fillId="2" borderId="0" xfId="1" applyNumberFormat="1" applyAlignment="1">
      <alignment horizontal="right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loridadep.sharepoint.com/fco/seacar/Shared%20Documents/SEACAR_DataExportFile_Metadata_2022-06.xlsx" TargetMode="External"/><Relationship Id="rId1" Type="http://schemas.openxmlformats.org/officeDocument/2006/relationships/externalLinkPath" Target="https://floridadep.sharepoint.com/fco/seacar/Shared%20Documents/SEACAR_DataExportFile_Metadata_2022-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Data and QA Processes"/>
      <sheetName val="Ref_Parameters_SpGroup_2023-11"/>
      <sheetName val="Ref_Parameters_Master_2023-11"/>
      <sheetName val="Lookup_ParameterNames"/>
      <sheetName val="Ref_Parameters_Master_2023-10"/>
      <sheetName val="Ref_Parameters_Thresholds"/>
      <sheetName val="Ref_Quantiles"/>
      <sheetName val="Ref_RelativeDepth"/>
      <sheetName val="Ref_TotalNitrogen"/>
      <sheetName val="Ref_WQ_Include"/>
      <sheetName val="Ref_QAQCFlag"/>
      <sheetName val="Ref_LandCover"/>
      <sheetName val="Ref_LandCover_Group"/>
      <sheetName val="Ref_LandCover_FLUCCS_Lookup"/>
      <sheetName val="Ref_Species"/>
      <sheetName val="RefSppTable_2023-09-05"/>
      <sheetName val="Ref_SpeciesGroups"/>
      <sheetName val="Ref_MethodMetadata_20231030"/>
      <sheetName val="Ref_TypeName_Metadata"/>
      <sheetName val="Lookup_TypeName_Metadata"/>
      <sheetName val="OLD_Ref_Method_Metadata"/>
      <sheetName val="Water Quality - Discrete"/>
      <sheetName val="Water Quality - Continuous"/>
      <sheetName val="SAV"/>
      <sheetName val="Oyster"/>
      <sheetName val="Nekton"/>
      <sheetName val="Acreage Data"/>
      <sheetName val="Coral"/>
      <sheetName val="Coastal Wetlands"/>
    </sheetNames>
    <sheetDataSet>
      <sheetData sheetId="0"/>
      <sheetData sheetId="1"/>
      <sheetData sheetId="2"/>
      <sheetData sheetId="3"/>
      <sheetData sheetId="4">
        <row r="7">
          <cell r="A7" t="str">
            <v>Ammonia, Un-ionized (NH3)</v>
          </cell>
        </row>
        <row r="8">
          <cell r="A8" t="str">
            <v>Ammonium, Filtered (NH4)</v>
          </cell>
        </row>
        <row r="9">
          <cell r="A9" t="str">
            <v>Braun Blanquet Score</v>
          </cell>
        </row>
        <row r="10">
          <cell r="A10" t="str">
            <v>Chlorophyll a, Corrected for Pheophytin</v>
          </cell>
        </row>
        <row r="11">
          <cell r="A11" t="str">
            <v>Chlorophyll a, Uncorrected for Pheophytin</v>
          </cell>
        </row>
        <row r="12">
          <cell r="A12" t="str">
            <v>Colony Diameter</v>
          </cell>
        </row>
        <row r="13">
          <cell r="A13" t="str">
            <v>Colony Height</v>
          </cell>
        </row>
        <row r="14">
          <cell r="A14" t="str">
            <v>Colony Length</v>
          </cell>
        </row>
        <row r="15">
          <cell r="A15" t="str">
            <v>Colony Width</v>
          </cell>
        </row>
        <row r="16">
          <cell r="A16" t="str">
            <v>Colored Dissolved Organic Matter</v>
          </cell>
        </row>
        <row r="17">
          <cell r="A17" t="str">
            <v>Count</v>
          </cell>
        </row>
        <row r="18">
          <cell r="A18" t="str">
            <v>Density</v>
          </cell>
        </row>
        <row r="19">
          <cell r="A19" t="str">
            <v>Dissolved Oxygen</v>
          </cell>
        </row>
        <row r="20">
          <cell r="A20" t="str">
            <v>Dissolved Oxygen Saturation</v>
          </cell>
        </row>
        <row r="21">
          <cell r="A21" t="str">
            <v>Fluorescent Dissolved Organic Matter</v>
          </cell>
        </row>
        <row r="22">
          <cell r="A22" t="str">
            <v>Fork Length</v>
          </cell>
        </row>
        <row r="23">
          <cell r="A23" t="str">
            <v>Hectares</v>
          </cell>
        </row>
        <row r="24">
          <cell r="A24" t="str">
            <v>Light Extinction Coefficient</v>
          </cell>
        </row>
        <row r="25">
          <cell r="A25" t="str">
            <v>Modified Braun Blanquet Score</v>
          </cell>
        </row>
        <row r="26">
          <cell r="A26" t="str">
            <v>Nitrate (NO3)</v>
          </cell>
        </row>
        <row r="27">
          <cell r="A27" t="str">
            <v>Nitrite (NO2)</v>
          </cell>
        </row>
        <row r="28">
          <cell r="A28" t="str">
            <v>Nitrogen, Organic</v>
          </cell>
        </row>
        <row r="29">
          <cell r="A29" t="str">
            <v>NO2+3, Filtered</v>
          </cell>
        </row>
        <row r="30">
          <cell r="A30" t="str">
            <v>Number of Oysters Counted - Dead</v>
          </cell>
        </row>
        <row r="31">
          <cell r="A31" t="str">
            <v>Number of Oysters Counted - Live</v>
          </cell>
        </row>
        <row r="32">
          <cell r="A32" t="str">
            <v>Number of Oysters Counted - Total</v>
          </cell>
        </row>
        <row r="33">
          <cell r="A33" t="str">
            <v>Percent Cover</v>
          </cell>
        </row>
        <row r="34">
          <cell r="A34" t="str">
            <v>Percent Live</v>
          </cell>
        </row>
        <row r="35">
          <cell r="A35" t="str">
            <v>Percent Live Tissue</v>
          </cell>
        </row>
        <row r="36">
          <cell r="A36" t="str">
            <v>Percent Occurrence</v>
          </cell>
        </row>
        <row r="37">
          <cell r="A37" t="str">
            <v>pH</v>
          </cell>
        </row>
        <row r="38">
          <cell r="A38" t="str">
            <v>Phosphate, Filtered (PO4)</v>
          </cell>
        </row>
        <row r="39">
          <cell r="A39" t="str">
            <v>Presence/Absence</v>
          </cell>
        </row>
        <row r="40">
          <cell r="A40" t="str">
            <v>Reef Height</v>
          </cell>
        </row>
        <row r="41">
          <cell r="A41" t="str">
            <v>Salinity</v>
          </cell>
        </row>
        <row r="42">
          <cell r="A42" t="str">
            <v>Secchi Depth</v>
          </cell>
        </row>
        <row r="43">
          <cell r="A43" t="str">
            <v>Shell Height</v>
          </cell>
        </row>
        <row r="44">
          <cell r="A44" t="str">
            <v>Shoot Count</v>
          </cell>
        </row>
        <row r="45">
          <cell r="A45" t="str">
            <v>Snout to Anus</v>
          </cell>
        </row>
        <row r="46">
          <cell r="A46" t="str">
            <v>Specific Conductivity</v>
          </cell>
        </row>
        <row r="47">
          <cell r="A47" t="str">
            <v>Standard Length</v>
          </cell>
        </row>
        <row r="48">
          <cell r="A48" t="str">
            <v>Stem Density</v>
          </cell>
        </row>
        <row r="49">
          <cell r="A49" t="str">
            <v>Total Kjeldahl Nitrogen</v>
          </cell>
        </row>
        <row r="50">
          <cell r="A50" t="str">
            <v>Total Length</v>
          </cell>
        </row>
        <row r="51">
          <cell r="A51" t="str">
            <v>Total Nitrogen</v>
          </cell>
        </row>
        <row r="52">
          <cell r="A52" t="str">
            <v>Total Phosphorus</v>
          </cell>
        </row>
        <row r="53">
          <cell r="A53" t="str">
            <v>Total Suspended Solids</v>
          </cell>
        </row>
        <row r="54">
          <cell r="A54" t="str">
            <v>Total/Canopy Percent Cover</v>
          </cell>
        </row>
        <row r="55">
          <cell r="A55" t="str">
            <v>Turbidity</v>
          </cell>
        </row>
        <row r="56">
          <cell r="A56" t="str">
            <v>Water Temperature</v>
          </cell>
        </row>
        <row r="57">
          <cell r="A57" t="str">
            <v>Width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7">
          <cell r="A7" t="str">
            <v>0CoverReported</v>
          </cell>
        </row>
        <row r="8">
          <cell r="A8" t="str">
            <v>AA_Reported</v>
          </cell>
        </row>
        <row r="9">
          <cell r="A9" t="str">
            <v>AreaSwept_m2</v>
          </cell>
        </row>
        <row r="10">
          <cell r="A10" t="str">
            <v>DA_Reported</v>
          </cell>
        </row>
        <row r="11">
          <cell r="A11" t="str">
            <v>DistanceTowed_m</v>
          </cell>
        </row>
        <row r="12">
          <cell r="A12" t="str">
            <v>GearSize_m</v>
          </cell>
        </row>
        <row r="13">
          <cell r="A13" t="str">
            <v>GearType</v>
          </cell>
        </row>
        <row r="14">
          <cell r="A14" t="str">
            <v>Grid</v>
          </cell>
        </row>
        <row r="15">
          <cell r="A15" t="str">
            <v>HabitatClassification</v>
          </cell>
        </row>
        <row r="16">
          <cell r="A16" t="str">
            <v>TowTime_min</v>
          </cell>
        </row>
        <row r="17">
          <cell r="A17" t="str">
            <v>MeshSize</v>
          </cell>
        </row>
        <row r="18">
          <cell r="A18" t="str">
            <v>MinimumSizeMeasured_mm</v>
          </cell>
        </row>
        <row r="19">
          <cell r="A19" t="str">
            <v>NumberMeasured_n</v>
          </cell>
        </row>
        <row r="20">
          <cell r="A20" t="str">
            <v>PercentLiveMethod</v>
          </cell>
        </row>
        <row r="21">
          <cell r="A21" t="str">
            <v>PlotSize_m2</v>
          </cell>
        </row>
        <row r="22">
          <cell r="A22" t="str">
            <v>QuadSize_m2</v>
          </cell>
        </row>
        <row r="23">
          <cell r="A23" t="str">
            <v>ReportingLevel</v>
          </cell>
        </row>
        <row r="24">
          <cell r="A24" t="str">
            <v>SamplingMethod</v>
          </cell>
        </row>
        <row r="25">
          <cell r="A25" t="str">
            <v>SamplingMethod1</v>
          </cell>
        </row>
        <row r="26">
          <cell r="A26" t="str">
            <v>SamplingMethod2</v>
          </cell>
        </row>
        <row r="27">
          <cell r="A27" t="str">
            <v>TowSpeed_kph</v>
          </cell>
        </row>
        <row r="28">
          <cell r="A28" t="str">
            <v>Subtidal</v>
          </cell>
        </row>
        <row r="29">
          <cell r="A29" t="str">
            <v>SurveyMethod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" dT="2023-05-15T18:31:45.54" personId="{00000000-0000-0000-0000-000000000000}" id="{DF25281E-420C-4BCC-8CCA-C136CE2AAAB8}">
    <text>@Durham, Stephen I think we need to calculate High questionable values so and perameter that does not have an established threshold, so unreasonable values are double checked.</text>
  </threadedComment>
  <threadedComment ref="E45" dT="2023-10-12T18:09:55.00" personId="{00000000-0000-0000-0000-000000000000}" id="{16398DDA-E345-46C6-98E0-33B749DCE761}">
    <text>identified as "Shell Height/NAm2" indicator quantiles export.</text>
  </threadedComment>
  <threadedComment ref="C51" dT="2023-10-12T13:15:19.20" personId="{00000000-0000-0000-0000-000000000000}" id="{25C786D6-424A-480C-97A3-D32D0C75C96D}">
    <text>Total Cover</text>
  </threadedComment>
  <threadedComment ref="C53" dT="2023-10-12T13:20:02.20" personId="{00000000-0000-0000-0000-000000000000}" id="{11324358-22D0-4E2C-AC36-D644D9E6BD93}">
    <text>Total Occurrance</text>
  </threadedComment>
  <threadedComment ref="G57" dT="2023-09-12T15:40:36.43" personId="{00000000-0000-0000-0000-000000000000}" id="{E36FDCED-7A92-4722-B02B-CC34A556DA89}">
    <text>Make numeric, like WQ low thresholds (e.g., 0.00001)</text>
  </threadedComment>
  <threadedComment ref="R63" dT="2023-05-15T18:27:49.25" personId="{00000000-0000-0000-0000-000000000000}" id="{DE70D264-A38F-464F-926D-A21D287E45C6}">
    <text>[Mention was removed] were questionable values not calculated because the values were not in the exports? I am afraid if we only flag the calculated value the program data that does not include the calculated value will  not be flagged.</text>
  </threadedComment>
  <threadedComment ref="C72" dT="2023-08-22T14:47:30.05" personId="{00000000-0000-0000-0000-000000000000}" id="{5A7A13FC-ABCA-4C33-A9D1-C200B13D74AC}">
    <text>Row for calculated TN (high/low questionable values are based on both measured and calculated TN values)</text>
  </threadedComment>
  <threadedComment ref="H86" dT="2023-05-04T14:56:52.80" personId="{00000000-0000-0000-0000-000000000000}" id="{A3260DB1-E3B8-481F-B0C6-730117BF5005}">
    <text>New; we did not have thresholds for specific conductivity in this spreadsheet before May 2023.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C68F-3517-4346-BCD6-C6247B70024F}">
  <dimension ref="A1:R93"/>
  <sheetViews>
    <sheetView tabSelected="1" zoomScale="85" zoomScaleNormal="85" workbookViewId="0">
      <pane xSplit="6" ySplit="4" topLeftCell="G65" activePane="bottomRight" state="frozen"/>
      <selection pane="topRight" activeCell="G1" sqref="G1"/>
      <selection pane="bottomLeft" activeCell="A5" sqref="A5"/>
      <selection pane="bottomRight" activeCell="B9" sqref="B9"/>
    </sheetView>
  </sheetViews>
  <sheetFormatPr defaultRowHeight="15" customHeight="1" x14ac:dyDescent="0.45"/>
  <cols>
    <col min="1" max="1" width="21.73046875" customWidth="1"/>
    <col min="2" max="2" width="38" customWidth="1"/>
    <col min="3" max="3" width="43.59765625" customWidth="1"/>
    <col min="4" max="4" width="9.1328125" style="2" bestFit="1" customWidth="1"/>
    <col min="5" max="5" width="15.3984375" bestFit="1" customWidth="1"/>
    <col min="6" max="6" width="15" style="3" hidden="1" customWidth="1"/>
    <col min="7" max="7" width="15.265625" customWidth="1"/>
    <col min="8" max="8" width="16.1328125" bestFit="1" customWidth="1"/>
    <col min="9" max="9" width="32.3984375" customWidth="1"/>
    <col min="10" max="10" width="24.59765625" bestFit="1" customWidth="1"/>
    <col min="11" max="11" width="32.1328125" bestFit="1" customWidth="1"/>
    <col min="12" max="12" width="13.265625" bestFit="1" customWidth="1"/>
    <col min="13" max="13" width="14.59765625" bestFit="1" customWidth="1"/>
    <col min="14" max="14" width="17.3984375" bestFit="1" customWidth="1"/>
    <col min="15" max="15" width="20.3984375" bestFit="1" customWidth="1"/>
    <col min="16" max="16" width="20.59765625" bestFit="1" customWidth="1"/>
    <col min="17" max="17" width="94.265625" customWidth="1"/>
    <col min="18" max="18" width="32.59765625" customWidth="1"/>
  </cols>
  <sheetData>
    <row r="1" spans="1:18" ht="21" x14ac:dyDescent="0.45">
      <c r="A1" s="1" t="s">
        <v>0</v>
      </c>
      <c r="O1" s="4"/>
      <c r="P1" s="5"/>
    </row>
    <row r="2" spans="1:18" ht="14.25" x14ac:dyDescent="0.45">
      <c r="A2" s="6"/>
    </row>
    <row r="3" spans="1:18" ht="14.25" x14ac:dyDescent="0.45">
      <c r="A3" t="s">
        <v>1</v>
      </c>
    </row>
    <row r="4" spans="1:18" ht="14.25" x14ac:dyDescent="0.45">
      <c r="A4" s="6" t="s">
        <v>2</v>
      </c>
      <c r="B4" s="6" t="s">
        <v>3</v>
      </c>
      <c r="C4" s="6" t="s">
        <v>4</v>
      </c>
      <c r="D4" s="7" t="s">
        <v>5</v>
      </c>
      <c r="E4" s="6" t="s">
        <v>6</v>
      </c>
      <c r="F4" s="8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</row>
    <row r="5" spans="1:18" ht="14.25" x14ac:dyDescent="0.45">
      <c r="A5" t="s">
        <v>20</v>
      </c>
      <c r="B5" t="s">
        <v>21</v>
      </c>
      <c r="C5" t="str">
        <f>Hectares</f>
        <v>Hectares</v>
      </c>
      <c r="D5" t="s">
        <v>22</v>
      </c>
      <c r="F5">
        <v>0</v>
      </c>
      <c r="G5" s="9">
        <v>0</v>
      </c>
      <c r="H5" s="9" t="s">
        <v>23</v>
      </c>
      <c r="I5" t="s">
        <v>23</v>
      </c>
      <c r="J5" t="s">
        <v>23</v>
      </c>
      <c r="K5" t="s">
        <v>23</v>
      </c>
      <c r="L5" t="s">
        <v>23</v>
      </c>
      <c r="M5" s="9" t="s">
        <v>23</v>
      </c>
      <c r="N5" s="9" t="s">
        <v>23</v>
      </c>
      <c r="O5" s="9"/>
      <c r="P5" s="9"/>
      <c r="Q5" s="3" t="s">
        <v>23</v>
      </c>
      <c r="R5" t="s">
        <v>24</v>
      </c>
    </row>
    <row r="6" spans="1:18" ht="14.25" x14ac:dyDescent="0.45">
      <c r="A6" t="s">
        <v>20</v>
      </c>
      <c r="B6" t="s">
        <v>102</v>
      </c>
      <c r="C6" t="str">
        <f>PerCov</f>
        <v>Percent Cover</v>
      </c>
      <c r="D6" t="s">
        <v>25</v>
      </c>
      <c r="F6">
        <v>0</v>
      </c>
      <c r="G6" s="9">
        <v>0</v>
      </c>
      <c r="H6" s="9" t="s">
        <v>23</v>
      </c>
      <c r="I6" t="s">
        <v>23</v>
      </c>
      <c r="J6" s="12" t="s">
        <v>97</v>
      </c>
      <c r="K6" t="s">
        <v>23</v>
      </c>
      <c r="L6" t="s">
        <v>23</v>
      </c>
      <c r="M6" s="10">
        <v>0</v>
      </c>
      <c r="N6" s="13">
        <v>90</v>
      </c>
      <c r="O6" s="13" t="s">
        <v>89</v>
      </c>
      <c r="P6" s="19">
        <v>45257</v>
      </c>
      <c r="Q6" s="18" t="s">
        <v>101</v>
      </c>
    </row>
    <row r="7" spans="1:18" ht="14.25" x14ac:dyDescent="0.45">
      <c r="A7" t="s">
        <v>20</v>
      </c>
      <c r="B7" t="s">
        <v>102</v>
      </c>
      <c r="C7" t="str">
        <f>Stem_D</f>
        <v>Stem Density</v>
      </c>
      <c r="D7" t="s">
        <v>27</v>
      </c>
      <c r="F7">
        <v>0</v>
      </c>
      <c r="G7" s="9">
        <v>0</v>
      </c>
      <c r="H7" s="9" t="s">
        <v>23</v>
      </c>
      <c r="I7" t="s">
        <v>23</v>
      </c>
      <c r="J7" t="s">
        <v>23</v>
      </c>
      <c r="K7" t="s">
        <v>23</v>
      </c>
      <c r="L7" t="s">
        <v>23</v>
      </c>
      <c r="M7" s="11">
        <v>0</v>
      </c>
      <c r="N7" s="13">
        <v>2624.4319999999998</v>
      </c>
      <c r="O7" s="13" t="s">
        <v>89</v>
      </c>
      <c r="P7" s="19">
        <v>45257</v>
      </c>
      <c r="Q7" s="18" t="s">
        <v>101</v>
      </c>
      <c r="R7" s="10"/>
    </row>
    <row r="8" spans="1:18" ht="14.25" x14ac:dyDescent="0.45">
      <c r="A8" t="s">
        <v>20</v>
      </c>
      <c r="B8" t="s">
        <v>102</v>
      </c>
      <c r="C8" t="str">
        <f>CanopyPerCov</f>
        <v>Total/Canopy Percent Cover</v>
      </c>
      <c r="D8" t="s">
        <v>25</v>
      </c>
      <c r="F8">
        <v>0</v>
      </c>
      <c r="G8" s="9">
        <v>0</v>
      </c>
      <c r="H8" s="9" t="s">
        <v>23</v>
      </c>
      <c r="I8" t="s">
        <v>23</v>
      </c>
      <c r="J8" s="12" t="s">
        <v>97</v>
      </c>
      <c r="K8" t="s">
        <v>23</v>
      </c>
      <c r="L8" t="s">
        <v>23</v>
      </c>
      <c r="M8" s="9">
        <v>0</v>
      </c>
      <c r="N8" s="9">
        <v>103.22</v>
      </c>
      <c r="O8" s="9"/>
      <c r="P8" s="9"/>
      <c r="Q8" t="s">
        <v>26</v>
      </c>
      <c r="R8" s="10"/>
    </row>
    <row r="9" spans="1:18" ht="14.25" x14ac:dyDescent="0.45">
      <c r="A9" t="s">
        <v>28</v>
      </c>
      <c r="B9" t="s">
        <v>29</v>
      </c>
      <c r="C9" t="str">
        <f>Hectares</f>
        <v>Hectares</v>
      </c>
      <c r="D9" t="s">
        <v>22</v>
      </c>
      <c r="F9">
        <v>0</v>
      </c>
      <c r="G9" s="9">
        <v>0</v>
      </c>
      <c r="H9" s="9" t="s">
        <v>23</v>
      </c>
      <c r="I9" t="s">
        <v>23</v>
      </c>
      <c r="J9" t="s">
        <v>23</v>
      </c>
      <c r="K9" t="s">
        <v>23</v>
      </c>
      <c r="L9" t="s">
        <v>23</v>
      </c>
      <c r="M9" s="9" t="s">
        <v>23</v>
      </c>
      <c r="N9" s="9" t="s">
        <v>23</v>
      </c>
      <c r="O9" s="9"/>
      <c r="P9" s="9"/>
      <c r="Q9" s="3" t="s">
        <v>23</v>
      </c>
      <c r="R9" t="s">
        <v>24</v>
      </c>
    </row>
    <row r="10" spans="1:18" ht="14.25" x14ac:dyDescent="0.45">
      <c r="A10" t="s">
        <v>28</v>
      </c>
      <c r="B10" t="s">
        <v>30</v>
      </c>
      <c r="C10" t="str">
        <f>Density</f>
        <v>Density</v>
      </c>
      <c r="D10" t="s">
        <v>27</v>
      </c>
      <c r="F10">
        <v>1</v>
      </c>
      <c r="G10" s="9">
        <v>0</v>
      </c>
      <c r="H10" s="9" t="s">
        <v>23</v>
      </c>
      <c r="I10" t="s">
        <v>23</v>
      </c>
      <c r="J10" t="s">
        <v>23</v>
      </c>
      <c r="K10" t="s">
        <v>23</v>
      </c>
      <c r="L10" t="s">
        <v>23</v>
      </c>
      <c r="M10" s="9">
        <v>0</v>
      </c>
      <c r="N10" s="9">
        <v>400</v>
      </c>
      <c r="O10" s="9"/>
      <c r="P10" s="9"/>
      <c r="Q10" t="s">
        <v>26</v>
      </c>
      <c r="R10" s="10"/>
    </row>
    <row r="11" spans="1:18" ht="14.25" x14ac:dyDescent="0.45">
      <c r="A11" t="s">
        <v>28</v>
      </c>
      <c r="B11" t="s">
        <v>31</v>
      </c>
      <c r="C11" t="str">
        <f>Count</f>
        <v>Count</v>
      </c>
      <c r="D11" t="s">
        <v>32</v>
      </c>
      <c r="F11">
        <v>0</v>
      </c>
      <c r="G11" s="9">
        <v>0</v>
      </c>
      <c r="H11" s="9" t="s">
        <v>23</v>
      </c>
      <c r="I11" t="s">
        <v>23</v>
      </c>
      <c r="J11" t="s">
        <v>23</v>
      </c>
      <c r="K11" t="s">
        <v>23</v>
      </c>
      <c r="L11" t="s">
        <v>23</v>
      </c>
      <c r="M11" s="9">
        <v>0</v>
      </c>
      <c r="N11" s="13">
        <v>1038</v>
      </c>
      <c r="O11" s="13" t="s">
        <v>89</v>
      </c>
      <c r="P11" s="19">
        <v>45257</v>
      </c>
      <c r="Q11" s="18" t="s">
        <v>101</v>
      </c>
      <c r="R11" s="10"/>
    </row>
    <row r="12" spans="1:18" ht="14.25" x14ac:dyDescent="0.45">
      <c r="A12" t="s">
        <v>28</v>
      </c>
      <c r="B12" t="s">
        <v>31</v>
      </c>
      <c r="C12" t="str">
        <f>PresAbs</f>
        <v>Presence/Absence</v>
      </c>
      <c r="D12" t="s">
        <v>33</v>
      </c>
      <c r="F12">
        <v>0</v>
      </c>
      <c r="G12" s="9" t="s">
        <v>23</v>
      </c>
      <c r="H12" s="9" t="s">
        <v>23</v>
      </c>
      <c r="I12" t="s">
        <v>23</v>
      </c>
      <c r="J12" t="s">
        <v>34</v>
      </c>
      <c r="K12" t="s">
        <v>35</v>
      </c>
      <c r="L12" t="s">
        <v>23</v>
      </c>
      <c r="M12" s="9">
        <v>0</v>
      </c>
      <c r="N12" s="9">
        <v>1</v>
      </c>
      <c r="O12" s="9"/>
      <c r="P12" s="9"/>
      <c r="Q12" s="3" t="s">
        <v>23</v>
      </c>
      <c r="R12" s="10"/>
    </row>
    <row r="13" spans="1:18" ht="14.25" x14ac:dyDescent="0.45">
      <c r="A13" s="18" t="s">
        <v>28</v>
      </c>
      <c r="B13" s="18" t="s">
        <v>31</v>
      </c>
      <c r="C13" s="18" t="str">
        <f>Std_L</f>
        <v>Standard Length</v>
      </c>
      <c r="D13" s="18"/>
      <c r="E13" s="13"/>
      <c r="F13" s="13"/>
      <c r="G13" s="13"/>
      <c r="H13" s="13"/>
      <c r="I13" s="13"/>
      <c r="J13" s="13"/>
      <c r="K13" s="13"/>
      <c r="L13" s="13"/>
      <c r="M13" s="13">
        <v>1</v>
      </c>
      <c r="N13" s="13">
        <v>66</v>
      </c>
      <c r="O13" s="13" t="s">
        <v>38</v>
      </c>
      <c r="P13" s="19">
        <v>45257</v>
      </c>
      <c r="Q13" s="18" t="s">
        <v>101</v>
      </c>
      <c r="R13" s="10"/>
    </row>
    <row r="14" spans="1:18" ht="14.25" x14ac:dyDescent="0.45">
      <c r="A14" t="s">
        <v>28</v>
      </c>
      <c r="B14" t="s">
        <v>36</v>
      </c>
      <c r="C14" t="str">
        <f>PerLiveTis</f>
        <v>Percent Live Tissue</v>
      </c>
      <c r="D14" t="s">
        <v>25</v>
      </c>
      <c r="F14">
        <v>1</v>
      </c>
      <c r="G14" s="9">
        <v>0</v>
      </c>
      <c r="H14" s="9" t="s">
        <v>23</v>
      </c>
      <c r="I14" t="s">
        <v>23</v>
      </c>
      <c r="J14" s="12" t="s">
        <v>97</v>
      </c>
      <c r="K14" t="s">
        <v>23</v>
      </c>
      <c r="L14" t="s">
        <v>23</v>
      </c>
      <c r="M14" s="9">
        <v>0</v>
      </c>
      <c r="N14" s="9">
        <v>100</v>
      </c>
      <c r="O14" s="9"/>
      <c r="P14" s="9"/>
      <c r="Q14" t="s">
        <v>26</v>
      </c>
      <c r="R14" s="10"/>
    </row>
    <row r="15" spans="1:18" ht="14.25" x14ac:dyDescent="0.45">
      <c r="A15" t="s">
        <v>28</v>
      </c>
      <c r="B15" t="s">
        <v>36</v>
      </c>
      <c r="C15" t="str">
        <f>C_Diameter</f>
        <v>Colony Diameter</v>
      </c>
      <c r="D15" t="s">
        <v>37</v>
      </c>
      <c r="F15">
        <v>1</v>
      </c>
      <c r="G15" s="9">
        <v>0</v>
      </c>
      <c r="H15" s="9" t="s">
        <v>23</v>
      </c>
      <c r="I15" t="s">
        <v>23</v>
      </c>
      <c r="J15" t="s">
        <v>23</v>
      </c>
      <c r="K15" t="s">
        <v>23</v>
      </c>
      <c r="L15" t="s">
        <v>23</v>
      </c>
      <c r="M15" s="11">
        <v>-9</v>
      </c>
      <c r="N15" s="11">
        <v>210</v>
      </c>
      <c r="O15" s="11"/>
      <c r="P15" s="11"/>
      <c r="Q15" t="s">
        <v>26</v>
      </c>
      <c r="R15" s="10"/>
    </row>
    <row r="16" spans="1:18" ht="14.25" x14ac:dyDescent="0.45">
      <c r="A16" t="s">
        <v>28</v>
      </c>
      <c r="B16" t="s">
        <v>36</v>
      </c>
      <c r="C16" t="str">
        <f>C_Height</f>
        <v>Colony Height</v>
      </c>
      <c r="D16" t="s">
        <v>37</v>
      </c>
      <c r="F16">
        <v>1</v>
      </c>
      <c r="G16" s="9">
        <v>0</v>
      </c>
      <c r="H16" s="9" t="s">
        <v>23</v>
      </c>
      <c r="I16" t="s">
        <v>23</v>
      </c>
      <c r="J16" t="s">
        <v>23</v>
      </c>
      <c r="K16" t="s">
        <v>23</v>
      </c>
      <c r="L16" t="s">
        <v>23</v>
      </c>
      <c r="M16" s="11">
        <v>-9</v>
      </c>
      <c r="N16" s="11">
        <v>120</v>
      </c>
      <c r="O16" s="11"/>
      <c r="P16" s="11"/>
      <c r="Q16" t="s">
        <v>26</v>
      </c>
      <c r="R16" s="10"/>
    </row>
    <row r="17" spans="1:18" ht="14.25" x14ac:dyDescent="0.45">
      <c r="A17" t="s">
        <v>28</v>
      </c>
      <c r="B17" t="s">
        <v>36</v>
      </c>
      <c r="C17" t="str">
        <f>C_Length</f>
        <v>Colony Length</v>
      </c>
      <c r="D17" t="s">
        <v>37</v>
      </c>
      <c r="F17">
        <v>1</v>
      </c>
      <c r="G17" s="9">
        <v>0</v>
      </c>
      <c r="H17" s="9" t="s">
        <v>23</v>
      </c>
      <c r="I17" t="s">
        <v>23</v>
      </c>
      <c r="J17" t="s">
        <v>23</v>
      </c>
      <c r="K17" t="s">
        <v>23</v>
      </c>
      <c r="L17" t="s">
        <v>23</v>
      </c>
      <c r="M17" s="9">
        <v>1</v>
      </c>
      <c r="N17" s="9">
        <v>350.64600000000002</v>
      </c>
      <c r="O17" s="9"/>
      <c r="P17" s="9"/>
      <c r="Q17" t="s">
        <v>26</v>
      </c>
      <c r="R17" s="10"/>
    </row>
    <row r="18" spans="1:18" ht="14.25" x14ac:dyDescent="0.45">
      <c r="A18" t="s">
        <v>28</v>
      </c>
      <c r="B18" t="s">
        <v>36</v>
      </c>
      <c r="C18" t="str">
        <f>PerCov</f>
        <v>Percent Cover</v>
      </c>
      <c r="D18" t="s">
        <v>25</v>
      </c>
      <c r="F18">
        <v>1</v>
      </c>
      <c r="G18" s="9">
        <v>0</v>
      </c>
      <c r="H18" s="9" t="s">
        <v>23</v>
      </c>
      <c r="I18" t="s">
        <v>23</v>
      </c>
      <c r="J18" s="12" t="s">
        <v>97</v>
      </c>
      <c r="K18" t="s">
        <v>23</v>
      </c>
      <c r="L18" t="s">
        <v>23</v>
      </c>
      <c r="M18" s="9">
        <v>0</v>
      </c>
      <c r="N18" s="13">
        <v>92</v>
      </c>
      <c r="O18" s="13" t="s">
        <v>89</v>
      </c>
      <c r="P18" s="19">
        <v>45257</v>
      </c>
      <c r="Q18" s="18" t="s">
        <v>101</v>
      </c>
      <c r="R18" s="10"/>
    </row>
    <row r="19" spans="1:18" ht="14.25" x14ac:dyDescent="0.45">
      <c r="A19" t="s">
        <v>28</v>
      </c>
      <c r="B19" t="s">
        <v>36</v>
      </c>
      <c r="C19" t="str">
        <f>C_Width</f>
        <v>Colony Width</v>
      </c>
      <c r="D19" t="s">
        <v>37</v>
      </c>
      <c r="F19">
        <v>1</v>
      </c>
      <c r="G19" s="9">
        <v>0</v>
      </c>
      <c r="H19" s="9" t="s">
        <v>23</v>
      </c>
      <c r="I19" t="s">
        <v>23</v>
      </c>
      <c r="J19" t="s">
        <v>23</v>
      </c>
      <c r="K19" t="s">
        <v>23</v>
      </c>
      <c r="L19" t="s">
        <v>23</v>
      </c>
      <c r="M19" s="11">
        <v>2</v>
      </c>
      <c r="N19" s="11">
        <v>195</v>
      </c>
      <c r="O19" s="11"/>
      <c r="P19" s="11"/>
      <c r="Q19" t="s">
        <v>26</v>
      </c>
      <c r="R19" s="10"/>
    </row>
    <row r="20" spans="1:18" ht="14.25" x14ac:dyDescent="0.45">
      <c r="A20" s="12" t="s">
        <v>28</v>
      </c>
      <c r="B20" s="12" t="s">
        <v>30</v>
      </c>
      <c r="C20" s="12" t="s">
        <v>32</v>
      </c>
      <c r="D20" s="12" t="s">
        <v>32</v>
      </c>
      <c r="F20"/>
      <c r="G20" s="9"/>
      <c r="H20" s="9"/>
      <c r="M20" s="13">
        <v>0</v>
      </c>
      <c r="N20" s="13">
        <v>1000</v>
      </c>
      <c r="O20" s="13" t="s">
        <v>38</v>
      </c>
      <c r="P20" s="19">
        <v>45257</v>
      </c>
      <c r="Q20" s="18" t="s">
        <v>101</v>
      </c>
      <c r="R20" s="10"/>
    </row>
    <row r="21" spans="1:18" ht="14.25" x14ac:dyDescent="0.45">
      <c r="A21" s="12" t="s">
        <v>28</v>
      </c>
      <c r="B21" s="12" t="s">
        <v>30</v>
      </c>
      <c r="C21" s="12" t="s">
        <v>39</v>
      </c>
      <c r="D21" s="12" t="s">
        <v>33</v>
      </c>
      <c r="F21"/>
      <c r="G21" s="9"/>
      <c r="H21" s="9"/>
      <c r="M21" s="13">
        <v>0</v>
      </c>
      <c r="N21" s="13">
        <v>1</v>
      </c>
      <c r="O21" s="13" t="s">
        <v>38</v>
      </c>
      <c r="P21" s="19">
        <v>45257</v>
      </c>
      <c r="Q21" s="18" t="s">
        <v>101</v>
      </c>
      <c r="R21" s="10"/>
    </row>
    <row r="22" spans="1:18" ht="14.25" x14ac:dyDescent="0.45">
      <c r="A22" t="s">
        <v>40</v>
      </c>
      <c r="B22" t="s">
        <v>29</v>
      </c>
      <c r="C22" t="str">
        <f>Hectares</f>
        <v>Hectares</v>
      </c>
      <c r="D22" t="s">
        <v>22</v>
      </c>
      <c r="F22">
        <v>0</v>
      </c>
      <c r="G22" s="9">
        <v>0</v>
      </c>
      <c r="H22" s="9" t="s">
        <v>23</v>
      </c>
      <c r="I22" t="s">
        <v>23</v>
      </c>
      <c r="J22" t="s">
        <v>23</v>
      </c>
      <c r="K22" t="s">
        <v>23</v>
      </c>
      <c r="L22" t="s">
        <v>23</v>
      </c>
      <c r="M22" s="9" t="s">
        <v>23</v>
      </c>
      <c r="N22" s="9" t="s">
        <v>23</v>
      </c>
      <c r="O22" s="9"/>
      <c r="P22" s="9"/>
      <c r="Q22" s="3" t="s">
        <v>23</v>
      </c>
      <c r="R22" t="s">
        <v>24</v>
      </c>
    </row>
    <row r="23" spans="1:18" ht="14.25" x14ac:dyDescent="0.45">
      <c r="A23" t="s">
        <v>40</v>
      </c>
      <c r="B23" t="s">
        <v>41</v>
      </c>
      <c r="C23" t="str">
        <f>Density</f>
        <v>Density</v>
      </c>
      <c r="D23" t="s">
        <v>27</v>
      </c>
      <c r="F23">
        <v>0</v>
      </c>
      <c r="G23" s="9">
        <v>0</v>
      </c>
      <c r="H23" s="9" t="s">
        <v>23</v>
      </c>
      <c r="I23" t="s">
        <v>23</v>
      </c>
      <c r="J23" t="s">
        <v>23</v>
      </c>
      <c r="K23" t="s">
        <v>23</v>
      </c>
      <c r="L23" t="s">
        <v>23</v>
      </c>
      <c r="M23" s="11">
        <v>0</v>
      </c>
      <c r="N23" s="11">
        <v>7387.0079999999998</v>
      </c>
      <c r="O23" s="11"/>
      <c r="P23" s="11"/>
      <c r="Q23" t="s">
        <v>26</v>
      </c>
    </row>
    <row r="24" spans="1:18" ht="14.25" x14ac:dyDescent="0.45">
      <c r="A24" t="s">
        <v>40</v>
      </c>
      <c r="B24" s="12" t="s">
        <v>42</v>
      </c>
      <c r="C24" s="10" t="str">
        <f>N_Dead</f>
        <v>Number of Oysters Counted - Dead</v>
      </c>
      <c r="D24" t="s">
        <v>32</v>
      </c>
      <c r="E24">
        <v>6.25E-2</v>
      </c>
      <c r="F24">
        <v>0</v>
      </c>
      <c r="G24" s="9">
        <v>0</v>
      </c>
      <c r="H24" s="9" t="s">
        <v>23</v>
      </c>
      <c r="I24" t="s">
        <v>23</v>
      </c>
      <c r="J24" s="12" t="s">
        <v>98</v>
      </c>
      <c r="K24" t="s">
        <v>23</v>
      </c>
      <c r="L24" t="s">
        <v>23</v>
      </c>
      <c r="M24" s="11">
        <v>0</v>
      </c>
      <c r="N24" s="13">
        <v>100</v>
      </c>
      <c r="O24" s="13" t="s">
        <v>89</v>
      </c>
      <c r="P24" s="19">
        <v>45257</v>
      </c>
      <c r="Q24" s="18" t="s">
        <v>101</v>
      </c>
    </row>
    <row r="25" spans="1:18" s="14" customFormat="1" ht="14.25" x14ac:dyDescent="0.45">
      <c r="A25" t="s">
        <v>40</v>
      </c>
      <c r="B25" s="12" t="s">
        <v>42</v>
      </c>
      <c r="C25" s="10" t="str">
        <f>N_Dead</f>
        <v>Number of Oysters Counted - Dead</v>
      </c>
      <c r="D25" t="s">
        <v>32</v>
      </c>
      <c r="E25">
        <v>0.1</v>
      </c>
      <c r="F25">
        <v>0</v>
      </c>
      <c r="G25" s="9">
        <v>0</v>
      </c>
      <c r="H25" s="9" t="s">
        <v>23</v>
      </c>
      <c r="I25" t="s">
        <v>23</v>
      </c>
      <c r="J25" s="12" t="s">
        <v>98</v>
      </c>
      <c r="K25" t="s">
        <v>23</v>
      </c>
      <c r="L25" t="s">
        <v>23</v>
      </c>
      <c r="M25" s="11">
        <v>0</v>
      </c>
      <c r="N25" s="11">
        <v>67.760000000000005</v>
      </c>
      <c r="O25" s="13" t="s">
        <v>89</v>
      </c>
      <c r="P25" s="19">
        <v>45257</v>
      </c>
      <c r="Q25" t="s">
        <v>26</v>
      </c>
      <c r="R25"/>
    </row>
    <row r="26" spans="1:18" s="14" customFormat="1" ht="14.25" x14ac:dyDescent="0.45">
      <c r="A26" t="s">
        <v>40</v>
      </c>
      <c r="B26" s="12" t="s">
        <v>42</v>
      </c>
      <c r="C26" s="10" t="str">
        <f>N_Dead</f>
        <v>Number of Oysters Counted - Dead</v>
      </c>
      <c r="D26" t="s">
        <v>32</v>
      </c>
      <c r="E26">
        <v>0.25</v>
      </c>
      <c r="F26">
        <v>0</v>
      </c>
      <c r="G26" s="9">
        <v>0</v>
      </c>
      <c r="H26" s="9" t="s">
        <v>23</v>
      </c>
      <c r="I26" t="s">
        <v>23</v>
      </c>
      <c r="J26" s="12" t="s">
        <v>98</v>
      </c>
      <c r="K26" t="s">
        <v>23</v>
      </c>
      <c r="L26" t="s">
        <v>23</v>
      </c>
      <c r="M26" s="11">
        <v>0</v>
      </c>
      <c r="N26">
        <v>168.28</v>
      </c>
      <c r="O26" s="13" t="s">
        <v>89</v>
      </c>
      <c r="P26" s="19">
        <v>45257</v>
      </c>
      <c r="Q26" t="s">
        <v>26</v>
      </c>
      <c r="R26"/>
    </row>
    <row r="27" spans="1:18" s="14" customFormat="1" ht="14.25" x14ac:dyDescent="0.45">
      <c r="A27" t="s">
        <v>40</v>
      </c>
      <c r="B27" s="12" t="s">
        <v>42</v>
      </c>
      <c r="C27" s="10" t="str">
        <f>N_Dead</f>
        <v>Number of Oysters Counted - Dead</v>
      </c>
      <c r="D27" t="s">
        <v>32</v>
      </c>
      <c r="E27">
        <v>1</v>
      </c>
      <c r="F27">
        <v>0</v>
      </c>
      <c r="G27" s="9">
        <v>0</v>
      </c>
      <c r="H27" s="9" t="s">
        <v>23</v>
      </c>
      <c r="I27" t="s">
        <v>23</v>
      </c>
      <c r="J27" s="12" t="s">
        <v>98</v>
      </c>
      <c r="K27" t="s">
        <v>23</v>
      </c>
      <c r="L27" t="s">
        <v>23</v>
      </c>
      <c r="M27" s="11">
        <v>0</v>
      </c>
      <c r="N27" s="11">
        <v>171.61600000000001</v>
      </c>
      <c r="O27" s="13" t="s">
        <v>89</v>
      </c>
      <c r="P27" s="19">
        <v>45257</v>
      </c>
      <c r="Q27" t="s">
        <v>26</v>
      </c>
      <c r="R27"/>
    </row>
    <row r="28" spans="1:18" s="14" customFormat="1" ht="14.25" x14ac:dyDescent="0.45">
      <c r="A28" t="s">
        <v>40</v>
      </c>
      <c r="B28" s="12" t="s">
        <v>42</v>
      </c>
      <c r="C28" s="10" t="str">
        <f>N_Dead</f>
        <v>Number of Oysters Counted - Dead</v>
      </c>
      <c r="D28" t="s">
        <v>32</v>
      </c>
      <c r="E28" s="13" t="s">
        <v>23</v>
      </c>
      <c r="F28"/>
      <c r="G28" s="9">
        <v>0</v>
      </c>
      <c r="H28" s="9" t="s">
        <v>23</v>
      </c>
      <c r="I28" t="s">
        <v>23</v>
      </c>
      <c r="J28" s="12" t="s">
        <v>98</v>
      </c>
      <c r="K28" t="s">
        <v>23</v>
      </c>
      <c r="L28" t="s">
        <v>23</v>
      </c>
      <c r="M28" s="11">
        <v>0</v>
      </c>
      <c r="N28" s="11">
        <v>27.85</v>
      </c>
      <c r="O28" s="13" t="s">
        <v>89</v>
      </c>
      <c r="P28" s="19">
        <v>45257</v>
      </c>
      <c r="Q28" t="s">
        <v>26</v>
      </c>
      <c r="R28"/>
    </row>
    <row r="29" spans="1:18" ht="14.25" x14ac:dyDescent="0.45">
      <c r="A29" t="s">
        <v>40</v>
      </c>
      <c r="B29" s="12" t="s">
        <v>42</v>
      </c>
      <c r="C29" s="10" t="str">
        <f>N_Live</f>
        <v>Number of Oysters Counted - Live</v>
      </c>
      <c r="D29" t="s">
        <v>32</v>
      </c>
      <c r="E29">
        <v>6.25E-2</v>
      </c>
      <c r="F29">
        <v>0</v>
      </c>
      <c r="G29" s="9">
        <v>0</v>
      </c>
      <c r="H29" s="9" t="s">
        <v>23</v>
      </c>
      <c r="I29" t="s">
        <v>23</v>
      </c>
      <c r="J29" s="12" t="s">
        <v>98</v>
      </c>
      <c r="K29" t="s">
        <v>23</v>
      </c>
      <c r="L29" t="s">
        <v>23</v>
      </c>
      <c r="M29" s="11">
        <v>0</v>
      </c>
      <c r="N29" s="13">
        <v>223.52099999999999</v>
      </c>
      <c r="O29" s="13" t="s">
        <v>89</v>
      </c>
      <c r="P29" s="19">
        <v>45257</v>
      </c>
      <c r="Q29" s="18" t="s">
        <v>101</v>
      </c>
    </row>
    <row r="30" spans="1:18" s="14" customFormat="1" ht="14.25" x14ac:dyDescent="0.45">
      <c r="A30" t="s">
        <v>40</v>
      </c>
      <c r="B30" s="12" t="s">
        <v>42</v>
      </c>
      <c r="C30" s="10" t="str">
        <f>N_Live</f>
        <v>Number of Oysters Counted - Live</v>
      </c>
      <c r="D30" t="s">
        <v>32</v>
      </c>
      <c r="E30">
        <v>0.1</v>
      </c>
      <c r="F30">
        <v>0</v>
      </c>
      <c r="G30" s="9">
        <v>0</v>
      </c>
      <c r="H30" s="9" t="s">
        <v>23</v>
      </c>
      <c r="I30" t="s">
        <v>23</v>
      </c>
      <c r="J30" s="12" t="s">
        <v>98</v>
      </c>
      <c r="K30" t="s">
        <v>23</v>
      </c>
      <c r="L30" t="s">
        <v>23</v>
      </c>
      <c r="M30" s="11">
        <v>0</v>
      </c>
      <c r="N30" s="11">
        <v>263</v>
      </c>
      <c r="O30" s="13" t="s">
        <v>89</v>
      </c>
      <c r="P30" s="19">
        <v>45257</v>
      </c>
      <c r="Q30" t="s">
        <v>26</v>
      </c>
      <c r="R30"/>
    </row>
    <row r="31" spans="1:18" s="14" customFormat="1" ht="14.25" x14ac:dyDescent="0.45">
      <c r="A31" t="s">
        <v>40</v>
      </c>
      <c r="B31" s="12" t="s">
        <v>42</v>
      </c>
      <c r="C31" s="10" t="str">
        <f>N_Live</f>
        <v>Number of Oysters Counted - Live</v>
      </c>
      <c r="D31" t="s">
        <v>32</v>
      </c>
      <c r="E31">
        <v>0.25</v>
      </c>
      <c r="F31">
        <v>0</v>
      </c>
      <c r="G31" s="9">
        <v>0</v>
      </c>
      <c r="H31" s="9" t="s">
        <v>23</v>
      </c>
      <c r="I31" t="s">
        <v>23</v>
      </c>
      <c r="J31" s="12" t="s">
        <v>98</v>
      </c>
      <c r="K31" t="s">
        <v>23</v>
      </c>
      <c r="L31" t="s">
        <v>23</v>
      </c>
      <c r="M31" s="11">
        <v>0</v>
      </c>
      <c r="N31" s="13">
        <v>457.82499999999999</v>
      </c>
      <c r="O31" s="13" t="s">
        <v>89</v>
      </c>
      <c r="P31" s="19">
        <v>45257</v>
      </c>
      <c r="Q31" s="18" t="s">
        <v>101</v>
      </c>
      <c r="R31"/>
    </row>
    <row r="32" spans="1:18" s="14" customFormat="1" ht="14.25" x14ac:dyDescent="0.45">
      <c r="A32" t="s">
        <v>40</v>
      </c>
      <c r="B32" s="12" t="s">
        <v>42</v>
      </c>
      <c r="C32" s="10" t="str">
        <f>N_Live</f>
        <v>Number of Oysters Counted - Live</v>
      </c>
      <c r="D32" t="s">
        <v>32</v>
      </c>
      <c r="E32">
        <v>1</v>
      </c>
      <c r="F32">
        <v>0</v>
      </c>
      <c r="G32" s="9">
        <v>0</v>
      </c>
      <c r="H32" s="9" t="s">
        <v>23</v>
      </c>
      <c r="I32" t="s">
        <v>23</v>
      </c>
      <c r="J32" s="12" t="s">
        <v>98</v>
      </c>
      <c r="K32" t="s">
        <v>23</v>
      </c>
      <c r="L32" t="s">
        <v>23</v>
      </c>
      <c r="M32" s="11">
        <v>0</v>
      </c>
      <c r="N32" s="11">
        <v>267.60000000000002</v>
      </c>
      <c r="O32" s="13" t="s">
        <v>89</v>
      </c>
      <c r="P32" s="19">
        <v>45257</v>
      </c>
      <c r="Q32" t="s">
        <v>26</v>
      </c>
      <c r="R32"/>
    </row>
    <row r="33" spans="1:18" s="14" customFormat="1" ht="14.25" x14ac:dyDescent="0.45">
      <c r="A33" t="s">
        <v>40</v>
      </c>
      <c r="B33" s="12" t="s">
        <v>42</v>
      </c>
      <c r="C33" s="10" t="str">
        <f>N_Live</f>
        <v>Number of Oysters Counted - Live</v>
      </c>
      <c r="D33" t="s">
        <v>32</v>
      </c>
      <c r="E33" s="13" t="s">
        <v>23</v>
      </c>
      <c r="F33"/>
      <c r="G33" s="9">
        <v>0</v>
      </c>
      <c r="H33" s="9" t="s">
        <v>23</v>
      </c>
      <c r="I33" t="s">
        <v>23</v>
      </c>
      <c r="J33" s="12" t="s">
        <v>98</v>
      </c>
      <c r="K33" t="s">
        <v>23</v>
      </c>
      <c r="L33" t="s">
        <v>23</v>
      </c>
      <c r="M33" s="11">
        <v>0</v>
      </c>
      <c r="N33" s="11">
        <v>101.124</v>
      </c>
      <c r="O33" s="13" t="s">
        <v>89</v>
      </c>
      <c r="P33" s="19">
        <v>45257</v>
      </c>
      <c r="Q33" t="s">
        <v>26</v>
      </c>
      <c r="R33"/>
    </row>
    <row r="34" spans="1:18" ht="14.25" x14ac:dyDescent="0.45">
      <c r="A34" t="s">
        <v>40</v>
      </c>
      <c r="B34" s="12" t="s">
        <v>42</v>
      </c>
      <c r="C34" s="10" t="str">
        <f>N_Total</f>
        <v>Number of Oysters Counted - Total</v>
      </c>
      <c r="D34" t="s">
        <v>32</v>
      </c>
      <c r="E34">
        <v>6.25E-2</v>
      </c>
      <c r="F34">
        <v>0</v>
      </c>
      <c r="G34" s="9">
        <v>0</v>
      </c>
      <c r="H34" s="9" t="s">
        <v>23</v>
      </c>
      <c r="I34" t="s">
        <v>23</v>
      </c>
      <c r="J34" s="12" t="s">
        <v>98</v>
      </c>
      <c r="K34" t="s">
        <v>23</v>
      </c>
      <c r="L34" t="s">
        <v>23</v>
      </c>
      <c r="M34" s="11">
        <v>0</v>
      </c>
      <c r="N34" s="13">
        <v>531.95600000000002</v>
      </c>
      <c r="O34" s="13" t="s">
        <v>89</v>
      </c>
      <c r="P34" s="19">
        <v>45257</v>
      </c>
      <c r="Q34" s="18" t="s">
        <v>101</v>
      </c>
    </row>
    <row r="35" spans="1:18" s="14" customFormat="1" ht="14.25" x14ac:dyDescent="0.45">
      <c r="A35" t="s">
        <v>40</v>
      </c>
      <c r="B35" s="12" t="s">
        <v>42</v>
      </c>
      <c r="C35" s="10" t="str">
        <f>N_Total</f>
        <v>Number of Oysters Counted - Total</v>
      </c>
      <c r="D35" t="s">
        <v>32</v>
      </c>
      <c r="E35">
        <v>0.1</v>
      </c>
      <c r="F35">
        <v>0</v>
      </c>
      <c r="G35" s="9">
        <v>0</v>
      </c>
      <c r="H35" s="9" t="s">
        <v>23</v>
      </c>
      <c r="I35" t="s">
        <v>23</v>
      </c>
      <c r="J35" s="12" t="s">
        <v>98</v>
      </c>
      <c r="K35" t="s">
        <v>23</v>
      </c>
      <c r="L35" t="s">
        <v>23</v>
      </c>
      <c r="M35" s="11">
        <v>0</v>
      </c>
      <c r="N35" s="11">
        <v>288.2</v>
      </c>
      <c r="O35" s="13" t="s">
        <v>89</v>
      </c>
      <c r="P35" s="19">
        <v>45257</v>
      </c>
      <c r="Q35" t="s">
        <v>26</v>
      </c>
      <c r="R35"/>
    </row>
    <row r="36" spans="1:18" s="14" customFormat="1" ht="14.25" x14ac:dyDescent="0.45">
      <c r="A36" t="s">
        <v>40</v>
      </c>
      <c r="B36" s="12" t="s">
        <v>42</v>
      </c>
      <c r="C36" s="10" t="str">
        <f>N_Total</f>
        <v>Number of Oysters Counted - Total</v>
      </c>
      <c r="D36" t="s">
        <v>32</v>
      </c>
      <c r="E36">
        <v>0.25</v>
      </c>
      <c r="F36">
        <v>0</v>
      </c>
      <c r="G36" s="9">
        <v>0</v>
      </c>
      <c r="H36" s="9" t="s">
        <v>23</v>
      </c>
      <c r="I36" t="s">
        <v>23</v>
      </c>
      <c r="J36" s="12" t="s">
        <v>98</v>
      </c>
      <c r="K36" t="s">
        <v>23</v>
      </c>
      <c r="L36" t="s">
        <v>23</v>
      </c>
      <c r="M36" s="11">
        <v>0</v>
      </c>
      <c r="N36" s="13">
        <v>584.43200000000002</v>
      </c>
      <c r="O36" s="13" t="s">
        <v>89</v>
      </c>
      <c r="P36" s="19">
        <v>45257</v>
      </c>
      <c r="Q36" s="18" t="s">
        <v>101</v>
      </c>
      <c r="R36"/>
    </row>
    <row r="37" spans="1:18" s="14" customFormat="1" ht="14.25" x14ac:dyDescent="0.45">
      <c r="A37" t="s">
        <v>40</v>
      </c>
      <c r="B37" s="12" t="s">
        <v>42</v>
      </c>
      <c r="C37" s="10" t="str">
        <f>N_Total</f>
        <v>Number of Oysters Counted - Total</v>
      </c>
      <c r="D37" t="s">
        <v>32</v>
      </c>
      <c r="E37">
        <v>1</v>
      </c>
      <c r="F37">
        <v>0</v>
      </c>
      <c r="G37" s="9">
        <v>0</v>
      </c>
      <c r="H37" s="9" t="s">
        <v>23</v>
      </c>
      <c r="I37" t="s">
        <v>23</v>
      </c>
      <c r="J37" s="12" t="s">
        <v>98</v>
      </c>
      <c r="K37" t="s">
        <v>23</v>
      </c>
      <c r="L37" t="s">
        <v>23</v>
      </c>
      <c r="M37" s="11">
        <v>0</v>
      </c>
      <c r="N37" s="11">
        <v>305.16399999999999</v>
      </c>
      <c r="O37" s="13" t="s">
        <v>89</v>
      </c>
      <c r="P37" s="19">
        <v>45257</v>
      </c>
      <c r="Q37" t="s">
        <v>26</v>
      </c>
      <c r="R37"/>
    </row>
    <row r="38" spans="1:18" s="14" customFormat="1" ht="14.25" x14ac:dyDescent="0.45">
      <c r="A38" t="s">
        <v>40</v>
      </c>
      <c r="B38" s="12" t="s">
        <v>42</v>
      </c>
      <c r="C38" s="10" t="str">
        <f>N_Total</f>
        <v>Number of Oysters Counted - Total</v>
      </c>
      <c r="D38" t="s">
        <v>32</v>
      </c>
      <c r="E38" s="13" t="s">
        <v>23</v>
      </c>
      <c r="F38"/>
      <c r="G38" s="9">
        <v>0</v>
      </c>
      <c r="H38" s="9" t="s">
        <v>23</v>
      </c>
      <c r="I38" t="s">
        <v>23</v>
      </c>
      <c r="J38" s="12" t="s">
        <v>98</v>
      </c>
      <c r="K38" t="s">
        <v>23</v>
      </c>
      <c r="L38" t="s">
        <v>23</v>
      </c>
      <c r="M38" s="11">
        <v>0</v>
      </c>
      <c r="N38" s="11">
        <v>104.5</v>
      </c>
      <c r="O38" s="13" t="s">
        <v>89</v>
      </c>
      <c r="P38" s="19">
        <v>45257</v>
      </c>
      <c r="Q38" t="s">
        <v>26</v>
      </c>
      <c r="R38"/>
    </row>
    <row r="39" spans="1:18" ht="14.25" x14ac:dyDescent="0.45">
      <c r="A39" t="s">
        <v>40</v>
      </c>
      <c r="B39" t="s">
        <v>42</v>
      </c>
      <c r="C39" t="str">
        <f>Reef_H</f>
        <v>Reef Height</v>
      </c>
      <c r="D39" t="s">
        <v>43</v>
      </c>
      <c r="F39">
        <v>0</v>
      </c>
      <c r="G39" s="9">
        <v>0</v>
      </c>
      <c r="H39" s="9" t="s">
        <v>23</v>
      </c>
      <c r="I39" t="s">
        <v>23</v>
      </c>
      <c r="J39" t="s">
        <v>23</v>
      </c>
      <c r="K39" t="s">
        <v>23</v>
      </c>
      <c r="L39" t="s">
        <v>23</v>
      </c>
      <c r="M39" s="11">
        <v>-200</v>
      </c>
      <c r="N39" s="13">
        <v>15685.4</v>
      </c>
      <c r="O39" s="13" t="s">
        <v>89</v>
      </c>
      <c r="P39" s="19">
        <v>45257</v>
      </c>
      <c r="Q39" s="18" t="s">
        <v>101</v>
      </c>
    </row>
    <row r="40" spans="1:18" ht="14.25" x14ac:dyDescent="0.45">
      <c r="A40" t="s">
        <v>40</v>
      </c>
      <c r="B40" t="s">
        <v>44</v>
      </c>
      <c r="C40" t="str">
        <f>PerLive</f>
        <v>Percent Live</v>
      </c>
      <c r="D40" t="s">
        <v>25</v>
      </c>
      <c r="F40">
        <v>0</v>
      </c>
      <c r="G40" s="9">
        <v>0</v>
      </c>
      <c r="H40" s="9" t="s">
        <v>23</v>
      </c>
      <c r="I40" t="s">
        <v>23</v>
      </c>
      <c r="J40" t="s">
        <v>23</v>
      </c>
      <c r="K40" t="s">
        <v>23</v>
      </c>
      <c r="L40" t="s">
        <v>23</v>
      </c>
      <c r="M40" s="13">
        <v>0</v>
      </c>
      <c r="N40" s="13">
        <v>100</v>
      </c>
      <c r="O40" s="13" t="s">
        <v>89</v>
      </c>
      <c r="P40" s="19">
        <v>45257</v>
      </c>
      <c r="Q40" s="18" t="s">
        <v>101</v>
      </c>
    </row>
    <row r="41" spans="1:18" ht="14.25" x14ac:dyDescent="0.45">
      <c r="A41" t="s">
        <v>40</v>
      </c>
      <c r="B41" t="s">
        <v>45</v>
      </c>
      <c r="C41" s="10" t="str">
        <f t="shared" ref="C41:C46" si="0">Shell_H</f>
        <v>Shell Height</v>
      </c>
      <c r="D41" t="s">
        <v>43</v>
      </c>
      <c r="E41">
        <v>6.25E-2</v>
      </c>
      <c r="F41">
        <v>0</v>
      </c>
      <c r="G41" s="9">
        <v>0</v>
      </c>
      <c r="H41" s="9" t="s">
        <v>23</v>
      </c>
      <c r="I41" t="s">
        <v>23</v>
      </c>
      <c r="J41" t="s">
        <v>23</v>
      </c>
      <c r="K41" t="s">
        <v>23</v>
      </c>
      <c r="L41" t="s">
        <v>23</v>
      </c>
      <c r="M41" s="13">
        <v>1.7</v>
      </c>
      <c r="N41" s="13">
        <v>125.59699999999999</v>
      </c>
      <c r="O41" s="13" t="s">
        <v>89</v>
      </c>
      <c r="P41" s="19">
        <v>45257</v>
      </c>
      <c r="Q41" s="18" t="s">
        <v>101</v>
      </c>
    </row>
    <row r="42" spans="1:18" s="14" customFormat="1" ht="14.25" x14ac:dyDescent="0.45">
      <c r="A42" t="s">
        <v>40</v>
      </c>
      <c r="B42" t="s">
        <v>45</v>
      </c>
      <c r="C42" s="10" t="str">
        <f t="shared" si="0"/>
        <v>Shell Height</v>
      </c>
      <c r="D42" t="s">
        <v>43</v>
      </c>
      <c r="E42">
        <v>0.1</v>
      </c>
      <c r="F42">
        <v>0</v>
      </c>
      <c r="G42" s="9">
        <v>0</v>
      </c>
      <c r="H42" s="9" t="s">
        <v>23</v>
      </c>
      <c r="I42" t="s">
        <v>23</v>
      </c>
      <c r="J42" t="s">
        <v>23</v>
      </c>
      <c r="K42" t="s">
        <v>23</v>
      </c>
      <c r="L42" t="s">
        <v>23</v>
      </c>
      <c r="M42" s="11">
        <v>4.0590000000000002</v>
      </c>
      <c r="N42" s="11">
        <v>79.941000000000003</v>
      </c>
      <c r="O42" s="11"/>
      <c r="P42" s="11"/>
      <c r="Q42" t="s">
        <v>26</v>
      </c>
      <c r="R42"/>
    </row>
    <row r="43" spans="1:18" s="14" customFormat="1" ht="14.25" x14ac:dyDescent="0.45">
      <c r="A43" t="s">
        <v>40</v>
      </c>
      <c r="B43" t="s">
        <v>45</v>
      </c>
      <c r="C43" s="10" t="str">
        <f t="shared" si="0"/>
        <v>Shell Height</v>
      </c>
      <c r="D43" t="s">
        <v>43</v>
      </c>
      <c r="E43">
        <v>0.25</v>
      </c>
      <c r="F43">
        <v>0</v>
      </c>
      <c r="G43" s="9">
        <v>0</v>
      </c>
      <c r="H43" s="9" t="s">
        <v>23</v>
      </c>
      <c r="I43" t="s">
        <v>23</v>
      </c>
      <c r="J43" t="s">
        <v>23</v>
      </c>
      <c r="K43" t="s">
        <v>23</v>
      </c>
      <c r="L43" t="s">
        <v>23</v>
      </c>
      <c r="M43" s="11">
        <v>2</v>
      </c>
      <c r="N43" s="11">
        <v>105</v>
      </c>
      <c r="O43" s="11"/>
      <c r="P43" s="11"/>
      <c r="Q43" t="s">
        <v>26</v>
      </c>
      <c r="R43"/>
    </row>
    <row r="44" spans="1:18" s="14" customFormat="1" ht="14.25" x14ac:dyDescent="0.45">
      <c r="A44" t="s">
        <v>40</v>
      </c>
      <c r="B44" t="s">
        <v>45</v>
      </c>
      <c r="C44" s="10" t="str">
        <f t="shared" si="0"/>
        <v>Shell Height</v>
      </c>
      <c r="D44" t="s">
        <v>43</v>
      </c>
      <c r="E44">
        <v>1</v>
      </c>
      <c r="F44">
        <v>0</v>
      </c>
      <c r="G44" s="9">
        <v>0</v>
      </c>
      <c r="H44" s="9" t="s">
        <v>23</v>
      </c>
      <c r="I44" t="s">
        <v>23</v>
      </c>
      <c r="J44" t="s">
        <v>23</v>
      </c>
      <c r="K44" t="s">
        <v>23</v>
      </c>
      <c r="L44" t="s">
        <v>23</v>
      </c>
      <c r="M44" s="11">
        <v>0</v>
      </c>
      <c r="N44" s="11">
        <v>118.303</v>
      </c>
      <c r="O44" s="11"/>
      <c r="P44" s="11"/>
      <c r="Q44" t="s">
        <v>26</v>
      </c>
      <c r="R44"/>
    </row>
    <row r="45" spans="1:18" s="14" customFormat="1" ht="14.25" x14ac:dyDescent="0.45">
      <c r="A45" t="s">
        <v>40</v>
      </c>
      <c r="B45" t="s">
        <v>45</v>
      </c>
      <c r="C45" s="10" t="str">
        <f t="shared" si="0"/>
        <v>Shell Height</v>
      </c>
      <c r="D45" t="s">
        <v>43</v>
      </c>
      <c r="E45">
        <v>0.33</v>
      </c>
      <c r="F45">
        <v>0</v>
      </c>
      <c r="G45" s="9">
        <v>0</v>
      </c>
      <c r="H45" s="9" t="s">
        <v>23</v>
      </c>
      <c r="I45" t="s">
        <v>23</v>
      </c>
      <c r="J45" t="s">
        <v>23</v>
      </c>
      <c r="K45" t="s">
        <v>23</v>
      </c>
      <c r="L45" t="s">
        <v>23</v>
      </c>
      <c r="M45" s="13">
        <v>11.563000000000001</v>
      </c>
      <c r="N45" s="13">
        <v>76.320999999999998</v>
      </c>
      <c r="O45" s="13" t="s">
        <v>89</v>
      </c>
      <c r="P45" s="19">
        <v>45257</v>
      </c>
      <c r="Q45" s="18" t="s">
        <v>101</v>
      </c>
      <c r="R45"/>
    </row>
    <row r="46" spans="1:18" s="14" customFormat="1" ht="14.25" x14ac:dyDescent="0.45">
      <c r="A46" t="s">
        <v>40</v>
      </c>
      <c r="B46" t="s">
        <v>45</v>
      </c>
      <c r="C46" s="10" t="str">
        <f t="shared" si="0"/>
        <v>Shell Height</v>
      </c>
      <c r="D46" t="s">
        <v>43</v>
      </c>
      <c r="E46" s="9" t="s">
        <v>23</v>
      </c>
      <c r="F46">
        <v>0</v>
      </c>
      <c r="G46" s="9">
        <v>0</v>
      </c>
      <c r="H46" s="9" t="s">
        <v>23</v>
      </c>
      <c r="I46" t="s">
        <v>23</v>
      </c>
      <c r="J46" t="s">
        <v>23</v>
      </c>
      <c r="K46" t="s">
        <v>23</v>
      </c>
      <c r="L46" t="s">
        <v>23</v>
      </c>
      <c r="M46" s="13">
        <v>7.9569999999999999</v>
      </c>
      <c r="N46" s="13">
        <v>134.27199999999999</v>
      </c>
      <c r="O46" s="13" t="s">
        <v>89</v>
      </c>
      <c r="P46" s="19">
        <v>45257</v>
      </c>
      <c r="Q46" s="18" t="s">
        <v>101</v>
      </c>
      <c r="R46"/>
    </row>
    <row r="47" spans="1:18" ht="14.25" x14ac:dyDescent="0.45">
      <c r="A47" t="s">
        <v>46</v>
      </c>
      <c r="B47" t="s">
        <v>29</v>
      </c>
      <c r="C47" t="str">
        <f>Hectares</f>
        <v>Hectares</v>
      </c>
      <c r="D47" t="s">
        <v>22</v>
      </c>
      <c r="F47">
        <v>0</v>
      </c>
      <c r="G47" s="9">
        <v>0</v>
      </c>
      <c r="H47" s="9" t="s">
        <v>23</v>
      </c>
      <c r="I47" t="s">
        <v>23</v>
      </c>
      <c r="J47" t="s">
        <v>23</v>
      </c>
      <c r="K47" t="s">
        <v>23</v>
      </c>
      <c r="L47" t="s">
        <v>23</v>
      </c>
      <c r="M47" s="9" t="s">
        <v>23</v>
      </c>
      <c r="N47" s="9" t="s">
        <v>23</v>
      </c>
      <c r="O47" s="9"/>
      <c r="P47" s="9"/>
      <c r="Q47" s="3" t="s">
        <v>23</v>
      </c>
      <c r="R47" t="s">
        <v>24</v>
      </c>
    </row>
    <row r="48" spans="1:18" ht="14.25" x14ac:dyDescent="0.45">
      <c r="A48" t="s">
        <v>46</v>
      </c>
      <c r="B48" t="s">
        <v>47</v>
      </c>
      <c r="C48" t="str">
        <f>BB</f>
        <v>Braun Blanquet Score</v>
      </c>
      <c r="D48" t="s">
        <v>48</v>
      </c>
      <c r="F48">
        <v>0</v>
      </c>
      <c r="G48" s="9" t="s">
        <v>23</v>
      </c>
      <c r="H48" s="9" t="s">
        <v>23</v>
      </c>
      <c r="I48" t="s">
        <v>23</v>
      </c>
      <c r="J48" s="10" t="s">
        <v>49</v>
      </c>
      <c r="K48" t="s">
        <v>23</v>
      </c>
      <c r="L48" t="s">
        <v>50</v>
      </c>
      <c r="M48" s="13">
        <v>0</v>
      </c>
      <c r="N48" s="13">
        <v>5</v>
      </c>
      <c r="O48" s="13" t="s">
        <v>89</v>
      </c>
      <c r="P48" s="19">
        <v>45257</v>
      </c>
      <c r="Q48" s="18" t="s">
        <v>101</v>
      </c>
    </row>
    <row r="49" spans="1:18" ht="14.25" x14ac:dyDescent="0.45">
      <c r="A49" t="s">
        <v>46</v>
      </c>
      <c r="B49" t="s">
        <v>47</v>
      </c>
      <c r="C49" t="str">
        <f>MBB</f>
        <v>Modified Braun Blanquet Score</v>
      </c>
      <c r="D49" t="s">
        <v>48</v>
      </c>
      <c r="F49">
        <v>0</v>
      </c>
      <c r="G49" s="9" t="s">
        <v>23</v>
      </c>
      <c r="H49" s="9" t="s">
        <v>23</v>
      </c>
      <c r="I49" t="s">
        <v>23</v>
      </c>
      <c r="J49" t="s">
        <v>51</v>
      </c>
      <c r="K49" t="s">
        <v>52</v>
      </c>
      <c r="L49" t="s">
        <v>50</v>
      </c>
      <c r="M49" s="13">
        <v>0.5</v>
      </c>
      <c r="N49" s="9">
        <v>5</v>
      </c>
      <c r="O49" s="13" t="s">
        <v>89</v>
      </c>
      <c r="P49" s="19">
        <v>45257</v>
      </c>
      <c r="Q49" s="18" t="s">
        <v>101</v>
      </c>
    </row>
    <row r="50" spans="1:18" ht="14.25" x14ac:dyDescent="0.45">
      <c r="A50" t="s">
        <v>46</v>
      </c>
      <c r="B50" t="s">
        <v>47</v>
      </c>
      <c r="C50" t="str">
        <f>PerCov</f>
        <v>Percent Cover</v>
      </c>
      <c r="D50" t="s">
        <v>25</v>
      </c>
      <c r="F50">
        <v>0</v>
      </c>
      <c r="G50" s="9">
        <v>0</v>
      </c>
      <c r="H50" s="9" t="s">
        <v>23</v>
      </c>
      <c r="I50" t="s">
        <v>23</v>
      </c>
      <c r="J50" s="12" t="s">
        <v>97</v>
      </c>
      <c r="K50" t="s">
        <v>23</v>
      </c>
      <c r="L50" t="s">
        <v>23</v>
      </c>
      <c r="M50" s="9">
        <v>0</v>
      </c>
      <c r="N50" s="9">
        <v>100</v>
      </c>
      <c r="O50" s="9"/>
      <c r="P50" s="9"/>
      <c r="Q50" t="s">
        <v>26</v>
      </c>
      <c r="R50" s="10"/>
    </row>
    <row r="51" spans="1:18" ht="14.25" x14ac:dyDescent="0.45">
      <c r="A51" t="s">
        <v>46</v>
      </c>
      <c r="B51" t="s">
        <v>53</v>
      </c>
      <c r="C51" t="str">
        <f>PerCov</f>
        <v>Percent Cover</v>
      </c>
      <c r="D51" t="s">
        <v>25</v>
      </c>
      <c r="F51"/>
      <c r="G51" s="9">
        <v>0</v>
      </c>
      <c r="H51" s="9" t="s">
        <v>23</v>
      </c>
      <c r="I51" t="s">
        <v>23</v>
      </c>
      <c r="J51" s="15" t="s">
        <v>23</v>
      </c>
      <c r="M51" s="9">
        <v>0</v>
      </c>
      <c r="N51" s="9">
        <v>100</v>
      </c>
      <c r="O51" s="9"/>
      <c r="P51" s="9"/>
      <c r="Q51" s="16"/>
      <c r="R51" s="10"/>
    </row>
    <row r="52" spans="1:18" ht="14.25" x14ac:dyDescent="0.45">
      <c r="A52" t="s">
        <v>46</v>
      </c>
      <c r="B52" t="s">
        <v>47</v>
      </c>
      <c r="C52" t="str">
        <f>PerOcc</f>
        <v>Percent Occurrence</v>
      </c>
      <c r="D52" t="s">
        <v>25</v>
      </c>
      <c r="F52">
        <v>0</v>
      </c>
      <c r="G52" s="9">
        <v>0</v>
      </c>
      <c r="H52" s="9" t="s">
        <v>23</v>
      </c>
      <c r="I52" t="s">
        <v>23</v>
      </c>
      <c r="J52" s="12" t="s">
        <v>99</v>
      </c>
      <c r="K52" t="s">
        <v>23</v>
      </c>
      <c r="L52" t="s">
        <v>23</v>
      </c>
      <c r="M52" s="9">
        <v>0</v>
      </c>
      <c r="N52" s="13">
        <v>100</v>
      </c>
      <c r="O52" s="13" t="s">
        <v>89</v>
      </c>
      <c r="P52" s="19">
        <v>45257</v>
      </c>
      <c r="Q52" s="18" t="s">
        <v>101</v>
      </c>
    </row>
    <row r="53" spans="1:18" ht="14.25" x14ac:dyDescent="0.45">
      <c r="A53" t="s">
        <v>46</v>
      </c>
      <c r="B53" t="s">
        <v>53</v>
      </c>
      <c r="C53" t="str">
        <f>PerOcc</f>
        <v>Percent Occurrence</v>
      </c>
      <c r="D53" t="s">
        <v>25</v>
      </c>
      <c r="F53"/>
      <c r="G53" s="9">
        <v>0</v>
      </c>
      <c r="H53" s="9" t="s">
        <v>23</v>
      </c>
      <c r="I53" t="s">
        <v>23</v>
      </c>
      <c r="J53" s="12" t="s">
        <v>100</v>
      </c>
      <c r="M53" s="9">
        <v>0</v>
      </c>
      <c r="N53" s="13">
        <v>100</v>
      </c>
      <c r="O53" s="13" t="s">
        <v>89</v>
      </c>
      <c r="P53" s="19">
        <v>45257</v>
      </c>
      <c r="Q53" s="18" t="s">
        <v>101</v>
      </c>
    </row>
    <row r="54" spans="1:18" ht="14.25" x14ac:dyDescent="0.45">
      <c r="A54" t="s">
        <v>46</v>
      </c>
      <c r="B54" t="s">
        <v>47</v>
      </c>
      <c r="C54" t="str">
        <f>PresAbs</f>
        <v>Presence/Absence</v>
      </c>
      <c r="D54" t="s">
        <v>33</v>
      </c>
      <c r="F54">
        <v>0</v>
      </c>
      <c r="G54" s="9" t="s">
        <v>23</v>
      </c>
      <c r="H54" s="9" t="s">
        <v>23</v>
      </c>
      <c r="I54" t="s">
        <v>23</v>
      </c>
      <c r="J54" t="s">
        <v>34</v>
      </c>
      <c r="K54" t="s">
        <v>35</v>
      </c>
      <c r="L54" t="s">
        <v>23</v>
      </c>
      <c r="M54" s="9">
        <v>0</v>
      </c>
      <c r="N54" s="9">
        <v>1</v>
      </c>
      <c r="O54" s="9"/>
      <c r="P54" s="9"/>
      <c r="Q54" t="s">
        <v>26</v>
      </c>
    </row>
    <row r="55" spans="1:18" ht="14.25" x14ac:dyDescent="0.45">
      <c r="A55" t="s">
        <v>46</v>
      </c>
      <c r="B55" t="s">
        <v>42</v>
      </c>
      <c r="C55" t="str">
        <f>Shoot_C</f>
        <v>Shoot Count</v>
      </c>
      <c r="D55" t="s">
        <v>54</v>
      </c>
      <c r="F55">
        <v>1</v>
      </c>
      <c r="G55" s="9">
        <v>0</v>
      </c>
      <c r="H55" s="9" t="s">
        <v>23</v>
      </c>
      <c r="I55" t="s">
        <v>23</v>
      </c>
      <c r="J55" t="s">
        <v>23</v>
      </c>
      <c r="K55" t="s">
        <v>23</v>
      </c>
      <c r="L55" t="s">
        <v>23</v>
      </c>
      <c r="M55" s="9">
        <v>0</v>
      </c>
      <c r="N55" s="9">
        <v>5000</v>
      </c>
      <c r="O55" s="9"/>
      <c r="P55" s="9"/>
      <c r="Q55" t="s">
        <v>26</v>
      </c>
      <c r="R55" t="s">
        <v>55</v>
      </c>
    </row>
    <row r="56" spans="1:18" ht="14.25" x14ac:dyDescent="0.45">
      <c r="A56" t="s">
        <v>56</v>
      </c>
      <c r="B56" t="s">
        <v>57</v>
      </c>
      <c r="C56" t="str">
        <f>Count</f>
        <v>Count</v>
      </c>
      <c r="D56" t="s">
        <v>32</v>
      </c>
      <c r="F56">
        <v>0</v>
      </c>
      <c r="G56" s="9">
        <v>0</v>
      </c>
      <c r="H56" s="9" t="s">
        <v>23</v>
      </c>
      <c r="I56" t="s">
        <v>23</v>
      </c>
      <c r="J56" t="s">
        <v>23</v>
      </c>
      <c r="K56" t="s">
        <v>23</v>
      </c>
      <c r="L56" t="s">
        <v>23</v>
      </c>
      <c r="M56" s="11">
        <v>0</v>
      </c>
      <c r="N56" s="13">
        <v>1193</v>
      </c>
      <c r="O56" s="13" t="s">
        <v>89</v>
      </c>
      <c r="P56" s="19">
        <v>45257</v>
      </c>
      <c r="Q56" s="18" t="s">
        <v>101</v>
      </c>
    </row>
    <row r="57" spans="1:18" ht="14.25" x14ac:dyDescent="0.45">
      <c r="A57" t="s">
        <v>56</v>
      </c>
      <c r="B57" t="s">
        <v>57</v>
      </c>
      <c r="C57" t="str">
        <f>Fork_L</f>
        <v>Fork Length</v>
      </c>
      <c r="D57" t="s">
        <v>37</v>
      </c>
      <c r="F57">
        <v>1</v>
      </c>
      <c r="G57" s="9">
        <v>9.9999999999999995E-7</v>
      </c>
      <c r="H57" s="9" t="s">
        <v>23</v>
      </c>
      <c r="I57" t="s">
        <v>23</v>
      </c>
      <c r="J57" t="s">
        <v>23</v>
      </c>
      <c r="K57" t="s">
        <v>23</v>
      </c>
      <c r="L57" t="s">
        <v>23</v>
      </c>
      <c r="M57" s="9" t="s">
        <v>23</v>
      </c>
      <c r="N57" s="9" t="s">
        <v>23</v>
      </c>
      <c r="O57" s="9"/>
      <c r="P57" s="9"/>
      <c r="Q57" t="s">
        <v>23</v>
      </c>
    </row>
    <row r="58" spans="1:18" ht="14.25" x14ac:dyDescent="0.45">
      <c r="A58" t="s">
        <v>56</v>
      </c>
      <c r="B58" t="s">
        <v>57</v>
      </c>
      <c r="C58" t="str">
        <f>PresAbs</f>
        <v>Presence/Absence</v>
      </c>
      <c r="D58" t="s">
        <v>33</v>
      </c>
      <c r="F58">
        <v>0</v>
      </c>
      <c r="G58" s="9" t="s">
        <v>23</v>
      </c>
      <c r="H58" s="9" t="s">
        <v>23</v>
      </c>
      <c r="I58" t="s">
        <v>23</v>
      </c>
      <c r="J58" t="s">
        <v>34</v>
      </c>
      <c r="K58" t="s">
        <v>35</v>
      </c>
      <c r="L58" t="s">
        <v>23</v>
      </c>
      <c r="M58" s="13">
        <v>0</v>
      </c>
      <c r="N58" s="13">
        <v>1</v>
      </c>
      <c r="O58" s="13" t="s">
        <v>89</v>
      </c>
      <c r="P58" s="19">
        <v>45257</v>
      </c>
      <c r="Q58" s="18" t="s">
        <v>101</v>
      </c>
    </row>
    <row r="59" spans="1:18" ht="14.25" x14ac:dyDescent="0.45">
      <c r="A59" t="s">
        <v>56</v>
      </c>
      <c r="B59" t="s">
        <v>57</v>
      </c>
      <c r="C59" t="str">
        <f>Sn_An</f>
        <v>Snout to Anus</v>
      </c>
      <c r="D59" t="s">
        <v>37</v>
      </c>
      <c r="F59">
        <v>1</v>
      </c>
      <c r="G59" s="9">
        <v>9.9999999999999995E-7</v>
      </c>
      <c r="H59" s="9" t="s">
        <v>23</v>
      </c>
      <c r="I59" t="s">
        <v>23</v>
      </c>
      <c r="J59" t="s">
        <v>23</v>
      </c>
      <c r="K59" t="s">
        <v>23</v>
      </c>
      <c r="L59" t="s">
        <v>23</v>
      </c>
      <c r="M59" s="9" t="s">
        <v>23</v>
      </c>
      <c r="N59" s="9" t="s">
        <v>23</v>
      </c>
      <c r="O59" s="9"/>
      <c r="P59" s="9"/>
      <c r="Q59" s="3"/>
      <c r="R59" t="s">
        <v>58</v>
      </c>
    </row>
    <row r="60" spans="1:18" ht="14.25" x14ac:dyDescent="0.45">
      <c r="A60" t="s">
        <v>56</v>
      </c>
      <c r="B60" t="s">
        <v>57</v>
      </c>
      <c r="C60" t="str">
        <f>Std_L</f>
        <v>Standard Length</v>
      </c>
      <c r="D60" t="s">
        <v>37</v>
      </c>
      <c r="F60">
        <v>1</v>
      </c>
      <c r="G60" s="9">
        <v>9.9999999999999995E-7</v>
      </c>
      <c r="H60" s="9" t="s">
        <v>23</v>
      </c>
      <c r="I60" t="s">
        <v>23</v>
      </c>
      <c r="J60" t="s">
        <v>23</v>
      </c>
      <c r="K60" t="s">
        <v>23</v>
      </c>
      <c r="L60" t="s">
        <v>23</v>
      </c>
      <c r="M60" s="9">
        <v>1</v>
      </c>
      <c r="N60" s="9">
        <v>79</v>
      </c>
      <c r="O60" s="9"/>
      <c r="P60" s="9"/>
      <c r="Q60" t="s">
        <v>26</v>
      </c>
    </row>
    <row r="61" spans="1:18" ht="14.25" x14ac:dyDescent="0.45">
      <c r="A61" t="s">
        <v>56</v>
      </c>
      <c r="B61" t="s">
        <v>57</v>
      </c>
      <c r="C61" t="str">
        <f>Tot_L</f>
        <v>Total Length</v>
      </c>
      <c r="D61" t="s">
        <v>37</v>
      </c>
      <c r="F61">
        <v>1</v>
      </c>
      <c r="G61" s="9">
        <v>9.9999999999999995E-7</v>
      </c>
      <c r="H61" s="9" t="s">
        <v>23</v>
      </c>
      <c r="I61" t="s">
        <v>23</v>
      </c>
      <c r="J61" t="s">
        <v>23</v>
      </c>
      <c r="K61" t="s">
        <v>23</v>
      </c>
      <c r="L61" t="s">
        <v>23</v>
      </c>
      <c r="M61" s="9" t="s">
        <v>23</v>
      </c>
      <c r="N61" s="9"/>
      <c r="O61" s="9"/>
      <c r="P61" s="9"/>
      <c r="Q61" s="3"/>
      <c r="R61" t="s">
        <v>59</v>
      </c>
    </row>
    <row r="62" spans="1:18" ht="14.25" x14ac:dyDescent="0.45">
      <c r="A62" t="s">
        <v>56</v>
      </c>
      <c r="B62" t="s">
        <v>57</v>
      </c>
      <c r="C62" t="str">
        <f>Width</f>
        <v>Width</v>
      </c>
      <c r="D62" t="s">
        <v>37</v>
      </c>
      <c r="F62">
        <v>1</v>
      </c>
      <c r="G62" s="9">
        <v>9.9999999999999995E-7</v>
      </c>
      <c r="H62" s="9" t="s">
        <v>23</v>
      </c>
      <c r="I62" t="s">
        <v>23</v>
      </c>
      <c r="J62" t="s">
        <v>23</v>
      </c>
      <c r="K62" t="s">
        <v>23</v>
      </c>
      <c r="L62" t="s">
        <v>23</v>
      </c>
      <c r="M62" s="9" t="s">
        <v>23</v>
      </c>
      <c r="N62" s="9"/>
      <c r="O62" s="9"/>
      <c r="P62" s="9"/>
      <c r="Q62" s="3"/>
      <c r="R62" t="s">
        <v>60</v>
      </c>
    </row>
    <row r="63" spans="1:18" ht="14.25" x14ac:dyDescent="0.45">
      <c r="A63" t="s">
        <v>56</v>
      </c>
      <c r="B63" t="s">
        <v>61</v>
      </c>
      <c r="C63" t="str">
        <f>Ammonia</f>
        <v>Ammonia, Un-ionized (NH3)</v>
      </c>
      <c r="D63" t="s">
        <v>62</v>
      </c>
      <c r="F63">
        <v>0</v>
      </c>
      <c r="G63" s="9" t="s">
        <v>23</v>
      </c>
      <c r="H63" s="9" t="s">
        <v>23</v>
      </c>
      <c r="I63" t="s">
        <v>23</v>
      </c>
      <c r="J63" t="s">
        <v>23</v>
      </c>
      <c r="K63" t="s">
        <v>23</v>
      </c>
      <c r="L63" t="s">
        <v>23</v>
      </c>
      <c r="M63" s="9">
        <v>3.0000000000000001E-3</v>
      </c>
      <c r="N63" s="9">
        <v>0.47799999999999998</v>
      </c>
      <c r="O63" s="9"/>
      <c r="P63" s="9"/>
      <c r="Q63" t="s">
        <v>26</v>
      </c>
      <c r="R63" t="s">
        <v>63</v>
      </c>
    </row>
    <row r="64" spans="1:18" ht="14.25" x14ac:dyDescent="0.45">
      <c r="A64" t="s">
        <v>56</v>
      </c>
      <c r="B64" t="s">
        <v>61</v>
      </c>
      <c r="C64" t="str">
        <f>Ammonium</f>
        <v>Ammonium, Filtered (NH4)</v>
      </c>
      <c r="D64" t="s">
        <v>62</v>
      </c>
      <c r="F64">
        <v>0</v>
      </c>
      <c r="G64" s="9" t="s">
        <v>23</v>
      </c>
      <c r="H64" s="9" t="s">
        <v>23</v>
      </c>
      <c r="I64" t="s">
        <v>23</v>
      </c>
      <c r="J64" t="s">
        <v>23</v>
      </c>
      <c r="K64" t="s">
        <v>23</v>
      </c>
      <c r="L64" t="s">
        <v>23</v>
      </c>
      <c r="M64" s="9">
        <v>0</v>
      </c>
      <c r="N64" s="9">
        <v>5.8230000000000004</v>
      </c>
      <c r="O64" s="9"/>
      <c r="P64" s="9"/>
      <c r="Q64" t="s">
        <v>26</v>
      </c>
      <c r="R64" t="s">
        <v>63</v>
      </c>
    </row>
    <row r="65" spans="1:18" ht="14.25" x14ac:dyDescent="0.45">
      <c r="A65" t="s">
        <v>56</v>
      </c>
      <c r="B65" t="s">
        <v>61</v>
      </c>
      <c r="C65" t="str">
        <f>Nitrate</f>
        <v>Nitrate (NO3)</v>
      </c>
      <c r="D65" t="s">
        <v>62</v>
      </c>
      <c r="F65">
        <v>0</v>
      </c>
      <c r="G65" s="9" t="s">
        <v>23</v>
      </c>
      <c r="H65" s="9" t="s">
        <v>23</v>
      </c>
      <c r="I65" t="s">
        <v>23</v>
      </c>
      <c r="J65" t="s">
        <v>23</v>
      </c>
      <c r="K65" t="s">
        <v>23</v>
      </c>
      <c r="L65" t="s">
        <v>23</v>
      </c>
      <c r="M65" s="9">
        <v>1E-3</v>
      </c>
      <c r="N65" s="9">
        <v>0.82</v>
      </c>
      <c r="O65" s="9"/>
      <c r="P65" s="9"/>
      <c r="Q65" t="s">
        <v>26</v>
      </c>
      <c r="R65" t="s">
        <v>63</v>
      </c>
    </row>
    <row r="66" spans="1:18" ht="14.25" x14ac:dyDescent="0.45">
      <c r="A66" t="s">
        <v>56</v>
      </c>
      <c r="B66" t="s">
        <v>61</v>
      </c>
      <c r="C66" t="str">
        <f>Nitrite</f>
        <v>Nitrite (NO2)</v>
      </c>
      <c r="D66" t="s">
        <v>62</v>
      </c>
      <c r="F66">
        <v>0</v>
      </c>
      <c r="G66" s="9" t="s">
        <v>23</v>
      </c>
      <c r="H66" s="9" t="s">
        <v>23</v>
      </c>
      <c r="I66" t="s">
        <v>23</v>
      </c>
      <c r="J66" t="s">
        <v>23</v>
      </c>
      <c r="K66" t="s">
        <v>23</v>
      </c>
      <c r="L66" t="s">
        <v>23</v>
      </c>
      <c r="M66" s="9">
        <v>0</v>
      </c>
      <c r="N66" s="9">
        <v>8.2000000000000003E-2</v>
      </c>
      <c r="O66" s="9"/>
      <c r="P66" s="9"/>
      <c r="Q66" t="s">
        <v>26</v>
      </c>
      <c r="R66" t="s">
        <v>63</v>
      </c>
    </row>
    <row r="67" spans="1:18" ht="14.25" x14ac:dyDescent="0.45">
      <c r="A67" t="s">
        <v>56</v>
      </c>
      <c r="B67" t="s">
        <v>61</v>
      </c>
      <c r="C67" t="str">
        <f>N_Org</f>
        <v>Nitrogen, Organic</v>
      </c>
      <c r="D67" t="s">
        <v>62</v>
      </c>
      <c r="F67">
        <v>0</v>
      </c>
      <c r="G67" s="9" t="s">
        <v>23</v>
      </c>
      <c r="H67" s="9" t="s">
        <v>23</v>
      </c>
      <c r="I67" t="s">
        <v>23</v>
      </c>
      <c r="J67" t="s">
        <v>23</v>
      </c>
      <c r="K67" t="s">
        <v>23</v>
      </c>
      <c r="L67" t="s">
        <v>23</v>
      </c>
      <c r="M67" s="9">
        <v>2.9000000000000001E-2</v>
      </c>
      <c r="N67" s="9">
        <v>2.7</v>
      </c>
      <c r="O67" s="9"/>
      <c r="P67" s="9"/>
      <c r="Q67" t="s">
        <v>26</v>
      </c>
      <c r="R67" t="s">
        <v>63</v>
      </c>
    </row>
    <row r="68" spans="1:18" ht="14.25" x14ac:dyDescent="0.45">
      <c r="A68" t="s">
        <v>56</v>
      </c>
      <c r="B68" t="s">
        <v>61</v>
      </c>
      <c r="C68" t="str">
        <f>NO2_3</f>
        <v>NO2+3, Filtered</v>
      </c>
      <c r="D68" t="s">
        <v>62</v>
      </c>
      <c r="F68">
        <v>0</v>
      </c>
      <c r="G68" s="9" t="s">
        <v>23</v>
      </c>
      <c r="H68" s="9" t="s">
        <v>23</v>
      </c>
      <c r="I68" t="s">
        <v>23</v>
      </c>
      <c r="J68" t="s">
        <v>23</v>
      </c>
      <c r="K68" t="s">
        <v>23</v>
      </c>
      <c r="L68" t="s">
        <v>23</v>
      </c>
      <c r="M68" s="9">
        <v>0</v>
      </c>
      <c r="N68" s="9">
        <v>3.3</v>
      </c>
      <c r="O68" s="9"/>
      <c r="P68" s="9"/>
      <c r="Q68" t="s">
        <v>26</v>
      </c>
      <c r="R68" t="s">
        <v>63</v>
      </c>
    </row>
    <row r="69" spans="1:18" ht="14.25" x14ac:dyDescent="0.45">
      <c r="A69" t="s">
        <v>56</v>
      </c>
      <c r="B69" t="s">
        <v>61</v>
      </c>
      <c r="C69" t="str">
        <f>Phosphate</f>
        <v>Phosphate, Filtered (PO4)</v>
      </c>
      <c r="D69" t="s">
        <v>62</v>
      </c>
      <c r="F69">
        <v>0</v>
      </c>
      <c r="G69" s="9" t="s">
        <v>23</v>
      </c>
      <c r="H69" s="9" t="s">
        <v>23</v>
      </c>
      <c r="I69" t="s">
        <v>23</v>
      </c>
      <c r="J69" t="s">
        <v>23</v>
      </c>
      <c r="K69" t="s">
        <v>23</v>
      </c>
      <c r="L69" t="s">
        <v>23</v>
      </c>
      <c r="M69" s="9">
        <v>0</v>
      </c>
      <c r="N69" s="9">
        <v>0.78</v>
      </c>
      <c r="O69" s="9"/>
      <c r="P69" s="9"/>
      <c r="Q69" t="s">
        <v>26</v>
      </c>
      <c r="R69" t="s">
        <v>63</v>
      </c>
    </row>
    <row r="70" spans="1:18" ht="14.25" x14ac:dyDescent="0.45">
      <c r="A70" t="s">
        <v>56</v>
      </c>
      <c r="B70" t="s">
        <v>61</v>
      </c>
      <c r="C70" t="str">
        <f>TKN</f>
        <v>Total Kjeldahl Nitrogen</v>
      </c>
      <c r="D70" t="s">
        <v>62</v>
      </c>
      <c r="F70">
        <v>0</v>
      </c>
      <c r="G70" s="9" t="s">
        <v>23</v>
      </c>
      <c r="H70" s="9" t="s">
        <v>23</v>
      </c>
      <c r="I70" t="s">
        <v>23</v>
      </c>
      <c r="J70" t="s">
        <v>23</v>
      </c>
      <c r="K70" t="s">
        <v>23</v>
      </c>
      <c r="L70" t="s">
        <v>23</v>
      </c>
      <c r="M70" s="9">
        <v>0</v>
      </c>
      <c r="N70" s="9">
        <v>5.4</v>
      </c>
      <c r="O70" s="9"/>
      <c r="P70" s="9"/>
      <c r="Q70" t="s">
        <v>26</v>
      </c>
      <c r="R70" t="s">
        <v>63</v>
      </c>
    </row>
    <row r="71" spans="1:18" ht="14.25" x14ac:dyDescent="0.45">
      <c r="A71" t="s">
        <v>56</v>
      </c>
      <c r="B71" t="s">
        <v>61</v>
      </c>
      <c r="C71" t="str">
        <f>Tot_N</f>
        <v>Total Nitrogen</v>
      </c>
      <c r="D71" t="s">
        <v>62</v>
      </c>
      <c r="F71">
        <v>0</v>
      </c>
      <c r="G71" s="9" t="s">
        <v>23</v>
      </c>
      <c r="H71" s="9" t="s">
        <v>23</v>
      </c>
      <c r="I71" t="s">
        <v>23</v>
      </c>
      <c r="J71" t="s">
        <v>23</v>
      </c>
      <c r="K71" t="s">
        <v>23</v>
      </c>
      <c r="L71" t="s">
        <v>23</v>
      </c>
      <c r="M71" s="11">
        <v>0</v>
      </c>
      <c r="N71" s="9">
        <v>2.67</v>
      </c>
      <c r="O71" s="9"/>
      <c r="P71" s="9"/>
      <c r="Q71" t="s">
        <v>26</v>
      </c>
      <c r="R71" t="s">
        <v>64</v>
      </c>
    </row>
    <row r="72" spans="1:18" ht="14.25" x14ac:dyDescent="0.45">
      <c r="A72" t="s">
        <v>56</v>
      </c>
      <c r="B72" t="s">
        <v>61</v>
      </c>
      <c r="C72" t="str">
        <f>Tot_N</f>
        <v>Total Nitrogen</v>
      </c>
      <c r="D72" t="s">
        <v>62</v>
      </c>
      <c r="F72">
        <v>0</v>
      </c>
      <c r="G72" s="9" t="s">
        <v>23</v>
      </c>
      <c r="H72" s="9" t="s">
        <v>23</v>
      </c>
      <c r="I72" t="s">
        <v>23</v>
      </c>
      <c r="J72" t="s">
        <v>23</v>
      </c>
      <c r="K72" t="s">
        <v>23</v>
      </c>
      <c r="L72" t="s">
        <v>23</v>
      </c>
      <c r="M72" s="11">
        <v>0</v>
      </c>
      <c r="N72" s="11">
        <v>4.2489999999999997</v>
      </c>
      <c r="O72" s="11"/>
      <c r="P72" s="11"/>
      <c r="Q72" t="s">
        <v>26</v>
      </c>
      <c r="R72" t="s">
        <v>65</v>
      </c>
    </row>
    <row r="73" spans="1:18" ht="14.25" x14ac:dyDescent="0.45">
      <c r="A73" t="s">
        <v>56</v>
      </c>
      <c r="B73" t="s">
        <v>61</v>
      </c>
      <c r="C73" t="str">
        <f>Tot_P</f>
        <v>Total Phosphorus</v>
      </c>
      <c r="D73" t="s">
        <v>62</v>
      </c>
      <c r="F73">
        <v>0</v>
      </c>
      <c r="G73" s="9" t="s">
        <v>23</v>
      </c>
      <c r="H73" s="9" t="s">
        <v>23</v>
      </c>
      <c r="I73" t="s">
        <v>23</v>
      </c>
      <c r="J73" t="s">
        <v>23</v>
      </c>
      <c r="K73" t="s">
        <v>23</v>
      </c>
      <c r="L73" t="s">
        <v>23</v>
      </c>
      <c r="M73" s="11">
        <v>0</v>
      </c>
      <c r="N73" s="11">
        <v>0.75</v>
      </c>
      <c r="O73" s="11"/>
      <c r="P73" s="11"/>
      <c r="Q73" t="s">
        <v>26</v>
      </c>
    </row>
    <row r="74" spans="1:18" ht="14.25" x14ac:dyDescent="0.45">
      <c r="A74" t="s">
        <v>56</v>
      </c>
      <c r="B74" t="s">
        <v>66</v>
      </c>
      <c r="C74" t="str">
        <f>Chla_cor</f>
        <v>Chlorophyll a, Corrected for Pheophytin</v>
      </c>
      <c r="D74" t="s">
        <v>67</v>
      </c>
      <c r="F74">
        <v>0</v>
      </c>
      <c r="G74" s="9" t="s">
        <v>23</v>
      </c>
      <c r="H74" s="9" t="s">
        <v>23</v>
      </c>
      <c r="I74" t="s">
        <v>23</v>
      </c>
      <c r="J74" t="s">
        <v>23</v>
      </c>
      <c r="K74" t="s">
        <v>23</v>
      </c>
      <c r="L74" t="s">
        <v>23</v>
      </c>
      <c r="M74" s="11">
        <v>8.4000000000000005E-2</v>
      </c>
      <c r="N74" s="11">
        <v>120.05500000000001</v>
      </c>
      <c r="O74" s="11"/>
      <c r="P74" s="11"/>
      <c r="Q74" t="s">
        <v>26</v>
      </c>
    </row>
    <row r="75" spans="1:18" ht="14.25" x14ac:dyDescent="0.45">
      <c r="A75" t="s">
        <v>56</v>
      </c>
      <c r="B75" t="s">
        <v>66</v>
      </c>
      <c r="C75" t="str">
        <f>Chla_uncor</f>
        <v>Chlorophyll a, Uncorrected for Pheophytin</v>
      </c>
      <c r="D75" t="s">
        <v>67</v>
      </c>
      <c r="F75">
        <v>0</v>
      </c>
      <c r="G75" s="9" t="s">
        <v>23</v>
      </c>
      <c r="H75" s="9" t="s">
        <v>23</v>
      </c>
      <c r="I75" t="s">
        <v>23</v>
      </c>
      <c r="J75" t="s">
        <v>23</v>
      </c>
      <c r="K75" t="s">
        <v>23</v>
      </c>
      <c r="L75" t="s">
        <v>23</v>
      </c>
      <c r="M75" s="11">
        <v>0.01</v>
      </c>
      <c r="N75" s="11">
        <v>100</v>
      </c>
      <c r="O75" s="11"/>
      <c r="P75" s="11"/>
      <c r="Q75" t="s">
        <v>26</v>
      </c>
    </row>
    <row r="76" spans="1:18" ht="14.25" x14ac:dyDescent="0.45">
      <c r="A76" t="s">
        <v>56</v>
      </c>
      <c r="B76" t="s">
        <v>66</v>
      </c>
      <c r="C76" t="str">
        <f>CDOM</f>
        <v>Colored Dissolved Organic Matter</v>
      </c>
      <c r="D76" t="s">
        <v>68</v>
      </c>
      <c r="F76">
        <v>0</v>
      </c>
      <c r="G76" s="9" t="s">
        <v>23</v>
      </c>
      <c r="H76" s="9" t="s">
        <v>23</v>
      </c>
      <c r="I76" t="s">
        <v>23</v>
      </c>
      <c r="J76" t="s">
        <v>23</v>
      </c>
      <c r="K76" t="s">
        <v>23</v>
      </c>
      <c r="L76" t="s">
        <v>23</v>
      </c>
      <c r="M76" s="9">
        <v>1</v>
      </c>
      <c r="N76" s="9">
        <v>714.83</v>
      </c>
      <c r="O76" s="9"/>
      <c r="P76" s="9"/>
      <c r="Q76" t="s">
        <v>26</v>
      </c>
    </row>
    <row r="77" spans="1:18" ht="14.25" x14ac:dyDescent="0.45">
      <c r="A77" t="s">
        <v>56</v>
      </c>
      <c r="B77" t="s">
        <v>66</v>
      </c>
      <c r="C77" t="str">
        <f>FDOM</f>
        <v>Fluorescent Dissolved Organic Matter</v>
      </c>
      <c r="D77" t="s">
        <v>69</v>
      </c>
      <c r="F77">
        <v>0</v>
      </c>
      <c r="G77" s="9" t="s">
        <v>23</v>
      </c>
      <c r="H77" s="9" t="s">
        <v>23</v>
      </c>
      <c r="I77" t="s">
        <v>23</v>
      </c>
      <c r="J77" t="s">
        <v>23</v>
      </c>
      <c r="K77" t="s">
        <v>23</v>
      </c>
      <c r="L77" t="s">
        <v>23</v>
      </c>
      <c r="M77" s="9" t="s">
        <v>23</v>
      </c>
      <c r="N77" s="9" t="s">
        <v>23</v>
      </c>
      <c r="O77" s="9"/>
      <c r="P77" s="9"/>
      <c r="Q77" s="3"/>
      <c r="R77" t="s">
        <v>70</v>
      </c>
    </row>
    <row r="78" spans="1:18" ht="14.25" x14ac:dyDescent="0.45">
      <c r="A78" t="s">
        <v>56</v>
      </c>
      <c r="B78" t="s">
        <v>42</v>
      </c>
      <c r="C78" t="str">
        <f>LEC</f>
        <v>Light Extinction Coefficient</v>
      </c>
      <c r="D78" t="s">
        <v>71</v>
      </c>
      <c r="F78">
        <v>1</v>
      </c>
      <c r="G78" s="9" t="s">
        <v>23</v>
      </c>
      <c r="H78" s="9" t="s">
        <v>23</v>
      </c>
      <c r="I78" t="s">
        <v>23</v>
      </c>
      <c r="J78" t="s">
        <v>23</v>
      </c>
      <c r="K78" t="s">
        <v>23</v>
      </c>
      <c r="L78" t="s">
        <v>23</v>
      </c>
      <c r="M78" s="9">
        <v>1E-3</v>
      </c>
      <c r="N78" s="9">
        <v>7.94</v>
      </c>
      <c r="O78" s="9"/>
      <c r="P78" s="9"/>
      <c r="Q78" t="s">
        <v>26</v>
      </c>
    </row>
    <row r="79" spans="1:18" ht="57" x14ac:dyDescent="0.45">
      <c r="A79" t="s">
        <v>56</v>
      </c>
      <c r="B79" t="s">
        <v>66</v>
      </c>
      <c r="C79" t="str">
        <f>Secchi</f>
        <v>Secchi Depth</v>
      </c>
      <c r="D79" t="s">
        <v>72</v>
      </c>
      <c r="F79">
        <v>0</v>
      </c>
      <c r="G79" s="9">
        <v>9.9999999999999995E-7</v>
      </c>
      <c r="H79" s="9">
        <v>50</v>
      </c>
      <c r="I79" s="17" t="s">
        <v>73</v>
      </c>
      <c r="J79" t="s">
        <v>74</v>
      </c>
      <c r="K79" t="s">
        <v>75</v>
      </c>
      <c r="L79" t="s">
        <v>76</v>
      </c>
      <c r="M79" s="13">
        <v>0.1</v>
      </c>
      <c r="N79" s="13">
        <v>15.2</v>
      </c>
      <c r="O79" s="13" t="s">
        <v>89</v>
      </c>
      <c r="P79" s="19">
        <v>45257</v>
      </c>
      <c r="Q79" s="18" t="s">
        <v>101</v>
      </c>
      <c r="R79" t="s">
        <v>77</v>
      </c>
    </row>
    <row r="80" spans="1:18" ht="14.25" x14ac:dyDescent="0.45">
      <c r="A80" t="s">
        <v>56</v>
      </c>
      <c r="B80" t="s">
        <v>66</v>
      </c>
      <c r="C80" t="str">
        <f>TSS</f>
        <v>Total Suspended Solids</v>
      </c>
      <c r="D80" t="s">
        <v>62</v>
      </c>
      <c r="F80">
        <v>0</v>
      </c>
      <c r="G80" s="9" t="s">
        <v>23</v>
      </c>
      <c r="H80" s="9" t="s">
        <v>23</v>
      </c>
      <c r="I80" t="s">
        <v>23</v>
      </c>
      <c r="J80" t="s">
        <v>23</v>
      </c>
      <c r="K80" t="s">
        <v>23</v>
      </c>
      <c r="L80" t="s">
        <v>23</v>
      </c>
      <c r="M80" s="9">
        <v>0.125</v>
      </c>
      <c r="N80" s="11">
        <v>186</v>
      </c>
      <c r="O80" s="11"/>
      <c r="P80" s="11"/>
      <c r="Q80" t="s">
        <v>26</v>
      </c>
    </row>
    <row r="81" spans="1:18" ht="14.25" x14ac:dyDescent="0.45">
      <c r="A81" t="s">
        <v>56</v>
      </c>
      <c r="B81" t="s">
        <v>66</v>
      </c>
      <c r="C81" t="str">
        <f>Turb</f>
        <v>Turbidity</v>
      </c>
      <c r="D81" t="s">
        <v>78</v>
      </c>
      <c r="F81">
        <v>0</v>
      </c>
      <c r="G81" s="9" t="s">
        <v>23</v>
      </c>
      <c r="H81" s="9" t="s">
        <v>23</v>
      </c>
      <c r="I81" t="s">
        <v>23</v>
      </c>
      <c r="J81" t="s">
        <v>23</v>
      </c>
      <c r="K81" t="s">
        <v>23</v>
      </c>
      <c r="L81" t="s">
        <v>23</v>
      </c>
      <c r="M81" s="11">
        <v>0.02</v>
      </c>
      <c r="N81" s="11">
        <v>128</v>
      </c>
      <c r="O81" s="11"/>
      <c r="P81" s="11"/>
      <c r="Q81" t="s">
        <v>26</v>
      </c>
    </row>
    <row r="82" spans="1:18" ht="24" customHeight="1" x14ac:dyDescent="0.45">
      <c r="A82" t="s">
        <v>56</v>
      </c>
      <c r="B82" t="s">
        <v>79</v>
      </c>
      <c r="C82" t="str">
        <f>DO</f>
        <v>Dissolved Oxygen</v>
      </c>
      <c r="D82" t="s">
        <v>62</v>
      </c>
      <c r="F82">
        <v>0</v>
      </c>
      <c r="G82" s="9">
        <v>9.9999999999999995E-7</v>
      </c>
      <c r="H82" s="9">
        <v>22</v>
      </c>
      <c r="I82" s="17" t="s">
        <v>73</v>
      </c>
      <c r="J82" t="s">
        <v>23</v>
      </c>
      <c r="K82" t="s">
        <v>23</v>
      </c>
      <c r="L82" t="s">
        <v>23</v>
      </c>
      <c r="M82" s="13">
        <v>0.23</v>
      </c>
      <c r="N82" s="13">
        <v>14</v>
      </c>
      <c r="O82" s="13" t="s">
        <v>89</v>
      </c>
      <c r="P82" s="19">
        <v>45257</v>
      </c>
      <c r="Q82" s="18" t="s">
        <v>101</v>
      </c>
    </row>
    <row r="83" spans="1:18" ht="24" customHeight="1" x14ac:dyDescent="0.45">
      <c r="A83" t="s">
        <v>56</v>
      </c>
      <c r="B83" t="s">
        <v>79</v>
      </c>
      <c r="C83" t="str">
        <f>DOsat</f>
        <v>Dissolved Oxygen Saturation</v>
      </c>
      <c r="D83" t="s">
        <v>25</v>
      </c>
      <c r="F83">
        <v>0</v>
      </c>
      <c r="G83" s="9">
        <v>9.9999999999999995E-7</v>
      </c>
      <c r="H83" s="9">
        <v>310</v>
      </c>
      <c r="I83" s="17" t="s">
        <v>73</v>
      </c>
      <c r="J83" t="s">
        <v>23</v>
      </c>
      <c r="K83" t="s">
        <v>23</v>
      </c>
      <c r="L83" t="s">
        <v>23</v>
      </c>
      <c r="M83" s="13">
        <v>0.33200000000000002</v>
      </c>
      <c r="N83" s="13">
        <v>176.38200000000001</v>
      </c>
      <c r="O83" s="13" t="s">
        <v>89</v>
      </c>
      <c r="P83" s="19">
        <v>45257</v>
      </c>
      <c r="Q83" s="18" t="s">
        <v>101</v>
      </c>
      <c r="R83" t="s">
        <v>80</v>
      </c>
    </row>
    <row r="84" spans="1:18" ht="24" customHeight="1" x14ac:dyDescent="0.45">
      <c r="A84" t="s">
        <v>56</v>
      </c>
      <c r="B84" t="s">
        <v>79</v>
      </c>
      <c r="C84" t="str">
        <f>pH</f>
        <v>pH</v>
      </c>
      <c r="D84" t="s">
        <v>81</v>
      </c>
      <c r="F84">
        <v>0</v>
      </c>
      <c r="G84">
        <v>2</v>
      </c>
      <c r="H84" s="9">
        <v>13</v>
      </c>
      <c r="I84" s="17" t="s">
        <v>73</v>
      </c>
      <c r="J84" t="s">
        <v>23</v>
      </c>
      <c r="K84" t="s">
        <v>23</v>
      </c>
      <c r="L84" t="s">
        <v>23</v>
      </c>
      <c r="M84" s="13">
        <v>5.2</v>
      </c>
      <c r="N84" s="13">
        <v>9.3000000000000007</v>
      </c>
      <c r="O84" s="13" t="s">
        <v>89</v>
      </c>
      <c r="P84" s="19">
        <v>45257</v>
      </c>
      <c r="Q84" s="18" t="s">
        <v>101</v>
      </c>
      <c r="R84" t="s">
        <v>80</v>
      </c>
    </row>
    <row r="85" spans="1:18" ht="24" customHeight="1" x14ac:dyDescent="0.45">
      <c r="A85" t="s">
        <v>56</v>
      </c>
      <c r="B85" t="s">
        <v>79</v>
      </c>
      <c r="C85" t="str">
        <f>Sal</f>
        <v>Salinity</v>
      </c>
      <c r="D85" t="s">
        <v>82</v>
      </c>
      <c r="F85">
        <v>0</v>
      </c>
      <c r="G85">
        <v>0</v>
      </c>
      <c r="H85" s="9">
        <v>70</v>
      </c>
      <c r="I85" s="17" t="s">
        <v>73</v>
      </c>
      <c r="J85" t="s">
        <v>23</v>
      </c>
      <c r="K85" t="s">
        <v>83</v>
      </c>
      <c r="L85" t="s">
        <v>23</v>
      </c>
      <c r="M85" s="13">
        <v>7.0000000000000007E-2</v>
      </c>
      <c r="N85" s="13">
        <v>41</v>
      </c>
      <c r="O85" s="13" t="s">
        <v>89</v>
      </c>
      <c r="P85" s="19">
        <v>45257</v>
      </c>
      <c r="Q85" s="18" t="s">
        <v>101</v>
      </c>
      <c r="R85" t="s">
        <v>84</v>
      </c>
    </row>
    <row r="86" spans="1:18" ht="24" customHeight="1" x14ac:dyDescent="0.45">
      <c r="A86" t="s">
        <v>56</v>
      </c>
      <c r="B86" t="s">
        <v>79</v>
      </c>
      <c r="C86" t="str">
        <f>SpecCond</f>
        <v>Specific Conductivity</v>
      </c>
      <c r="D86" t="s">
        <v>85</v>
      </c>
      <c r="F86">
        <v>0</v>
      </c>
      <c r="G86" s="9">
        <v>5.0000009999999996E-3</v>
      </c>
      <c r="H86" s="9">
        <v>100</v>
      </c>
      <c r="I86" s="17" t="s">
        <v>73</v>
      </c>
      <c r="J86" t="s">
        <v>23</v>
      </c>
      <c r="K86" t="s">
        <v>86</v>
      </c>
      <c r="L86" t="s">
        <v>23</v>
      </c>
      <c r="M86" s="13">
        <v>5.0000000000000001E-3</v>
      </c>
      <c r="N86" s="13">
        <v>60.712000000000003</v>
      </c>
      <c r="O86" s="13" t="s">
        <v>89</v>
      </c>
      <c r="P86" s="19">
        <v>45257</v>
      </c>
      <c r="Q86" s="18" t="s">
        <v>101</v>
      </c>
      <c r="R86" t="s">
        <v>80</v>
      </c>
    </row>
    <row r="87" spans="1:18" ht="24" customHeight="1" x14ac:dyDescent="0.45">
      <c r="A87" t="s">
        <v>56</v>
      </c>
      <c r="B87" t="s">
        <v>79</v>
      </c>
      <c r="C87" t="str">
        <f>W_Temp</f>
        <v>Water Temperature</v>
      </c>
      <c r="D87" t="s">
        <v>87</v>
      </c>
      <c r="F87">
        <v>0</v>
      </c>
      <c r="G87">
        <v>3</v>
      </c>
      <c r="H87" s="9">
        <v>40</v>
      </c>
      <c r="I87" s="17" t="s">
        <v>73</v>
      </c>
      <c r="J87" t="s">
        <v>23</v>
      </c>
      <c r="K87" t="s">
        <v>23</v>
      </c>
      <c r="L87" t="s">
        <v>23</v>
      </c>
      <c r="M87" s="13">
        <v>6.4</v>
      </c>
      <c r="N87" s="13">
        <v>33.880000000000003</v>
      </c>
      <c r="O87" s="13" t="s">
        <v>89</v>
      </c>
      <c r="P87" s="19">
        <v>45257</v>
      </c>
      <c r="Q87" s="18" t="s">
        <v>101</v>
      </c>
      <c r="R87" t="s">
        <v>80</v>
      </c>
    </row>
    <row r="88" spans="1:18" ht="15" customHeight="1" x14ac:dyDescent="0.45">
      <c r="A88" s="18" t="s">
        <v>56</v>
      </c>
      <c r="B88" s="18" t="s">
        <v>96</v>
      </c>
      <c r="C88" s="18" t="s">
        <v>95</v>
      </c>
      <c r="D88" s="18"/>
      <c r="M88" s="13">
        <v>0</v>
      </c>
      <c r="N88" s="13">
        <v>535</v>
      </c>
      <c r="O88" s="13" t="s">
        <v>38</v>
      </c>
      <c r="P88" s="19">
        <v>45257</v>
      </c>
      <c r="Q88" s="18" t="s">
        <v>101</v>
      </c>
    </row>
    <row r="89" spans="1:18" ht="15" customHeight="1" x14ac:dyDescent="0.45">
      <c r="A89" s="18" t="s">
        <v>56</v>
      </c>
      <c r="B89" s="18" t="s">
        <v>88</v>
      </c>
      <c r="C89" s="18" t="s">
        <v>90</v>
      </c>
      <c r="D89" s="18"/>
      <c r="M89" s="13">
        <v>0.1</v>
      </c>
      <c r="N89" s="13">
        <v>13.4</v>
      </c>
      <c r="O89" s="13" t="s">
        <v>38</v>
      </c>
      <c r="P89" s="19">
        <v>45257</v>
      </c>
      <c r="Q89" s="18" t="s">
        <v>101</v>
      </c>
    </row>
    <row r="90" spans="1:18" ht="15" customHeight="1" x14ac:dyDescent="0.45">
      <c r="A90" s="18" t="s">
        <v>56</v>
      </c>
      <c r="B90" s="18" t="s">
        <v>88</v>
      </c>
      <c r="C90" s="18" t="s">
        <v>91</v>
      </c>
      <c r="D90" s="18"/>
      <c r="M90" s="13">
        <v>1.6</v>
      </c>
      <c r="N90" s="13">
        <v>169.5</v>
      </c>
      <c r="O90" s="13" t="s">
        <v>38</v>
      </c>
      <c r="P90" s="19">
        <v>45257</v>
      </c>
      <c r="Q90" s="18" t="s">
        <v>101</v>
      </c>
    </row>
    <row r="91" spans="1:18" ht="15" customHeight="1" x14ac:dyDescent="0.45">
      <c r="A91" s="18" t="s">
        <v>56</v>
      </c>
      <c r="B91" s="18" t="s">
        <v>88</v>
      </c>
      <c r="C91" s="18" t="s">
        <v>92</v>
      </c>
      <c r="D91" s="18"/>
      <c r="M91" s="13">
        <v>0</v>
      </c>
      <c r="N91" s="13">
        <v>40.9</v>
      </c>
      <c r="O91" s="13" t="s">
        <v>38</v>
      </c>
      <c r="P91" s="19">
        <v>45257</v>
      </c>
      <c r="Q91" s="18" t="s">
        <v>101</v>
      </c>
    </row>
    <row r="92" spans="1:18" ht="15" customHeight="1" x14ac:dyDescent="0.45">
      <c r="A92" s="18" t="s">
        <v>56</v>
      </c>
      <c r="B92" s="18" t="s">
        <v>88</v>
      </c>
      <c r="C92" s="18" t="s">
        <v>93</v>
      </c>
      <c r="D92" s="18"/>
      <c r="M92" s="13">
        <v>8.1</v>
      </c>
      <c r="N92" s="13">
        <v>33.729999999999997</v>
      </c>
      <c r="O92" s="13" t="s">
        <v>38</v>
      </c>
      <c r="P92" s="19">
        <v>45257</v>
      </c>
      <c r="Q92" s="18" t="s">
        <v>101</v>
      </c>
    </row>
    <row r="93" spans="1:18" ht="15" customHeight="1" x14ac:dyDescent="0.45">
      <c r="A93" s="18" t="s">
        <v>56</v>
      </c>
      <c r="B93" s="18" t="s">
        <v>88</v>
      </c>
      <c r="C93" s="18" t="s">
        <v>94</v>
      </c>
      <c r="D93" s="18"/>
      <c r="M93" s="13">
        <v>5</v>
      </c>
      <c r="N93" s="13">
        <v>9</v>
      </c>
      <c r="O93" s="13" t="s">
        <v>38</v>
      </c>
      <c r="P93" s="19">
        <v>45257</v>
      </c>
      <c r="Q93" s="18" t="s">
        <v>101</v>
      </c>
    </row>
  </sheetData>
  <autoFilter ref="A4:R87" xr:uid="{9BC0FFC3-D67E-4C82-94C3-787A2745AAD8}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Ref_Parameters_Thresholds</vt:lpstr>
      <vt:lpstr>QA_Parameters_and_Units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Durham, Stephen</dc:creator>
  <cp:lastModifiedBy>Durham, Stephen</cp:lastModifiedBy>
  <dcterms:created xsi:type="dcterms:W3CDTF">2023-11-26T19:49:08Z</dcterms:created>
  <dcterms:modified xsi:type="dcterms:W3CDTF">2023-11-27T16:11:27Z</dcterms:modified>
</cp:coreProperties>
</file>