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ocumenttasks/documenttask1.xml" ContentType="application/vnd.ms-excel.documenttask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parava-my.sharepoint.com/personal/mopres5_aravard_org_il/Documents/Soil&amp;Water/Greenhouse_shared/DataAnalysis/"/>
    </mc:Choice>
  </mc:AlternateContent>
  <xr:revisionPtr revIDLastSave="957" documentId="8_{7DDAD887-071C-4A0D-8E14-069D9C5A5ACE}" xr6:coauthVersionLast="47" xr6:coauthVersionMax="47" xr10:uidLastSave="{7429B66F-AC47-44EA-AF37-B7774ECA4635}"/>
  <bookViews>
    <workbookView xWindow="-120" yWindow="-120" windowWidth="29040" windowHeight="15720" activeTab="1" xr2:uid="{7E24B18A-F91F-47F4-9345-44D2B90B6042}"/>
  </bookViews>
  <sheets>
    <sheet name="Fertilizer_solutions" sheetId="1" r:id="rId1"/>
    <sheet name="N_irrigation" sheetId="2" r:id="rId2"/>
    <sheet name="EC_irrigation" sheetId="3" r:id="rId3"/>
    <sheet name="Drainage_Irr_WaterBalance" sheetId="4" r:id="rId4"/>
    <sheet name="Drainage_N_EC" sheetId="5" r:id="rId5"/>
    <sheet name="Discharge " sheetId="8" r:id="rId6"/>
    <sheet name="test_iael" sheetId="9" r:id="rId7"/>
    <sheet name="Timeline" sheetId="6" r:id="rId8"/>
    <sheet name="replicated design" sheetId="7" r:id="rId9"/>
  </sheets>
  <definedNames>
    <definedName name="_xlnm._FilterDatabase" localSheetId="3" hidden="1">Drainage_Irr_WaterBalance!$A$3:$AG$82</definedName>
    <definedName name="_xlnm._FilterDatabase" localSheetId="4" hidden="1">Drainage_N_EC!$O$3:$O$76</definedName>
    <definedName name="_xlnm._FilterDatabase" localSheetId="0" hidden="1">Fertilizer_solutions!$B$18:$J$25</definedName>
    <definedName name="_xlnm._FilterDatabase" localSheetId="1" hidden="1">N_irrigation!$AH$3:$AJ$24</definedName>
    <definedName name="_xlnm._FilterDatabase" localSheetId="8" hidden="1">'replicated design'!$AB$3:$AE$75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78" i="2" l="1"/>
  <c r="X79" i="2"/>
  <c r="X80" i="2"/>
  <c r="X81" i="2"/>
  <c r="X82" i="2"/>
  <c r="X83" i="2"/>
  <c r="X84" i="2"/>
  <c r="X85" i="2"/>
  <c r="X86" i="2"/>
  <c r="X87" i="2"/>
  <c r="X88" i="2"/>
  <c r="X77" i="2"/>
  <c r="V78" i="2"/>
  <c r="V79" i="2"/>
  <c r="V80" i="2"/>
  <c r="V81" i="2"/>
  <c r="V82" i="2"/>
  <c r="V83" i="2"/>
  <c r="V84" i="2"/>
  <c r="V85" i="2"/>
  <c r="V86" i="2"/>
  <c r="V87" i="2"/>
  <c r="V88" i="2"/>
  <c r="V77" i="2"/>
  <c r="AO8" i="4" l="1"/>
  <c r="AO6" i="4"/>
  <c r="AZ6" i="4" s="1"/>
  <c r="AO4" i="4"/>
  <c r="AQ5" i="4"/>
  <c r="AR5" i="4"/>
  <c r="AS5" i="4"/>
  <c r="AT5" i="4"/>
  <c r="AU5" i="4"/>
  <c r="AV5" i="4"/>
  <c r="AW5" i="4"/>
  <c r="AX5" i="4"/>
  <c r="AY5" i="4"/>
  <c r="AZ5" i="4"/>
  <c r="BA5" i="4"/>
  <c r="AQ6" i="4"/>
  <c r="AR6" i="4"/>
  <c r="AS6" i="4"/>
  <c r="AT6" i="4"/>
  <c r="AU6" i="4"/>
  <c r="AV6" i="4"/>
  <c r="AW6" i="4"/>
  <c r="AX6" i="4"/>
  <c r="AY6" i="4"/>
  <c r="AQ7" i="4"/>
  <c r="AR7" i="4"/>
  <c r="AS7" i="4"/>
  <c r="AT7" i="4"/>
  <c r="AU7" i="4"/>
  <c r="AV7" i="4"/>
  <c r="AW7" i="4"/>
  <c r="AX7" i="4"/>
  <c r="AY7" i="4"/>
  <c r="AZ7" i="4"/>
  <c r="BA7" i="4"/>
  <c r="AQ8" i="4"/>
  <c r="AR8" i="4"/>
  <c r="AS8" i="4"/>
  <c r="AT8" i="4"/>
  <c r="AU8" i="4"/>
  <c r="AV8" i="4"/>
  <c r="AW8" i="4"/>
  <c r="AX8" i="4"/>
  <c r="AY8" i="4"/>
  <c r="AZ8" i="4"/>
  <c r="BA8" i="4"/>
  <c r="AQ9" i="4"/>
  <c r="AR9" i="4"/>
  <c r="AS9" i="4"/>
  <c r="AT9" i="4"/>
  <c r="AU9" i="4"/>
  <c r="AV9" i="4"/>
  <c r="AW9" i="4"/>
  <c r="AX9" i="4"/>
  <c r="AY9" i="4"/>
  <c r="AZ9" i="4"/>
  <c r="BA9" i="4"/>
  <c r="AQ10" i="4"/>
  <c r="AR10" i="4"/>
  <c r="AS10" i="4"/>
  <c r="AT10" i="4"/>
  <c r="AU10" i="4"/>
  <c r="AV10" i="4"/>
  <c r="AW10" i="4"/>
  <c r="AX10" i="4"/>
  <c r="AY10" i="4"/>
  <c r="AZ10" i="4"/>
  <c r="BA10" i="4"/>
  <c r="AQ11" i="4"/>
  <c r="AR11" i="4"/>
  <c r="AS11" i="4"/>
  <c r="AT11" i="4"/>
  <c r="AU11" i="4"/>
  <c r="AV11" i="4"/>
  <c r="AW11" i="4"/>
  <c r="AX11" i="4"/>
  <c r="AY11" i="4"/>
  <c r="AZ11" i="4"/>
  <c r="BA11" i="4"/>
  <c r="AQ12" i="4"/>
  <c r="AR12" i="4"/>
  <c r="AS12" i="4"/>
  <c r="AT12" i="4"/>
  <c r="AU12" i="4"/>
  <c r="AV12" i="4"/>
  <c r="AW12" i="4"/>
  <c r="AX12" i="4"/>
  <c r="AY12" i="4"/>
  <c r="AZ12" i="4"/>
  <c r="BA12" i="4"/>
  <c r="AQ13" i="4"/>
  <c r="AR13" i="4"/>
  <c r="AS13" i="4"/>
  <c r="AT13" i="4"/>
  <c r="AU13" i="4"/>
  <c r="AV13" i="4"/>
  <c r="AW13" i="4"/>
  <c r="AX13" i="4"/>
  <c r="AY13" i="4"/>
  <c r="AZ13" i="4"/>
  <c r="BA13" i="4"/>
  <c r="AQ14" i="4"/>
  <c r="AR14" i="4"/>
  <c r="AS14" i="4"/>
  <c r="AT14" i="4"/>
  <c r="AU14" i="4"/>
  <c r="AV14" i="4"/>
  <c r="AW14" i="4"/>
  <c r="AX14" i="4"/>
  <c r="AY14" i="4"/>
  <c r="AZ14" i="4"/>
  <c r="BA14" i="4"/>
  <c r="AQ15" i="4"/>
  <c r="AR15" i="4"/>
  <c r="AS15" i="4"/>
  <c r="AT15" i="4"/>
  <c r="AU15" i="4"/>
  <c r="AV15" i="4"/>
  <c r="AW15" i="4"/>
  <c r="AX15" i="4"/>
  <c r="AY15" i="4"/>
  <c r="AZ15" i="4"/>
  <c r="BA15" i="4"/>
  <c r="AQ16" i="4"/>
  <c r="AR16" i="4"/>
  <c r="AS16" i="4"/>
  <c r="AT16" i="4"/>
  <c r="AU16" i="4"/>
  <c r="AV16" i="4"/>
  <c r="AW16" i="4"/>
  <c r="AX16" i="4"/>
  <c r="AY16" i="4"/>
  <c r="AZ16" i="4"/>
  <c r="BA16" i="4"/>
  <c r="AQ17" i="4"/>
  <c r="AR17" i="4"/>
  <c r="AS17" i="4"/>
  <c r="AT17" i="4"/>
  <c r="AU17" i="4"/>
  <c r="AV17" i="4"/>
  <c r="AW17" i="4"/>
  <c r="AX17" i="4"/>
  <c r="AY17" i="4"/>
  <c r="AZ17" i="4"/>
  <c r="BA17" i="4"/>
  <c r="AQ18" i="4"/>
  <c r="AR18" i="4"/>
  <c r="AS18" i="4"/>
  <c r="AT18" i="4"/>
  <c r="AU18" i="4"/>
  <c r="AV18" i="4"/>
  <c r="AW18" i="4"/>
  <c r="AX18" i="4"/>
  <c r="AY18" i="4"/>
  <c r="AZ18" i="4"/>
  <c r="BA18" i="4"/>
  <c r="AQ19" i="4"/>
  <c r="AR19" i="4"/>
  <c r="AS19" i="4"/>
  <c r="AT19" i="4"/>
  <c r="AU19" i="4"/>
  <c r="AV19" i="4"/>
  <c r="AW19" i="4"/>
  <c r="AX19" i="4"/>
  <c r="AY19" i="4"/>
  <c r="AZ19" i="4"/>
  <c r="BA19" i="4"/>
  <c r="AQ20" i="4"/>
  <c r="AR20" i="4"/>
  <c r="AS20" i="4"/>
  <c r="AT20" i="4"/>
  <c r="AU20" i="4"/>
  <c r="AV20" i="4"/>
  <c r="AW20" i="4"/>
  <c r="AX20" i="4"/>
  <c r="AY20" i="4"/>
  <c r="AZ20" i="4"/>
  <c r="BA20" i="4"/>
  <c r="AQ21" i="4"/>
  <c r="AR21" i="4"/>
  <c r="AS21" i="4"/>
  <c r="AT21" i="4"/>
  <c r="AU21" i="4"/>
  <c r="AV21" i="4"/>
  <c r="AW21" i="4"/>
  <c r="AX21" i="4"/>
  <c r="AY21" i="4"/>
  <c r="AZ21" i="4"/>
  <c r="BA21" i="4"/>
  <c r="AQ22" i="4"/>
  <c r="AR22" i="4"/>
  <c r="AS22" i="4"/>
  <c r="AT22" i="4"/>
  <c r="AU22" i="4"/>
  <c r="AV22" i="4"/>
  <c r="AW22" i="4"/>
  <c r="AX22" i="4"/>
  <c r="AY22" i="4"/>
  <c r="AZ22" i="4"/>
  <c r="BA22" i="4"/>
  <c r="AQ23" i="4"/>
  <c r="AR23" i="4"/>
  <c r="AS23" i="4"/>
  <c r="AT23" i="4"/>
  <c r="AU23" i="4"/>
  <c r="AV23" i="4"/>
  <c r="AW23" i="4"/>
  <c r="AX23" i="4"/>
  <c r="AY23" i="4"/>
  <c r="AZ23" i="4"/>
  <c r="BA23" i="4"/>
  <c r="AQ24" i="4"/>
  <c r="AR24" i="4"/>
  <c r="AS24" i="4"/>
  <c r="AT24" i="4"/>
  <c r="AU24" i="4"/>
  <c r="AV24" i="4"/>
  <c r="AW24" i="4"/>
  <c r="AX24" i="4"/>
  <c r="AY24" i="4"/>
  <c r="AZ24" i="4"/>
  <c r="BA24" i="4"/>
  <c r="AQ25" i="4"/>
  <c r="AR25" i="4"/>
  <c r="AS25" i="4"/>
  <c r="AT25" i="4"/>
  <c r="AU25" i="4"/>
  <c r="AV25" i="4"/>
  <c r="AW25" i="4"/>
  <c r="AX25" i="4"/>
  <c r="AY25" i="4"/>
  <c r="AZ25" i="4"/>
  <c r="BA25" i="4"/>
  <c r="AQ26" i="4"/>
  <c r="AR26" i="4"/>
  <c r="AS26" i="4"/>
  <c r="AT26" i="4"/>
  <c r="AU26" i="4"/>
  <c r="AV26" i="4"/>
  <c r="AW26" i="4"/>
  <c r="AX26" i="4"/>
  <c r="AY26" i="4"/>
  <c r="AZ26" i="4"/>
  <c r="BA26" i="4"/>
  <c r="AQ27" i="4"/>
  <c r="AR27" i="4"/>
  <c r="AS27" i="4"/>
  <c r="AT27" i="4"/>
  <c r="AU27" i="4"/>
  <c r="AV27" i="4"/>
  <c r="AW27" i="4"/>
  <c r="AX27" i="4"/>
  <c r="AY27" i="4"/>
  <c r="AZ27" i="4"/>
  <c r="BA27" i="4"/>
  <c r="AQ28" i="4"/>
  <c r="AR28" i="4"/>
  <c r="AS28" i="4"/>
  <c r="AT28" i="4"/>
  <c r="AU28" i="4"/>
  <c r="AV28" i="4"/>
  <c r="AW28" i="4"/>
  <c r="AX28" i="4"/>
  <c r="AY28" i="4"/>
  <c r="AZ28" i="4"/>
  <c r="BA28" i="4"/>
  <c r="AQ29" i="4"/>
  <c r="AR29" i="4"/>
  <c r="AS29" i="4"/>
  <c r="AT29" i="4"/>
  <c r="AU29" i="4"/>
  <c r="AV29" i="4"/>
  <c r="AW29" i="4"/>
  <c r="AX29" i="4"/>
  <c r="AY29" i="4"/>
  <c r="AZ29" i="4"/>
  <c r="BA29" i="4"/>
  <c r="AQ30" i="4"/>
  <c r="AR30" i="4"/>
  <c r="AS30" i="4"/>
  <c r="AT30" i="4"/>
  <c r="AU30" i="4"/>
  <c r="AV30" i="4"/>
  <c r="AW30" i="4"/>
  <c r="AX30" i="4"/>
  <c r="AY30" i="4"/>
  <c r="AZ30" i="4"/>
  <c r="BA30" i="4"/>
  <c r="AQ31" i="4"/>
  <c r="AR31" i="4"/>
  <c r="AS31" i="4"/>
  <c r="AT31" i="4"/>
  <c r="AU31" i="4"/>
  <c r="AV31" i="4"/>
  <c r="AW31" i="4"/>
  <c r="AX31" i="4"/>
  <c r="AY31" i="4"/>
  <c r="AZ31" i="4"/>
  <c r="BA31" i="4"/>
  <c r="AQ32" i="4"/>
  <c r="AR32" i="4"/>
  <c r="AS32" i="4"/>
  <c r="AT32" i="4"/>
  <c r="AU32" i="4"/>
  <c r="AV32" i="4"/>
  <c r="AW32" i="4"/>
  <c r="AX32" i="4"/>
  <c r="AY32" i="4"/>
  <c r="AZ32" i="4"/>
  <c r="BA32" i="4"/>
  <c r="AQ33" i="4"/>
  <c r="AR33" i="4"/>
  <c r="AS33" i="4"/>
  <c r="AT33" i="4"/>
  <c r="AU33" i="4"/>
  <c r="AV33" i="4"/>
  <c r="AW33" i="4"/>
  <c r="AX33" i="4"/>
  <c r="AY33" i="4"/>
  <c r="AZ33" i="4"/>
  <c r="BA33" i="4"/>
  <c r="AQ34" i="4"/>
  <c r="AR34" i="4"/>
  <c r="AS34" i="4"/>
  <c r="AT34" i="4"/>
  <c r="AU34" i="4"/>
  <c r="AV34" i="4"/>
  <c r="AW34" i="4"/>
  <c r="AX34" i="4"/>
  <c r="AY34" i="4"/>
  <c r="AZ34" i="4"/>
  <c r="BA34" i="4"/>
  <c r="AQ35" i="4"/>
  <c r="AR35" i="4"/>
  <c r="AS35" i="4"/>
  <c r="AT35" i="4"/>
  <c r="AU35" i="4"/>
  <c r="AV35" i="4"/>
  <c r="AW35" i="4"/>
  <c r="AX35" i="4"/>
  <c r="AY35" i="4"/>
  <c r="AZ35" i="4"/>
  <c r="BA35" i="4"/>
  <c r="AQ36" i="4"/>
  <c r="AR36" i="4"/>
  <c r="AS36" i="4"/>
  <c r="AT36" i="4"/>
  <c r="AU36" i="4"/>
  <c r="AV36" i="4"/>
  <c r="AW36" i="4"/>
  <c r="AX36" i="4"/>
  <c r="AY36" i="4"/>
  <c r="AZ36" i="4"/>
  <c r="BA36" i="4"/>
  <c r="AQ37" i="4"/>
  <c r="AR37" i="4"/>
  <c r="AS37" i="4"/>
  <c r="AT37" i="4"/>
  <c r="AU37" i="4"/>
  <c r="AV37" i="4"/>
  <c r="AW37" i="4"/>
  <c r="AX37" i="4"/>
  <c r="AY37" i="4"/>
  <c r="AZ37" i="4"/>
  <c r="BA37" i="4"/>
  <c r="AQ38" i="4"/>
  <c r="AR38" i="4"/>
  <c r="AS38" i="4"/>
  <c r="AT38" i="4"/>
  <c r="AU38" i="4"/>
  <c r="AV38" i="4"/>
  <c r="AW38" i="4"/>
  <c r="AX38" i="4"/>
  <c r="AY38" i="4"/>
  <c r="AZ38" i="4"/>
  <c r="BA38" i="4"/>
  <c r="AQ39" i="4"/>
  <c r="AR39" i="4"/>
  <c r="AS39" i="4"/>
  <c r="AT39" i="4"/>
  <c r="AU39" i="4"/>
  <c r="AV39" i="4"/>
  <c r="AW39" i="4"/>
  <c r="AX39" i="4"/>
  <c r="AY39" i="4"/>
  <c r="AZ39" i="4"/>
  <c r="BA39" i="4"/>
  <c r="AQ40" i="4"/>
  <c r="AR40" i="4"/>
  <c r="AS40" i="4"/>
  <c r="AT40" i="4"/>
  <c r="AU40" i="4"/>
  <c r="AV40" i="4"/>
  <c r="AW40" i="4"/>
  <c r="AX40" i="4"/>
  <c r="AY40" i="4"/>
  <c r="AZ40" i="4"/>
  <c r="BA40" i="4"/>
  <c r="AQ41" i="4"/>
  <c r="AR41" i="4"/>
  <c r="AS41" i="4"/>
  <c r="AT41" i="4"/>
  <c r="AU41" i="4"/>
  <c r="AV41" i="4"/>
  <c r="AW41" i="4"/>
  <c r="AX41" i="4"/>
  <c r="AY41" i="4"/>
  <c r="AZ41" i="4"/>
  <c r="BA41" i="4"/>
  <c r="AQ42" i="4"/>
  <c r="AR42" i="4"/>
  <c r="AS42" i="4"/>
  <c r="AT42" i="4"/>
  <c r="AU42" i="4"/>
  <c r="AV42" i="4"/>
  <c r="AW42" i="4"/>
  <c r="AX42" i="4"/>
  <c r="AY42" i="4"/>
  <c r="AZ42" i="4"/>
  <c r="BA42" i="4"/>
  <c r="AQ43" i="4"/>
  <c r="AR43" i="4"/>
  <c r="AS43" i="4"/>
  <c r="AT43" i="4"/>
  <c r="AU43" i="4"/>
  <c r="AV43" i="4"/>
  <c r="AW43" i="4"/>
  <c r="AX43" i="4"/>
  <c r="AY43" i="4"/>
  <c r="AZ43" i="4"/>
  <c r="BA43" i="4"/>
  <c r="AQ44" i="4"/>
  <c r="AR44" i="4"/>
  <c r="AS44" i="4"/>
  <c r="AT44" i="4"/>
  <c r="AU44" i="4"/>
  <c r="AV44" i="4"/>
  <c r="AW44" i="4"/>
  <c r="AX44" i="4"/>
  <c r="AY44" i="4"/>
  <c r="AZ44" i="4"/>
  <c r="BA44" i="4"/>
  <c r="AQ45" i="4"/>
  <c r="AR45" i="4"/>
  <c r="AS45" i="4"/>
  <c r="AT45" i="4"/>
  <c r="AU45" i="4"/>
  <c r="AV45" i="4"/>
  <c r="AW45" i="4"/>
  <c r="AX45" i="4"/>
  <c r="AY45" i="4"/>
  <c r="AZ45" i="4"/>
  <c r="BA45" i="4"/>
  <c r="AQ46" i="4"/>
  <c r="AR46" i="4"/>
  <c r="AS46" i="4"/>
  <c r="AT46" i="4"/>
  <c r="AU46" i="4"/>
  <c r="AV46" i="4"/>
  <c r="AW46" i="4"/>
  <c r="AX46" i="4"/>
  <c r="AY46" i="4"/>
  <c r="AZ46" i="4"/>
  <c r="BA46" i="4"/>
  <c r="AQ47" i="4"/>
  <c r="AR47" i="4"/>
  <c r="AS47" i="4"/>
  <c r="AT47" i="4"/>
  <c r="AU47" i="4"/>
  <c r="AV47" i="4"/>
  <c r="AW47" i="4"/>
  <c r="AX47" i="4"/>
  <c r="AY47" i="4"/>
  <c r="AZ47" i="4"/>
  <c r="BA47" i="4"/>
  <c r="AQ48" i="4"/>
  <c r="AR48" i="4"/>
  <c r="AS48" i="4"/>
  <c r="AT48" i="4"/>
  <c r="AU48" i="4"/>
  <c r="AV48" i="4"/>
  <c r="AW48" i="4"/>
  <c r="AX48" i="4"/>
  <c r="AY48" i="4"/>
  <c r="AZ48" i="4"/>
  <c r="BA48" i="4"/>
  <c r="AQ49" i="4"/>
  <c r="AR49" i="4"/>
  <c r="AS49" i="4"/>
  <c r="AT49" i="4"/>
  <c r="AU49" i="4"/>
  <c r="AV49" i="4"/>
  <c r="AW49" i="4"/>
  <c r="AX49" i="4"/>
  <c r="AY49" i="4"/>
  <c r="AZ49" i="4"/>
  <c r="BA49" i="4"/>
  <c r="AQ50" i="4"/>
  <c r="AR50" i="4"/>
  <c r="AS50" i="4"/>
  <c r="AT50" i="4"/>
  <c r="AU50" i="4"/>
  <c r="AV50" i="4"/>
  <c r="AW50" i="4"/>
  <c r="AX50" i="4"/>
  <c r="AY50" i="4"/>
  <c r="AZ50" i="4"/>
  <c r="BA50" i="4"/>
  <c r="AQ51" i="4"/>
  <c r="AR51" i="4"/>
  <c r="AS51" i="4"/>
  <c r="AT51" i="4"/>
  <c r="AU51" i="4"/>
  <c r="AV51" i="4"/>
  <c r="AW51" i="4"/>
  <c r="AX51" i="4"/>
  <c r="AY51" i="4"/>
  <c r="AZ51" i="4"/>
  <c r="BA51" i="4"/>
  <c r="AQ52" i="4"/>
  <c r="AR52" i="4"/>
  <c r="AS52" i="4"/>
  <c r="AT52" i="4"/>
  <c r="AU52" i="4"/>
  <c r="AV52" i="4"/>
  <c r="AW52" i="4"/>
  <c r="AX52" i="4"/>
  <c r="AY52" i="4"/>
  <c r="AZ52" i="4"/>
  <c r="BA52" i="4"/>
  <c r="AQ53" i="4"/>
  <c r="AR53" i="4"/>
  <c r="AS53" i="4"/>
  <c r="AT53" i="4"/>
  <c r="AU53" i="4"/>
  <c r="AV53" i="4"/>
  <c r="AW53" i="4"/>
  <c r="AX53" i="4"/>
  <c r="AY53" i="4"/>
  <c r="AZ53" i="4"/>
  <c r="BA53" i="4"/>
  <c r="AQ54" i="4"/>
  <c r="AR54" i="4"/>
  <c r="AS54" i="4"/>
  <c r="AT54" i="4"/>
  <c r="AU54" i="4"/>
  <c r="AV54" i="4"/>
  <c r="AW54" i="4"/>
  <c r="AX54" i="4"/>
  <c r="AY54" i="4"/>
  <c r="AZ54" i="4"/>
  <c r="BA54" i="4"/>
  <c r="AQ55" i="4"/>
  <c r="AR55" i="4"/>
  <c r="AS55" i="4"/>
  <c r="AT55" i="4"/>
  <c r="AU55" i="4"/>
  <c r="AV55" i="4"/>
  <c r="AW55" i="4"/>
  <c r="AX55" i="4"/>
  <c r="AY55" i="4"/>
  <c r="AZ55" i="4"/>
  <c r="BA55" i="4"/>
  <c r="AQ56" i="4"/>
  <c r="AR56" i="4"/>
  <c r="AS56" i="4"/>
  <c r="AT56" i="4"/>
  <c r="AU56" i="4"/>
  <c r="AV56" i="4"/>
  <c r="AW56" i="4"/>
  <c r="AX56" i="4"/>
  <c r="AY56" i="4"/>
  <c r="AZ56" i="4"/>
  <c r="BA56" i="4"/>
  <c r="AQ57" i="4"/>
  <c r="AR57" i="4"/>
  <c r="AS57" i="4"/>
  <c r="AT57" i="4"/>
  <c r="AU57" i="4"/>
  <c r="AV57" i="4"/>
  <c r="AW57" i="4"/>
  <c r="AX57" i="4"/>
  <c r="AY57" i="4"/>
  <c r="AZ57" i="4"/>
  <c r="BA57" i="4"/>
  <c r="AQ58" i="4"/>
  <c r="AR58" i="4"/>
  <c r="AS58" i="4"/>
  <c r="AT58" i="4"/>
  <c r="AU58" i="4"/>
  <c r="AV58" i="4"/>
  <c r="AW58" i="4"/>
  <c r="AX58" i="4"/>
  <c r="AY58" i="4"/>
  <c r="AZ58" i="4"/>
  <c r="BA58" i="4"/>
  <c r="AQ59" i="4"/>
  <c r="AR59" i="4"/>
  <c r="AS59" i="4"/>
  <c r="AT59" i="4"/>
  <c r="AU59" i="4"/>
  <c r="AV59" i="4"/>
  <c r="AW59" i="4"/>
  <c r="AX59" i="4"/>
  <c r="AY59" i="4"/>
  <c r="AZ59" i="4"/>
  <c r="BA59" i="4"/>
  <c r="AQ60" i="4"/>
  <c r="AR60" i="4"/>
  <c r="AS60" i="4"/>
  <c r="AT60" i="4"/>
  <c r="AU60" i="4"/>
  <c r="AV60" i="4"/>
  <c r="AW60" i="4"/>
  <c r="AX60" i="4"/>
  <c r="AY60" i="4"/>
  <c r="AZ60" i="4"/>
  <c r="BA60" i="4"/>
  <c r="AQ61" i="4"/>
  <c r="AR61" i="4"/>
  <c r="AS61" i="4"/>
  <c r="AT61" i="4"/>
  <c r="AU61" i="4"/>
  <c r="AV61" i="4"/>
  <c r="AW61" i="4"/>
  <c r="AX61" i="4"/>
  <c r="AY61" i="4"/>
  <c r="AZ61" i="4"/>
  <c r="BA61" i="4"/>
  <c r="AQ62" i="4"/>
  <c r="AR62" i="4"/>
  <c r="AS62" i="4"/>
  <c r="AT62" i="4"/>
  <c r="AU62" i="4"/>
  <c r="AV62" i="4"/>
  <c r="AW62" i="4"/>
  <c r="AX62" i="4"/>
  <c r="AY62" i="4"/>
  <c r="AZ62" i="4"/>
  <c r="BA62" i="4"/>
  <c r="AQ63" i="4"/>
  <c r="AR63" i="4"/>
  <c r="AS63" i="4"/>
  <c r="AT63" i="4"/>
  <c r="AU63" i="4"/>
  <c r="AV63" i="4"/>
  <c r="AW63" i="4"/>
  <c r="AX63" i="4"/>
  <c r="AY63" i="4"/>
  <c r="AZ63" i="4"/>
  <c r="BA63" i="4"/>
  <c r="AQ64" i="4"/>
  <c r="AR64" i="4"/>
  <c r="AS64" i="4"/>
  <c r="AT64" i="4"/>
  <c r="AU64" i="4"/>
  <c r="AV64" i="4"/>
  <c r="AW64" i="4"/>
  <c r="AX64" i="4"/>
  <c r="AY64" i="4"/>
  <c r="AZ64" i="4"/>
  <c r="BA64" i="4"/>
  <c r="AQ65" i="4"/>
  <c r="AR65" i="4"/>
  <c r="AS65" i="4"/>
  <c r="AT65" i="4"/>
  <c r="AU65" i="4"/>
  <c r="AV65" i="4"/>
  <c r="AW65" i="4"/>
  <c r="AX65" i="4"/>
  <c r="AY65" i="4"/>
  <c r="AZ65" i="4"/>
  <c r="BA65" i="4"/>
  <c r="AQ66" i="4"/>
  <c r="AR66" i="4"/>
  <c r="AS66" i="4"/>
  <c r="AT66" i="4"/>
  <c r="AU66" i="4"/>
  <c r="AV66" i="4"/>
  <c r="AW66" i="4"/>
  <c r="AX66" i="4"/>
  <c r="AY66" i="4"/>
  <c r="AZ66" i="4"/>
  <c r="BA66" i="4"/>
  <c r="AQ67" i="4"/>
  <c r="AR67" i="4"/>
  <c r="AS67" i="4"/>
  <c r="AT67" i="4"/>
  <c r="AU67" i="4"/>
  <c r="AV67" i="4"/>
  <c r="AW67" i="4"/>
  <c r="AX67" i="4"/>
  <c r="AY67" i="4"/>
  <c r="AZ67" i="4"/>
  <c r="BA67" i="4"/>
  <c r="AQ68" i="4"/>
  <c r="AR68" i="4"/>
  <c r="AS68" i="4"/>
  <c r="AT68" i="4"/>
  <c r="AU68" i="4"/>
  <c r="AV68" i="4"/>
  <c r="AW68" i="4"/>
  <c r="AX68" i="4"/>
  <c r="AY68" i="4"/>
  <c r="AZ68" i="4"/>
  <c r="BA68" i="4"/>
  <c r="AQ69" i="4"/>
  <c r="AR69" i="4"/>
  <c r="AS69" i="4"/>
  <c r="AT69" i="4"/>
  <c r="AU69" i="4"/>
  <c r="AV69" i="4"/>
  <c r="AW69" i="4"/>
  <c r="AX69" i="4"/>
  <c r="AY69" i="4"/>
  <c r="AZ69" i="4"/>
  <c r="BA69" i="4"/>
  <c r="AQ70" i="4"/>
  <c r="AR70" i="4"/>
  <c r="AS70" i="4"/>
  <c r="AT70" i="4"/>
  <c r="AU70" i="4"/>
  <c r="AV70" i="4"/>
  <c r="AW70" i="4"/>
  <c r="AX70" i="4"/>
  <c r="AY70" i="4"/>
  <c r="AZ70" i="4"/>
  <c r="BA70" i="4"/>
  <c r="AQ71" i="4"/>
  <c r="AR71" i="4"/>
  <c r="AS71" i="4"/>
  <c r="AT71" i="4"/>
  <c r="AU71" i="4"/>
  <c r="AV71" i="4"/>
  <c r="AW71" i="4"/>
  <c r="AX71" i="4"/>
  <c r="AY71" i="4"/>
  <c r="AZ71" i="4"/>
  <c r="BA71" i="4"/>
  <c r="AQ72" i="4"/>
  <c r="AR72" i="4"/>
  <c r="AS72" i="4"/>
  <c r="AT72" i="4"/>
  <c r="AU72" i="4"/>
  <c r="AV72" i="4"/>
  <c r="AW72" i="4"/>
  <c r="AX72" i="4"/>
  <c r="AY72" i="4"/>
  <c r="AZ72" i="4"/>
  <c r="BA72" i="4"/>
  <c r="AQ73" i="4"/>
  <c r="AR73" i="4"/>
  <c r="AS73" i="4"/>
  <c r="AT73" i="4"/>
  <c r="AU73" i="4"/>
  <c r="AV73" i="4"/>
  <c r="AW73" i="4"/>
  <c r="AX73" i="4"/>
  <c r="AY73" i="4"/>
  <c r="AZ73" i="4"/>
  <c r="BA73" i="4"/>
  <c r="AQ74" i="4"/>
  <c r="AR74" i="4"/>
  <c r="AS74" i="4"/>
  <c r="AT74" i="4"/>
  <c r="AU74" i="4"/>
  <c r="AV74" i="4"/>
  <c r="AW74" i="4"/>
  <c r="AX74" i="4"/>
  <c r="AY74" i="4"/>
  <c r="AZ74" i="4"/>
  <c r="BA74" i="4"/>
  <c r="AQ75" i="4"/>
  <c r="AR75" i="4"/>
  <c r="AS75" i="4"/>
  <c r="AT75" i="4"/>
  <c r="AU75" i="4"/>
  <c r="AV75" i="4"/>
  <c r="AW75" i="4"/>
  <c r="AX75" i="4"/>
  <c r="AY75" i="4"/>
  <c r="AZ75" i="4"/>
  <c r="BA75" i="4"/>
  <c r="AR4" i="4"/>
  <c r="AS4" i="4"/>
  <c r="AT4" i="4"/>
  <c r="AU4" i="4"/>
  <c r="AV4" i="4"/>
  <c r="AW4" i="4"/>
  <c r="AX4" i="4"/>
  <c r="AY4" i="4"/>
  <c r="AQ4" i="4"/>
  <c r="BA3" i="4"/>
  <c r="AZ3" i="4"/>
  <c r="AP76" i="4"/>
  <c r="AP77" i="4"/>
  <c r="AP78" i="4" s="1"/>
  <c r="AO79" i="4"/>
  <c r="AP79" i="4"/>
  <c r="AP81" i="4" s="1"/>
  <c r="AO80" i="4"/>
  <c r="AO81" i="4" s="1"/>
  <c r="AP80" i="4"/>
  <c r="AP21" i="4"/>
  <c r="AP22" i="4"/>
  <c r="AP23" i="4"/>
  <c r="AP24" i="4"/>
  <c r="AP25" i="4"/>
  <c r="AP26" i="4"/>
  <c r="AP27" i="4"/>
  <c r="AP28" i="4"/>
  <c r="AP29" i="4"/>
  <c r="AP30" i="4"/>
  <c r="AP31" i="4"/>
  <c r="AP32" i="4"/>
  <c r="AP33" i="4"/>
  <c r="AP34" i="4"/>
  <c r="AP35" i="4"/>
  <c r="AP36" i="4"/>
  <c r="AP37" i="4"/>
  <c r="AP38" i="4"/>
  <c r="AP39" i="4"/>
  <c r="AP40" i="4"/>
  <c r="AP41" i="4"/>
  <c r="AP42" i="4"/>
  <c r="AP43" i="4"/>
  <c r="AP44" i="4"/>
  <c r="AP45" i="4"/>
  <c r="AP46" i="4"/>
  <c r="AP47" i="4"/>
  <c r="AP48" i="4"/>
  <c r="AP49" i="4"/>
  <c r="AP50" i="4"/>
  <c r="AP51" i="4"/>
  <c r="AP52" i="4"/>
  <c r="AP53" i="4"/>
  <c r="AP54" i="4"/>
  <c r="AP55" i="4"/>
  <c r="AP56" i="4"/>
  <c r="AP57" i="4"/>
  <c r="AP58" i="4"/>
  <c r="AP59" i="4"/>
  <c r="AP60" i="4"/>
  <c r="AP61" i="4"/>
  <c r="AP62" i="4"/>
  <c r="AP63" i="4"/>
  <c r="AP64" i="4"/>
  <c r="AP65" i="4"/>
  <c r="AP66" i="4"/>
  <c r="AP67" i="4"/>
  <c r="AP68" i="4"/>
  <c r="AP69" i="4"/>
  <c r="AP70" i="4"/>
  <c r="AP71" i="4"/>
  <c r="AP72" i="4"/>
  <c r="AP73" i="4"/>
  <c r="AP74" i="4"/>
  <c r="AP75" i="4"/>
  <c r="AP5" i="4"/>
  <c r="AP6" i="4"/>
  <c r="AP7" i="4"/>
  <c r="AP8" i="4"/>
  <c r="AP9" i="4"/>
  <c r="AP10" i="4"/>
  <c r="AP11" i="4"/>
  <c r="AP12" i="4"/>
  <c r="AP13" i="4"/>
  <c r="AP14" i="4"/>
  <c r="AP15" i="4"/>
  <c r="AP16" i="4"/>
  <c r="AP17" i="4"/>
  <c r="AP18" i="4"/>
  <c r="AP19" i="4"/>
  <c r="AP20" i="4"/>
  <c r="AP4" i="4"/>
  <c r="AP3" i="4"/>
  <c r="W71" i="4"/>
  <c r="W72" i="4"/>
  <c r="W73" i="4"/>
  <c r="W74" i="4"/>
  <c r="W75" i="4"/>
  <c r="BA6" i="4" l="1"/>
  <c r="AO76" i="4"/>
  <c r="AO82" i="4" s="1"/>
  <c r="BA4" i="4"/>
  <c r="AZ4" i="4"/>
  <c r="AO77" i="4"/>
  <c r="AP82" i="4"/>
  <c r="AQ3" i="4"/>
  <c r="AR3" i="4"/>
  <c r="AS3" i="4"/>
  <c r="AT3" i="4"/>
  <c r="AU3" i="4"/>
  <c r="AV3" i="4"/>
  <c r="AW3" i="4"/>
  <c r="AX3" i="4"/>
  <c r="AY3" i="4"/>
  <c r="AN65" i="4"/>
  <c r="AN64" i="4"/>
  <c r="AN63" i="4"/>
  <c r="AN62" i="4"/>
  <c r="AN41" i="4"/>
  <c r="AN40" i="4"/>
  <c r="AN39" i="4"/>
  <c r="AN38" i="4"/>
  <c r="AN15" i="4"/>
  <c r="AN16" i="4"/>
  <c r="AN17" i="4"/>
  <c r="AN14" i="4"/>
  <c r="AO75" i="4"/>
  <c r="AO74" i="4"/>
  <c r="AO73" i="4"/>
  <c r="AO72" i="4"/>
  <c r="AO71" i="4"/>
  <c r="AO70" i="4"/>
  <c r="AO69" i="4"/>
  <c r="AO68" i="4"/>
  <c r="AO67" i="4"/>
  <c r="AO66" i="4"/>
  <c r="AO65" i="4"/>
  <c r="AO64" i="4"/>
  <c r="AO63" i="4"/>
  <c r="AO62" i="4"/>
  <c r="AO61" i="4"/>
  <c r="AO60" i="4"/>
  <c r="AO59" i="4"/>
  <c r="AO58" i="4"/>
  <c r="AO57" i="4"/>
  <c r="AO56" i="4"/>
  <c r="AO55" i="4"/>
  <c r="AO54" i="4"/>
  <c r="AO53" i="4"/>
  <c r="AO52" i="4"/>
  <c r="AO51" i="4"/>
  <c r="AO50" i="4"/>
  <c r="AO49" i="4"/>
  <c r="AO48" i="4"/>
  <c r="AO47" i="4"/>
  <c r="AO46" i="4"/>
  <c r="AO45" i="4"/>
  <c r="AO44" i="4"/>
  <c r="AO43" i="4"/>
  <c r="AO42" i="4"/>
  <c r="AO41" i="4"/>
  <c r="AO40" i="4"/>
  <c r="AO39" i="4"/>
  <c r="AO38" i="4"/>
  <c r="AO37" i="4"/>
  <c r="AO36" i="4"/>
  <c r="AO35" i="4"/>
  <c r="AO34" i="4"/>
  <c r="AO33" i="4"/>
  <c r="AO32" i="4"/>
  <c r="AO31" i="4"/>
  <c r="AO30" i="4"/>
  <c r="AO29" i="4"/>
  <c r="AO28" i="4"/>
  <c r="AO27" i="4"/>
  <c r="AO26" i="4"/>
  <c r="AO25" i="4"/>
  <c r="AO24" i="4"/>
  <c r="AO23" i="4"/>
  <c r="AO22" i="4"/>
  <c r="AO21" i="4"/>
  <c r="AO20" i="4"/>
  <c r="AO19" i="4"/>
  <c r="AO18" i="4"/>
  <c r="AO17" i="4"/>
  <c r="AO16" i="4"/>
  <c r="AO15" i="4"/>
  <c r="AO14" i="4"/>
  <c r="AO13" i="4"/>
  <c r="AO12" i="4"/>
  <c r="AO11" i="4"/>
  <c r="AO10" i="4"/>
  <c r="AO9" i="4"/>
  <c r="AO7" i="4"/>
  <c r="AO5" i="4"/>
  <c r="AO3" i="4"/>
  <c r="M20" i="2"/>
  <c r="AO78" i="4" l="1"/>
  <c r="M28" i="2"/>
  <c r="M29" i="2"/>
  <c r="M30" i="2"/>
  <c r="M27" i="2"/>
  <c r="S13" i="2"/>
  <c r="S12" i="2"/>
  <c r="S11" i="2"/>
  <c r="S10" i="2"/>
  <c r="L20" i="1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4" i="5"/>
  <c r="T5" i="5"/>
  <c r="T6" i="5"/>
  <c r="T7" i="5"/>
  <c r="T8" i="5"/>
  <c r="T9" i="5"/>
  <c r="T10" i="5"/>
  <c r="T11" i="5"/>
  <c r="T3" i="5"/>
  <c r="I20" i="1"/>
  <c r="U2" i="4" l="1"/>
  <c r="R36" i="5"/>
  <c r="S73" i="5"/>
  <c r="S72" i="5"/>
  <c r="S70" i="5"/>
  <c r="S69" i="5"/>
  <c r="S67" i="5"/>
  <c r="S66" i="5"/>
  <c r="S57" i="5"/>
  <c r="S51" i="5"/>
  <c r="S50" i="5"/>
  <c r="S49" i="5"/>
  <c r="S44" i="5"/>
  <c r="S34" i="5"/>
  <c r="Q31" i="5"/>
  <c r="S33" i="5"/>
  <c r="S31" i="5"/>
  <c r="S29" i="5"/>
  <c r="S28" i="5"/>
  <c r="S24" i="5"/>
  <c r="S22" i="5"/>
  <c r="S20" i="5"/>
  <c r="S19" i="5"/>
  <c r="S18" i="5"/>
  <c r="S17" i="5"/>
  <c r="S12" i="5"/>
  <c r="S11" i="5"/>
  <c r="S10" i="5"/>
  <c r="S7" i="5"/>
  <c r="S8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3" i="5"/>
  <c r="S4" i="5"/>
  <c r="S3" i="5"/>
  <c r="AG75" i="5"/>
  <c r="AH75" i="5"/>
  <c r="AI75" i="5"/>
  <c r="AJ75" i="5"/>
  <c r="AK75" i="5"/>
  <c r="AK11" i="4"/>
  <c r="AI6" i="4"/>
  <c r="AI4" i="4"/>
  <c r="AD4" i="4"/>
  <c r="AN6" i="4"/>
  <c r="AN7" i="4"/>
  <c r="AN8" i="4"/>
  <c r="AN9" i="4"/>
  <c r="AN10" i="4"/>
  <c r="AN11" i="4"/>
  <c r="AN12" i="4"/>
  <c r="AN13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6" i="4"/>
  <c r="AN67" i="4"/>
  <c r="AN68" i="4"/>
  <c r="AN69" i="4"/>
  <c r="AN70" i="4"/>
  <c r="AN71" i="4"/>
  <c r="AN72" i="4"/>
  <c r="AN73" i="4"/>
  <c r="AN74" i="4"/>
  <c r="AN7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6" i="4"/>
  <c r="AM27" i="4"/>
  <c r="AM28" i="4"/>
  <c r="AM29" i="4"/>
  <c r="AM30" i="4"/>
  <c r="AM31" i="4"/>
  <c r="AM32" i="4"/>
  <c r="AM33" i="4"/>
  <c r="AM34" i="4"/>
  <c r="AM35" i="4"/>
  <c r="AM36" i="4"/>
  <c r="AM37" i="4"/>
  <c r="AM38" i="4"/>
  <c r="AM39" i="4"/>
  <c r="AM40" i="4"/>
  <c r="AM41" i="4"/>
  <c r="AM42" i="4"/>
  <c r="AM43" i="4"/>
  <c r="AM44" i="4"/>
  <c r="AM45" i="4"/>
  <c r="AM46" i="4"/>
  <c r="AM47" i="4"/>
  <c r="AM48" i="4"/>
  <c r="AM49" i="4"/>
  <c r="AM50" i="4"/>
  <c r="AM51" i="4"/>
  <c r="AM52" i="4"/>
  <c r="AM53" i="4"/>
  <c r="AM54" i="4"/>
  <c r="AM55" i="4"/>
  <c r="AM56" i="4"/>
  <c r="AM57" i="4"/>
  <c r="AM58" i="4"/>
  <c r="AM59" i="4"/>
  <c r="AM60" i="4"/>
  <c r="AM61" i="4"/>
  <c r="AM62" i="4"/>
  <c r="AM63" i="4"/>
  <c r="AM64" i="4"/>
  <c r="AM65" i="4"/>
  <c r="AM66" i="4"/>
  <c r="AM67" i="4"/>
  <c r="AM68" i="4"/>
  <c r="AM69" i="4"/>
  <c r="AM70" i="4"/>
  <c r="AM71" i="4"/>
  <c r="AM72" i="4"/>
  <c r="AM73" i="4"/>
  <c r="AM74" i="4"/>
  <c r="AM75" i="4"/>
  <c r="AM5" i="4"/>
  <c r="AN5" i="4"/>
  <c r="AM4" i="4"/>
  <c r="AN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M79" i="4" l="1"/>
  <c r="AN77" i="4"/>
  <c r="AM77" i="4"/>
  <c r="AM76" i="4"/>
  <c r="AM82" i="4" s="1"/>
  <c r="AN79" i="4"/>
  <c r="AL79" i="4"/>
  <c r="AM80" i="4"/>
  <c r="AM81" i="4"/>
  <c r="AN76" i="4"/>
  <c r="AN80" i="4"/>
  <c r="AL80" i="4"/>
  <c r="R75" i="5"/>
  <c r="Q4" i="5"/>
  <c r="Q5" i="5"/>
  <c r="Q6" i="5"/>
  <c r="Q7" i="5"/>
  <c r="Q8" i="5"/>
  <c r="Q9" i="5"/>
  <c r="Q10" i="5"/>
  <c r="Q11" i="5"/>
  <c r="Q12" i="5"/>
  <c r="Q17" i="5"/>
  <c r="Q18" i="5"/>
  <c r="Q19" i="5"/>
  <c r="Q20" i="5"/>
  <c r="Q22" i="5"/>
  <c r="Q24" i="5"/>
  <c r="Q25" i="5"/>
  <c r="Q28" i="5"/>
  <c r="Q29" i="5"/>
  <c r="Q30" i="5"/>
  <c r="AE75" i="5"/>
  <c r="AF75" i="5"/>
  <c r="P4" i="5"/>
  <c r="Q3" i="5"/>
  <c r="P9" i="9"/>
  <c r="P8" i="9"/>
  <c r="O9" i="9"/>
  <c r="O8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2" i="9"/>
  <c r="G14" i="8"/>
  <c r="G16" i="8"/>
  <c r="G22" i="8"/>
  <c r="G24" i="8"/>
  <c r="G29" i="8"/>
  <c r="G30" i="8"/>
  <c r="G32" i="8"/>
  <c r="G38" i="8"/>
  <c r="G40" i="8"/>
  <c r="G46" i="8"/>
  <c r="G48" i="8"/>
  <c r="G54" i="8"/>
  <c r="G56" i="8"/>
  <c r="G62" i="8"/>
  <c r="G64" i="8"/>
  <c r="G70" i="8"/>
  <c r="G72" i="8"/>
  <c r="R12" i="8"/>
  <c r="R9" i="8"/>
  <c r="R11" i="8" s="1"/>
  <c r="H3" i="8"/>
  <c r="F3" i="8"/>
  <c r="G3" i="8" s="1"/>
  <c r="F4" i="8"/>
  <c r="G4" i="8" s="1"/>
  <c r="F5" i="8"/>
  <c r="G5" i="8" s="1"/>
  <c r="F6" i="8"/>
  <c r="G6" i="8" s="1"/>
  <c r="F7" i="8"/>
  <c r="G7" i="8" s="1"/>
  <c r="F8" i="8"/>
  <c r="G8" i="8" s="1"/>
  <c r="F9" i="8"/>
  <c r="G9" i="8" s="1"/>
  <c r="F10" i="8"/>
  <c r="G10" i="8" s="1"/>
  <c r="F11" i="8"/>
  <c r="G11" i="8" s="1"/>
  <c r="F12" i="8"/>
  <c r="G12" i="8" s="1"/>
  <c r="F13" i="8"/>
  <c r="G13" i="8" s="1"/>
  <c r="F14" i="8"/>
  <c r="F15" i="8"/>
  <c r="G15" i="8" s="1"/>
  <c r="F16" i="8"/>
  <c r="F17" i="8"/>
  <c r="G17" i="8" s="1"/>
  <c r="F18" i="8"/>
  <c r="G18" i="8" s="1"/>
  <c r="F19" i="8"/>
  <c r="G19" i="8" s="1"/>
  <c r="F20" i="8"/>
  <c r="G20" i="8" s="1"/>
  <c r="F21" i="8"/>
  <c r="G21" i="8" s="1"/>
  <c r="F22" i="8"/>
  <c r="F23" i="8"/>
  <c r="G23" i="8" s="1"/>
  <c r="F24" i="8"/>
  <c r="F25" i="8"/>
  <c r="G25" i="8" s="1"/>
  <c r="F26" i="8"/>
  <c r="G26" i="8" s="1"/>
  <c r="F27" i="8"/>
  <c r="G27" i="8" s="1"/>
  <c r="F28" i="8"/>
  <c r="G28" i="8" s="1"/>
  <c r="F29" i="8"/>
  <c r="F30" i="8"/>
  <c r="F31" i="8"/>
  <c r="G31" i="8" s="1"/>
  <c r="F32" i="8"/>
  <c r="F33" i="8"/>
  <c r="G33" i="8" s="1"/>
  <c r="F34" i="8"/>
  <c r="G34" i="8" s="1"/>
  <c r="F35" i="8"/>
  <c r="G35" i="8" s="1"/>
  <c r="F36" i="8"/>
  <c r="G36" i="8" s="1"/>
  <c r="F37" i="8"/>
  <c r="G37" i="8" s="1"/>
  <c r="F38" i="8"/>
  <c r="F39" i="8"/>
  <c r="G39" i="8" s="1"/>
  <c r="F40" i="8"/>
  <c r="F41" i="8"/>
  <c r="G41" i="8" s="1"/>
  <c r="F42" i="8"/>
  <c r="G42" i="8" s="1"/>
  <c r="F43" i="8"/>
  <c r="G43" i="8" s="1"/>
  <c r="F44" i="8"/>
  <c r="G44" i="8" s="1"/>
  <c r="F45" i="8"/>
  <c r="G45" i="8" s="1"/>
  <c r="F46" i="8"/>
  <c r="F47" i="8"/>
  <c r="G47" i="8" s="1"/>
  <c r="F48" i="8"/>
  <c r="F49" i="8"/>
  <c r="G49" i="8" s="1"/>
  <c r="F50" i="8"/>
  <c r="G50" i="8" s="1"/>
  <c r="F51" i="8"/>
  <c r="G51" i="8" s="1"/>
  <c r="F52" i="8"/>
  <c r="G52" i="8" s="1"/>
  <c r="F53" i="8"/>
  <c r="G53" i="8" s="1"/>
  <c r="F54" i="8"/>
  <c r="F55" i="8"/>
  <c r="G55" i="8" s="1"/>
  <c r="F56" i="8"/>
  <c r="F57" i="8"/>
  <c r="G57" i="8" s="1"/>
  <c r="F58" i="8"/>
  <c r="G58" i="8" s="1"/>
  <c r="F59" i="8"/>
  <c r="G59" i="8" s="1"/>
  <c r="F60" i="8"/>
  <c r="G60" i="8" s="1"/>
  <c r="F61" i="8"/>
  <c r="G61" i="8" s="1"/>
  <c r="F62" i="8"/>
  <c r="F63" i="8"/>
  <c r="G63" i="8" s="1"/>
  <c r="F64" i="8"/>
  <c r="F65" i="8"/>
  <c r="G65" i="8" s="1"/>
  <c r="F66" i="8"/>
  <c r="G66" i="8" s="1"/>
  <c r="F67" i="8"/>
  <c r="G67" i="8" s="1"/>
  <c r="F68" i="8"/>
  <c r="G68" i="8" s="1"/>
  <c r="F69" i="8"/>
  <c r="G69" i="8" s="1"/>
  <c r="F70" i="8"/>
  <c r="F71" i="8"/>
  <c r="G71" i="8" s="1"/>
  <c r="F72" i="8"/>
  <c r="F73" i="8"/>
  <c r="G73" i="8" s="1"/>
  <c r="G2" i="8"/>
  <c r="AL4" i="4"/>
  <c r="AL76" i="4" s="1"/>
  <c r="P73" i="5"/>
  <c r="P70" i="5"/>
  <c r="P69" i="5"/>
  <c r="P67" i="5"/>
  <c r="P66" i="5"/>
  <c r="P58" i="5"/>
  <c r="P57" i="5"/>
  <c r="P51" i="5"/>
  <c r="P50" i="5"/>
  <c r="P49" i="5"/>
  <c r="P34" i="5"/>
  <c r="P33" i="5"/>
  <c r="P29" i="5"/>
  <c r="P28" i="5"/>
  <c r="P24" i="5"/>
  <c r="P22" i="5"/>
  <c r="P20" i="5"/>
  <c r="P19" i="5"/>
  <c r="P18" i="5"/>
  <c r="P12" i="5"/>
  <c r="P11" i="5"/>
  <c r="P10" i="5"/>
  <c r="P8" i="5"/>
  <c r="P7" i="5"/>
  <c r="P3" i="5"/>
  <c r="BQ75" i="5"/>
  <c r="BP75" i="5"/>
  <c r="BO75" i="5"/>
  <c r="BN75" i="5"/>
  <c r="BM75" i="5"/>
  <c r="BL75" i="5"/>
  <c r="BK75" i="5"/>
  <c r="P31" i="5"/>
  <c r="L10" i="5"/>
  <c r="O73" i="5"/>
  <c r="O70" i="5"/>
  <c r="O69" i="5"/>
  <c r="O67" i="5"/>
  <c r="O66" i="5"/>
  <c r="O58" i="5"/>
  <c r="O57" i="5"/>
  <c r="O51" i="5"/>
  <c r="O50" i="5"/>
  <c r="O49" i="5"/>
  <c r="O34" i="5"/>
  <c r="O33" i="5"/>
  <c r="O31" i="5"/>
  <c r="O29" i="5"/>
  <c r="O28" i="5"/>
  <c r="O25" i="5"/>
  <c r="O24" i="5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0" i="4"/>
  <c r="AK9" i="4"/>
  <c r="AK8" i="4"/>
  <c r="AK7" i="4"/>
  <c r="AK6" i="4"/>
  <c r="AK5" i="4"/>
  <c r="AK4" i="4"/>
  <c r="AJ4" i="4"/>
  <c r="N25" i="5"/>
  <c r="N24" i="5"/>
  <c r="O22" i="5"/>
  <c r="N22" i="5"/>
  <c r="O20" i="5"/>
  <c r="N20" i="5"/>
  <c r="O19" i="5"/>
  <c r="N19" i="5"/>
  <c r="O18" i="5"/>
  <c r="N18" i="5"/>
  <c r="O12" i="5"/>
  <c r="O11" i="5"/>
  <c r="O10" i="5"/>
  <c r="O8" i="5"/>
  <c r="O7" i="5"/>
  <c r="O4" i="5"/>
  <c r="O3" i="5"/>
  <c r="K27" i="2"/>
  <c r="K28" i="2"/>
  <c r="K29" i="2"/>
  <c r="K30" i="2"/>
  <c r="K31" i="2"/>
  <c r="K32" i="2"/>
  <c r="L26" i="1"/>
  <c r="L27" i="1"/>
  <c r="L28" i="1"/>
  <c r="L29" i="1"/>
  <c r="L30" i="1"/>
  <c r="L25" i="1"/>
  <c r="L21" i="1"/>
  <c r="L22" i="1"/>
  <c r="L23" i="1"/>
  <c r="L24" i="1"/>
  <c r="L19" i="1"/>
  <c r="AJ75" i="4"/>
  <c r="AJ74" i="4"/>
  <c r="AJ73" i="4"/>
  <c r="AJ72" i="4"/>
  <c r="AJ71" i="4"/>
  <c r="AJ70" i="4"/>
  <c r="AJ69" i="4"/>
  <c r="AJ68" i="4"/>
  <c r="AJ67" i="4"/>
  <c r="AJ66" i="4"/>
  <c r="AJ65" i="4"/>
  <c r="AJ64" i="4"/>
  <c r="AJ63" i="4"/>
  <c r="AJ62" i="4"/>
  <c r="AJ61" i="4"/>
  <c r="AJ60" i="4"/>
  <c r="AJ59" i="4"/>
  <c r="AJ58" i="4"/>
  <c r="AJ57" i="4"/>
  <c r="AJ56" i="4"/>
  <c r="AJ55" i="4"/>
  <c r="AJ54" i="4"/>
  <c r="AJ53" i="4"/>
  <c r="AJ52" i="4"/>
  <c r="AJ51" i="4"/>
  <c r="AJ50" i="4"/>
  <c r="AJ49" i="4"/>
  <c r="AJ48" i="4"/>
  <c r="AJ47" i="4"/>
  <c r="AJ46" i="4"/>
  <c r="AJ45" i="4"/>
  <c r="AJ44" i="4"/>
  <c r="AJ43" i="4"/>
  <c r="AJ42" i="4"/>
  <c r="AJ41" i="4"/>
  <c r="AJ40" i="4"/>
  <c r="AJ39" i="4"/>
  <c r="AJ38" i="4"/>
  <c r="AJ37" i="4"/>
  <c r="AJ36" i="4"/>
  <c r="AJ35" i="4"/>
  <c r="AJ34" i="4"/>
  <c r="AJ33" i="4"/>
  <c r="AJ32" i="4"/>
  <c r="AJ31" i="4"/>
  <c r="AJ30" i="4"/>
  <c r="AJ29" i="4"/>
  <c r="AJ28" i="4"/>
  <c r="AJ27" i="4"/>
  <c r="AJ26" i="4"/>
  <c r="AJ25" i="4"/>
  <c r="AJ24" i="4"/>
  <c r="AJ23" i="4"/>
  <c r="AJ22" i="4"/>
  <c r="AJ21" i="4"/>
  <c r="AJ20" i="4"/>
  <c r="AJ19" i="4"/>
  <c r="AJ18" i="4"/>
  <c r="AJ17" i="4"/>
  <c r="AJ16" i="4"/>
  <c r="AJ15" i="4"/>
  <c r="AJ14" i="4"/>
  <c r="AJ13" i="4"/>
  <c r="AJ12" i="4"/>
  <c r="AJ11" i="4"/>
  <c r="AJ10" i="4"/>
  <c r="AJ9" i="4"/>
  <c r="AJ8" i="4"/>
  <c r="AJ7" i="4"/>
  <c r="AJ6" i="4"/>
  <c r="AJ5" i="4"/>
  <c r="AJ3" i="4"/>
  <c r="N12" i="5"/>
  <c r="N11" i="5"/>
  <c r="N10" i="5"/>
  <c r="N8" i="5"/>
  <c r="N7" i="5"/>
  <c r="N4" i="5"/>
  <c r="N3" i="5"/>
  <c r="M74" i="5"/>
  <c r="N73" i="5"/>
  <c r="M73" i="5"/>
  <c r="L73" i="5"/>
  <c r="N70" i="5"/>
  <c r="M70" i="5"/>
  <c r="L70" i="5"/>
  <c r="N69" i="5"/>
  <c r="M69" i="5"/>
  <c r="L69" i="5"/>
  <c r="M58" i="5"/>
  <c r="L58" i="5"/>
  <c r="M57" i="5"/>
  <c r="L57" i="5"/>
  <c r="M51" i="5"/>
  <c r="L51" i="5"/>
  <c r="M50" i="5"/>
  <c r="L50" i="5"/>
  <c r="L49" i="5"/>
  <c r="L34" i="5"/>
  <c r="L33" i="5"/>
  <c r="L31" i="5"/>
  <c r="L28" i="5"/>
  <c r="L8" i="5"/>
  <c r="L7" i="5"/>
  <c r="M49" i="5"/>
  <c r="M34" i="5"/>
  <c r="M33" i="5"/>
  <c r="M31" i="5"/>
  <c r="M28" i="5"/>
  <c r="M25" i="5"/>
  <c r="M24" i="5"/>
  <c r="M22" i="5"/>
  <c r="M20" i="5"/>
  <c r="M18" i="5"/>
  <c r="M12" i="5"/>
  <c r="M11" i="5"/>
  <c r="M10" i="5"/>
  <c r="M8" i="5"/>
  <c r="M7" i="5"/>
  <c r="M4" i="5"/>
  <c r="M3" i="5"/>
  <c r="AI75" i="4"/>
  <c r="AI74" i="4"/>
  <c r="AI73" i="4"/>
  <c r="AI72" i="4"/>
  <c r="AI71" i="4"/>
  <c r="AI70" i="4"/>
  <c r="AI69" i="4"/>
  <c r="AI68" i="4"/>
  <c r="AI67" i="4"/>
  <c r="AI66" i="4"/>
  <c r="AI65" i="4"/>
  <c r="AI64" i="4"/>
  <c r="AI63" i="4"/>
  <c r="AI62" i="4"/>
  <c r="AI61" i="4"/>
  <c r="AI60" i="4"/>
  <c r="AI59" i="4"/>
  <c r="AI58" i="4"/>
  <c r="AI57" i="4"/>
  <c r="AI56" i="4"/>
  <c r="AI55" i="4"/>
  <c r="AI54" i="4"/>
  <c r="AI53" i="4"/>
  <c r="AI52" i="4"/>
  <c r="AI51" i="4"/>
  <c r="AI50" i="4"/>
  <c r="AI49" i="4"/>
  <c r="AI48" i="4"/>
  <c r="AI47" i="4"/>
  <c r="AI46" i="4"/>
  <c r="AI45" i="4"/>
  <c r="AI44" i="4"/>
  <c r="AI43" i="4"/>
  <c r="AI42" i="4"/>
  <c r="AI41" i="4"/>
  <c r="AI40" i="4"/>
  <c r="AI39" i="4"/>
  <c r="AI38" i="4"/>
  <c r="AI37" i="4"/>
  <c r="AI36" i="4"/>
  <c r="AI35" i="4"/>
  <c r="AI34" i="4"/>
  <c r="AI33" i="4"/>
  <c r="AI32" i="4"/>
  <c r="AI31" i="4"/>
  <c r="AI30" i="4"/>
  <c r="AI29" i="4"/>
  <c r="AI28" i="4"/>
  <c r="AI27" i="4"/>
  <c r="AI26" i="4"/>
  <c r="AI25" i="4"/>
  <c r="AI24" i="4"/>
  <c r="AI23" i="4"/>
  <c r="AI22" i="4"/>
  <c r="AI21" i="4"/>
  <c r="AI20" i="4"/>
  <c r="AI19" i="4"/>
  <c r="AI18" i="4"/>
  <c r="AI17" i="4"/>
  <c r="AI16" i="4"/>
  <c r="AI15" i="4"/>
  <c r="AI14" i="4"/>
  <c r="AI13" i="4"/>
  <c r="AI12" i="4"/>
  <c r="AI11" i="4"/>
  <c r="AI10" i="4"/>
  <c r="AI9" i="4"/>
  <c r="AI8" i="4"/>
  <c r="AI7" i="4"/>
  <c r="AI5" i="4"/>
  <c r="AI3" i="4"/>
  <c r="P15" i="2"/>
  <c r="Q15" i="2" s="1"/>
  <c r="P14" i="2"/>
  <c r="P13" i="2"/>
  <c r="M19" i="5"/>
  <c r="L22" i="5"/>
  <c r="L20" i="5"/>
  <c r="L18" i="5"/>
  <c r="R40" i="1"/>
  <c r="AH75" i="4"/>
  <c r="AH74" i="4"/>
  <c r="AH73" i="4"/>
  <c r="AH72" i="4"/>
  <c r="AH71" i="4"/>
  <c r="AH70" i="4"/>
  <c r="AH69" i="4"/>
  <c r="AH68" i="4"/>
  <c r="AH67" i="4"/>
  <c r="AH66" i="4"/>
  <c r="AH65" i="4"/>
  <c r="AH64" i="4"/>
  <c r="AH63" i="4"/>
  <c r="AH62" i="4"/>
  <c r="AH61" i="4"/>
  <c r="AH60" i="4"/>
  <c r="AH59" i="4"/>
  <c r="AH58" i="4"/>
  <c r="AH57" i="4"/>
  <c r="AH56" i="4"/>
  <c r="AH55" i="4"/>
  <c r="AH54" i="4"/>
  <c r="AH53" i="4"/>
  <c r="AH52" i="4"/>
  <c r="AH51" i="4"/>
  <c r="AH50" i="4"/>
  <c r="AH49" i="4"/>
  <c r="AH48" i="4"/>
  <c r="AH47" i="4"/>
  <c r="AH46" i="4"/>
  <c r="AH45" i="4"/>
  <c r="AH44" i="4"/>
  <c r="AH43" i="4"/>
  <c r="AH42" i="4"/>
  <c r="AH41" i="4"/>
  <c r="AH40" i="4"/>
  <c r="AH39" i="4"/>
  <c r="AH38" i="4"/>
  <c r="AH37" i="4"/>
  <c r="AH36" i="4"/>
  <c r="AH35" i="4"/>
  <c r="AH34" i="4"/>
  <c r="AH33" i="4"/>
  <c r="AH32" i="4"/>
  <c r="AH31" i="4"/>
  <c r="AH30" i="4"/>
  <c r="AH29" i="4"/>
  <c r="AH28" i="4"/>
  <c r="AH27" i="4"/>
  <c r="AH26" i="4"/>
  <c r="AH25" i="4"/>
  <c r="AH24" i="4"/>
  <c r="AH23" i="4"/>
  <c r="AH22" i="4"/>
  <c r="AH21" i="4"/>
  <c r="AH20" i="4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4" i="4"/>
  <c r="AH3" i="4"/>
  <c r="AN78" i="4" l="1"/>
  <c r="AK80" i="4"/>
  <c r="AK76" i="4"/>
  <c r="AL82" i="4"/>
  <c r="AL81" i="4"/>
  <c r="AL77" i="4"/>
  <c r="AL78" i="4" s="1"/>
  <c r="AK79" i="4"/>
  <c r="AK82" i="4" s="1"/>
  <c r="AM78" i="4"/>
  <c r="AK77" i="4"/>
  <c r="AN81" i="4"/>
  <c r="AH80" i="4"/>
  <c r="AN82" i="4"/>
  <c r="O75" i="5"/>
  <c r="M75" i="5"/>
  <c r="N75" i="5"/>
  <c r="P75" i="5"/>
  <c r="AH79" i="4"/>
  <c r="AI80" i="4"/>
  <c r="AH77" i="4"/>
  <c r="AI77" i="4"/>
  <c r="AJ77" i="4"/>
  <c r="AJ80" i="4"/>
  <c r="AJ76" i="4"/>
  <c r="AJ79" i="4"/>
  <c r="AI79" i="4"/>
  <c r="AI76" i="4"/>
  <c r="AH76" i="4"/>
  <c r="I19" i="1"/>
  <c r="M26" i="1"/>
  <c r="L4" i="5"/>
  <c r="L3" i="5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21" i="2"/>
  <c r="Q5" i="2"/>
  <c r="J22" i="2" s="1"/>
  <c r="Q6" i="2"/>
  <c r="J23" i="2" s="1"/>
  <c r="Q7" i="2"/>
  <c r="J24" i="2" s="1"/>
  <c r="Q8" i="2"/>
  <c r="J25" i="2" s="1"/>
  <c r="Q9" i="2"/>
  <c r="J26" i="2" s="1"/>
  <c r="Q10" i="2"/>
  <c r="Q11" i="2"/>
  <c r="Q12" i="2"/>
  <c r="Q13" i="2"/>
  <c r="Q14" i="2"/>
  <c r="Q4" i="2"/>
  <c r="J21" i="2" s="1"/>
  <c r="H22" i="2"/>
  <c r="H23" i="2"/>
  <c r="H24" i="2"/>
  <c r="H25" i="2"/>
  <c r="H26" i="2"/>
  <c r="H27" i="2"/>
  <c r="H28" i="2"/>
  <c r="H29" i="2"/>
  <c r="H30" i="2"/>
  <c r="H31" i="2"/>
  <c r="H32" i="2"/>
  <c r="H34" i="2"/>
  <c r="H21" i="2"/>
  <c r="H20" i="2"/>
  <c r="AG69" i="4"/>
  <c r="AG61" i="4"/>
  <c r="AG53" i="4"/>
  <c r="AG45" i="4"/>
  <c r="AG23" i="4"/>
  <c r="AG31" i="4"/>
  <c r="AG33" i="4"/>
  <c r="AG24" i="4"/>
  <c r="AG18" i="4"/>
  <c r="AG29" i="4"/>
  <c r="AG35" i="4"/>
  <c r="AG34" i="4"/>
  <c r="AG32" i="4"/>
  <c r="AG20" i="4"/>
  <c r="AG73" i="4"/>
  <c r="AG70" i="4"/>
  <c r="K73" i="5"/>
  <c r="K70" i="5"/>
  <c r="K69" i="5"/>
  <c r="K58" i="5"/>
  <c r="K57" i="5"/>
  <c r="K50" i="5"/>
  <c r="K51" i="5"/>
  <c r="K49" i="5"/>
  <c r="K34" i="5"/>
  <c r="K33" i="5"/>
  <c r="K31" i="5"/>
  <c r="K29" i="5"/>
  <c r="K28" i="5"/>
  <c r="K22" i="5"/>
  <c r="K20" i="5"/>
  <c r="K18" i="5"/>
  <c r="K10" i="5"/>
  <c r="J8" i="5"/>
  <c r="K8" i="5"/>
  <c r="K7" i="5"/>
  <c r="K3" i="5"/>
  <c r="K4" i="5"/>
  <c r="AD76" i="5"/>
  <c r="AG74" i="4"/>
  <c r="AG72" i="4"/>
  <c r="AG71" i="4"/>
  <c r="AG68" i="4"/>
  <c r="AG67" i="4"/>
  <c r="AG66" i="4"/>
  <c r="AG65" i="4"/>
  <c r="AG64" i="4"/>
  <c r="AG63" i="4"/>
  <c r="AG62" i="4"/>
  <c r="AG60" i="4"/>
  <c r="AG59" i="4"/>
  <c r="AG58" i="4"/>
  <c r="AG57" i="4"/>
  <c r="AG56" i="4"/>
  <c r="AG55" i="4"/>
  <c r="AG54" i="4"/>
  <c r="AG52" i="4"/>
  <c r="AG51" i="4"/>
  <c r="AG50" i="4"/>
  <c r="AG49" i="4"/>
  <c r="AG48" i="4"/>
  <c r="AG47" i="4"/>
  <c r="AG46" i="4"/>
  <c r="AG44" i="4"/>
  <c r="AG43" i="4"/>
  <c r="AG42" i="4"/>
  <c r="AG41" i="4"/>
  <c r="AG40" i="4"/>
  <c r="AG39" i="4"/>
  <c r="AG38" i="4"/>
  <c r="AG37" i="4"/>
  <c r="AG36" i="4"/>
  <c r="AG28" i="4"/>
  <c r="AG27" i="4"/>
  <c r="AG26" i="4"/>
  <c r="AG21" i="4"/>
  <c r="AG19" i="4"/>
  <c r="AG17" i="4"/>
  <c r="AG16" i="4"/>
  <c r="AG15" i="4"/>
  <c r="AG14" i="4"/>
  <c r="AG13" i="4"/>
  <c r="AG12" i="4"/>
  <c r="AG11" i="4"/>
  <c r="AG10" i="4"/>
  <c r="AG9" i="4"/>
  <c r="AG8" i="4"/>
  <c r="AG7" i="4"/>
  <c r="AG6" i="4"/>
  <c r="AG5" i="4"/>
  <c r="AG4" i="4"/>
  <c r="AG3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F3" i="4"/>
  <c r="E75" i="5"/>
  <c r="F75" i="5"/>
  <c r="H75" i="5"/>
  <c r="I75" i="5"/>
  <c r="S75" i="5"/>
  <c r="W75" i="5"/>
  <c r="X75" i="5"/>
  <c r="Y75" i="5"/>
  <c r="Z75" i="5"/>
  <c r="AA75" i="5"/>
  <c r="AB75" i="5"/>
  <c r="AC75" i="5"/>
  <c r="AD75" i="5"/>
  <c r="O14" i="2"/>
  <c r="M4" i="2"/>
  <c r="O6" i="2"/>
  <c r="M5" i="2"/>
  <c r="J73" i="5"/>
  <c r="J70" i="5"/>
  <c r="J69" i="5"/>
  <c r="J58" i="5"/>
  <c r="J57" i="5"/>
  <c r="J51" i="5"/>
  <c r="J50" i="5"/>
  <c r="J49" i="5"/>
  <c r="J34" i="5"/>
  <c r="J33" i="5"/>
  <c r="J31" i="5"/>
  <c r="J28" i="5"/>
  <c r="J22" i="5"/>
  <c r="J20" i="5"/>
  <c r="J18" i="5"/>
  <c r="J7" i="5"/>
  <c r="J4" i="5"/>
  <c r="J3" i="5"/>
  <c r="AH81" i="4" l="1"/>
  <c r="AK78" i="4"/>
  <c r="AK81" i="4"/>
  <c r="AJ78" i="4"/>
  <c r="AI78" i="4"/>
  <c r="L75" i="5"/>
  <c r="AH82" i="4"/>
  <c r="AJ81" i="4"/>
  <c r="AJ82" i="4"/>
  <c r="K75" i="5"/>
  <c r="AI82" i="4"/>
  <c r="AI81" i="4"/>
  <c r="AH78" i="4"/>
  <c r="AG75" i="4"/>
  <c r="AG25" i="4"/>
  <c r="AG22" i="4"/>
  <c r="AG30" i="4"/>
  <c r="J75" i="5"/>
  <c r="AF77" i="4"/>
  <c r="AF80" i="4"/>
  <c r="AG79" i="4"/>
  <c r="AG80" i="4"/>
  <c r="AF76" i="4"/>
  <c r="AF79" i="4"/>
  <c r="AF81" i="4" s="1"/>
  <c r="AV6" i="5"/>
  <c r="AV7" i="5"/>
  <c r="AV8" i="5"/>
  <c r="AV9" i="5"/>
  <c r="AV10" i="5"/>
  <c r="AV11" i="5"/>
  <c r="AV12" i="5"/>
  <c r="AV13" i="5"/>
  <c r="AV14" i="5"/>
  <c r="AV15" i="5"/>
  <c r="AV16" i="5"/>
  <c r="AV17" i="5"/>
  <c r="AV18" i="5"/>
  <c r="AV19" i="5"/>
  <c r="AV20" i="5"/>
  <c r="AV21" i="5"/>
  <c r="AV22" i="5"/>
  <c r="AV23" i="5"/>
  <c r="AV24" i="5"/>
  <c r="AV25" i="5"/>
  <c r="AV26" i="5"/>
  <c r="AV27" i="5"/>
  <c r="AV28" i="5"/>
  <c r="AV29" i="5"/>
  <c r="AV30" i="5"/>
  <c r="AV31" i="5"/>
  <c r="AV32" i="5"/>
  <c r="AV33" i="5"/>
  <c r="AV34" i="5"/>
  <c r="AV35" i="5"/>
  <c r="AV36" i="5"/>
  <c r="AV37" i="5"/>
  <c r="AV38" i="5"/>
  <c r="AV39" i="5"/>
  <c r="AV40" i="5"/>
  <c r="AV41" i="5"/>
  <c r="AV42" i="5"/>
  <c r="AV43" i="5"/>
  <c r="AV44" i="5"/>
  <c r="AV45" i="5"/>
  <c r="AV46" i="5"/>
  <c r="AV47" i="5"/>
  <c r="AV48" i="5"/>
  <c r="AV49" i="5"/>
  <c r="AV50" i="5"/>
  <c r="AV51" i="5"/>
  <c r="AV52" i="5"/>
  <c r="AV53" i="5"/>
  <c r="AV54" i="5"/>
  <c r="AV55" i="5"/>
  <c r="AV56" i="5"/>
  <c r="AV57" i="5"/>
  <c r="AV58" i="5"/>
  <c r="AV59" i="5"/>
  <c r="AV60" i="5"/>
  <c r="AV61" i="5"/>
  <c r="AV62" i="5"/>
  <c r="AV63" i="5"/>
  <c r="AV64" i="5"/>
  <c r="AV65" i="5"/>
  <c r="AV66" i="5"/>
  <c r="AV67" i="5"/>
  <c r="AV68" i="5"/>
  <c r="AV69" i="5"/>
  <c r="AV70" i="5"/>
  <c r="AV71" i="5"/>
  <c r="AV72" i="5"/>
  <c r="AV73" i="5"/>
  <c r="AV3" i="5"/>
  <c r="AV4" i="5"/>
  <c r="AV2" i="5"/>
  <c r="AW2" i="5"/>
  <c r="AV5" i="5"/>
  <c r="AW5" i="5"/>
  <c r="G7" i="5"/>
  <c r="AS7" i="5" s="1"/>
  <c r="BA7" i="5" s="1"/>
  <c r="AU74" i="5"/>
  <c r="AT74" i="5"/>
  <c r="AS74" i="5"/>
  <c r="AR74" i="5"/>
  <c r="BA73" i="5"/>
  <c r="AT73" i="5"/>
  <c r="AS73" i="5"/>
  <c r="AR73" i="5"/>
  <c r="AU72" i="5"/>
  <c r="AT72" i="5"/>
  <c r="AR72" i="5"/>
  <c r="G72" i="5"/>
  <c r="AS72" i="5" s="1"/>
  <c r="BA72" i="5" s="1"/>
  <c r="AU71" i="5"/>
  <c r="AT71" i="5"/>
  <c r="AS71" i="5"/>
  <c r="AR71" i="5"/>
  <c r="AT70" i="5"/>
  <c r="AR70" i="5"/>
  <c r="G70" i="5"/>
  <c r="AS70" i="5" s="1"/>
  <c r="AT69" i="5"/>
  <c r="AS69" i="5"/>
  <c r="AR69" i="5"/>
  <c r="AU68" i="5"/>
  <c r="AT68" i="5"/>
  <c r="AS68" i="5"/>
  <c r="AR68" i="5"/>
  <c r="AU67" i="5"/>
  <c r="AT67" i="5"/>
  <c r="AS67" i="5"/>
  <c r="AR67" i="5"/>
  <c r="AU66" i="5"/>
  <c r="AT66" i="5"/>
  <c r="AS66" i="5"/>
  <c r="AR66" i="5"/>
  <c r="AU65" i="5"/>
  <c r="AT65" i="5"/>
  <c r="AS65" i="5"/>
  <c r="AR65" i="5"/>
  <c r="AU64" i="5"/>
  <c r="AT64" i="5"/>
  <c r="AS64" i="5"/>
  <c r="AR64" i="5"/>
  <c r="AU63" i="5"/>
  <c r="AT63" i="5"/>
  <c r="AS63" i="5"/>
  <c r="AR63" i="5"/>
  <c r="AU62" i="5"/>
  <c r="AT62" i="5"/>
  <c r="AS62" i="5"/>
  <c r="AR62" i="5"/>
  <c r="AU61" i="5"/>
  <c r="AT61" i="5"/>
  <c r="AS61" i="5"/>
  <c r="AR61" i="5"/>
  <c r="AU60" i="5"/>
  <c r="AT60" i="5"/>
  <c r="AS60" i="5"/>
  <c r="AR60" i="5"/>
  <c r="AU59" i="5"/>
  <c r="AT59" i="5"/>
  <c r="AS59" i="5"/>
  <c r="AR59" i="5"/>
  <c r="AT58" i="5"/>
  <c r="AR58" i="5"/>
  <c r="G58" i="5"/>
  <c r="AS58" i="5" s="1"/>
  <c r="BA58" i="5" s="1"/>
  <c r="AT57" i="5"/>
  <c r="AS57" i="5"/>
  <c r="AR57" i="5"/>
  <c r="AU56" i="5"/>
  <c r="AT56" i="5"/>
  <c r="AS56" i="5"/>
  <c r="AR56" i="5"/>
  <c r="AU55" i="5"/>
  <c r="AT55" i="5"/>
  <c r="AS55" i="5"/>
  <c r="AR55" i="5"/>
  <c r="AU54" i="5"/>
  <c r="AT54" i="5"/>
  <c r="AS54" i="5"/>
  <c r="AR54" i="5"/>
  <c r="AU53" i="5"/>
  <c r="AT53" i="5"/>
  <c r="AS53" i="5"/>
  <c r="AR53" i="5"/>
  <c r="AU52" i="5"/>
  <c r="AT52" i="5"/>
  <c r="AS52" i="5"/>
  <c r="AR52" i="5"/>
  <c r="AT51" i="5"/>
  <c r="AR51" i="5"/>
  <c r="G51" i="5"/>
  <c r="AS51" i="5" s="1"/>
  <c r="BA51" i="5" s="1"/>
  <c r="AT50" i="5"/>
  <c r="AR50" i="5"/>
  <c r="G50" i="5"/>
  <c r="AS50" i="5" s="1"/>
  <c r="BA50" i="5" s="1"/>
  <c r="AT49" i="5"/>
  <c r="AR49" i="5"/>
  <c r="G49" i="5"/>
  <c r="AS49" i="5" s="1"/>
  <c r="BA49" i="5" s="1"/>
  <c r="AU48" i="5"/>
  <c r="AT48" i="5"/>
  <c r="AS48" i="5"/>
  <c r="AR48" i="5"/>
  <c r="AU47" i="5"/>
  <c r="AT47" i="5"/>
  <c r="AS47" i="5"/>
  <c r="AR47" i="5"/>
  <c r="AU46" i="5"/>
  <c r="AT46" i="5"/>
  <c r="AS46" i="5"/>
  <c r="AR46" i="5"/>
  <c r="AU45" i="5"/>
  <c r="AT45" i="5"/>
  <c r="AS45" i="5"/>
  <c r="AR45" i="5"/>
  <c r="AU44" i="5"/>
  <c r="AT44" i="5"/>
  <c r="AS44" i="5"/>
  <c r="AR44" i="5"/>
  <c r="AU43" i="5"/>
  <c r="AT43" i="5"/>
  <c r="AS43" i="5"/>
  <c r="AR43" i="5"/>
  <c r="AU42" i="5"/>
  <c r="AT42" i="5"/>
  <c r="AS42" i="5"/>
  <c r="AR42" i="5"/>
  <c r="AU41" i="5"/>
  <c r="AT41" i="5"/>
  <c r="AS41" i="5"/>
  <c r="AR41" i="5"/>
  <c r="AU40" i="5"/>
  <c r="AT40" i="5"/>
  <c r="AS40" i="5"/>
  <c r="AR40" i="5"/>
  <c r="AU39" i="5"/>
  <c r="AT39" i="5"/>
  <c r="AS39" i="5"/>
  <c r="AR39" i="5"/>
  <c r="AU38" i="5"/>
  <c r="AT38" i="5"/>
  <c r="AS38" i="5"/>
  <c r="AR38" i="5"/>
  <c r="AU37" i="5"/>
  <c r="AT37" i="5"/>
  <c r="AS37" i="5"/>
  <c r="AR37" i="5"/>
  <c r="AU36" i="5"/>
  <c r="AT36" i="5"/>
  <c r="AS36" i="5"/>
  <c r="AR36" i="5"/>
  <c r="AU35" i="5"/>
  <c r="AT35" i="5"/>
  <c r="AS35" i="5"/>
  <c r="AR35" i="5"/>
  <c r="BA34" i="5"/>
  <c r="AU34" i="5"/>
  <c r="AT34" i="5"/>
  <c r="AR34" i="5"/>
  <c r="G34" i="5"/>
  <c r="AS34" i="5" s="1"/>
  <c r="AU33" i="5"/>
  <c r="AT33" i="5"/>
  <c r="AS33" i="5"/>
  <c r="AR33" i="5"/>
  <c r="AU32" i="5"/>
  <c r="AT32" i="5"/>
  <c r="AS32" i="5"/>
  <c r="AR32" i="5"/>
  <c r="AU31" i="5"/>
  <c r="AT31" i="5"/>
  <c r="AR31" i="5"/>
  <c r="G31" i="5"/>
  <c r="AS31" i="5" s="1"/>
  <c r="BA31" i="5" s="1"/>
  <c r="AU30" i="5"/>
  <c r="AT30" i="5"/>
  <c r="AS30" i="5"/>
  <c r="AR30" i="5"/>
  <c r="AU29" i="5"/>
  <c r="AT29" i="5"/>
  <c r="AS29" i="5"/>
  <c r="AR29" i="5"/>
  <c r="AU28" i="5"/>
  <c r="AT28" i="5"/>
  <c r="AR28" i="5"/>
  <c r="G28" i="5"/>
  <c r="AS28" i="5" s="1"/>
  <c r="BA28" i="5" s="1"/>
  <c r="AU27" i="5"/>
  <c r="AT27" i="5"/>
  <c r="AS27" i="5"/>
  <c r="AR27" i="5"/>
  <c r="AU26" i="5"/>
  <c r="AT26" i="5"/>
  <c r="AS26" i="5"/>
  <c r="AR26" i="5"/>
  <c r="AU25" i="5"/>
  <c r="AT25" i="5"/>
  <c r="AS25" i="5"/>
  <c r="AR25" i="5"/>
  <c r="AU24" i="5"/>
  <c r="AT24" i="5"/>
  <c r="AS24" i="5"/>
  <c r="AR24" i="5"/>
  <c r="AU23" i="5"/>
  <c r="AT23" i="5"/>
  <c r="AS23" i="5"/>
  <c r="AR23" i="5"/>
  <c r="AU22" i="5"/>
  <c r="AT22" i="5"/>
  <c r="AS22" i="5"/>
  <c r="AR22" i="5"/>
  <c r="AU21" i="5"/>
  <c r="AT21" i="5"/>
  <c r="AS21" i="5"/>
  <c r="AR21" i="5"/>
  <c r="AU20" i="5"/>
  <c r="AT20" i="5"/>
  <c r="AR20" i="5"/>
  <c r="G20" i="5"/>
  <c r="AS20" i="5" s="1"/>
  <c r="AU19" i="5"/>
  <c r="AT19" i="5"/>
  <c r="AS19" i="5"/>
  <c r="AR19" i="5"/>
  <c r="BA18" i="5"/>
  <c r="AU18" i="5"/>
  <c r="AT18" i="5"/>
  <c r="AR18" i="5"/>
  <c r="G18" i="5"/>
  <c r="AS18" i="5" s="1"/>
  <c r="AU17" i="5"/>
  <c r="AT17" i="5"/>
  <c r="AS17" i="5"/>
  <c r="AR17" i="5"/>
  <c r="AU16" i="5"/>
  <c r="AT16" i="5"/>
  <c r="AS16" i="5"/>
  <c r="AR16" i="5"/>
  <c r="AU15" i="5"/>
  <c r="AT15" i="5"/>
  <c r="AS15" i="5"/>
  <c r="AR15" i="5"/>
  <c r="AU14" i="5"/>
  <c r="AT14" i="5"/>
  <c r="AS14" i="5"/>
  <c r="AR14" i="5"/>
  <c r="AQ14" i="5"/>
  <c r="AU13" i="5"/>
  <c r="AT13" i="5"/>
  <c r="AS13" i="5"/>
  <c r="AR13" i="5"/>
  <c r="AQ13" i="5"/>
  <c r="AU12" i="5"/>
  <c r="AT12" i="5"/>
  <c r="AR12" i="5"/>
  <c r="AQ12" i="5"/>
  <c r="G12" i="5"/>
  <c r="AS12" i="5" s="1"/>
  <c r="BA12" i="5" s="1"/>
  <c r="AU11" i="5"/>
  <c r="AT11" i="5"/>
  <c r="AR11" i="5"/>
  <c r="AQ11" i="5"/>
  <c r="G11" i="5"/>
  <c r="AS11" i="5" s="1"/>
  <c r="BA11" i="5" s="1"/>
  <c r="AU10" i="5"/>
  <c r="AT10" i="5"/>
  <c r="AS10" i="5"/>
  <c r="AR10" i="5"/>
  <c r="AQ10" i="5"/>
  <c r="AU9" i="5"/>
  <c r="AT9" i="5"/>
  <c r="AS9" i="5"/>
  <c r="AR9" i="5"/>
  <c r="AQ9" i="5"/>
  <c r="AU8" i="5"/>
  <c r="AT8" i="5"/>
  <c r="AR8" i="5"/>
  <c r="AQ8" i="5"/>
  <c r="G8" i="5"/>
  <c r="AS8" i="5" s="1"/>
  <c r="BA8" i="5" s="1"/>
  <c r="AU7" i="5"/>
  <c r="AT7" i="5"/>
  <c r="AR7" i="5"/>
  <c r="AQ7" i="5"/>
  <c r="AU6" i="5"/>
  <c r="AT6" i="5"/>
  <c r="AS6" i="5"/>
  <c r="AR6" i="5"/>
  <c r="AQ6" i="5"/>
  <c r="AU5" i="5"/>
  <c r="AT5" i="5"/>
  <c r="AS5" i="5"/>
  <c r="AR5" i="5"/>
  <c r="AQ5" i="5"/>
  <c r="AU4" i="5"/>
  <c r="AT4" i="5"/>
  <c r="AS4" i="5"/>
  <c r="AR4" i="5"/>
  <c r="AQ4" i="5"/>
  <c r="AU3" i="5" a="1"/>
  <c r="AU3" i="5" s="1"/>
  <c r="AT3" i="5"/>
  <c r="AS3" i="5"/>
  <c r="AR3" i="5"/>
  <c r="AQ3" i="5"/>
  <c r="AU2" i="5"/>
  <c r="AT2" i="5"/>
  <c r="AS2" i="5"/>
  <c r="AC2" i="5"/>
  <c r="AA2" i="5"/>
  <c r="W2" i="5"/>
  <c r="AD75" i="4"/>
  <c r="AC75" i="4"/>
  <c r="AB75" i="4"/>
  <c r="AA75" i="4"/>
  <c r="Z75" i="4"/>
  <c r="AD74" i="4"/>
  <c r="AC74" i="4"/>
  <c r="AB74" i="4"/>
  <c r="AA74" i="4"/>
  <c r="Z74" i="4"/>
  <c r="AD73" i="4"/>
  <c r="AC73" i="4"/>
  <c r="AB73" i="4"/>
  <c r="AA73" i="4"/>
  <c r="Z73" i="4"/>
  <c r="AD72" i="4"/>
  <c r="AC72" i="4"/>
  <c r="AB72" i="4"/>
  <c r="AA72" i="4"/>
  <c r="Z72" i="4"/>
  <c r="AD71" i="4"/>
  <c r="AC71" i="4"/>
  <c r="AB71" i="4"/>
  <c r="AA71" i="4"/>
  <c r="Z71" i="4"/>
  <c r="AD70" i="4"/>
  <c r="AC70" i="4"/>
  <c r="AB70" i="4"/>
  <c r="AA70" i="4"/>
  <c r="Z70" i="4"/>
  <c r="AD69" i="4"/>
  <c r="AC69" i="4"/>
  <c r="AB69" i="4"/>
  <c r="AA69" i="4"/>
  <c r="Z69" i="4"/>
  <c r="AD68" i="4"/>
  <c r="AC68" i="4"/>
  <c r="AB68" i="4"/>
  <c r="AA68" i="4"/>
  <c r="Z68" i="4"/>
  <c r="AD67" i="4"/>
  <c r="AC67" i="4"/>
  <c r="AB67" i="4"/>
  <c r="AA67" i="4"/>
  <c r="Z67" i="4"/>
  <c r="AD66" i="4"/>
  <c r="AC66" i="4"/>
  <c r="AB66" i="4"/>
  <c r="AA66" i="4"/>
  <c r="Z66" i="4"/>
  <c r="AD65" i="4"/>
  <c r="AC65" i="4"/>
  <c r="AB65" i="4"/>
  <c r="AA65" i="4"/>
  <c r="Z65" i="4"/>
  <c r="AD64" i="4"/>
  <c r="AC64" i="4"/>
  <c r="AB64" i="4"/>
  <c r="AA64" i="4"/>
  <c r="Z64" i="4"/>
  <c r="AD63" i="4"/>
  <c r="AC63" i="4"/>
  <c r="AB63" i="4"/>
  <c r="AA63" i="4"/>
  <c r="Z63" i="4"/>
  <c r="AD62" i="4"/>
  <c r="AC62" i="4"/>
  <c r="AB62" i="4"/>
  <c r="AA62" i="4"/>
  <c r="Z62" i="4"/>
  <c r="AD61" i="4"/>
  <c r="AC61" i="4"/>
  <c r="AB61" i="4"/>
  <c r="AA61" i="4"/>
  <c r="Z61" i="4"/>
  <c r="AD60" i="4"/>
  <c r="AC60" i="4"/>
  <c r="AB60" i="4"/>
  <c r="AA60" i="4"/>
  <c r="Z60" i="4"/>
  <c r="AD59" i="4"/>
  <c r="AC59" i="4"/>
  <c r="AB59" i="4"/>
  <c r="AA59" i="4"/>
  <c r="Z59" i="4"/>
  <c r="AD58" i="4"/>
  <c r="AC58" i="4"/>
  <c r="AB58" i="4"/>
  <c r="AA58" i="4"/>
  <c r="Z58" i="4"/>
  <c r="AD57" i="4"/>
  <c r="AC57" i="4"/>
  <c r="AB57" i="4"/>
  <c r="AA57" i="4"/>
  <c r="Z57" i="4"/>
  <c r="AD56" i="4"/>
  <c r="AC56" i="4"/>
  <c r="AB56" i="4"/>
  <c r="AA56" i="4"/>
  <c r="Z56" i="4"/>
  <c r="AD55" i="4"/>
  <c r="AC55" i="4"/>
  <c r="AB55" i="4"/>
  <c r="AA55" i="4"/>
  <c r="Z55" i="4"/>
  <c r="AD54" i="4"/>
  <c r="AC54" i="4"/>
  <c r="AB54" i="4"/>
  <c r="AA54" i="4"/>
  <c r="Z54" i="4"/>
  <c r="AD53" i="4"/>
  <c r="AC53" i="4"/>
  <c r="AB53" i="4"/>
  <c r="AA53" i="4"/>
  <c r="Z53" i="4"/>
  <c r="AD52" i="4"/>
  <c r="AC52" i="4"/>
  <c r="AB52" i="4"/>
  <c r="AA52" i="4"/>
  <c r="Z52" i="4"/>
  <c r="AD51" i="4"/>
  <c r="AC51" i="4"/>
  <c r="AB51" i="4"/>
  <c r="AA51" i="4"/>
  <c r="Z51" i="4"/>
  <c r="AD50" i="4"/>
  <c r="AC50" i="4"/>
  <c r="AB50" i="4"/>
  <c r="AA50" i="4"/>
  <c r="Z50" i="4"/>
  <c r="AD49" i="4"/>
  <c r="AC49" i="4"/>
  <c r="AB49" i="4"/>
  <c r="AA49" i="4"/>
  <c r="Z49" i="4"/>
  <c r="AD48" i="4"/>
  <c r="AC48" i="4"/>
  <c r="AB48" i="4"/>
  <c r="AA48" i="4"/>
  <c r="Z48" i="4"/>
  <c r="AD47" i="4"/>
  <c r="AC47" i="4"/>
  <c r="AB47" i="4"/>
  <c r="AA47" i="4"/>
  <c r="Z47" i="4"/>
  <c r="AD46" i="4"/>
  <c r="AC46" i="4"/>
  <c r="AB46" i="4"/>
  <c r="AA46" i="4"/>
  <c r="Z46" i="4"/>
  <c r="AD45" i="4"/>
  <c r="AC45" i="4"/>
  <c r="AB45" i="4"/>
  <c r="AA45" i="4"/>
  <c r="Z45" i="4"/>
  <c r="AD44" i="4"/>
  <c r="AC44" i="4"/>
  <c r="AB44" i="4"/>
  <c r="AA44" i="4"/>
  <c r="Z44" i="4"/>
  <c r="AD43" i="4"/>
  <c r="AC43" i="4"/>
  <c r="AB43" i="4"/>
  <c r="AA43" i="4"/>
  <c r="Z43" i="4"/>
  <c r="AD42" i="4"/>
  <c r="AC42" i="4"/>
  <c r="AB42" i="4"/>
  <c r="AA42" i="4"/>
  <c r="Z42" i="4"/>
  <c r="AD41" i="4"/>
  <c r="AC41" i="4"/>
  <c r="AB41" i="4"/>
  <c r="AA41" i="4"/>
  <c r="Z41" i="4"/>
  <c r="AD40" i="4"/>
  <c r="AC40" i="4"/>
  <c r="AB40" i="4"/>
  <c r="AA40" i="4"/>
  <c r="Z40" i="4"/>
  <c r="AD39" i="4"/>
  <c r="AC39" i="4"/>
  <c r="AB39" i="4"/>
  <c r="AA39" i="4"/>
  <c r="Z39" i="4"/>
  <c r="AD38" i="4"/>
  <c r="AC38" i="4"/>
  <c r="AB38" i="4"/>
  <c r="AA38" i="4"/>
  <c r="Z38" i="4"/>
  <c r="AD37" i="4"/>
  <c r="AC37" i="4"/>
  <c r="AB37" i="4"/>
  <c r="AA37" i="4"/>
  <c r="Z37" i="4"/>
  <c r="AD36" i="4"/>
  <c r="AC36" i="4"/>
  <c r="AB36" i="4"/>
  <c r="AA36" i="4"/>
  <c r="Z36" i="4"/>
  <c r="AD35" i="4"/>
  <c r="AC35" i="4"/>
  <c r="AB35" i="4"/>
  <c r="AA35" i="4"/>
  <c r="Z35" i="4"/>
  <c r="AD34" i="4"/>
  <c r="AC34" i="4"/>
  <c r="AB34" i="4"/>
  <c r="AA34" i="4"/>
  <c r="Z34" i="4"/>
  <c r="AD33" i="4"/>
  <c r="AC33" i="4"/>
  <c r="AB33" i="4"/>
  <c r="AA33" i="4"/>
  <c r="Z33" i="4"/>
  <c r="AD32" i="4"/>
  <c r="AC32" i="4"/>
  <c r="AB32" i="4"/>
  <c r="AA32" i="4"/>
  <c r="Z32" i="4"/>
  <c r="AD31" i="4"/>
  <c r="AC31" i="4"/>
  <c r="AB31" i="4"/>
  <c r="AA31" i="4"/>
  <c r="Z31" i="4"/>
  <c r="AD30" i="4"/>
  <c r="AC30" i="4"/>
  <c r="AB30" i="4"/>
  <c r="AA30" i="4"/>
  <c r="Z30" i="4"/>
  <c r="AD29" i="4"/>
  <c r="AC29" i="4"/>
  <c r="AB29" i="4"/>
  <c r="AA29" i="4"/>
  <c r="Z29" i="4"/>
  <c r="AD28" i="4"/>
  <c r="AC28" i="4"/>
  <c r="AB28" i="4"/>
  <c r="AA28" i="4"/>
  <c r="Z28" i="4"/>
  <c r="AD27" i="4"/>
  <c r="AC27" i="4"/>
  <c r="AB27" i="4"/>
  <c r="AA27" i="4"/>
  <c r="Z27" i="4"/>
  <c r="AD26" i="4"/>
  <c r="AC26" i="4"/>
  <c r="AB26" i="4"/>
  <c r="AA26" i="4"/>
  <c r="Z26" i="4"/>
  <c r="AD25" i="4"/>
  <c r="AC25" i="4"/>
  <c r="AB25" i="4"/>
  <c r="AA25" i="4"/>
  <c r="Z25" i="4"/>
  <c r="AD24" i="4"/>
  <c r="AC24" i="4"/>
  <c r="AB24" i="4"/>
  <c r="AA24" i="4"/>
  <c r="Z24" i="4"/>
  <c r="AD23" i="4"/>
  <c r="AC23" i="4"/>
  <c r="AB23" i="4"/>
  <c r="AA23" i="4"/>
  <c r="Z23" i="4"/>
  <c r="AD22" i="4"/>
  <c r="AC22" i="4"/>
  <c r="AB22" i="4"/>
  <c r="AA22" i="4"/>
  <c r="Z22" i="4"/>
  <c r="AD21" i="4"/>
  <c r="AC21" i="4"/>
  <c r="AB21" i="4"/>
  <c r="AA21" i="4"/>
  <c r="Z21" i="4"/>
  <c r="AD20" i="4"/>
  <c r="AC20" i="4"/>
  <c r="AB20" i="4"/>
  <c r="AA20" i="4"/>
  <c r="Z20" i="4"/>
  <c r="AD19" i="4"/>
  <c r="AC19" i="4"/>
  <c r="AB19" i="4"/>
  <c r="AA19" i="4"/>
  <c r="Z19" i="4"/>
  <c r="AD18" i="4"/>
  <c r="AC18" i="4"/>
  <c r="AB18" i="4"/>
  <c r="AA18" i="4"/>
  <c r="Z18" i="4"/>
  <c r="AD17" i="4"/>
  <c r="AC17" i="4"/>
  <c r="AB17" i="4"/>
  <c r="AA17" i="4"/>
  <c r="Z17" i="4"/>
  <c r="AD16" i="4"/>
  <c r="AC16" i="4"/>
  <c r="AB16" i="4"/>
  <c r="AA16" i="4"/>
  <c r="Z16" i="4"/>
  <c r="AD15" i="4"/>
  <c r="AC15" i="4"/>
  <c r="AB15" i="4"/>
  <c r="AA15" i="4"/>
  <c r="Z15" i="4"/>
  <c r="AD14" i="4"/>
  <c r="AC14" i="4"/>
  <c r="AB14" i="4"/>
  <c r="AA14" i="4"/>
  <c r="Z14" i="4"/>
  <c r="AD13" i="4"/>
  <c r="AC13" i="4"/>
  <c r="AB13" i="4"/>
  <c r="AA13" i="4"/>
  <c r="Z13" i="4"/>
  <c r="AD12" i="4"/>
  <c r="AC12" i="4"/>
  <c r="AB12" i="4"/>
  <c r="AA12" i="4"/>
  <c r="Z12" i="4"/>
  <c r="AD11" i="4"/>
  <c r="AC11" i="4"/>
  <c r="AB11" i="4"/>
  <c r="AA11" i="4"/>
  <c r="Z11" i="4"/>
  <c r="AD10" i="4"/>
  <c r="AC10" i="4"/>
  <c r="AB10" i="4"/>
  <c r="AA10" i="4"/>
  <c r="Z10" i="4"/>
  <c r="AD9" i="4"/>
  <c r="AC9" i="4"/>
  <c r="AB9" i="4"/>
  <c r="AA9" i="4"/>
  <c r="Z9" i="4"/>
  <c r="AD8" i="4"/>
  <c r="AC8" i="4"/>
  <c r="AB8" i="4"/>
  <c r="AA8" i="4"/>
  <c r="Z8" i="4"/>
  <c r="AD7" i="4"/>
  <c r="AC7" i="4"/>
  <c r="AB7" i="4"/>
  <c r="AA7" i="4"/>
  <c r="Z7" i="4"/>
  <c r="AD6" i="4"/>
  <c r="AC6" i="4"/>
  <c r="AB6" i="4"/>
  <c r="AA6" i="4"/>
  <c r="Z6" i="4"/>
  <c r="AD5" i="4"/>
  <c r="AC5" i="4"/>
  <c r="AB5" i="4"/>
  <c r="AA5" i="4"/>
  <c r="Z5" i="4"/>
  <c r="AC4" i="4"/>
  <c r="AB4" i="4"/>
  <c r="AA4" i="4"/>
  <c r="Z4" i="4"/>
  <c r="AE3" i="4"/>
  <c r="AD3" i="4"/>
  <c r="AC3" i="4"/>
  <c r="AB3" i="4"/>
  <c r="AA3" i="4"/>
  <c r="Z3" i="4"/>
  <c r="K2" i="4"/>
  <c r="V34" i="2"/>
  <c r="U34" i="2"/>
  <c r="D34" i="2"/>
  <c r="C34" i="2"/>
  <c r="V33" i="2"/>
  <c r="U33" i="2"/>
  <c r="D33" i="2"/>
  <c r="C33" i="2"/>
  <c r="V32" i="2"/>
  <c r="U32" i="2"/>
  <c r="D32" i="2"/>
  <c r="C32" i="2"/>
  <c r="V31" i="2"/>
  <c r="U31" i="2"/>
  <c r="D31" i="2"/>
  <c r="C31" i="2"/>
  <c r="V30" i="2"/>
  <c r="U30" i="2"/>
  <c r="D30" i="2"/>
  <c r="C30" i="2"/>
  <c r="V29" i="2"/>
  <c r="U29" i="2"/>
  <c r="D29" i="2"/>
  <c r="C29" i="2"/>
  <c r="V28" i="2"/>
  <c r="U28" i="2"/>
  <c r="D28" i="2"/>
  <c r="C28" i="2"/>
  <c r="V27" i="2"/>
  <c r="U27" i="2"/>
  <c r="D27" i="2"/>
  <c r="C27" i="2"/>
  <c r="V26" i="2"/>
  <c r="U26" i="2"/>
  <c r="D26" i="2"/>
  <c r="C26" i="2"/>
  <c r="W25" i="2"/>
  <c r="V25" i="2"/>
  <c r="U25" i="2"/>
  <c r="F25" i="2"/>
  <c r="D25" i="2"/>
  <c r="C25" i="2"/>
  <c r="V24" i="2"/>
  <c r="U24" i="2"/>
  <c r="F24" i="2"/>
  <c r="D24" i="2"/>
  <c r="C24" i="2"/>
  <c r="W23" i="2"/>
  <c r="V23" i="2"/>
  <c r="U23" i="2"/>
  <c r="F23" i="2"/>
  <c r="D23" i="2"/>
  <c r="C23" i="2"/>
  <c r="V22" i="2"/>
  <c r="U22" i="2"/>
  <c r="D22" i="2"/>
  <c r="C22" i="2"/>
  <c r="W21" i="2"/>
  <c r="V21" i="2"/>
  <c r="U21" i="2"/>
  <c r="F21" i="2"/>
  <c r="D21" i="2"/>
  <c r="C21" i="2"/>
  <c r="V20" i="2"/>
  <c r="U20" i="2"/>
  <c r="E20" i="2"/>
  <c r="D20" i="2"/>
  <c r="C20" i="2"/>
  <c r="L17" i="2"/>
  <c r="H15" i="2"/>
  <c r="G32" i="2" s="1"/>
  <c r="H14" i="2"/>
  <c r="G31" i="2" s="1"/>
  <c r="M13" i="2"/>
  <c r="M12" i="2"/>
  <c r="H12" i="2"/>
  <c r="G29" i="2" s="1"/>
  <c r="M11" i="2"/>
  <c r="H11" i="2"/>
  <c r="G28" i="2" s="1"/>
  <c r="M10" i="2"/>
  <c r="M9" i="2"/>
  <c r="L9" i="2"/>
  <c r="M8" i="2"/>
  <c r="G8" i="2"/>
  <c r="H7" i="2"/>
  <c r="G24" i="2" s="1"/>
  <c r="L6" i="2"/>
  <c r="H6" i="2"/>
  <c r="G23" i="2" s="1"/>
  <c r="G6" i="2"/>
  <c r="H5" i="2"/>
  <c r="G22" i="2" s="1"/>
  <c r="G5" i="2"/>
  <c r="I28" i="1"/>
  <c r="I23" i="1"/>
  <c r="C19" i="1"/>
  <c r="G19" i="1"/>
  <c r="O39" i="1"/>
  <c r="G24" i="1"/>
  <c r="C24" i="1"/>
  <c r="G23" i="1"/>
  <c r="C23" i="1"/>
  <c r="G22" i="1"/>
  <c r="C22" i="1"/>
  <c r="G21" i="1"/>
  <c r="C21" i="1"/>
  <c r="G20" i="1"/>
  <c r="C20" i="1"/>
  <c r="G8" i="1"/>
  <c r="F8" i="1"/>
  <c r="E8" i="1"/>
  <c r="D8" i="1"/>
  <c r="C8" i="1"/>
  <c r="G6" i="1"/>
  <c r="F6" i="1"/>
  <c r="E6" i="1"/>
  <c r="D6" i="1"/>
  <c r="C6" i="1"/>
  <c r="G5" i="1"/>
  <c r="F5" i="1"/>
  <c r="E5" i="1"/>
  <c r="D5" i="1"/>
  <c r="C5" i="1"/>
  <c r="G4" i="1"/>
  <c r="F4" i="1"/>
  <c r="E4" i="1"/>
  <c r="D4" i="1"/>
  <c r="C4" i="1"/>
  <c r="AE74" i="4" l="1"/>
  <c r="AE4" i="4"/>
  <c r="AF78" i="4"/>
  <c r="U35" i="2"/>
  <c r="V35" i="2"/>
  <c r="E25" i="2" s="1"/>
  <c r="AG77" i="4"/>
  <c r="AG76" i="4"/>
  <c r="AG82" i="4" s="1"/>
  <c r="BA74" i="5"/>
  <c r="G75" i="5"/>
  <c r="AG81" i="4"/>
  <c r="AE24" i="4"/>
  <c r="AE27" i="4"/>
  <c r="AE36" i="4"/>
  <c r="AE39" i="4"/>
  <c r="AE48" i="4"/>
  <c r="Z77" i="4"/>
  <c r="AE72" i="4"/>
  <c r="AE11" i="4"/>
  <c r="AE64" i="4"/>
  <c r="AE7" i="4"/>
  <c r="AE16" i="4"/>
  <c r="AE19" i="4"/>
  <c r="AE8" i="4"/>
  <c r="AE35" i="4"/>
  <c r="AE52" i="4"/>
  <c r="AA77" i="4"/>
  <c r="AE20" i="4"/>
  <c r="AE23" i="4"/>
  <c r="AE32" i="4"/>
  <c r="AE40" i="4"/>
  <c r="AE43" i="4"/>
  <c r="AF82" i="4"/>
  <c r="AA80" i="4"/>
  <c r="AD76" i="4"/>
  <c r="AE60" i="4"/>
  <c r="AB79" i="4"/>
  <c r="AC79" i="4"/>
  <c r="AC80" i="4"/>
  <c r="AD79" i="4"/>
  <c r="AE68" i="4"/>
  <c r="AC77" i="4"/>
  <c r="AE12" i="4"/>
  <c r="AE15" i="4"/>
  <c r="AE28" i="4"/>
  <c r="AE31" i="4"/>
  <c r="AE44" i="4"/>
  <c r="AE47" i="4"/>
  <c r="AE56" i="4"/>
  <c r="Z76" i="4"/>
  <c r="AB77" i="4"/>
  <c r="Z80" i="4"/>
  <c r="AA76" i="4"/>
  <c r="AE22" i="4"/>
  <c r="AE38" i="4"/>
  <c r="AB76" i="4"/>
  <c r="AD77" i="4"/>
  <c r="Z79" i="4"/>
  <c r="AB80" i="4"/>
  <c r="AE14" i="4"/>
  <c r="AE18" i="4"/>
  <c r="AE26" i="4"/>
  <c r="AE34" i="4"/>
  <c r="AE50" i="4"/>
  <c r="AE66" i="4"/>
  <c r="AE5" i="4"/>
  <c r="AE9" i="4"/>
  <c r="AE13" i="4"/>
  <c r="AE17" i="4"/>
  <c r="AE21" i="4"/>
  <c r="AE25" i="4"/>
  <c r="AE29" i="4"/>
  <c r="AE33" i="4"/>
  <c r="AE37" i="4"/>
  <c r="AE41" i="4"/>
  <c r="AE45" i="4"/>
  <c r="AE49" i="4"/>
  <c r="AE53" i="4"/>
  <c r="AE57" i="4"/>
  <c r="AE61" i="4"/>
  <c r="AE65" i="4"/>
  <c r="AE69" i="4"/>
  <c r="AE73" i="4"/>
  <c r="AC76" i="4"/>
  <c r="AA79" i="4"/>
  <c r="AE6" i="4"/>
  <c r="AE10" i="4"/>
  <c r="AE30" i="4"/>
  <c r="AE54" i="4"/>
  <c r="AD80" i="4"/>
  <c r="AE55" i="4"/>
  <c r="AE59" i="4"/>
  <c r="AE63" i="4"/>
  <c r="AE67" i="4"/>
  <c r="AE71" i="4"/>
  <c r="AE75" i="4"/>
  <c r="AE42" i="4"/>
  <c r="AE46" i="4"/>
  <c r="AE58" i="4"/>
  <c r="AE62" i="4"/>
  <c r="AE70" i="4"/>
  <c r="M23" i="1"/>
  <c r="N23" i="1" s="1"/>
  <c r="M28" i="1"/>
  <c r="I24" i="1"/>
  <c r="I30" i="1"/>
  <c r="M30" i="1" s="1"/>
  <c r="D44" i="1" s="1"/>
  <c r="I22" i="1"/>
  <c r="I25" i="1"/>
  <c r="I21" i="1"/>
  <c r="M21" i="1" s="1"/>
  <c r="N21" i="1" s="1"/>
  <c r="I29" i="1"/>
  <c r="M29" i="1" s="1"/>
  <c r="N29" i="1" s="1"/>
  <c r="M20" i="1"/>
  <c r="D34" i="1" s="1"/>
  <c r="I26" i="1"/>
  <c r="I27" i="1"/>
  <c r="D42" i="1"/>
  <c r="D35" i="1" l="1"/>
  <c r="AG78" i="4"/>
  <c r="E29" i="2"/>
  <c r="E21" i="2"/>
  <c r="E24" i="2"/>
  <c r="E28" i="2"/>
  <c r="E22" i="2"/>
  <c r="E30" i="2"/>
  <c r="E26" i="2"/>
  <c r="AC81" i="4"/>
  <c r="AB78" i="4"/>
  <c r="AB81" i="4"/>
  <c r="AA82" i="4"/>
  <c r="AC82" i="4"/>
  <c r="Z78" i="4"/>
  <c r="AB82" i="4"/>
  <c r="AA78" i="4"/>
  <c r="Z82" i="4"/>
  <c r="AD82" i="4"/>
  <c r="AD78" i="4"/>
  <c r="AD81" i="4"/>
  <c r="AE79" i="4"/>
  <c r="AE80" i="4"/>
  <c r="AE76" i="4"/>
  <c r="AE77" i="4"/>
  <c r="AC78" i="4"/>
  <c r="AA81" i="4"/>
  <c r="Z81" i="4"/>
  <c r="M27" i="1"/>
  <c r="N27" i="1" s="1"/>
  <c r="M24" i="1"/>
  <c r="N24" i="1" s="1"/>
  <c r="N19" i="1" s="1"/>
  <c r="M19" i="1" s="1"/>
  <c r="M22" i="1"/>
  <c r="D36" i="1" s="1"/>
  <c r="N22" i="1"/>
  <c r="D43" i="1"/>
  <c r="N20" i="1"/>
  <c r="N28" i="1"/>
  <c r="N30" i="1"/>
  <c r="D40" i="1"/>
  <c r="N26" i="1"/>
  <c r="AE78" i="4" l="1"/>
  <c r="AE81" i="4"/>
  <c r="AE82" i="4"/>
  <c r="N25" i="1"/>
  <c r="M2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tc={F0471142-0A19-4FB2-A3F0-1FADDF6E6C1C}</author>
    <author>tc={A7C6B00C-0879-413E-A210-A71FBDAD0A04}</author>
    <author>tc={FB1A9F45-FDE7-4743-9D21-EB3F3174220C}</author>
    <author>tc={71C5FF11-72C6-46FD-B978-43ACF7864C1F}</author>
    <author>tc={AF0A307D-AB59-4C37-B056-871518652291}</author>
  </authors>
  <commentList>
    <comment ref="K18" authorId="0" shapeId="0" xr:uid="{F0471142-0A19-4FB2-A3F0-1FADDF6E6C1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how many liters of irrigation solution are to be prepared at this time.
</t>
      </text>
    </comment>
    <comment ref="M18" authorId="1" shapeId="0" xr:uid="{A7C6B00C-0879-413E-A210-A71FBDAD0A0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how many mililiters of each fertilizer are needed for the liters of solution to be prepared. Treatments 1 and 7  (with zero nitrogen) use the average K in the other treatments, therefore you need to input the "liters" of those treatments in the others to get the right "ml of fertilizer"</t>
      </text>
    </comment>
    <comment ref="Q33" authorId="2" shapeId="0" xr:uid="{FB1A9F45-FDE7-4743-9D21-EB3F3174220C}">
      <text>
        <t>[Threaded comment]
Your version of Excel allows you to read this threaded comment; however, any edits to it will get removed if the file is opened in a newer version of Excel. Learn more: https://go.microsoft.com/fwlink/?linkid=870924
Comment:
    Solutions from 1-6 whit 100L of water</t>
      </text>
    </comment>
    <comment ref="Q39" authorId="3" shapeId="0" xr:uid="{71C5FF11-72C6-46FD-B978-43ACF7864C1F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7-12 whit solutions in the tanks</t>
      </text>
    </comment>
    <comment ref="R40" authorId="4" shapeId="0" xr:uid="{AF0A307D-AB59-4C37-B056-871518652291}">
      <text>
        <t>[Threaded comment]
Your version of Excel allows you to read this threaded comment; however, any edits to it will get removed if the file is opened in a newer version of Excel. Learn more: https://go.microsoft.com/fwlink/?linkid=870924
Comment:
    Water meter stopped working, we calculated +25 liters above the 100 liter mark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tc={7A30EDD9-5AA8-481B-B66C-1C510618DF45}</author>
    <author>iael raij</author>
  </authors>
  <commentList>
    <comment ref="Q3" authorId="0" shapeId="0" xr:uid="{7A30EDD9-5AA8-481B-B66C-1C510618DF4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Converted</t>
      </text>
    </comment>
    <comment ref="G20" authorId="1" shapeId="0" xr:uid="{CFB8ABFC-91E8-4704-88F9-94DDAB0AD69F}">
      <text>
        <r>
          <rPr>
            <b/>
            <sz val="9"/>
            <color indexed="81"/>
            <rFont val="Tahoma"/>
            <family val="2"/>
          </rPr>
          <t>iael raij:</t>
        </r>
        <r>
          <rPr>
            <sz val="9"/>
            <color indexed="81"/>
            <rFont val="Tahoma"/>
            <family val="2"/>
          </rPr>
          <t xml:space="preserve">
with averaged NH4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tc={F518CDA5-88DF-4087-BA3C-73C88F4C5339}</author>
    <author>tc={EEF4D3B9-BBA8-442E-80BC-FDDE973C7C94}</author>
    <author>tc={9D4CCB4B-C8E3-42C9-BB92-4EFF605E3980}</author>
    <author>tc={8EB189BC-A740-4A6B-A0F0-03FC981C0712}</author>
    <author>tc={2AFFF851-6364-431D-A249-BC0D6269A2D5}</author>
    <author>tc={A56478ED-6D8D-4C00-8BEB-42289C958F40}</author>
    <author>tc={7A611CD0-FE35-42B5-8CC7-9C6DF35E0453}</author>
    <author>tc={898CAC5E-C7B5-4BE9-9340-33D33DDE4A32}</author>
    <author>tc={F8E915C8-00E8-4FCF-AEA1-A0359EBAD72B}</author>
    <author>tc={C221D0C3-246C-4FE1-87DE-62A07206ADE4}</author>
    <author>tc={3C6669E5-3113-4804-BCC8-F595C8E26F24}</author>
    <author>tc={ACBE49C6-6C15-4E42-B84B-FDF48AC9C55B}</author>
    <author>iael raij</author>
    <author>tc={AA903270-B52E-4CC9-B134-F4A0E8C638C6}</author>
    <author>tc={360F5CAF-17F5-4CD8-83BC-475DF327AB29}</author>
    <author>tc={7925CE22-7783-4E7D-910E-8110F647286D}</author>
    <author>tc={56505E30-6084-400C-9ED5-8F074144AFC0}</author>
    <author>tc={CAB4AF39-E280-4A6A-AAD6-5DE37A7F0BEE}</author>
    <author>tc={808EAE56-DC1D-4EC6-8E31-5CF9E6682A49}</author>
    <author>tc={786E5CC9-71E4-479A-A734-C5EC40E261DC}</author>
    <author>tc={441AF953-F1D2-4638-8545-5B031DEE8734}</author>
    <author>tc={54656DF5-1FED-4DB7-AF1A-55739E939BBC}</author>
    <author>tc={BF5D8851-DCE2-4E01-BD96-8C07E08671D4}</author>
    <author>tc={F46A40AE-AC69-4F43-B39E-37FB26EC4F59}</author>
  </authors>
  <commentList>
    <comment ref="R2" authorId="0" shapeId="0" xr:uid="{F518CDA5-88DF-4087-BA3C-73C88F4C533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45 mL</t>
      </text>
    </comment>
    <comment ref="S2" authorId="1" shapeId="0" xr:uid="{EEF4D3B9-BBA8-442E-80BC-FDDE973C7C94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45mL</t>
      </text>
    </comment>
    <comment ref="T2" authorId="2" shapeId="0" xr:uid="{9D4CCB4B-C8E3-42C9-BB92-4EFF605E398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45 mL</t>
      </text>
    </comment>
    <comment ref="U2" authorId="3" shapeId="0" xr:uid="{8EB189BC-A740-4A6B-A0F0-03FC981C071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45 ml
</t>
      </text>
    </comment>
    <comment ref="M3" authorId="4" shapeId="0" xr:uid="{2AFFF851-6364-431D-A249-BC0D6269A2D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45ml
</t>
      </text>
    </comment>
    <comment ref="N3" authorId="5" shapeId="0" xr:uid="{A56478ED-6D8D-4C00-8BEB-42289C958F4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45ml</t>
      </text>
    </comment>
    <comment ref="O3" authorId="6" shapeId="0" xr:uid="{7A611CD0-FE35-42B5-8CC7-9C6DF35E045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45ml
</t>
      </text>
    </comment>
    <comment ref="P3" authorId="7" shapeId="0" xr:uid="{898CAC5E-C7B5-4BE9-9340-33D33DDE4A3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45mL
</t>
      </text>
    </comment>
    <comment ref="Q3" authorId="8" shapeId="0" xr:uid="{F8E915C8-00E8-4FCF-AEA1-A0359EBAD72B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45 mL</t>
      </text>
    </comment>
    <comment ref="T3" authorId="9" shapeId="0" xr:uid="{C221D0C3-246C-4FE1-87DE-62A07206ADE4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The draiage was emptied on the 18h but the irrigation was emptied on the 17th
Reply:
    All the treatments but #5 didn't irrigate on  22nd by mistake.
Reply:
    @Iael Raij Hoffman  look into the actual irrigation for all treatments this week.</t>
      </text>
    </comment>
    <comment ref="U4" authorId="10" shapeId="0" xr:uid="{3C6669E5-3113-4804-BCC8-F595C8E26F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Too full
</t>
      </text>
    </comment>
    <comment ref="U6" authorId="11" shapeId="0" xr:uid="{ACBE49C6-6C15-4E42-B84B-FDF48AC9C5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Too full
</t>
      </text>
    </comment>
    <comment ref="G8" authorId="12" shapeId="0" xr:uid="{45135CAF-876E-45F3-8430-59D1EC56C1C5}">
      <text>
        <r>
          <rPr>
            <b/>
            <sz val="9"/>
            <color indexed="81"/>
            <rFont val="Tahoma"/>
            <family val="2"/>
          </rPr>
          <t>iael raij:</t>
        </r>
        <r>
          <rPr>
            <sz val="9"/>
            <color indexed="81"/>
            <rFont val="Tahoma"/>
            <family val="2"/>
          </rPr>
          <t xml:space="preserve">
water on top
</t>
        </r>
      </text>
    </comment>
    <comment ref="U8" authorId="13" shapeId="0" xr:uid="{AA903270-B52E-4CC9-B134-F4A0E8C638C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Too full
</t>
      </text>
    </comment>
    <comment ref="AD10" authorId="14" shapeId="0" xr:uid="{360F5CAF-17F5-4CD8-83BC-475DF327AB29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the dripper</t>
      </text>
    </comment>
    <comment ref="L11" authorId="15" shapeId="0" xr:uid="{7925CE22-7783-4E7D-910E-8110F647286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Issue </t>
      </text>
    </comment>
    <comment ref="M11" authorId="16" shapeId="0" xr:uid="{56505E30-6084-400C-9ED5-8F074144AFC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Dripper got disconnected during the week
</t>
      </text>
    </comment>
    <comment ref="U22" authorId="17" shapeId="0" xr:uid="{CAB4AF39-E280-4A6A-AAD6-5DE37A7F0B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Too full
</t>
      </text>
    </comment>
    <comment ref="U45" authorId="18" shapeId="0" xr:uid="{808EAE56-DC1D-4EC6-8E31-5CF9E6682A49}">
      <text>
        <t>[Threaded comment]
Your version of Excel allows you to read this threaded comment; however, any edits to it will get removed if the file is opened in a newer version of Excel. Learn more: https://go.microsoft.com/fwlink/?linkid=870924
Comment:
    spilling</t>
      </text>
    </comment>
    <comment ref="U47" authorId="19" shapeId="0" xr:uid="{786E5CC9-71E4-479A-A734-C5EC40E261D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Large plants
</t>
      </text>
    </comment>
    <comment ref="AE51" authorId="20" shapeId="0" xr:uid="{441AF953-F1D2-4638-8545-5B031DEE8734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the dripper</t>
      </text>
    </comment>
    <comment ref="AF51" authorId="21" shapeId="0" xr:uid="{54656DF5-1FED-4DB7-AF1A-55739E939BBC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the dripper</t>
      </text>
    </comment>
    <comment ref="M60" authorId="22" shapeId="0" xr:uid="{BF5D8851-DCE2-4E01-BD96-8C07E08671D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Dripper got disconnected during the week
</t>
      </text>
    </comment>
    <comment ref="U60" authorId="23" shapeId="0" xr:uid="{F46A40AE-AC69-4F43-B39E-37FB26EC4F5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Too full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tc={2AD61C66-379B-467B-869C-85E20E20F68C}</author>
    <author>tc={DE7E5781-53D3-4D16-90D8-3D1448894A67}</author>
    <author>tc={B05A27F9-5E74-44EC-860D-522D00DC1238}</author>
    <author>tc={8AC82D31-FAFD-4984-9EF7-79B01128CD70}</author>
    <author>tc={CE26CF7D-8B2A-422D-B44C-B081FB1012FD}</author>
    <author>tc={66E7360C-A5D5-4740-BBC1-00D74D85F48A}</author>
    <author>tc={049B9F35-0FF8-4F54-953A-F22461512315}</author>
    <author>tc={94EF524B-EE57-4DA5-B763-CD60F669F5CC}</author>
    <author>tc={0EC4A1EC-6615-4D8F-9D05-599C25CCE885}</author>
    <author>tc={B291E862-1782-4C5F-81AD-13FAD56E1F0E}</author>
    <author>tc={F15474AE-DF09-4DF8-9156-B30E8F8C7121}</author>
  </authors>
  <commentList>
    <comment ref="BK2" authorId="0" shapeId="0" xr:uid="{2AD61C66-379B-467B-869C-85E20E20F68C}">
      <text>
        <t>[Threaded comment]
Your version of Excel allows you to read this threaded comment; however, any edits to it will get removed if the file is opened in a newer version of Excel. Learn more: https://go.microsoft.com/fwlink/?linkid=870924
Comment:
    11 ml DI water + 11 ml sample</t>
      </text>
    </comment>
    <comment ref="BW3" authorId="1" shapeId="0" xr:uid="{DE7E5781-53D3-4D16-90D8-3D1448894A6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dilutions was with 2.75 mL
</t>
      </text>
    </comment>
    <comment ref="BW4" authorId="2" shapeId="0" xr:uid="{B05A27F9-5E74-44EC-860D-522D00DC12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dilutions was with 2.75 mL
</t>
      </text>
    </comment>
    <comment ref="BW7" authorId="3" shapeId="0" xr:uid="{8AC82D31-FAFD-4984-9EF7-79B01128CD7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 ml</t>
      </text>
    </comment>
    <comment ref="AL33" authorId="4" shapeId="0" xr:uid="{CE26CF7D-8B2A-422D-B44C-B081FB1012FD}">
      <text>
        <t>[Threaded comment]
Your version of Excel allows you to read this threaded comment; however, any edits to it will get removed if the file is opened in a newer version of Excel. Learn more: https://go.microsoft.com/fwlink/?linkid=870924
Comment:
    מעט מאוד מים</t>
      </text>
    </comment>
    <comment ref="S46" authorId="5" shapeId="0" xr:uid="{66E7360C-A5D5-4740-BBC1-00D74D85F48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water in the drainage bucket</t>
      </text>
    </comment>
    <comment ref="AL46" authorId="6" shapeId="0" xr:uid="{049B9F35-0FF8-4F54-953A-F2246151231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water in the drainage bucket
</t>
      </text>
    </comment>
    <comment ref="S52" authorId="7" shapeId="0" xr:uid="{94EF524B-EE57-4DA5-B763-CD60F669F5C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water in the drainage bucket</t>
      </text>
    </comment>
    <comment ref="AL52" authorId="8" shapeId="0" xr:uid="{0EC4A1EC-6615-4D8F-9D05-599C25CCE88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water in the drainage bucket</t>
      </text>
    </comment>
    <comment ref="S58" authorId="9" shapeId="0" xr:uid="{B291E862-1782-4C5F-81AD-13FAD56E1F0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water in the drainage bucket</t>
      </text>
    </comment>
    <comment ref="AL58" authorId="10" shapeId="0" xr:uid="{F15474AE-DF09-4DF8-9156-B30E8F8C712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water in the drainage bucket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tc={A8BB1ABF-C02B-4D55-9D31-480D8A919B3A}</author>
  </authors>
  <commentList>
    <comment ref="F1" authorId="0" shapeId="0" xr:uid="{A8BB1ABF-C02B-4D55-9D31-480D8A919B3A}">
      <text>
        <t>[Threaded comment]
Your version of Excel allows you to read this threaded comment; however, any edits to it will get removed if the file is opened in a newer version of Excel. Learn more: https://go.microsoft.com/fwlink/?linkid=870924
Comment:
    Without the weight of the cup (7 g)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<sst xmlns="http://schemas.openxmlformats.org/spreadsheetml/2006/main" count="355" uniqueCount="160">
  <si>
    <t>Total mineral N concentration (mg/l)</t>
  </si>
  <si>
    <t>N treatment</t>
  </si>
  <si>
    <t>N level %</t>
  </si>
  <si>
    <t>Seeding - 3 leaves</t>
  </si>
  <si>
    <t>3-6 leaves</t>
  </si>
  <si>
    <t>6 leaves until end of Veg grow</t>
  </si>
  <si>
    <t>onion until 30% drop</t>
  </si>
  <si>
    <t>100% drop until harvest</t>
  </si>
  <si>
    <t>Tap water (dS/m)</t>
  </si>
  <si>
    <t>ppm total N</t>
  </si>
  <si>
    <t>previous information regarding the fertilizer</t>
  </si>
  <si>
    <t>total N %</t>
  </si>
  <si>
    <t>ppm fertilizer</t>
  </si>
  <si>
    <t>n-no3</t>
  </si>
  <si>
    <t>n-nh4</t>
  </si>
  <si>
    <t>אשלגן</t>
  </si>
  <si>
    <t>total N mg\l</t>
  </si>
  <si>
    <t>total N measured 8/2023</t>
  </si>
  <si>
    <t>totalN+water</t>
  </si>
  <si>
    <t>treatment</t>
  </si>
  <si>
    <t>liter irrigation</t>
  </si>
  <si>
    <t>Required mg N in total irrigation</t>
  </si>
  <si>
    <t>ml fertilizer / treatment</t>
  </si>
  <si>
    <t>K</t>
  </si>
  <si>
    <t>added fertilizer in ml</t>
  </si>
  <si>
    <t>Treatment</t>
  </si>
  <si>
    <t>6/11 - missing data</t>
  </si>
  <si>
    <t>Liters pf solution prepared</t>
  </si>
  <si>
    <t>150 liter</t>
  </si>
  <si>
    <t>50 lilter</t>
  </si>
  <si>
    <t>50 liter</t>
  </si>
  <si>
    <t>no3 to N-No3</t>
  </si>
  <si>
    <t>N-NO3 mg/l</t>
  </si>
  <si>
    <t>N-NH4 mg/l</t>
  </si>
  <si>
    <t>from the tanks 19.10.23</t>
  </si>
  <si>
    <t>lab</t>
  </si>
  <si>
    <t>rqfx</t>
  </si>
  <si>
    <t>rqflx</t>
  </si>
  <si>
    <t>lab from the tanks</t>
  </si>
  <si>
    <t>rqflx from the tanks</t>
  </si>
  <si>
    <t>rqflx-new solutions</t>
  </si>
  <si>
    <t>rqflx N-NH4</t>
  </si>
  <si>
    <t>K mg/l</t>
  </si>
  <si>
    <t>P mg/l</t>
  </si>
  <si>
    <t>TREATMENT</t>
  </si>
  <si>
    <t>שם דוגמה</t>
  </si>
  <si>
    <t>N-NH4 מ"ג/ל'</t>
  </si>
  <si>
    <t>irigation buckets</t>
  </si>
  <si>
    <t>&lt;3.9</t>
  </si>
  <si>
    <t>&gt;52</t>
  </si>
  <si>
    <t>KAV09</t>
  </si>
  <si>
    <t>KAV4</t>
  </si>
  <si>
    <t>TOTAL N (mg/l)</t>
  </si>
  <si>
    <t>Ratio N-NO3 of total N</t>
  </si>
  <si>
    <t>target initial</t>
  </si>
  <si>
    <t>target from 6/11</t>
  </si>
  <si>
    <t>target from 28/11</t>
  </si>
  <si>
    <t>target N concentrations in mg/l</t>
  </si>
  <si>
    <t>from the tanks</t>
  </si>
  <si>
    <t>EC</t>
  </si>
  <si>
    <t>kav 4</t>
  </si>
  <si>
    <t>kav 0.9</t>
  </si>
  <si>
    <t>SO4 mg/l</t>
  </si>
  <si>
    <t>Mg mg/l</t>
  </si>
  <si>
    <t>Ca mg/l</t>
  </si>
  <si>
    <t>Na mg/l</t>
  </si>
  <si>
    <t>Cl mg/l</t>
  </si>
  <si>
    <t>EC ds/m</t>
  </si>
  <si>
    <t>sample name</t>
  </si>
  <si>
    <t xml:space="preserve">date </t>
  </si>
  <si>
    <t>18.10.23</t>
  </si>
  <si>
    <t>31.10.23</t>
  </si>
  <si>
    <t>קו 4</t>
  </si>
  <si>
    <t>tara drainagwew</t>
  </si>
  <si>
    <t>drainage and irrigation</t>
  </si>
  <si>
    <t xml:space="preserve"> net weight (drainage and irrigation in ml/day)</t>
  </si>
  <si>
    <t>tara irrigation</t>
  </si>
  <si>
    <t>date emptied</t>
  </si>
  <si>
    <t>on the previous day the drainage was emptied right after the irrigation ended. So we collected two days of draiange with one irrigation event.</t>
  </si>
  <si>
    <t>on the previous day the drainage was emptied right after the irrigation ended. So we collected three days of draiange with two irrigation event.</t>
  </si>
  <si>
    <t>There was no irrigation on 19/10</t>
  </si>
  <si>
    <t>N level</t>
  </si>
  <si>
    <t>drain or irr</t>
  </si>
  <si>
    <t>Bucket #</t>
  </si>
  <si>
    <t>d</t>
  </si>
  <si>
    <t>i</t>
  </si>
  <si>
    <t xml:space="preserve"> </t>
  </si>
  <si>
    <t>mean drain</t>
  </si>
  <si>
    <t>stdev</t>
  </si>
  <si>
    <t>CV %</t>
  </si>
  <si>
    <t>mean irr</t>
  </si>
  <si>
    <t>Mean ET</t>
  </si>
  <si>
    <t>drainage map 20/9</t>
  </si>
  <si>
    <t>bucket numbers</t>
  </si>
  <si>
    <t>NO3 rqflx</t>
  </si>
  <si>
    <t>EC dS/m</t>
  </si>
  <si>
    <t>N-NO3</t>
  </si>
  <si>
    <t>N-NH4</t>
  </si>
  <si>
    <t>NO3 RQFLX with dilutions</t>
  </si>
  <si>
    <t>Ratio N-NO3 to total N</t>
  </si>
  <si>
    <t>dilution*11ml</t>
  </si>
  <si>
    <t>dilution 9mL</t>
  </si>
  <si>
    <t>dilution mL</t>
  </si>
  <si>
    <t>&gt;230</t>
  </si>
  <si>
    <t>diluted</t>
  </si>
  <si>
    <t xml:space="preserve">     </t>
  </si>
  <si>
    <t>---</t>
  </si>
  <si>
    <t>----</t>
  </si>
  <si>
    <t>diluted**</t>
  </si>
  <si>
    <t xml:space="preserve">  </t>
  </si>
  <si>
    <t>-----</t>
  </si>
  <si>
    <t>--------</t>
  </si>
  <si>
    <t>------</t>
  </si>
  <si>
    <t>Bucket</t>
  </si>
  <si>
    <t>discharge_liters_hours</t>
  </si>
  <si>
    <t>sec</t>
  </si>
  <si>
    <t>ml</t>
  </si>
  <si>
    <t>irrigation_litros_dia</t>
  </si>
  <si>
    <t>Measured average discharge 12/12</t>
  </si>
  <si>
    <t>min</t>
  </si>
  <si>
    <t>max</t>
  </si>
  <si>
    <t>started irrigating soil with N and EC solutions</t>
  </si>
  <si>
    <t>seeding - 12 seeds per bucket</t>
  </si>
  <si>
    <t>sprouting</t>
  </si>
  <si>
    <t>additional seeding where plants are missing</t>
  </si>
  <si>
    <t>thining</t>
  </si>
  <si>
    <t xml:space="preserve">more thining </t>
  </si>
  <si>
    <t>plants reach 3 leaves</t>
  </si>
  <si>
    <t>tran splant</t>
  </si>
  <si>
    <t>notes on buckets in greenhouse</t>
  </si>
  <si>
    <t>Replanting</t>
  </si>
  <si>
    <t>Buckets were homogenized (5 plants per buckets)</t>
  </si>
  <si>
    <t>6 leaves</t>
  </si>
  <si>
    <t>end of vegetative grow</t>
  </si>
  <si>
    <t>30% drop</t>
  </si>
  <si>
    <t>100% drop</t>
  </si>
  <si>
    <t>harvest</t>
  </si>
  <si>
    <t>ID</t>
  </si>
  <si>
    <t>ROW</t>
  </si>
  <si>
    <t>COLUMN</t>
  </si>
  <si>
    <t>REP</t>
  </si>
  <si>
    <t>BUCKET#</t>
  </si>
  <si>
    <t>Layout - treatment #</t>
  </si>
  <si>
    <t>Each rectangle is a table</t>
  </si>
  <si>
    <t>Option A</t>
  </si>
  <si>
    <t>Treatment number</t>
  </si>
  <si>
    <t>irrigation buckets</t>
  </si>
  <si>
    <t>F</t>
  </si>
  <si>
    <t>E</t>
  </si>
  <si>
    <t>D</t>
  </si>
  <si>
    <t>C</t>
  </si>
  <si>
    <t>B</t>
  </si>
  <si>
    <t>A</t>
  </si>
  <si>
    <t>Bucket number</t>
  </si>
  <si>
    <t>Treatments</t>
  </si>
  <si>
    <t>EC=0.9 dS/m</t>
  </si>
  <si>
    <t>EC= 4 dS/m</t>
  </si>
  <si>
    <t>too full</t>
  </si>
  <si>
    <t>dilution 9ml</t>
  </si>
  <si>
    <t>rfqflx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</si>
</sst>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Arial"/>
      <family val="2"/>
      <scheme val="minor"/>
    </font>
    <font>
      <sz val="11"/>
      <name val="Arial"/>
      <family val="2"/>
      <charset val="177"/>
      <scheme val="minor"/>
    </font>
    <font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8"/>
      <color theme="1"/>
      <name val="Arial"/>
      <family val="2"/>
      <charset val="177"/>
      <scheme val="minor"/>
    </font>
    <font>
      <b/>
      <sz val="18"/>
      <color theme="1"/>
      <name val="Arial"/>
      <family val="2"/>
      <charset val="177"/>
      <scheme val="minor"/>
    </font>
    <font>
      <b/>
      <sz val="12"/>
      <color theme="1"/>
      <name val="Arial"/>
      <family val="2"/>
      <charset val="177"/>
      <scheme val="minor"/>
    </font>
    <font>
      <sz val="11"/>
      <color theme="4" tint="-0.249977111117893"/>
      <name val="Arial"/>
      <family val="2"/>
      <charset val="177"/>
      <scheme val="minor"/>
    </font>
    <font>
      <b/>
      <sz val="12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darkUp">
        <fgColor theme="0"/>
        <bgColor rgb="FFFFC000"/>
      </patternFill>
    </fill>
    <fill>
      <patternFill patternType="darkUp">
        <fgColor theme="0"/>
        <bgColor rgb="FF00B050"/>
      </patternFill>
    </fill>
    <fill>
      <patternFill patternType="darkUp">
        <fgColor theme="0"/>
        <bgColor rgb="FFCC0099"/>
      </patternFill>
    </fill>
    <fill>
      <patternFill patternType="solid">
        <fgColor rgb="FF00B050"/>
        <bgColor indexed="64"/>
      </patternFill>
    </fill>
    <fill>
      <patternFill patternType="solid">
        <fgColor rgb="FFCC0099"/>
        <bgColor indexed="64"/>
      </patternFill>
    </fill>
    <fill>
      <patternFill patternType="darkUp">
        <fgColor theme="0"/>
        <bgColor rgb="FFFF0000"/>
      </patternFill>
    </fill>
    <fill>
      <patternFill patternType="darkUp">
        <fgColor theme="0"/>
        <bgColor rgb="FFFFFF00"/>
      </patternFill>
    </fill>
    <fill>
      <patternFill patternType="solid">
        <fgColor rgb="FFFFC000"/>
        <bgColor indexed="64"/>
      </patternFill>
    </fill>
    <fill>
      <patternFill patternType="darkUp">
        <fgColor theme="0"/>
        <bgColor rgb="FF0070C0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/>
  </cellStyleXfs>
  <cellXfs count="266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3" borderId="0" xfId="0" applyFill="1"/>
    <xf numFmtId="1" fontId="0" fillId="0" borderId="0" xfId="0" applyNumberFormat="1"/>
    <xf numFmtId="0" fontId="6" fillId="0" borderId="1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8" fillId="0" borderId="3" xfId="0" applyFont="1" applyBorder="1" applyAlignment="1">
      <alignment wrapText="1"/>
    </xf>
    <xf numFmtId="1" fontId="0" fillId="2" borderId="0" xfId="0" applyNumberFormat="1" applyFill="1"/>
    <xf numFmtId="0" fontId="0" fillId="4" borderId="0" xfId="0" applyFill="1" applyAlignment="1">
      <alignment horizontal="center"/>
    </xf>
    <xf numFmtId="16" fontId="0" fillId="0" borderId="0" xfId="0" applyNumberFormat="1"/>
    <xf numFmtId="0" fontId="0" fillId="5" borderId="0" xfId="0" applyFill="1"/>
    <xf numFmtId="0" fontId="9" fillId="0" borderId="3" xfId="0" applyFont="1" applyBorder="1" applyAlignment="1">
      <alignment wrapText="1"/>
    </xf>
    <xf numFmtId="0" fontId="9" fillId="0" borderId="3" xfId="0" applyFont="1" applyBorder="1" applyAlignment="1">
      <alignment horizontal="right" wrapText="1"/>
    </xf>
    <xf numFmtId="0" fontId="0" fillId="6" borderId="0" xfId="0" applyFill="1"/>
    <xf numFmtId="14" fontId="0" fillId="0" borderId="0" xfId="0" applyNumberFormat="1"/>
    <xf numFmtId="14" fontId="9" fillId="0" borderId="3" xfId="0" applyNumberFormat="1" applyFont="1" applyBorder="1" applyAlignment="1">
      <alignment wrapText="1"/>
    </xf>
    <xf numFmtId="2" fontId="0" fillId="0" borderId="0" xfId="0" applyNumberFormat="1"/>
    <xf numFmtId="0" fontId="5" fillId="2" borderId="0" xfId="1" applyFill="1" applyAlignment="1">
      <alignment horizontal="center"/>
    </xf>
    <xf numFmtId="0" fontId="5" fillId="8" borderId="0" xfId="1" applyFill="1" applyAlignment="1">
      <alignment horizontal="center"/>
    </xf>
    <xf numFmtId="0" fontId="10" fillId="0" borderId="5" xfId="0" applyFont="1" applyBorder="1" applyAlignment="1">
      <alignment horizontal="center" vertical="center" wrapText="1"/>
    </xf>
    <xf numFmtId="0" fontId="5" fillId="0" borderId="0" xfId="1"/>
    <xf numFmtId="0" fontId="10" fillId="0" borderId="2" xfId="0" applyFont="1" applyBorder="1" applyAlignment="1">
      <alignment horizontal="center" wrapText="1"/>
    </xf>
    <xf numFmtId="0" fontId="11" fillId="0" borderId="0" xfId="0" applyFont="1"/>
    <xf numFmtId="0" fontId="12" fillId="0" borderId="3" xfId="0" applyFont="1" applyBorder="1" applyAlignment="1">
      <alignment wrapText="1"/>
    </xf>
    <xf numFmtId="0" fontId="10" fillId="0" borderId="5" xfId="0" applyFont="1" applyBorder="1" applyAlignment="1">
      <alignment horizontal="center" wrapText="1"/>
    </xf>
    <xf numFmtId="0" fontId="10" fillId="2" borderId="6" xfId="0" applyFont="1" applyFill="1" applyBorder="1" applyAlignment="1">
      <alignment horizontal="center" wrapText="1"/>
    </xf>
    <xf numFmtId="0" fontId="0" fillId="9" borderId="0" xfId="0" applyFill="1"/>
    <xf numFmtId="0" fontId="13" fillId="0" borderId="6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1" fontId="11" fillId="0" borderId="0" xfId="0" applyNumberFormat="1" applyFont="1"/>
    <xf numFmtId="0" fontId="12" fillId="0" borderId="3" xfId="0" applyFont="1" applyBorder="1" applyAlignment="1">
      <alignment horizontal="right" wrapText="1"/>
    </xf>
    <xf numFmtId="0" fontId="0" fillId="0" borderId="1" xfId="0" applyBorder="1" applyAlignment="1">
      <alignment horizontal="center"/>
    </xf>
    <xf numFmtId="1" fontId="11" fillId="0" borderId="7" xfId="0" applyNumberFormat="1" applyFont="1" applyBorder="1"/>
    <xf numFmtId="0" fontId="13" fillId="2" borderId="6" xfId="0" applyFont="1" applyFill="1" applyBorder="1" applyAlignment="1">
      <alignment horizontal="center" wrapText="1"/>
    </xf>
    <xf numFmtId="0" fontId="0" fillId="0" borderId="7" xfId="0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4" fillId="15" borderId="0" xfId="0" applyFont="1" applyFill="1"/>
    <xf numFmtId="0" fontId="11" fillId="0" borderId="1" xfId="0" applyFont="1" applyBorder="1" applyAlignment="1">
      <alignment horizontal="center"/>
    </xf>
    <xf numFmtId="16" fontId="0" fillId="4" borderId="0" xfId="0" applyNumberFormat="1" applyFill="1" applyAlignment="1">
      <alignment horizontal="center"/>
    </xf>
    <xf numFmtId="0" fontId="16" fillId="9" borderId="0" xfId="0" applyFont="1" applyFill="1" applyAlignment="1">
      <alignment horizontal="center"/>
    </xf>
    <xf numFmtId="1" fontId="0" fillId="9" borderId="0" xfId="0" applyNumberFormat="1" applyFill="1"/>
    <xf numFmtId="0" fontId="16" fillId="0" borderId="0" xfId="0" applyFont="1" applyAlignment="1">
      <alignment horizontal="center"/>
    </xf>
    <xf numFmtId="0" fontId="0" fillId="16" borderId="0" xfId="0" applyFill="1"/>
    <xf numFmtId="1" fontId="0" fillId="16" borderId="0" xfId="0" applyNumberFormat="1" applyFill="1"/>
    <xf numFmtId="0" fontId="17" fillId="6" borderId="1" xfId="0" applyFont="1" applyFill="1" applyBorder="1" applyAlignment="1">
      <alignment horizontal="center"/>
    </xf>
    <xf numFmtId="1" fontId="0" fillId="6" borderId="0" xfId="0" applyNumberFormat="1" applyFill="1"/>
    <xf numFmtId="0" fontId="16" fillId="0" borderId="7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2" borderId="7" xfId="0" applyFill="1" applyBorder="1"/>
    <xf numFmtId="0" fontId="0" fillId="2" borderId="12" xfId="0" applyFill="1" applyBorder="1"/>
    <xf numFmtId="0" fontId="0" fillId="0" borderId="13" xfId="0" applyBorder="1"/>
    <xf numFmtId="0" fontId="0" fillId="2" borderId="14" xfId="0" applyFill="1" applyBorder="1"/>
    <xf numFmtId="0" fontId="0" fillId="0" borderId="10" xfId="0" applyBorder="1"/>
    <xf numFmtId="0" fontId="0" fillId="0" borderId="12" xfId="0" applyBorder="1"/>
    <xf numFmtId="0" fontId="0" fillId="6" borderId="7" xfId="0" applyFill="1" applyBorder="1"/>
    <xf numFmtId="0" fontId="16" fillId="0" borderId="11" xfId="0" applyFont="1" applyBorder="1" applyAlignment="1">
      <alignment horizontal="center" vertical="center"/>
    </xf>
    <xf numFmtId="0" fontId="16" fillId="17" borderId="11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16" fillId="18" borderId="7" xfId="0" applyFont="1" applyFill="1" applyBorder="1" applyAlignment="1">
      <alignment horizontal="center" vertical="center"/>
    </xf>
    <xf numFmtId="0" fontId="18" fillId="0" borderId="0" xfId="0" applyFont="1"/>
    <xf numFmtId="0" fontId="16" fillId="19" borderId="7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8" fillId="20" borderId="9" xfId="0" applyFont="1" applyFill="1" applyBorder="1" applyAlignment="1">
      <alignment horizontal="center" vertical="center"/>
    </xf>
    <xf numFmtId="0" fontId="18" fillId="18" borderId="9" xfId="0" applyFont="1" applyFill="1" applyBorder="1" applyAlignment="1">
      <alignment horizontal="center" vertical="center"/>
    </xf>
    <xf numFmtId="0" fontId="18" fillId="21" borderId="9" xfId="0" applyFont="1" applyFill="1" applyBorder="1" applyAlignment="1">
      <alignment horizontal="center" vertical="center"/>
    </xf>
    <xf numFmtId="0" fontId="18" fillId="22" borderId="9" xfId="0" applyFont="1" applyFill="1" applyBorder="1" applyAlignment="1">
      <alignment horizontal="center" vertical="center"/>
    </xf>
    <xf numFmtId="0" fontId="18" fillId="23" borderId="10" xfId="0" applyFont="1" applyFill="1" applyBorder="1" applyAlignment="1">
      <alignment horizontal="center" vertical="center"/>
    </xf>
    <xf numFmtId="0" fontId="18" fillId="24" borderId="9" xfId="0" applyFont="1" applyFill="1" applyBorder="1" applyAlignment="1">
      <alignment horizontal="center" vertical="center"/>
    </xf>
    <xf numFmtId="0" fontId="18" fillId="25" borderId="9" xfId="0" applyFont="1" applyFill="1" applyBorder="1" applyAlignment="1">
      <alignment horizontal="center" vertical="center"/>
    </xf>
    <xf numFmtId="0" fontId="18" fillId="26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0" fontId="16" fillId="21" borderId="7" xfId="0" applyFont="1" applyFill="1" applyBorder="1" applyAlignment="1">
      <alignment horizontal="center" vertical="center"/>
    </xf>
    <xf numFmtId="0" fontId="18" fillId="17" borderId="11" xfId="0" applyFont="1" applyFill="1" applyBorder="1" applyAlignment="1">
      <alignment horizontal="center" vertical="center"/>
    </xf>
    <xf numFmtId="0" fontId="18" fillId="25" borderId="7" xfId="0" applyFont="1" applyFill="1" applyBorder="1" applyAlignment="1">
      <alignment horizontal="center" vertical="center"/>
    </xf>
    <xf numFmtId="0" fontId="18" fillId="24" borderId="7" xfId="0" applyFont="1" applyFill="1" applyBorder="1" applyAlignment="1">
      <alignment horizontal="center" vertical="center"/>
    </xf>
    <xf numFmtId="0" fontId="18" fillId="19" borderId="7" xfId="0" applyFont="1" applyFill="1" applyBorder="1" applyAlignment="1">
      <alignment horizontal="center" vertical="center"/>
    </xf>
    <xf numFmtId="0" fontId="18" fillId="27" borderId="7" xfId="0" applyFont="1" applyFill="1" applyBorder="1" applyAlignment="1">
      <alignment horizontal="center" vertical="center"/>
    </xf>
    <xf numFmtId="0" fontId="18" fillId="26" borderId="12" xfId="0" applyFont="1" applyFill="1" applyBorder="1" applyAlignment="1">
      <alignment horizontal="center" vertical="center"/>
    </xf>
    <xf numFmtId="0" fontId="18" fillId="17" borderId="7" xfId="0" applyFont="1" applyFill="1" applyBorder="1" applyAlignment="1">
      <alignment horizontal="center" vertical="center"/>
    </xf>
    <xf numFmtId="0" fontId="18" fillId="22" borderId="7" xfId="0" applyFont="1" applyFill="1" applyBorder="1" applyAlignment="1">
      <alignment horizontal="center" vertical="center"/>
    </xf>
    <xf numFmtId="0" fontId="18" fillId="21" borderId="7" xfId="0" applyFont="1" applyFill="1" applyBorder="1" applyAlignment="1">
      <alignment horizontal="center" vertical="center"/>
    </xf>
    <xf numFmtId="0" fontId="19" fillId="27" borderId="11" xfId="0" applyFont="1" applyFill="1" applyBorder="1" applyAlignment="1">
      <alignment horizontal="center" vertical="center"/>
    </xf>
    <xf numFmtId="0" fontId="19" fillId="23" borderId="12" xfId="0" applyFont="1" applyFill="1" applyBorder="1" applyAlignment="1">
      <alignment horizontal="center" vertical="center"/>
    </xf>
    <xf numFmtId="0" fontId="16" fillId="20" borderId="7" xfId="0" applyFont="1" applyFill="1" applyBorder="1" applyAlignment="1">
      <alignment horizontal="center" vertical="center"/>
    </xf>
    <xf numFmtId="0" fontId="18" fillId="23" borderId="13" xfId="0" applyFont="1" applyFill="1" applyBorder="1" applyAlignment="1">
      <alignment horizontal="center" vertical="center"/>
    </xf>
    <xf numFmtId="0" fontId="18" fillId="17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4" borderId="0" xfId="0" applyFont="1" applyFill="1" applyAlignment="1">
      <alignment horizontal="center" vertical="center"/>
    </xf>
    <xf numFmtId="0" fontId="18" fillId="25" borderId="0" xfId="0" applyFont="1" applyFill="1" applyAlignment="1">
      <alignment horizontal="center" vertical="center"/>
    </xf>
    <xf numFmtId="0" fontId="18" fillId="27" borderId="14" xfId="0" applyFont="1" applyFill="1" applyBorder="1" applyAlignment="1">
      <alignment horizontal="center" vertical="center"/>
    </xf>
    <xf numFmtId="0" fontId="18" fillId="24" borderId="8" xfId="0" applyFont="1" applyFill="1" applyBorder="1" applyAlignment="1">
      <alignment horizontal="center" vertical="center"/>
    </xf>
    <xf numFmtId="0" fontId="18" fillId="19" borderId="9" xfId="0" applyFont="1" applyFill="1" applyBorder="1" applyAlignment="1">
      <alignment horizontal="center" vertical="center"/>
    </xf>
    <xf numFmtId="0" fontId="18" fillId="27" borderId="9" xfId="0" applyFont="1" applyFill="1" applyBorder="1" applyAlignment="1">
      <alignment horizontal="center" vertical="center"/>
    </xf>
    <xf numFmtId="0" fontId="19" fillId="17" borderId="8" xfId="0" applyFont="1" applyFill="1" applyBorder="1" applyAlignment="1">
      <alignment horizontal="center" vertical="center"/>
    </xf>
    <xf numFmtId="0" fontId="19" fillId="22" borderId="10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22" borderId="12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/>
    </xf>
    <xf numFmtId="0" fontId="18" fillId="26" borderId="11" xfId="0" applyFont="1" applyFill="1" applyBorder="1" applyAlignment="1">
      <alignment horizontal="center" vertical="center"/>
    </xf>
    <xf numFmtId="0" fontId="18" fillId="20" borderId="7" xfId="0" applyFont="1" applyFill="1" applyBorder="1" applyAlignment="1">
      <alignment horizontal="center" vertical="center"/>
    </xf>
    <xf numFmtId="0" fontId="18" fillId="18" borderId="7" xfId="0" applyFont="1" applyFill="1" applyBorder="1" applyAlignment="1">
      <alignment horizontal="center" vertical="center"/>
    </xf>
    <xf numFmtId="0" fontId="18" fillId="19" borderId="12" xfId="0" applyFont="1" applyFill="1" applyBorder="1" applyAlignment="1">
      <alignment horizontal="center" vertical="center"/>
    </xf>
    <xf numFmtId="0" fontId="18" fillId="23" borderId="11" xfId="0" applyFont="1" applyFill="1" applyBorder="1" applyAlignment="1">
      <alignment horizontal="center" vertical="center"/>
    </xf>
    <xf numFmtId="0" fontId="18" fillId="26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9" fillId="25" borderId="11" xfId="0" applyFont="1" applyFill="1" applyBorder="1" applyAlignment="1">
      <alignment horizontal="center" vertical="center"/>
    </xf>
    <xf numFmtId="0" fontId="19" fillId="18" borderId="12" xfId="0" applyFont="1" applyFill="1" applyBorder="1" applyAlignment="1">
      <alignment horizontal="center" vertical="center"/>
    </xf>
    <xf numFmtId="0" fontId="16" fillId="27" borderId="11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23" borderId="9" xfId="0" applyFont="1" applyFill="1" applyBorder="1" applyAlignment="1">
      <alignment horizontal="center" vertical="center"/>
    </xf>
    <xf numFmtId="0" fontId="18" fillId="26" borderId="10" xfId="0" applyFont="1" applyFill="1" applyBorder="1" applyAlignment="1">
      <alignment horizontal="center" vertical="center"/>
    </xf>
    <xf numFmtId="0" fontId="18" fillId="20" borderId="8" xfId="0" applyFont="1" applyFill="1" applyBorder="1" applyAlignment="1">
      <alignment horizontal="center" vertical="center"/>
    </xf>
    <xf numFmtId="0" fontId="19" fillId="26" borderId="8" xfId="0" applyFont="1" applyFill="1" applyBorder="1" applyAlignment="1">
      <alignment horizontal="center" vertical="center"/>
    </xf>
    <xf numFmtId="0" fontId="19" fillId="24" borderId="10" xfId="0" applyFont="1" applyFill="1" applyBorder="1" applyAlignment="1">
      <alignment horizontal="center" vertical="center"/>
    </xf>
    <xf numFmtId="0" fontId="16" fillId="23" borderId="7" xfId="0" applyFont="1" applyFill="1" applyBorder="1" applyAlignment="1">
      <alignment horizontal="center" vertical="center"/>
    </xf>
    <xf numFmtId="0" fontId="18" fillId="22" borderId="12" xfId="0" applyFont="1" applyFill="1" applyBorder="1" applyAlignment="1">
      <alignment horizontal="center" vertical="center"/>
    </xf>
    <xf numFmtId="0" fontId="18" fillId="27" borderId="11" xfId="0" applyFont="1" applyFill="1" applyBorder="1" applyAlignment="1">
      <alignment horizontal="center" vertical="center"/>
    </xf>
    <xf numFmtId="0" fontId="18" fillId="23" borderId="7" xfId="0" applyFont="1" applyFill="1" applyBorder="1" applyAlignment="1">
      <alignment horizontal="center" vertical="center"/>
    </xf>
    <xf numFmtId="0" fontId="19" fillId="19" borderId="11" xfId="0" applyFont="1" applyFill="1" applyBorder="1" applyAlignment="1">
      <alignment horizontal="center" vertical="center"/>
    </xf>
    <xf numFmtId="0" fontId="19" fillId="21" borderId="12" xfId="0" applyFont="1" applyFill="1" applyBorder="1" applyAlignment="1">
      <alignment horizontal="center" vertical="center"/>
    </xf>
    <xf numFmtId="0" fontId="16" fillId="17" borderId="7" xfId="0" applyFont="1" applyFill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19" borderId="11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/>
    </xf>
    <xf numFmtId="0" fontId="20" fillId="0" borderId="12" xfId="0" applyFont="1" applyBorder="1" applyAlignment="1">
      <alignment horizontal="center" vertical="center"/>
    </xf>
    <xf numFmtId="0" fontId="20" fillId="21" borderId="12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/>
    </xf>
    <xf numFmtId="0" fontId="16" fillId="0" borderId="8" xfId="0" applyFont="1" applyBorder="1" applyAlignment="1">
      <alignment horizontal="center" vertical="center"/>
    </xf>
    <xf numFmtId="0" fontId="20" fillId="24" borderId="8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/>
    </xf>
    <xf numFmtId="0" fontId="16" fillId="0" borderId="9" xfId="0" applyFont="1" applyBorder="1" applyAlignment="1">
      <alignment horizontal="center" vertical="center"/>
    </xf>
    <xf numFmtId="0" fontId="20" fillId="26" borderId="9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center" vertical="center"/>
    </xf>
    <xf numFmtId="0" fontId="16" fillId="0" borderId="9" xfId="0" applyFont="1" applyBorder="1" applyAlignment="1">
      <alignment horizontal="center"/>
    </xf>
    <xf numFmtId="0" fontId="16" fillId="22" borderId="9" xfId="0" applyFont="1" applyFill="1" applyBorder="1" applyAlignment="1">
      <alignment horizontal="center" vertical="center"/>
    </xf>
    <xf numFmtId="0" fontId="16" fillId="25" borderId="9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20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7" fillId="0" borderId="0" xfId="0" applyFont="1"/>
    <xf numFmtId="0" fontId="21" fillId="0" borderId="0" xfId="0" applyFont="1"/>
    <xf numFmtId="0" fontId="16" fillId="26" borderId="8" xfId="0" applyFont="1" applyFill="1" applyBorder="1" applyAlignment="1">
      <alignment horizontal="center" vertical="center"/>
    </xf>
    <xf numFmtId="0" fontId="3" fillId="0" borderId="0" xfId="0" applyFont="1"/>
    <xf numFmtId="0" fontId="17" fillId="27" borderId="0" xfId="0" applyFont="1" applyFill="1" applyAlignment="1">
      <alignment horizontal="center"/>
    </xf>
    <xf numFmtId="0" fontId="17" fillId="27" borderId="15" xfId="0" applyFont="1" applyFill="1" applyBorder="1"/>
    <xf numFmtId="0" fontId="0" fillId="0" borderId="16" xfId="0" applyBorder="1"/>
    <xf numFmtId="0" fontId="16" fillId="23" borderId="9" xfId="0" applyFont="1" applyFill="1" applyBorder="1" applyAlignment="1">
      <alignment horizontal="center" vertical="center"/>
    </xf>
    <xf numFmtId="0" fontId="17" fillId="21" borderId="0" xfId="0" applyFont="1" applyFill="1" applyAlignment="1">
      <alignment horizontal="center"/>
    </xf>
    <xf numFmtId="0" fontId="17" fillId="21" borderId="15" xfId="0" applyFont="1" applyFill="1" applyBorder="1"/>
    <xf numFmtId="0" fontId="16" fillId="27" borderId="9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2" borderId="15" xfId="0" applyFont="1" applyFill="1" applyBorder="1"/>
    <xf numFmtId="0" fontId="17" fillId="25" borderId="0" xfId="0" applyFont="1" applyFill="1" applyAlignment="1">
      <alignment horizontal="center"/>
    </xf>
    <xf numFmtId="0" fontId="17" fillId="25" borderId="15" xfId="0" applyFont="1" applyFill="1" applyBorder="1"/>
    <xf numFmtId="0" fontId="16" fillId="2" borderId="8" xfId="0" applyFont="1" applyFill="1" applyBorder="1" applyAlignment="1">
      <alignment horizontal="center" vertical="center"/>
    </xf>
    <xf numFmtId="0" fontId="17" fillId="17" borderId="0" xfId="0" applyFont="1" applyFill="1" applyAlignment="1">
      <alignment horizontal="center"/>
    </xf>
    <xf numFmtId="0" fontId="17" fillId="17" borderId="15" xfId="0" applyFont="1" applyFill="1" applyBorder="1"/>
    <xf numFmtId="0" fontId="16" fillId="24" borderId="10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center"/>
    </xf>
    <xf numFmtId="0" fontId="17" fillId="22" borderId="0" xfId="0" applyFont="1" applyFill="1" applyAlignment="1">
      <alignment horizontal="center"/>
    </xf>
    <xf numFmtId="0" fontId="17" fillId="22" borderId="15" xfId="0" applyFont="1" applyFill="1" applyBorder="1"/>
    <xf numFmtId="0" fontId="16" fillId="26" borderId="11" xfId="0" applyFont="1" applyFill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16" fillId="22" borderId="7" xfId="0" applyFont="1" applyFill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16" fillId="23" borderId="11" xfId="0" applyFont="1" applyFill="1" applyBorder="1" applyAlignment="1">
      <alignment horizontal="center" vertical="center"/>
    </xf>
    <xf numFmtId="0" fontId="16" fillId="26" borderId="7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20" fillId="25" borderId="11" xfId="0" applyFont="1" applyFill="1" applyBorder="1" applyAlignment="1">
      <alignment horizontal="center" vertical="center"/>
    </xf>
    <xf numFmtId="0" fontId="20" fillId="18" borderId="12" xfId="0" applyFont="1" applyFill="1" applyBorder="1" applyAlignment="1">
      <alignment horizontal="center" vertical="center"/>
    </xf>
    <xf numFmtId="0" fontId="20" fillId="22" borderId="13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/>
    </xf>
    <xf numFmtId="0" fontId="20" fillId="17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27" borderId="0" xfId="0" applyFont="1" applyFill="1" applyAlignment="1">
      <alignment horizontal="center" vertical="center"/>
    </xf>
    <xf numFmtId="0" fontId="16" fillId="21" borderId="0" xfId="0" applyFont="1" applyFill="1" applyAlignment="1">
      <alignment horizontal="center" vertical="center"/>
    </xf>
    <xf numFmtId="0" fontId="16" fillId="19" borderId="0" xfId="0" applyFont="1" applyFill="1" applyAlignment="1">
      <alignment horizontal="center" vertical="center"/>
    </xf>
    <xf numFmtId="0" fontId="16" fillId="24" borderId="14" xfId="0" applyFont="1" applyFill="1" applyBorder="1" applyAlignment="1">
      <alignment horizontal="center" vertical="center"/>
    </xf>
    <xf numFmtId="0" fontId="16" fillId="27" borderId="8" xfId="0" applyFont="1" applyFill="1" applyBorder="1" applyAlignment="1">
      <alignment horizontal="center" vertical="center"/>
    </xf>
    <xf numFmtId="0" fontId="16" fillId="0" borderId="13" xfId="0" applyFont="1" applyBorder="1" applyAlignment="1">
      <alignment horizontal="center"/>
    </xf>
    <xf numFmtId="0" fontId="16" fillId="24" borderId="9" xfId="0" applyFont="1" applyFill="1" applyBorder="1" applyAlignment="1">
      <alignment horizontal="center" vertical="center"/>
    </xf>
    <xf numFmtId="0" fontId="16" fillId="17" borderId="8" xfId="0" applyFont="1" applyFill="1" applyBorder="1" applyAlignment="1">
      <alignment horizontal="center" vertical="center"/>
    </xf>
    <xf numFmtId="0" fontId="16" fillId="23" borderId="10" xfId="0" applyFont="1" applyFill="1" applyBorder="1" applyAlignment="1">
      <alignment horizontal="center" vertical="center"/>
    </xf>
    <xf numFmtId="0" fontId="16" fillId="25" borderId="7" xfId="0" applyFont="1" applyFill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6" fillId="24" borderId="7" xfId="0" applyFont="1" applyFill="1" applyBorder="1" applyAlignment="1">
      <alignment horizontal="center" vertical="center"/>
    </xf>
    <xf numFmtId="0" fontId="16" fillId="27" borderId="7" xfId="0" applyFont="1" applyFill="1" applyBorder="1" applyAlignment="1">
      <alignment horizontal="center" vertical="center"/>
    </xf>
    <xf numFmtId="0" fontId="16" fillId="26" borderId="12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27" borderId="11" xfId="0" applyFont="1" applyFill="1" applyBorder="1" applyAlignment="1">
      <alignment horizontal="center" vertical="center"/>
    </xf>
    <xf numFmtId="0" fontId="20" fillId="23" borderId="12" xfId="0" applyFont="1" applyFill="1" applyBorder="1" applyAlignment="1">
      <alignment horizontal="center" vertical="center"/>
    </xf>
    <xf numFmtId="0" fontId="20" fillId="20" borderId="8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16" fillId="26" borderId="9" xfId="0" applyFont="1" applyFill="1" applyBorder="1" applyAlignment="1">
      <alignment horizontal="center" vertical="center"/>
    </xf>
    <xf numFmtId="0" fontId="16" fillId="18" borderId="9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/>
    </xf>
    <xf numFmtId="0" fontId="16" fillId="21" borderId="9" xfId="0" applyFont="1" applyFill="1" applyBorder="1" applyAlignment="1">
      <alignment horizontal="center" vertical="center"/>
    </xf>
    <xf numFmtId="0" fontId="16" fillId="20" borderId="8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0" fillId="28" borderId="0" xfId="0" applyFill="1"/>
    <xf numFmtId="0" fontId="0" fillId="28" borderId="1" xfId="0" applyFill="1" applyBorder="1" applyAlignment="1">
      <alignment horizontal="center"/>
    </xf>
    <xf numFmtId="1" fontId="0" fillId="28" borderId="0" xfId="0" applyNumberFormat="1" applyFill="1"/>
    <xf numFmtId="0" fontId="0" fillId="5" borderId="1" xfId="0" applyFill="1" applyBorder="1" applyAlignment="1">
      <alignment horizontal="center"/>
    </xf>
    <xf numFmtId="1" fontId="0" fillId="5" borderId="0" xfId="0" applyNumberFormat="1" applyFill="1"/>
    <xf numFmtId="0" fontId="10" fillId="5" borderId="6" xfId="0" applyFont="1" applyFill="1" applyBorder="1" applyAlignment="1">
      <alignment horizontal="center" wrapText="1"/>
    </xf>
    <xf numFmtId="20" fontId="0" fillId="5" borderId="0" xfId="0" applyNumberFormat="1" applyFill="1"/>
    <xf numFmtId="0" fontId="0" fillId="5" borderId="7" xfId="0" applyFill="1" applyBorder="1"/>
    <xf numFmtId="1" fontId="0" fillId="5" borderId="0" xfId="0" quotePrefix="1" applyNumberFormat="1" applyFill="1"/>
    <xf numFmtId="0" fontId="0" fillId="5" borderId="0" xfId="0" quotePrefix="1" applyFill="1"/>
    <xf numFmtId="0" fontId="22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 vertical="center" wrapText="1" readingOrder="2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readingOrder="2"/>
    </xf>
    <xf numFmtId="0" fontId="2" fillId="2" borderId="0" xfId="1" applyFont="1" applyFill="1" applyAlignment="1">
      <alignment horizontal="center"/>
    </xf>
    <xf numFmtId="0" fontId="0" fillId="0" borderId="0" xfId="0" quotePrefix="1"/>
    <xf numFmtId="14" fontId="0" fillId="0" borderId="18" xfId="0" applyNumberFormat="1" applyBorder="1"/>
    <xf numFmtId="0" fontId="0" fillId="5" borderId="18" xfId="0" applyFill="1" applyBorder="1"/>
    <xf numFmtId="0" fontId="0" fillId="9" borderId="18" xfId="0" applyFill="1" applyBorder="1"/>
    <xf numFmtId="0" fontId="0" fillId="0" borderId="18" xfId="0" applyBorder="1"/>
    <xf numFmtId="0" fontId="0" fillId="6" borderId="18" xfId="0" applyFill="1" applyBorder="1"/>
    <xf numFmtId="0" fontId="0" fillId="28" borderId="18" xfId="0" applyFill="1" applyBorder="1"/>
    <xf numFmtId="16" fontId="0" fillId="0" borderId="18" xfId="0" applyNumberFormat="1" applyBorder="1"/>
    <xf numFmtId="1" fontId="0" fillId="5" borderId="18" xfId="0" applyNumberFormat="1" applyFill="1" applyBorder="1"/>
    <xf numFmtId="1" fontId="0" fillId="9" borderId="18" xfId="0" applyNumberFormat="1" applyFill="1" applyBorder="1"/>
    <xf numFmtId="1" fontId="0" fillId="6" borderId="18" xfId="0" applyNumberFormat="1" applyFill="1" applyBorder="1"/>
    <xf numFmtId="0" fontId="13" fillId="5" borderId="19" xfId="0" applyFont="1" applyFill="1" applyBorder="1" applyAlignment="1">
      <alignment horizontal="center" wrapText="1"/>
    </xf>
    <xf numFmtId="0" fontId="13" fillId="2" borderId="19" xfId="0" applyFont="1" applyFill="1" applyBorder="1" applyAlignment="1">
      <alignment horizontal="center" wrapText="1"/>
    </xf>
    <xf numFmtId="0" fontId="10" fillId="5" borderId="20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0" fontId="0" fillId="29" borderId="0" xfId="0" applyFill="1"/>
    <xf numFmtId="0" fontId="10" fillId="9" borderId="6" xfId="0" applyFont="1" applyFill="1" applyBorder="1" applyAlignment="1">
      <alignment horizontal="center" wrapText="1"/>
    </xf>
    <xf numFmtId="0" fontId="11" fillId="9" borderId="0" xfId="0" applyFont="1" applyFill="1"/>
    <xf numFmtId="0" fontId="0" fillId="9" borderId="7" xfId="0" applyFill="1" applyBorder="1"/>
    <xf numFmtId="0" fontId="1" fillId="2" borderId="0" xfId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0" borderId="17" xfId="0" applyBorder="1" applyAlignment="1">
      <alignment horizontal="center"/>
    </xf>
    <xf numFmtId="0" fontId="5" fillId="2" borderId="0" xfId="1" applyFill="1" applyAlignment="1">
      <alignment horizontal="center"/>
    </xf>
    <xf numFmtId="0" fontId="5" fillId="8" borderId="0" xfId="1" applyFill="1" applyAlignment="1">
      <alignment horizontal="center"/>
    </xf>
    <xf numFmtId="0" fontId="5" fillId="3" borderId="0" xfId="1" applyFill="1" applyAlignment="1">
      <alignment horizontal="center"/>
    </xf>
    <xf numFmtId="0" fontId="0" fillId="0" borderId="7" xfId="0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21" fillId="0" borderId="7" xfId="0" applyFont="1" applyBorder="1" applyAlignment="1">
      <alignment horizontal="center"/>
    </xf>
  </cellXfs>
  <cellStyles count="2">
    <cellStyle name="Normal" xfId="0" builtinId="0"/>
    <cellStyle name="Normal 2" xfId="1" xr:uid="{727B90EA-A282-455D-944D-D77E470861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575551680767"/>
          <c:y val="6.6453463785716357E-2"/>
          <c:w val="0.79769349771301867"/>
          <c:h val="0.77790462762513768"/>
        </c:manualLayout>
      </c:layout>
      <c:scatterChart>
        <c:scatterStyle val="lineMarker"/>
        <c:varyColors val="0"/>
        <c:ser>
          <c:idx val="1"/>
          <c:order val="0"/>
          <c:tx>
            <c:strRef>
              <c:f>N_irrigation!$B$33</c:f>
              <c:strCache>
                <c:ptCount val="1"/>
                <c:pt idx="0">
                  <c:v>KAV09</c:v>
                </c:pt>
              </c:strCache>
            </c:strRef>
          </c:tx>
          <c:spPr>
            <a:ln w="25400">
              <a:noFill/>
            </a:ln>
          </c:spPr>
          <c:xVal>
            <c:numRef>
              <c:f>N_irrigation!$A$21:$A$26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</c:numCache>
            </c:numRef>
          </c:xVal>
          <c:yVal>
            <c:numRef>
              <c:f>N_irrigation!$C$21:$C$26</c:f>
              <c:numCache>
                <c:formatCode>General</c:formatCode>
                <c:ptCount val="6"/>
                <c:pt idx="0">
                  <c:v>4.25</c:v>
                </c:pt>
                <c:pt idx="1">
                  <c:v>14.34</c:v>
                </c:pt>
                <c:pt idx="2">
                  <c:v>26.8</c:v>
                </c:pt>
                <c:pt idx="3">
                  <c:v>35.64</c:v>
                </c:pt>
                <c:pt idx="4">
                  <c:v>55.370000000000005</c:v>
                </c:pt>
                <c:pt idx="5">
                  <c:v>65.3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AC-49B3-B2F4-DD49E1D8D8A8}"/>
            </c:ext>
          </c:extLst>
        </c:ser>
        <c:ser>
          <c:idx val="0"/>
          <c:order val="1"/>
          <c:tx>
            <c:strRef>
              <c:f>N_irrigation!$B$34</c:f>
              <c:strCache>
                <c:ptCount val="1"/>
                <c:pt idx="0">
                  <c:v>KAV4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N_irrigation!$A$27:$A$32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</c:numCache>
            </c:numRef>
          </c:xVal>
          <c:yVal>
            <c:numRef>
              <c:f>N_irrigation!$C$27:$C$32</c:f>
              <c:numCache>
                <c:formatCode>General</c:formatCode>
                <c:ptCount val="6"/>
                <c:pt idx="0">
                  <c:v>5.47</c:v>
                </c:pt>
                <c:pt idx="1">
                  <c:v>13.14</c:v>
                </c:pt>
                <c:pt idx="2">
                  <c:v>33.380000000000003</c:v>
                </c:pt>
                <c:pt idx="3">
                  <c:v>40.700000000000003</c:v>
                </c:pt>
                <c:pt idx="4">
                  <c:v>52.59</c:v>
                </c:pt>
                <c:pt idx="5">
                  <c:v>58.04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AC-49B3-B2F4-DD49E1D8D8A8}"/>
            </c:ext>
          </c:extLst>
        </c:ser>
        <c:ser>
          <c:idx val="2"/>
          <c:order val="2"/>
          <c:spPr>
            <a:ln w="19050">
              <a:noFill/>
            </a:ln>
          </c:spPr>
          <c:dPt>
            <c:idx val="1"/>
            <c:marker>
              <c:symbol val="none"/>
            </c:marker>
            <c:bubble3D val="0"/>
            <c:spPr>
              <a:ln w="19050">
                <a:solidFill>
                  <a:schemeClr val="tx1"/>
                </a:solidFill>
                <a:prstDash val="sysDash"/>
              </a:ln>
            </c:spPr>
            <c:extLst>
              <c:ext xmlns:c16="http://schemas.microsoft.com/office/drawing/2014/chart" uri="{C3380CC4-5D6E-409C-BE32-E72D297353CC}">
                <c16:uniqueId val="{00000003-17AC-49B3-B2F4-DD49E1D8D8A8}"/>
              </c:ext>
            </c:extLst>
          </c:dPt>
          <c:xVal>
            <c:numRef>
              <c:f>N_irrigation!$A$34:$A$35</c:f>
              <c:numCache>
                <c:formatCode>General</c:formatCode>
                <c:ptCount val="2"/>
                <c:pt idx="0">
                  <c:v>0</c:v>
                </c:pt>
                <c:pt idx="1">
                  <c:v>90</c:v>
                </c:pt>
              </c:numCache>
            </c:numRef>
          </c:xVal>
          <c:yVal>
            <c:numRef>
              <c:f>N_irrigation!$A$34:$A$35</c:f>
              <c:numCache>
                <c:formatCode>General</c:formatCode>
                <c:ptCount val="2"/>
                <c:pt idx="0">
                  <c:v>0</c:v>
                </c:pt>
                <c:pt idx="1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7AC-49B3-B2F4-DD49E1D8D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397904"/>
        <c:axId val="614402168"/>
      </c:scatterChart>
      <c:valAx>
        <c:axId val="614397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target 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14402168"/>
        <c:crosses val="autoZero"/>
        <c:crossBetween val="midCat"/>
      </c:valAx>
      <c:valAx>
        <c:axId val="614402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measured 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14397904"/>
        <c:crosses val="autoZero"/>
        <c:crossBetween val="midCat"/>
      </c:valAx>
      <c:spPr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78155842756269767"/>
          <c:y val="0.5417874316854111"/>
          <c:w val="0.13893440898892123"/>
          <c:h val="0.32772878995235044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575551680767"/>
          <c:y val="6.6453463785716357E-2"/>
          <c:w val="0.79769349771301867"/>
          <c:h val="0.77790462762513768"/>
        </c:manualLayout>
      </c:layout>
      <c:scatterChart>
        <c:scatterStyle val="lineMarker"/>
        <c:varyColors val="0"/>
        <c:ser>
          <c:idx val="1"/>
          <c:order val="0"/>
          <c:tx>
            <c:strRef>
              <c:f>N_irrigation!$B$33</c:f>
              <c:strCache>
                <c:ptCount val="1"/>
                <c:pt idx="0">
                  <c:v>KAV09</c:v>
                </c:pt>
              </c:strCache>
            </c:strRef>
          </c:tx>
          <c:spPr>
            <a:ln w="19050">
              <a:noFill/>
            </a:ln>
          </c:spPr>
          <c:xVal>
            <c:numRef>
              <c:f>N_irrigation!$A$21:$A$26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</c:numCache>
            </c:numRef>
          </c:xVal>
          <c:yVal>
            <c:numRef>
              <c:f>N_irrigation!$D$21:$D$26</c:f>
              <c:numCache>
                <c:formatCode>General</c:formatCode>
                <c:ptCount val="6"/>
                <c:pt idx="0">
                  <c:v>2.2800000000000002</c:v>
                </c:pt>
                <c:pt idx="1">
                  <c:v>11.37</c:v>
                </c:pt>
                <c:pt idx="2">
                  <c:v>26.619999999999997</c:v>
                </c:pt>
                <c:pt idx="3">
                  <c:v>43.07</c:v>
                </c:pt>
                <c:pt idx="4">
                  <c:v>50.8</c:v>
                </c:pt>
                <c:pt idx="5">
                  <c:v>59.7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48-40EC-8013-8A8D3886CC95}"/>
            </c:ext>
          </c:extLst>
        </c:ser>
        <c:ser>
          <c:idx val="0"/>
          <c:order val="1"/>
          <c:tx>
            <c:strRef>
              <c:f>N_irrigation!$B$34</c:f>
              <c:strCache>
                <c:ptCount val="1"/>
                <c:pt idx="0">
                  <c:v>KAV4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N_irrigation!$A$27:$A$32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</c:numCache>
            </c:numRef>
          </c:xVal>
          <c:yVal>
            <c:numRef>
              <c:f>N_irrigation!$D$27:$D$32</c:f>
              <c:numCache>
                <c:formatCode>General</c:formatCode>
                <c:ptCount val="6"/>
                <c:pt idx="0">
                  <c:v>7.51</c:v>
                </c:pt>
                <c:pt idx="1">
                  <c:v>12.59</c:v>
                </c:pt>
                <c:pt idx="2">
                  <c:v>29.119999999999997</c:v>
                </c:pt>
                <c:pt idx="3">
                  <c:v>46.84</c:v>
                </c:pt>
                <c:pt idx="4">
                  <c:v>39.25</c:v>
                </c:pt>
                <c:pt idx="5">
                  <c:v>59.900000000000006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48-40EC-8013-8A8D3886CC95}"/>
            </c:ext>
          </c:extLst>
        </c:ser>
        <c:ser>
          <c:idx val="2"/>
          <c:order val="2"/>
          <c:spPr>
            <a:ln w="19050">
              <a:noFill/>
            </a:ln>
          </c:spPr>
          <c:dPt>
            <c:idx val="1"/>
            <c:marker>
              <c:symbol val="none"/>
            </c:marker>
            <c:bubble3D val="0"/>
            <c:spPr>
              <a:ln w="19050">
                <a:solidFill>
                  <a:schemeClr val="tx1"/>
                </a:solidFill>
                <a:prstDash val="sysDash"/>
              </a:ln>
            </c:spPr>
            <c:extLst>
              <c:ext xmlns:c16="http://schemas.microsoft.com/office/drawing/2014/chart" uri="{C3380CC4-5D6E-409C-BE32-E72D297353CC}">
                <c16:uniqueId val="{00000003-C748-40EC-8013-8A8D3886CC95}"/>
              </c:ext>
            </c:extLst>
          </c:dPt>
          <c:xVal>
            <c:numRef>
              <c:f>N_irrigation!$A$34:$A$35</c:f>
              <c:numCache>
                <c:formatCode>General</c:formatCode>
                <c:ptCount val="2"/>
                <c:pt idx="0">
                  <c:v>0</c:v>
                </c:pt>
                <c:pt idx="1">
                  <c:v>90</c:v>
                </c:pt>
              </c:numCache>
            </c:numRef>
          </c:xVal>
          <c:yVal>
            <c:numRef>
              <c:f>N_irrigation!$A$34:$A$35</c:f>
              <c:numCache>
                <c:formatCode>General</c:formatCode>
                <c:ptCount val="2"/>
                <c:pt idx="0">
                  <c:v>0</c:v>
                </c:pt>
                <c:pt idx="1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48-40EC-8013-8A8D3886C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397904"/>
        <c:axId val="614402168"/>
      </c:scatterChart>
      <c:valAx>
        <c:axId val="614397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target 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14402168"/>
        <c:crosses val="autoZero"/>
        <c:crossBetween val="midCat"/>
      </c:valAx>
      <c:valAx>
        <c:axId val="614402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measured 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14397904"/>
        <c:crosses val="autoZero"/>
        <c:crossBetween val="midCat"/>
      </c:valAx>
      <c:spPr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78155842756269767"/>
          <c:y val="0.5417874316854111"/>
          <c:w val="0.13893440898892123"/>
          <c:h val="0.16461574247831934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575551680767"/>
          <c:y val="6.6453463785716357E-2"/>
          <c:w val="0.79769349771301867"/>
          <c:h val="0.77790462762513768"/>
        </c:manualLayout>
      </c:layout>
      <c:scatterChart>
        <c:scatterStyle val="lineMarker"/>
        <c:varyColors val="0"/>
        <c:ser>
          <c:idx val="1"/>
          <c:order val="0"/>
          <c:tx>
            <c:strRef>
              <c:f>N_irrigation!$B$33</c:f>
              <c:strCache>
                <c:ptCount val="1"/>
                <c:pt idx="0">
                  <c:v>KAV09</c:v>
                </c:pt>
              </c:strCache>
            </c:strRef>
          </c:tx>
          <c:spPr>
            <a:ln w="19050">
              <a:noFill/>
            </a:ln>
          </c:spPr>
          <c:xVal>
            <c:numRef>
              <c:f>N_irrigation!$A$21:$A$26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</c:numCache>
            </c:numRef>
          </c:xVal>
          <c:yVal>
            <c:numRef>
              <c:f>N_irrigation!$H$21:$H$26</c:f>
              <c:numCache>
                <c:formatCode>General</c:formatCode>
                <c:ptCount val="6"/>
                <c:pt idx="0">
                  <c:v>4.2</c:v>
                </c:pt>
                <c:pt idx="1">
                  <c:v>12.5</c:v>
                </c:pt>
                <c:pt idx="2">
                  <c:v>27.32</c:v>
                </c:pt>
                <c:pt idx="3">
                  <c:v>29.49</c:v>
                </c:pt>
                <c:pt idx="4">
                  <c:v>50.42</c:v>
                </c:pt>
                <c:pt idx="5">
                  <c:v>61.59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BC-4467-887A-0201AAB694B8}"/>
            </c:ext>
          </c:extLst>
        </c:ser>
        <c:ser>
          <c:idx val="0"/>
          <c:order val="1"/>
          <c:tx>
            <c:strRef>
              <c:f>N_irrigation!$B$34</c:f>
              <c:strCache>
                <c:ptCount val="1"/>
                <c:pt idx="0">
                  <c:v>KAV4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N_irrigation!$A$27:$A$32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</c:numCache>
            </c:numRef>
          </c:xVal>
          <c:yVal>
            <c:numRef>
              <c:f>N_irrigation!$H$27:$H$32</c:f>
              <c:numCache>
                <c:formatCode>General</c:formatCode>
                <c:ptCount val="6"/>
                <c:pt idx="0">
                  <c:v>8.36</c:v>
                </c:pt>
                <c:pt idx="1">
                  <c:v>12.92</c:v>
                </c:pt>
                <c:pt idx="2">
                  <c:v>27.869999999999997</c:v>
                </c:pt>
                <c:pt idx="3">
                  <c:v>41.11</c:v>
                </c:pt>
                <c:pt idx="4">
                  <c:v>46.07</c:v>
                </c:pt>
                <c:pt idx="5">
                  <c:v>57.38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BC-4467-887A-0201AAB694B8}"/>
            </c:ext>
          </c:extLst>
        </c:ser>
        <c:ser>
          <c:idx val="2"/>
          <c:order val="2"/>
          <c:spPr>
            <a:ln w="19050">
              <a:noFill/>
            </a:ln>
          </c:spPr>
          <c:dPt>
            <c:idx val="1"/>
            <c:marker>
              <c:symbol val="none"/>
            </c:marker>
            <c:bubble3D val="0"/>
            <c:spPr>
              <a:ln w="19050">
                <a:solidFill>
                  <a:schemeClr val="tx1"/>
                </a:solidFill>
                <a:prstDash val="sysDash"/>
              </a:ln>
            </c:spPr>
            <c:extLst>
              <c:ext xmlns:c16="http://schemas.microsoft.com/office/drawing/2014/chart" uri="{C3380CC4-5D6E-409C-BE32-E72D297353CC}">
                <c16:uniqueId val="{00000003-F0BC-4467-887A-0201AAB694B8}"/>
              </c:ext>
            </c:extLst>
          </c:dPt>
          <c:xVal>
            <c:numRef>
              <c:f>N_irrigation!$A$34:$A$35</c:f>
              <c:numCache>
                <c:formatCode>General</c:formatCode>
                <c:ptCount val="2"/>
                <c:pt idx="0">
                  <c:v>0</c:v>
                </c:pt>
                <c:pt idx="1">
                  <c:v>90</c:v>
                </c:pt>
              </c:numCache>
            </c:numRef>
          </c:xVal>
          <c:yVal>
            <c:numRef>
              <c:f>N_irrigation!$A$34:$A$35</c:f>
              <c:numCache>
                <c:formatCode>General</c:formatCode>
                <c:ptCount val="2"/>
                <c:pt idx="0">
                  <c:v>0</c:v>
                </c:pt>
                <c:pt idx="1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0BC-4467-887A-0201AAB69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397904"/>
        <c:axId val="614402168"/>
      </c:scatterChart>
      <c:valAx>
        <c:axId val="614397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target 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14402168"/>
        <c:crosses val="autoZero"/>
        <c:crossBetween val="midCat"/>
      </c:valAx>
      <c:valAx>
        <c:axId val="614402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measured 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14397904"/>
        <c:crosses val="autoZero"/>
        <c:crossBetween val="midCat"/>
      </c:valAx>
      <c:spPr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78155842756269767"/>
          <c:y val="0.5417874316854111"/>
          <c:w val="0.13893440898892123"/>
          <c:h val="0.16461574247831934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575551680767"/>
          <c:y val="6.6453463785716357E-2"/>
          <c:w val="0.79769349771301867"/>
          <c:h val="0.77790462762513768"/>
        </c:manualLayout>
      </c:layout>
      <c:scatterChart>
        <c:scatterStyle val="lineMarker"/>
        <c:varyColors val="0"/>
        <c:ser>
          <c:idx val="0"/>
          <c:order val="0"/>
          <c:tx>
            <c:strRef>
              <c:f>N_irrigation!$B$33</c:f>
              <c:strCache>
                <c:ptCount val="1"/>
                <c:pt idx="0">
                  <c:v>KAV09</c:v>
                </c:pt>
              </c:strCache>
            </c:strRef>
          </c:tx>
          <c:spPr>
            <a:ln w="19050">
              <a:noFill/>
            </a:ln>
          </c:spPr>
          <c:xVal>
            <c:numRef>
              <c:f>N_irrigation!$I$21:$I$26</c:f>
              <c:numCache>
                <c:formatCode>General</c:formatCode>
                <c:ptCount val="6"/>
                <c:pt idx="0">
                  <c:v>0</c:v>
                </c:pt>
                <c:pt idx="1">
                  <c:v>14</c:v>
                </c:pt>
                <c:pt idx="2">
                  <c:v>35</c:v>
                </c:pt>
                <c:pt idx="3">
                  <c:v>52.5</c:v>
                </c:pt>
                <c:pt idx="4">
                  <c:v>70</c:v>
                </c:pt>
                <c:pt idx="5">
                  <c:v>87.5</c:v>
                </c:pt>
              </c:numCache>
            </c:numRef>
          </c:xVal>
          <c:yVal>
            <c:numRef>
              <c:f>N_irrigation!$J$21:$J$26</c:f>
              <c:numCache>
                <c:formatCode>General</c:formatCode>
                <c:ptCount val="6"/>
                <c:pt idx="0">
                  <c:v>11.295</c:v>
                </c:pt>
                <c:pt idx="1">
                  <c:v>17.620200000000001</c:v>
                </c:pt>
                <c:pt idx="2">
                  <c:v>34.336799999999997</c:v>
                </c:pt>
                <c:pt idx="3">
                  <c:v>61.896599999999999</c:v>
                </c:pt>
                <c:pt idx="4">
                  <c:v>77.709599999999995</c:v>
                </c:pt>
                <c:pt idx="5">
                  <c:v>83.582999999999998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C68-48D2-A8CC-554ADCCA0EF4}"/>
            </c:ext>
          </c:extLst>
        </c:ser>
        <c:ser>
          <c:idx val="3"/>
          <c:order val="1"/>
          <c:spPr>
            <a:ln w="19050">
              <a:noFill/>
            </a:ln>
          </c:spPr>
          <c:dPt>
            <c:idx val="1"/>
            <c:bubble3D val="0"/>
            <c:spPr>
              <a:ln w="19050">
                <a:solidFill>
                  <a:schemeClr val="tx1"/>
                </a:solidFill>
                <a:prstDash val="sysDash"/>
              </a:ln>
            </c:spPr>
            <c:extLst>
              <c:ext xmlns:c16="http://schemas.microsoft.com/office/drawing/2014/chart" uri="{C3380CC4-5D6E-409C-BE32-E72D297353CC}">
                <c16:uniqueId val="{0000000A-7C68-48D2-A8CC-554ADCCA0EF4}"/>
              </c:ext>
            </c:extLst>
          </c:dPt>
          <c:xVal>
            <c:numRef>
              <c:f>N_irrigation!$A$34:$A$35</c:f>
              <c:numCache>
                <c:formatCode>General</c:formatCode>
                <c:ptCount val="2"/>
                <c:pt idx="0">
                  <c:v>0</c:v>
                </c:pt>
                <c:pt idx="1">
                  <c:v>90</c:v>
                </c:pt>
              </c:numCache>
            </c:numRef>
          </c:xVal>
          <c:yVal>
            <c:numRef>
              <c:f>N_irrigation!$A$34:$A$35</c:f>
              <c:numCache>
                <c:formatCode>General</c:formatCode>
                <c:ptCount val="2"/>
                <c:pt idx="0">
                  <c:v>0</c:v>
                </c:pt>
                <c:pt idx="1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C68-48D2-A8CC-554ADCCA0EF4}"/>
            </c:ext>
          </c:extLst>
        </c:ser>
        <c:ser>
          <c:idx val="1"/>
          <c:order val="2"/>
          <c:tx>
            <c:strRef>
              <c:f>N_irrigation!$B$34</c:f>
              <c:strCache>
                <c:ptCount val="1"/>
                <c:pt idx="0">
                  <c:v>KAV4</c:v>
                </c:pt>
              </c:strCache>
            </c:strRef>
          </c:tx>
          <c:spPr>
            <a:ln w="19050">
              <a:noFill/>
            </a:ln>
          </c:spPr>
          <c:xVal>
            <c:numRef>
              <c:f>N_irrigation!$J$21:$J$26</c:f>
              <c:numCache>
                <c:formatCode>General</c:formatCode>
                <c:ptCount val="6"/>
                <c:pt idx="0">
                  <c:v>11.295</c:v>
                </c:pt>
                <c:pt idx="1">
                  <c:v>17.620200000000001</c:v>
                </c:pt>
                <c:pt idx="2">
                  <c:v>34.336799999999997</c:v>
                </c:pt>
                <c:pt idx="3">
                  <c:v>61.896599999999999</c:v>
                </c:pt>
                <c:pt idx="4">
                  <c:v>77.709599999999995</c:v>
                </c:pt>
                <c:pt idx="5">
                  <c:v>83.582999999999998</c:v>
                </c:pt>
              </c:numCache>
            </c:numRef>
          </c:xVal>
          <c:yVal>
            <c:numRef>
              <c:f>N_irrigation!$K$27:$K$32</c:f>
              <c:numCache>
                <c:formatCode>General</c:formatCode>
                <c:ptCount val="6"/>
                <c:pt idx="0">
                  <c:v>12.650399999999999</c:v>
                </c:pt>
                <c:pt idx="1">
                  <c:v>16.7166</c:v>
                </c:pt>
                <c:pt idx="2">
                  <c:v>32.529600000000002</c:v>
                </c:pt>
                <c:pt idx="3">
                  <c:v>60.541199999999996</c:v>
                </c:pt>
                <c:pt idx="4">
                  <c:v>79.064999999999998</c:v>
                </c:pt>
                <c:pt idx="5">
                  <c:v>101.655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C68-48D2-A8CC-554ADCCA0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397904"/>
        <c:axId val="614402168"/>
      </c:scatterChart>
      <c:valAx>
        <c:axId val="614397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target 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14402168"/>
        <c:crosses val="autoZero"/>
        <c:crossBetween val="midCat"/>
      </c:valAx>
      <c:valAx>
        <c:axId val="614402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measured 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14397904"/>
        <c:crosses val="autoZero"/>
        <c:crossBetween val="midCat"/>
      </c:valAx>
      <c:spPr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7795022377702987"/>
          <c:y val="0.49371377037033182"/>
          <c:w val="0.13893440898892123"/>
          <c:h val="0.2847997259430054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N_irrigation!$J$76:$R$76</c:f>
              <c:numCache>
                <c:formatCode>m/d/yyyy</c:formatCode>
                <c:ptCount val="9"/>
                <c:pt idx="0">
                  <c:v>45168</c:v>
                </c:pt>
                <c:pt idx="1">
                  <c:v>45176</c:v>
                </c:pt>
                <c:pt idx="2">
                  <c:v>45180</c:v>
                </c:pt>
                <c:pt idx="3">
                  <c:v>45189</c:v>
                </c:pt>
                <c:pt idx="4">
                  <c:v>45198</c:v>
                </c:pt>
                <c:pt idx="5">
                  <c:v>45218</c:v>
                </c:pt>
                <c:pt idx="6">
                  <c:v>45236</c:v>
                </c:pt>
                <c:pt idx="7">
                  <c:v>45244</c:v>
                </c:pt>
                <c:pt idx="8">
                  <c:v>45265</c:v>
                </c:pt>
              </c:numCache>
            </c:numRef>
          </c:xVal>
          <c:yVal>
            <c:numRef>
              <c:f>N_irrigation!$J$77:$R$77</c:f>
              <c:numCache>
                <c:formatCode>General</c:formatCode>
                <c:ptCount val="9"/>
                <c:pt idx="0">
                  <c:v>4.25</c:v>
                </c:pt>
                <c:pt idx="1">
                  <c:v>2.2800000000000002</c:v>
                </c:pt>
                <c:pt idx="2">
                  <c:v>6.3731402671692639</c:v>
                </c:pt>
                <c:pt idx="3">
                  <c:v>4.3084999999999996</c:v>
                </c:pt>
                <c:pt idx="5">
                  <c:v>4.2</c:v>
                </c:pt>
                <c:pt idx="6">
                  <c:v>11.295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70-44D9-82BB-4E2A5B73BA6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N_irrigation!$J$76:$R$76</c:f>
              <c:numCache>
                <c:formatCode>m/d/yyyy</c:formatCode>
                <c:ptCount val="9"/>
                <c:pt idx="0">
                  <c:v>45168</c:v>
                </c:pt>
                <c:pt idx="1">
                  <c:v>45176</c:v>
                </c:pt>
                <c:pt idx="2">
                  <c:v>45180</c:v>
                </c:pt>
                <c:pt idx="3">
                  <c:v>45189</c:v>
                </c:pt>
                <c:pt idx="4">
                  <c:v>45198</c:v>
                </c:pt>
                <c:pt idx="5">
                  <c:v>45218</c:v>
                </c:pt>
                <c:pt idx="6">
                  <c:v>45236</c:v>
                </c:pt>
                <c:pt idx="7">
                  <c:v>45244</c:v>
                </c:pt>
                <c:pt idx="8">
                  <c:v>45265</c:v>
                </c:pt>
              </c:numCache>
            </c:numRef>
          </c:xVal>
          <c:yVal>
            <c:numRef>
              <c:f>N_irrigation!$J$78:$R$78</c:f>
              <c:numCache>
                <c:formatCode>General</c:formatCode>
                <c:ptCount val="9"/>
                <c:pt idx="0">
                  <c:v>14.34</c:v>
                </c:pt>
                <c:pt idx="1">
                  <c:v>11.37</c:v>
                </c:pt>
                <c:pt idx="2">
                  <c:v>14.737886867828921</c:v>
                </c:pt>
                <c:pt idx="4">
                  <c:v>14.2133</c:v>
                </c:pt>
                <c:pt idx="5">
                  <c:v>12.5</c:v>
                </c:pt>
                <c:pt idx="6">
                  <c:v>17.620200000000001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70-44D9-82BB-4E2A5B73BA64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N_irrigation!$J$76:$R$76</c:f>
              <c:numCache>
                <c:formatCode>m/d/yyyy</c:formatCode>
                <c:ptCount val="9"/>
                <c:pt idx="0">
                  <c:v>45168</c:v>
                </c:pt>
                <c:pt idx="1">
                  <c:v>45176</c:v>
                </c:pt>
                <c:pt idx="2">
                  <c:v>45180</c:v>
                </c:pt>
                <c:pt idx="3">
                  <c:v>45189</c:v>
                </c:pt>
                <c:pt idx="4">
                  <c:v>45198</c:v>
                </c:pt>
                <c:pt idx="5">
                  <c:v>45218</c:v>
                </c:pt>
                <c:pt idx="6">
                  <c:v>45236</c:v>
                </c:pt>
                <c:pt idx="7">
                  <c:v>45244</c:v>
                </c:pt>
                <c:pt idx="8">
                  <c:v>45265</c:v>
                </c:pt>
              </c:numCache>
            </c:numRef>
          </c:xVal>
          <c:yVal>
            <c:numRef>
              <c:f>N_irrigation!$J$79:$R$79</c:f>
              <c:numCache>
                <c:formatCode>General</c:formatCode>
                <c:ptCount val="9"/>
                <c:pt idx="0">
                  <c:v>26.8</c:v>
                </c:pt>
                <c:pt idx="1">
                  <c:v>26.619999999999997</c:v>
                </c:pt>
                <c:pt idx="3">
                  <c:v>30.331200000000003</c:v>
                </c:pt>
                <c:pt idx="4">
                  <c:v>29.202233333333332</c:v>
                </c:pt>
                <c:pt idx="5">
                  <c:v>27.32</c:v>
                </c:pt>
                <c:pt idx="6">
                  <c:v>34.336799999999997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F70-44D9-82BB-4E2A5B73BA64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N_irrigation!$J$76:$R$76</c:f>
              <c:numCache>
                <c:formatCode>m/d/yyyy</c:formatCode>
                <c:ptCount val="9"/>
                <c:pt idx="0">
                  <c:v>45168</c:v>
                </c:pt>
                <c:pt idx="1">
                  <c:v>45176</c:v>
                </c:pt>
                <c:pt idx="2">
                  <c:v>45180</c:v>
                </c:pt>
                <c:pt idx="3">
                  <c:v>45189</c:v>
                </c:pt>
                <c:pt idx="4">
                  <c:v>45198</c:v>
                </c:pt>
                <c:pt idx="5">
                  <c:v>45218</c:v>
                </c:pt>
                <c:pt idx="6">
                  <c:v>45236</c:v>
                </c:pt>
                <c:pt idx="7">
                  <c:v>45244</c:v>
                </c:pt>
                <c:pt idx="8">
                  <c:v>45265</c:v>
                </c:pt>
              </c:numCache>
            </c:numRef>
          </c:xVal>
          <c:yVal>
            <c:numRef>
              <c:f>N_irrigation!$J$80:$R$80</c:f>
              <c:numCache>
                <c:formatCode>General</c:formatCode>
                <c:ptCount val="9"/>
                <c:pt idx="0">
                  <c:v>35.64</c:v>
                </c:pt>
                <c:pt idx="1">
                  <c:v>43.07</c:v>
                </c:pt>
                <c:pt idx="2">
                  <c:v>42.620375536694446</c:v>
                </c:pt>
                <c:pt idx="3">
                  <c:v>39.532499999999999</c:v>
                </c:pt>
                <c:pt idx="4">
                  <c:v>42.876300000000001</c:v>
                </c:pt>
                <c:pt idx="5">
                  <c:v>29.49</c:v>
                </c:pt>
                <c:pt idx="6">
                  <c:v>61.896599999999999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F70-44D9-82BB-4E2A5B73BA64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N_irrigation!$J$76:$R$76</c:f>
              <c:numCache>
                <c:formatCode>m/d/yyyy</c:formatCode>
                <c:ptCount val="9"/>
                <c:pt idx="0">
                  <c:v>45168</c:v>
                </c:pt>
                <c:pt idx="1">
                  <c:v>45176</c:v>
                </c:pt>
                <c:pt idx="2">
                  <c:v>45180</c:v>
                </c:pt>
                <c:pt idx="3">
                  <c:v>45189</c:v>
                </c:pt>
                <c:pt idx="4">
                  <c:v>45198</c:v>
                </c:pt>
                <c:pt idx="5">
                  <c:v>45218</c:v>
                </c:pt>
                <c:pt idx="6">
                  <c:v>45236</c:v>
                </c:pt>
                <c:pt idx="7">
                  <c:v>45244</c:v>
                </c:pt>
                <c:pt idx="8">
                  <c:v>45265</c:v>
                </c:pt>
              </c:numCache>
            </c:numRef>
          </c:xVal>
          <c:yVal>
            <c:numRef>
              <c:f>N_irrigation!$J$81:$R$81</c:f>
              <c:numCache>
                <c:formatCode>General</c:formatCode>
                <c:ptCount val="9"/>
                <c:pt idx="0">
                  <c:v>55.370000000000005</c:v>
                </c:pt>
                <c:pt idx="1">
                  <c:v>50.8</c:v>
                </c:pt>
                <c:pt idx="2">
                  <c:v>46.205266936977168</c:v>
                </c:pt>
                <c:pt idx="3">
                  <c:v>69.086099999999988</c:v>
                </c:pt>
                <c:pt idx="5">
                  <c:v>50.42</c:v>
                </c:pt>
                <c:pt idx="6">
                  <c:v>77.709599999999995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F70-44D9-82BB-4E2A5B73BA64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N_irrigation!$J$76:$R$76</c:f>
              <c:numCache>
                <c:formatCode>m/d/yyyy</c:formatCode>
                <c:ptCount val="9"/>
                <c:pt idx="0">
                  <c:v>45168</c:v>
                </c:pt>
                <c:pt idx="1">
                  <c:v>45176</c:v>
                </c:pt>
                <c:pt idx="2">
                  <c:v>45180</c:v>
                </c:pt>
                <c:pt idx="3">
                  <c:v>45189</c:v>
                </c:pt>
                <c:pt idx="4">
                  <c:v>45198</c:v>
                </c:pt>
                <c:pt idx="5">
                  <c:v>45218</c:v>
                </c:pt>
                <c:pt idx="6">
                  <c:v>45236</c:v>
                </c:pt>
                <c:pt idx="7">
                  <c:v>45244</c:v>
                </c:pt>
                <c:pt idx="8">
                  <c:v>45265</c:v>
                </c:pt>
              </c:numCache>
            </c:numRef>
          </c:xVal>
          <c:yVal>
            <c:numRef>
              <c:f>N_irrigation!$J$82:$R$82</c:f>
              <c:numCache>
                <c:formatCode>General</c:formatCode>
                <c:ptCount val="9"/>
                <c:pt idx="0">
                  <c:v>65.3</c:v>
                </c:pt>
                <c:pt idx="1">
                  <c:v>59.7</c:v>
                </c:pt>
                <c:pt idx="2">
                  <c:v>70.104542938861897</c:v>
                </c:pt>
                <c:pt idx="5">
                  <c:v>61.59</c:v>
                </c:pt>
                <c:pt idx="6">
                  <c:v>83.582999999999998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F70-44D9-82BB-4E2A5B73B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0667504"/>
        <c:axId val="2048906608"/>
      </c:scatterChart>
      <c:valAx>
        <c:axId val="146066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048906608"/>
        <c:crosses val="autoZero"/>
        <c:crossBetween val="midCat"/>
      </c:valAx>
      <c:valAx>
        <c:axId val="204890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46066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N_irrigation!$J$76:$R$76</c:f>
              <c:numCache>
                <c:formatCode>m/d/yyyy</c:formatCode>
                <c:ptCount val="9"/>
                <c:pt idx="0">
                  <c:v>45168</c:v>
                </c:pt>
                <c:pt idx="1">
                  <c:v>45176</c:v>
                </c:pt>
                <c:pt idx="2">
                  <c:v>45180</c:v>
                </c:pt>
                <c:pt idx="3">
                  <c:v>45189</c:v>
                </c:pt>
                <c:pt idx="4">
                  <c:v>45198</c:v>
                </c:pt>
                <c:pt idx="5">
                  <c:v>45218</c:v>
                </c:pt>
                <c:pt idx="6">
                  <c:v>45236</c:v>
                </c:pt>
                <c:pt idx="7">
                  <c:v>45244</c:v>
                </c:pt>
                <c:pt idx="8">
                  <c:v>45265</c:v>
                </c:pt>
              </c:numCache>
            </c:numRef>
          </c:xVal>
          <c:yVal>
            <c:numRef>
              <c:f>N_irrigation!$J$83:$R$83</c:f>
              <c:numCache>
                <c:formatCode>General</c:formatCode>
                <c:ptCount val="9"/>
                <c:pt idx="0">
                  <c:v>5.47</c:v>
                </c:pt>
                <c:pt idx="1">
                  <c:v>7.51</c:v>
                </c:pt>
                <c:pt idx="5">
                  <c:v>8.36</c:v>
                </c:pt>
                <c:pt idx="7">
                  <c:v>12.650399999999999</c:v>
                </c:pt>
                <c:pt idx="8">
                  <c:v>9.0359999999999996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8F-4D6E-A77B-952AD623EB5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N_irrigation!$J$76:$R$76</c:f>
              <c:numCache>
                <c:formatCode>m/d/yyyy</c:formatCode>
                <c:ptCount val="9"/>
                <c:pt idx="0">
                  <c:v>45168</c:v>
                </c:pt>
                <c:pt idx="1">
                  <c:v>45176</c:v>
                </c:pt>
                <c:pt idx="2">
                  <c:v>45180</c:v>
                </c:pt>
                <c:pt idx="3">
                  <c:v>45189</c:v>
                </c:pt>
                <c:pt idx="4">
                  <c:v>45198</c:v>
                </c:pt>
                <c:pt idx="5">
                  <c:v>45218</c:v>
                </c:pt>
                <c:pt idx="6">
                  <c:v>45236</c:v>
                </c:pt>
                <c:pt idx="7">
                  <c:v>45244</c:v>
                </c:pt>
                <c:pt idx="8">
                  <c:v>45265</c:v>
                </c:pt>
              </c:numCache>
            </c:numRef>
          </c:xVal>
          <c:yVal>
            <c:numRef>
              <c:f>N_irrigation!$J$84:$R$84</c:f>
              <c:numCache>
                <c:formatCode>General</c:formatCode>
                <c:ptCount val="9"/>
                <c:pt idx="0">
                  <c:v>13.14</c:v>
                </c:pt>
                <c:pt idx="1">
                  <c:v>12.59</c:v>
                </c:pt>
                <c:pt idx="2">
                  <c:v>7.1697828005654225</c:v>
                </c:pt>
                <c:pt idx="4">
                  <c:v>14.8528</c:v>
                </c:pt>
                <c:pt idx="5">
                  <c:v>12.92</c:v>
                </c:pt>
                <c:pt idx="7">
                  <c:v>16.7166</c:v>
                </c:pt>
                <c:pt idx="8">
                  <c:v>25.300799999999999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8F-4D6E-A77B-952AD623EB5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N_irrigation!$J$76:$R$76</c:f>
              <c:numCache>
                <c:formatCode>m/d/yyyy</c:formatCode>
                <c:ptCount val="9"/>
                <c:pt idx="0">
                  <c:v>45168</c:v>
                </c:pt>
                <c:pt idx="1">
                  <c:v>45176</c:v>
                </c:pt>
                <c:pt idx="2">
                  <c:v>45180</c:v>
                </c:pt>
                <c:pt idx="3">
                  <c:v>45189</c:v>
                </c:pt>
                <c:pt idx="4">
                  <c:v>45198</c:v>
                </c:pt>
                <c:pt idx="5">
                  <c:v>45218</c:v>
                </c:pt>
                <c:pt idx="6">
                  <c:v>45236</c:v>
                </c:pt>
                <c:pt idx="7">
                  <c:v>45244</c:v>
                </c:pt>
                <c:pt idx="8">
                  <c:v>45265</c:v>
                </c:pt>
              </c:numCache>
            </c:numRef>
          </c:xVal>
          <c:yVal>
            <c:numRef>
              <c:f>N_irrigation!$J$85:$R$85</c:f>
              <c:numCache>
                <c:formatCode>General</c:formatCode>
                <c:ptCount val="9"/>
                <c:pt idx="0">
                  <c:v>33.380000000000003</c:v>
                </c:pt>
                <c:pt idx="1">
                  <c:v>29.119999999999997</c:v>
                </c:pt>
                <c:pt idx="2">
                  <c:v>23.899276001884736</c:v>
                </c:pt>
                <c:pt idx="4">
                  <c:v>38.04</c:v>
                </c:pt>
                <c:pt idx="5">
                  <c:v>27.869999999999997</c:v>
                </c:pt>
                <c:pt idx="7">
                  <c:v>32.529600000000002</c:v>
                </c:pt>
                <c:pt idx="8">
                  <c:v>47.439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08F-4D6E-A77B-952AD623EB53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N_irrigation!$J$76:$R$76</c:f>
              <c:numCache>
                <c:formatCode>m/d/yyyy</c:formatCode>
                <c:ptCount val="9"/>
                <c:pt idx="0">
                  <c:v>45168</c:v>
                </c:pt>
                <c:pt idx="1">
                  <c:v>45176</c:v>
                </c:pt>
                <c:pt idx="2">
                  <c:v>45180</c:v>
                </c:pt>
                <c:pt idx="3">
                  <c:v>45189</c:v>
                </c:pt>
                <c:pt idx="4">
                  <c:v>45198</c:v>
                </c:pt>
                <c:pt idx="5">
                  <c:v>45218</c:v>
                </c:pt>
                <c:pt idx="6">
                  <c:v>45236</c:v>
                </c:pt>
                <c:pt idx="7">
                  <c:v>45244</c:v>
                </c:pt>
                <c:pt idx="8">
                  <c:v>45265</c:v>
                </c:pt>
              </c:numCache>
            </c:numRef>
          </c:xVal>
          <c:yVal>
            <c:numRef>
              <c:f>N_irrigation!$J$86:$R$86</c:f>
              <c:numCache>
                <c:formatCode>General</c:formatCode>
                <c:ptCount val="9"/>
                <c:pt idx="0">
                  <c:v>40.700000000000003</c:v>
                </c:pt>
                <c:pt idx="1">
                  <c:v>46.84</c:v>
                </c:pt>
                <c:pt idx="2">
                  <c:v>55.366656071032978</c:v>
                </c:pt>
                <c:pt idx="5">
                  <c:v>41.11</c:v>
                </c:pt>
                <c:pt idx="7">
                  <c:v>60.541199999999996</c:v>
                </c:pt>
                <c:pt idx="8">
                  <c:v>91.263599999999997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08F-4D6E-A77B-952AD623EB53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N_irrigation!$J$76:$R$76</c:f>
              <c:numCache>
                <c:formatCode>m/d/yyyy</c:formatCode>
                <c:ptCount val="9"/>
                <c:pt idx="0">
                  <c:v>45168</c:v>
                </c:pt>
                <c:pt idx="1">
                  <c:v>45176</c:v>
                </c:pt>
                <c:pt idx="2">
                  <c:v>45180</c:v>
                </c:pt>
                <c:pt idx="3">
                  <c:v>45189</c:v>
                </c:pt>
                <c:pt idx="4">
                  <c:v>45198</c:v>
                </c:pt>
                <c:pt idx="5">
                  <c:v>45218</c:v>
                </c:pt>
                <c:pt idx="6">
                  <c:v>45236</c:v>
                </c:pt>
                <c:pt idx="7">
                  <c:v>45244</c:v>
                </c:pt>
                <c:pt idx="8">
                  <c:v>45265</c:v>
                </c:pt>
              </c:numCache>
            </c:numRef>
          </c:xVal>
          <c:yVal>
            <c:numRef>
              <c:f>N_irrigation!$J$87:$R$87</c:f>
              <c:numCache>
                <c:formatCode>General</c:formatCode>
                <c:ptCount val="9"/>
                <c:pt idx="0">
                  <c:v>52.59</c:v>
                </c:pt>
                <c:pt idx="4">
                  <c:v>70.732566666666656</c:v>
                </c:pt>
                <c:pt idx="5">
                  <c:v>46.07</c:v>
                </c:pt>
                <c:pt idx="7">
                  <c:v>79.064999999999998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08F-4D6E-A77B-952AD623EB53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N_irrigation!$J$76:$R$76</c:f>
              <c:numCache>
                <c:formatCode>m/d/yyyy</c:formatCode>
                <c:ptCount val="9"/>
                <c:pt idx="0">
                  <c:v>45168</c:v>
                </c:pt>
                <c:pt idx="1">
                  <c:v>45176</c:v>
                </c:pt>
                <c:pt idx="2">
                  <c:v>45180</c:v>
                </c:pt>
                <c:pt idx="3">
                  <c:v>45189</c:v>
                </c:pt>
                <c:pt idx="4">
                  <c:v>45198</c:v>
                </c:pt>
                <c:pt idx="5">
                  <c:v>45218</c:v>
                </c:pt>
                <c:pt idx="6">
                  <c:v>45236</c:v>
                </c:pt>
                <c:pt idx="7">
                  <c:v>45244</c:v>
                </c:pt>
                <c:pt idx="8">
                  <c:v>45265</c:v>
                </c:pt>
              </c:numCache>
            </c:numRef>
          </c:xVal>
          <c:yVal>
            <c:numRef>
              <c:f>N_irrigation!$J$88:$R$88</c:f>
              <c:numCache>
                <c:formatCode>General</c:formatCode>
                <c:ptCount val="9"/>
                <c:pt idx="0">
                  <c:v>58.04</c:v>
                </c:pt>
                <c:pt idx="1">
                  <c:v>59.900000000000006</c:v>
                </c:pt>
                <c:pt idx="4">
                  <c:v>74.2136</c:v>
                </c:pt>
                <c:pt idx="5">
                  <c:v>57.38</c:v>
                </c:pt>
                <c:pt idx="7">
                  <c:v>101.655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08F-4D6E-A77B-952AD623E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0667504"/>
        <c:axId val="2048906608"/>
      </c:scatterChart>
      <c:valAx>
        <c:axId val="146066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048906608"/>
        <c:crosses val="autoZero"/>
        <c:crossBetween val="midCat"/>
      </c:valAx>
      <c:valAx>
        <c:axId val="204890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46066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EC_irrigation!$B$2</c:f>
              <c:strCache>
                <c:ptCount val="1"/>
                <c:pt idx="0">
                  <c:v>07-ספט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EC_irrigation!$A$3:$A$14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EC_irrigation!$B$3:$B$14</c:f>
              <c:numCache>
                <c:formatCode>General</c:formatCode>
                <c:ptCount val="12"/>
                <c:pt idx="0">
                  <c:v>1.28</c:v>
                </c:pt>
                <c:pt idx="1">
                  <c:v>1.3</c:v>
                </c:pt>
                <c:pt idx="2">
                  <c:v>1.44</c:v>
                </c:pt>
                <c:pt idx="3">
                  <c:v>1.54</c:v>
                </c:pt>
                <c:pt idx="4">
                  <c:v>1.56</c:v>
                </c:pt>
                <c:pt idx="5">
                  <c:v>1.64</c:v>
                </c:pt>
                <c:pt idx="6">
                  <c:v>3.4</c:v>
                </c:pt>
                <c:pt idx="7">
                  <c:v>3.5</c:v>
                </c:pt>
                <c:pt idx="8">
                  <c:v>3.7</c:v>
                </c:pt>
                <c:pt idx="9">
                  <c:v>3.8</c:v>
                </c:pt>
                <c:pt idx="10">
                  <c:v>3.8</c:v>
                </c:pt>
                <c:pt idx="11">
                  <c:v>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0F-4720-AE5D-1095B98EC17E}"/>
            </c:ext>
          </c:extLst>
        </c:ser>
        <c:ser>
          <c:idx val="1"/>
          <c:order val="1"/>
          <c:tx>
            <c:strRef>
              <c:f>EC_irrigation!$C$2</c:f>
              <c:strCache>
                <c:ptCount val="1"/>
                <c:pt idx="0">
                  <c:v>29-ספט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EC_irrigation!$A$3:$A$14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EC_irrigation!$C$3:$C$14</c:f>
              <c:numCache>
                <c:formatCode>General</c:formatCode>
                <c:ptCount val="12"/>
                <c:pt idx="1">
                  <c:v>1.44</c:v>
                </c:pt>
                <c:pt idx="2">
                  <c:v>1.5</c:v>
                </c:pt>
                <c:pt idx="3">
                  <c:v>1.48</c:v>
                </c:pt>
                <c:pt idx="7">
                  <c:v>4</c:v>
                </c:pt>
                <c:pt idx="8">
                  <c:v>4.3</c:v>
                </c:pt>
                <c:pt idx="10">
                  <c:v>4.4000000000000004</c:v>
                </c:pt>
                <c:pt idx="11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0F-4720-AE5D-1095B98EC17E}"/>
            </c:ext>
          </c:extLst>
        </c:ser>
        <c:ser>
          <c:idx val="2"/>
          <c:order val="2"/>
          <c:tx>
            <c:strRef>
              <c:f>EC_irrigation!$D$2</c:f>
              <c:strCache>
                <c:ptCount val="1"/>
                <c:pt idx="0">
                  <c:v>04-אוק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EC_irrigation!$A$3:$A$14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EC_irrigation!$D$3:$D$14</c:f>
              <c:numCache>
                <c:formatCode>General</c:formatCode>
                <c:ptCount val="12"/>
                <c:pt idx="0">
                  <c:v>1.29</c:v>
                </c:pt>
                <c:pt idx="1">
                  <c:v>1.42</c:v>
                </c:pt>
                <c:pt idx="2">
                  <c:v>1.46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0F-4720-AE5D-1095B98EC17E}"/>
            </c:ext>
          </c:extLst>
        </c:ser>
        <c:ser>
          <c:idx val="3"/>
          <c:order val="3"/>
          <c:tx>
            <c:strRef>
              <c:f>EC_irrigation!$E$2</c:f>
              <c:strCache>
                <c:ptCount val="1"/>
                <c:pt idx="0">
                  <c:v>08-אוק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EC_irrigation!$A$3:$A$14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EC_irrigation!$E$3:$E$14</c:f>
              <c:numCache>
                <c:formatCode>General</c:formatCode>
                <c:ptCount val="12"/>
                <c:pt idx="3">
                  <c:v>1.7</c:v>
                </c:pt>
                <c:pt idx="10">
                  <c:v>3.6</c:v>
                </c:pt>
                <c:pt idx="11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0F-4720-AE5D-1095B98EC17E}"/>
            </c:ext>
          </c:extLst>
        </c:ser>
        <c:ser>
          <c:idx val="4"/>
          <c:order val="4"/>
          <c:tx>
            <c:strRef>
              <c:f>EC_irrigation!$F$2</c:f>
              <c:strCache>
                <c:ptCount val="1"/>
                <c:pt idx="0">
                  <c:v>15-אוק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EC_irrigation!$A$3:$A$14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EC_irrigation!$F$3:$F$14</c:f>
              <c:numCache>
                <c:formatCode>General</c:formatCode>
                <c:ptCount val="12"/>
                <c:pt idx="0">
                  <c:v>1.19</c:v>
                </c:pt>
                <c:pt idx="1">
                  <c:v>1.67</c:v>
                </c:pt>
                <c:pt idx="2">
                  <c:v>1.29</c:v>
                </c:pt>
                <c:pt idx="3">
                  <c:v>1.6</c:v>
                </c:pt>
                <c:pt idx="4">
                  <c:v>1.31</c:v>
                </c:pt>
                <c:pt idx="5">
                  <c:v>1.31</c:v>
                </c:pt>
                <c:pt idx="6">
                  <c:v>3.5</c:v>
                </c:pt>
                <c:pt idx="7">
                  <c:v>3.7</c:v>
                </c:pt>
                <c:pt idx="8">
                  <c:v>3.6</c:v>
                </c:pt>
                <c:pt idx="9">
                  <c:v>3.4</c:v>
                </c:pt>
                <c:pt idx="10">
                  <c:v>3.6</c:v>
                </c:pt>
                <c:pt idx="11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40F-4720-AE5D-1095B98EC17E}"/>
            </c:ext>
          </c:extLst>
        </c:ser>
        <c:ser>
          <c:idx val="5"/>
          <c:order val="5"/>
          <c:tx>
            <c:strRef>
              <c:f>EC_irrigation!$G$2</c:f>
              <c:strCache>
                <c:ptCount val="1"/>
                <c:pt idx="0">
                  <c:v>18-אוק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EC_irrigation!$A$3:$A$14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EC_irrigation!$G$3:$G$14</c:f>
              <c:numCache>
                <c:formatCode>General</c:formatCode>
                <c:ptCount val="12"/>
                <c:pt idx="3">
                  <c:v>1.76</c:v>
                </c:pt>
                <c:pt idx="5">
                  <c:v>1.53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40F-4720-AE5D-1095B98EC17E}"/>
            </c:ext>
          </c:extLst>
        </c:ser>
        <c:ser>
          <c:idx val="6"/>
          <c:order val="6"/>
          <c:tx>
            <c:strRef>
              <c:f>EC_irrigation!$H$2</c:f>
              <c:strCache>
                <c:ptCount val="1"/>
                <c:pt idx="0">
                  <c:v>19-אוק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EC_irrigation!$A$3:$A$14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EC_irrigation!$H$3:$H$14</c:f>
              <c:numCache>
                <c:formatCode>General</c:formatCode>
                <c:ptCount val="12"/>
                <c:pt idx="0">
                  <c:v>1.18</c:v>
                </c:pt>
                <c:pt idx="1">
                  <c:v>1.29</c:v>
                </c:pt>
                <c:pt idx="2">
                  <c:v>1.78</c:v>
                </c:pt>
                <c:pt idx="3">
                  <c:v>1.61</c:v>
                </c:pt>
                <c:pt idx="4">
                  <c:v>1.27</c:v>
                </c:pt>
                <c:pt idx="5">
                  <c:v>1.41</c:v>
                </c:pt>
                <c:pt idx="6">
                  <c:v>3.4</c:v>
                </c:pt>
                <c:pt idx="7">
                  <c:v>3.7</c:v>
                </c:pt>
                <c:pt idx="8">
                  <c:v>3.7</c:v>
                </c:pt>
                <c:pt idx="9">
                  <c:v>3.6</c:v>
                </c:pt>
                <c:pt idx="10">
                  <c:v>3.5</c:v>
                </c:pt>
                <c:pt idx="11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40F-4720-AE5D-1095B98EC17E}"/>
            </c:ext>
          </c:extLst>
        </c:ser>
        <c:ser>
          <c:idx val="7"/>
          <c:order val="7"/>
          <c:tx>
            <c:strRef>
              <c:f>EC_irrigation!$I$2</c:f>
              <c:strCache>
                <c:ptCount val="1"/>
                <c:pt idx="0">
                  <c:v>31-אוק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EC_irrigation!$A$3:$A$14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EC_irrigation!$I$3:$I$14</c:f>
              <c:numCache>
                <c:formatCode>General</c:formatCode>
                <c:ptCount val="12"/>
                <c:pt idx="2">
                  <c:v>1.48</c:v>
                </c:pt>
                <c:pt idx="10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40F-4720-AE5D-1095B98EC17E}"/>
            </c:ext>
          </c:extLst>
        </c:ser>
        <c:ser>
          <c:idx val="8"/>
          <c:order val="8"/>
          <c:tx>
            <c:strRef>
              <c:f>EC_irrigation!$J$2</c:f>
              <c:strCache>
                <c:ptCount val="1"/>
                <c:pt idx="0">
                  <c:v>07-נוב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EC_irrigation!$A$3:$A$14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EC_irrigation!$J$3:$J$14</c:f>
              <c:numCache>
                <c:formatCode>General</c:formatCode>
                <c:ptCount val="12"/>
                <c:pt idx="0">
                  <c:v>1.05</c:v>
                </c:pt>
                <c:pt idx="1">
                  <c:v>0.94</c:v>
                </c:pt>
                <c:pt idx="2">
                  <c:v>1.05</c:v>
                </c:pt>
                <c:pt idx="3">
                  <c:v>1.1100000000000001</c:v>
                </c:pt>
                <c:pt idx="4">
                  <c:v>1.18</c:v>
                </c:pt>
                <c:pt idx="5">
                  <c:v>1.2</c:v>
                </c:pt>
                <c:pt idx="6">
                  <c:v>3.3</c:v>
                </c:pt>
                <c:pt idx="7">
                  <c:v>3.5</c:v>
                </c:pt>
                <c:pt idx="8">
                  <c:v>3.7</c:v>
                </c:pt>
                <c:pt idx="9">
                  <c:v>3.7</c:v>
                </c:pt>
                <c:pt idx="10">
                  <c:v>3.5</c:v>
                </c:pt>
                <c:pt idx="11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40F-4720-AE5D-1095B98EC17E}"/>
            </c:ext>
          </c:extLst>
        </c:ser>
        <c:ser>
          <c:idx val="9"/>
          <c:order val="9"/>
          <c:tx>
            <c:strRef>
              <c:f>EC_irrigation!$K$2</c:f>
              <c:strCache>
                <c:ptCount val="1"/>
                <c:pt idx="0">
                  <c:v>14-נוב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EC_irrigation!$A$3:$A$14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EC_irrigation!$K$3:$K$14</c:f>
              <c:numCache>
                <c:formatCode>General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40F-4720-AE5D-1095B98EC17E}"/>
            </c:ext>
          </c:extLst>
        </c:ser>
        <c:ser>
          <c:idx val="10"/>
          <c:order val="10"/>
          <c:tx>
            <c:strRef>
              <c:f>EC_irrigation!$L$2</c:f>
              <c:strCache>
                <c:ptCount val="1"/>
                <c:pt idx="0">
                  <c:v>28-נוב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EC_irrigation!$A$3:$A$14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EC_irrigation!$L$3:$L$14</c:f>
              <c:numCache>
                <c:formatCode>General</c:formatCode>
                <c:ptCount val="12"/>
                <c:pt idx="0">
                  <c:v>1.19</c:v>
                </c:pt>
                <c:pt idx="1">
                  <c:v>1.18</c:v>
                </c:pt>
                <c:pt idx="2">
                  <c:v>1.44</c:v>
                </c:pt>
                <c:pt idx="3">
                  <c:v>1.56</c:v>
                </c:pt>
                <c:pt idx="4">
                  <c:v>1.72</c:v>
                </c:pt>
                <c:pt idx="5">
                  <c:v>1.73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40F-4720-AE5D-1095B98EC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851648"/>
        <c:axId val="1525615680"/>
      </c:scatterChart>
      <c:valAx>
        <c:axId val="146985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525615680"/>
        <c:crosses val="autoZero"/>
        <c:crossBetween val="midCat"/>
      </c:valAx>
      <c:valAx>
        <c:axId val="152561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469851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877553406655386E-2"/>
          <c:y val="5.0925925925925923E-2"/>
          <c:w val="0.82992966154387149"/>
          <c:h val="0.84463764946048414"/>
        </c:manualLayout>
      </c:layout>
      <c:scatterChart>
        <c:scatterStyle val="lineMarker"/>
        <c:varyColors val="0"/>
        <c:ser>
          <c:idx val="0"/>
          <c:order val="0"/>
          <c:tx>
            <c:strRef>
              <c:f>EC_irrigation!$A$3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EC_irrigation!$B$2:$L$2</c:f>
              <c:numCache>
                <c:formatCode>d\-mmm</c:formatCode>
                <c:ptCount val="11"/>
                <c:pt idx="0">
                  <c:v>45176</c:v>
                </c:pt>
                <c:pt idx="1">
                  <c:v>45198</c:v>
                </c:pt>
                <c:pt idx="2">
                  <c:v>45203</c:v>
                </c:pt>
                <c:pt idx="3">
                  <c:v>45207</c:v>
                </c:pt>
                <c:pt idx="4">
                  <c:v>45214</c:v>
                </c:pt>
                <c:pt idx="5">
                  <c:v>45217</c:v>
                </c:pt>
                <c:pt idx="6">
                  <c:v>45218</c:v>
                </c:pt>
                <c:pt idx="7">
                  <c:v>45230</c:v>
                </c:pt>
                <c:pt idx="8">
                  <c:v>45237</c:v>
                </c:pt>
                <c:pt idx="9">
                  <c:v>45244</c:v>
                </c:pt>
                <c:pt idx="10">
                  <c:v>45258</c:v>
                </c:pt>
              </c:numCache>
            </c:numRef>
          </c:xVal>
          <c:yVal>
            <c:numRef>
              <c:f>EC_irrigation!$B$3:$L$3</c:f>
              <c:numCache>
                <c:formatCode>General</c:formatCode>
                <c:ptCount val="11"/>
                <c:pt idx="0">
                  <c:v>1.28</c:v>
                </c:pt>
                <c:pt idx="2">
                  <c:v>1.29</c:v>
                </c:pt>
                <c:pt idx="4">
                  <c:v>1.19</c:v>
                </c:pt>
                <c:pt idx="6">
                  <c:v>1.18</c:v>
                </c:pt>
                <c:pt idx="8">
                  <c:v>1.05</c:v>
                </c:pt>
                <c:pt idx="10">
                  <c:v>1.19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C9-4974-9C2A-6E18FF69280F}"/>
            </c:ext>
          </c:extLst>
        </c:ser>
        <c:ser>
          <c:idx val="1"/>
          <c:order val="1"/>
          <c:tx>
            <c:strRef>
              <c:f>EC_irrigation!$A$4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EC_irrigation!$B$2:$L$2</c:f>
              <c:numCache>
                <c:formatCode>d\-mmm</c:formatCode>
                <c:ptCount val="11"/>
                <c:pt idx="0">
                  <c:v>45176</c:v>
                </c:pt>
                <c:pt idx="1">
                  <c:v>45198</c:v>
                </c:pt>
                <c:pt idx="2">
                  <c:v>45203</c:v>
                </c:pt>
                <c:pt idx="3">
                  <c:v>45207</c:v>
                </c:pt>
                <c:pt idx="4">
                  <c:v>45214</c:v>
                </c:pt>
                <c:pt idx="5">
                  <c:v>45217</c:v>
                </c:pt>
                <c:pt idx="6">
                  <c:v>45218</c:v>
                </c:pt>
                <c:pt idx="7">
                  <c:v>45230</c:v>
                </c:pt>
                <c:pt idx="8">
                  <c:v>45237</c:v>
                </c:pt>
                <c:pt idx="9">
                  <c:v>45244</c:v>
                </c:pt>
                <c:pt idx="10">
                  <c:v>45258</c:v>
                </c:pt>
              </c:numCache>
            </c:numRef>
          </c:xVal>
          <c:yVal>
            <c:numRef>
              <c:f>EC_irrigation!$B$4:$L$4</c:f>
              <c:numCache>
                <c:formatCode>General</c:formatCode>
                <c:ptCount val="11"/>
                <c:pt idx="0">
                  <c:v>1.3</c:v>
                </c:pt>
                <c:pt idx="1">
                  <c:v>1.44</c:v>
                </c:pt>
                <c:pt idx="2">
                  <c:v>1.42</c:v>
                </c:pt>
                <c:pt idx="4">
                  <c:v>1.67</c:v>
                </c:pt>
                <c:pt idx="6">
                  <c:v>1.29</c:v>
                </c:pt>
                <c:pt idx="8">
                  <c:v>0.94</c:v>
                </c:pt>
                <c:pt idx="10">
                  <c:v>1.18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C9-4974-9C2A-6E18FF69280F}"/>
            </c:ext>
          </c:extLst>
        </c:ser>
        <c:ser>
          <c:idx val="2"/>
          <c:order val="2"/>
          <c:tx>
            <c:strRef>
              <c:f>EC_irrigation!$A$5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EC_irrigation!$B$2:$L$2</c:f>
              <c:numCache>
                <c:formatCode>d\-mmm</c:formatCode>
                <c:ptCount val="11"/>
                <c:pt idx="0">
                  <c:v>45176</c:v>
                </c:pt>
                <c:pt idx="1">
                  <c:v>45198</c:v>
                </c:pt>
                <c:pt idx="2">
                  <c:v>45203</c:v>
                </c:pt>
                <c:pt idx="3">
                  <c:v>45207</c:v>
                </c:pt>
                <c:pt idx="4">
                  <c:v>45214</c:v>
                </c:pt>
                <c:pt idx="5">
                  <c:v>45217</c:v>
                </c:pt>
                <c:pt idx="6">
                  <c:v>45218</c:v>
                </c:pt>
                <c:pt idx="7">
                  <c:v>45230</c:v>
                </c:pt>
                <c:pt idx="8">
                  <c:v>45237</c:v>
                </c:pt>
                <c:pt idx="9">
                  <c:v>45244</c:v>
                </c:pt>
                <c:pt idx="10">
                  <c:v>45258</c:v>
                </c:pt>
              </c:numCache>
            </c:numRef>
          </c:xVal>
          <c:yVal>
            <c:numRef>
              <c:f>EC_irrigation!$B$5:$L$5</c:f>
              <c:numCache>
                <c:formatCode>General</c:formatCode>
                <c:ptCount val="11"/>
                <c:pt idx="0">
                  <c:v>1.44</c:v>
                </c:pt>
                <c:pt idx="1">
                  <c:v>1.5</c:v>
                </c:pt>
                <c:pt idx="2">
                  <c:v>1.46</c:v>
                </c:pt>
                <c:pt idx="4">
                  <c:v>1.29</c:v>
                </c:pt>
                <c:pt idx="6">
                  <c:v>1.78</c:v>
                </c:pt>
                <c:pt idx="7">
                  <c:v>1.48</c:v>
                </c:pt>
                <c:pt idx="8">
                  <c:v>1.05</c:v>
                </c:pt>
                <c:pt idx="10">
                  <c:v>1.44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C9-4974-9C2A-6E18FF69280F}"/>
            </c:ext>
          </c:extLst>
        </c:ser>
        <c:ser>
          <c:idx val="3"/>
          <c:order val="3"/>
          <c:tx>
            <c:strRef>
              <c:f>EC_irrigation!$A$6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EC_irrigation!$B$2:$L$2</c:f>
              <c:numCache>
                <c:formatCode>d\-mmm</c:formatCode>
                <c:ptCount val="11"/>
                <c:pt idx="0">
                  <c:v>45176</c:v>
                </c:pt>
                <c:pt idx="1">
                  <c:v>45198</c:v>
                </c:pt>
                <c:pt idx="2">
                  <c:v>45203</c:v>
                </c:pt>
                <c:pt idx="3">
                  <c:v>45207</c:v>
                </c:pt>
                <c:pt idx="4">
                  <c:v>45214</c:v>
                </c:pt>
                <c:pt idx="5">
                  <c:v>45217</c:v>
                </c:pt>
                <c:pt idx="6">
                  <c:v>45218</c:v>
                </c:pt>
                <c:pt idx="7">
                  <c:v>45230</c:v>
                </c:pt>
                <c:pt idx="8">
                  <c:v>45237</c:v>
                </c:pt>
                <c:pt idx="9">
                  <c:v>45244</c:v>
                </c:pt>
                <c:pt idx="10">
                  <c:v>45258</c:v>
                </c:pt>
              </c:numCache>
            </c:numRef>
          </c:xVal>
          <c:yVal>
            <c:numRef>
              <c:f>EC_irrigation!$B$6:$L$6</c:f>
              <c:numCache>
                <c:formatCode>General</c:formatCode>
                <c:ptCount val="11"/>
                <c:pt idx="0">
                  <c:v>1.54</c:v>
                </c:pt>
                <c:pt idx="1">
                  <c:v>1.48</c:v>
                </c:pt>
                <c:pt idx="3">
                  <c:v>1.7</c:v>
                </c:pt>
                <c:pt idx="4">
                  <c:v>1.6</c:v>
                </c:pt>
                <c:pt idx="5">
                  <c:v>1.76</c:v>
                </c:pt>
                <c:pt idx="6">
                  <c:v>1.61</c:v>
                </c:pt>
                <c:pt idx="8">
                  <c:v>1.1100000000000001</c:v>
                </c:pt>
                <c:pt idx="10">
                  <c:v>1.56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C9-4974-9C2A-6E18FF69280F}"/>
            </c:ext>
          </c:extLst>
        </c:ser>
        <c:ser>
          <c:idx val="4"/>
          <c:order val="4"/>
          <c:tx>
            <c:strRef>
              <c:f>EC_irrigation!$A$7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EC_irrigation!$B$2:$L$2</c:f>
              <c:numCache>
                <c:formatCode>d\-mmm</c:formatCode>
                <c:ptCount val="11"/>
                <c:pt idx="0">
                  <c:v>45176</c:v>
                </c:pt>
                <c:pt idx="1">
                  <c:v>45198</c:v>
                </c:pt>
                <c:pt idx="2">
                  <c:v>45203</c:v>
                </c:pt>
                <c:pt idx="3">
                  <c:v>45207</c:v>
                </c:pt>
                <c:pt idx="4">
                  <c:v>45214</c:v>
                </c:pt>
                <c:pt idx="5">
                  <c:v>45217</c:v>
                </c:pt>
                <c:pt idx="6">
                  <c:v>45218</c:v>
                </c:pt>
                <c:pt idx="7">
                  <c:v>45230</c:v>
                </c:pt>
                <c:pt idx="8">
                  <c:v>45237</c:v>
                </c:pt>
                <c:pt idx="9">
                  <c:v>45244</c:v>
                </c:pt>
                <c:pt idx="10">
                  <c:v>45258</c:v>
                </c:pt>
              </c:numCache>
            </c:numRef>
          </c:xVal>
          <c:yVal>
            <c:numRef>
              <c:f>EC_irrigation!$B$7:$L$7</c:f>
              <c:numCache>
                <c:formatCode>General</c:formatCode>
                <c:ptCount val="11"/>
                <c:pt idx="0">
                  <c:v>1.56</c:v>
                </c:pt>
                <c:pt idx="4">
                  <c:v>1.31</c:v>
                </c:pt>
                <c:pt idx="6">
                  <c:v>1.27</c:v>
                </c:pt>
                <c:pt idx="8">
                  <c:v>1.18</c:v>
                </c:pt>
                <c:pt idx="10">
                  <c:v>1.72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C9-4974-9C2A-6E18FF69280F}"/>
            </c:ext>
          </c:extLst>
        </c:ser>
        <c:ser>
          <c:idx val="5"/>
          <c:order val="5"/>
          <c:tx>
            <c:strRef>
              <c:f>EC_irrigation!$A$8</c:f>
              <c:strCache>
                <c:ptCount val="1"/>
                <c:pt idx="0">
                  <c:v>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EC_irrigation!$B$2:$L$2</c:f>
              <c:numCache>
                <c:formatCode>d\-mmm</c:formatCode>
                <c:ptCount val="11"/>
                <c:pt idx="0">
                  <c:v>45176</c:v>
                </c:pt>
                <c:pt idx="1">
                  <c:v>45198</c:v>
                </c:pt>
                <c:pt idx="2">
                  <c:v>45203</c:v>
                </c:pt>
                <c:pt idx="3">
                  <c:v>45207</c:v>
                </c:pt>
                <c:pt idx="4">
                  <c:v>45214</c:v>
                </c:pt>
                <c:pt idx="5">
                  <c:v>45217</c:v>
                </c:pt>
                <c:pt idx="6">
                  <c:v>45218</c:v>
                </c:pt>
                <c:pt idx="7">
                  <c:v>45230</c:v>
                </c:pt>
                <c:pt idx="8">
                  <c:v>45237</c:v>
                </c:pt>
                <c:pt idx="9">
                  <c:v>45244</c:v>
                </c:pt>
                <c:pt idx="10">
                  <c:v>45258</c:v>
                </c:pt>
              </c:numCache>
            </c:numRef>
          </c:xVal>
          <c:yVal>
            <c:numRef>
              <c:f>EC_irrigation!$B$8:$L$8</c:f>
              <c:numCache>
                <c:formatCode>General</c:formatCode>
                <c:ptCount val="11"/>
                <c:pt idx="0">
                  <c:v>1.64</c:v>
                </c:pt>
                <c:pt idx="4">
                  <c:v>1.31</c:v>
                </c:pt>
                <c:pt idx="5">
                  <c:v>1.53</c:v>
                </c:pt>
                <c:pt idx="6">
                  <c:v>1.41</c:v>
                </c:pt>
                <c:pt idx="8">
                  <c:v>1.2</c:v>
                </c:pt>
                <c:pt idx="10">
                  <c:v>1.73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5C9-4974-9C2A-6E18FF69280F}"/>
            </c:ext>
          </c:extLst>
        </c:ser>
        <c:ser>
          <c:idx val="6"/>
          <c:order val="6"/>
          <c:tx>
            <c:strRef>
              <c:f>EC_irrigation!$A$9</c:f>
              <c:strCache>
                <c:ptCount val="1"/>
                <c:pt idx="0">
                  <c:v>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EC_irrigation!$B$2:$L$2</c:f>
              <c:numCache>
                <c:formatCode>d\-mmm</c:formatCode>
                <c:ptCount val="11"/>
                <c:pt idx="0">
                  <c:v>45176</c:v>
                </c:pt>
                <c:pt idx="1">
                  <c:v>45198</c:v>
                </c:pt>
                <c:pt idx="2">
                  <c:v>45203</c:v>
                </c:pt>
                <c:pt idx="3">
                  <c:v>45207</c:v>
                </c:pt>
                <c:pt idx="4">
                  <c:v>45214</c:v>
                </c:pt>
                <c:pt idx="5">
                  <c:v>45217</c:v>
                </c:pt>
                <c:pt idx="6">
                  <c:v>45218</c:v>
                </c:pt>
                <c:pt idx="7">
                  <c:v>45230</c:v>
                </c:pt>
                <c:pt idx="8">
                  <c:v>45237</c:v>
                </c:pt>
                <c:pt idx="9">
                  <c:v>45244</c:v>
                </c:pt>
                <c:pt idx="10">
                  <c:v>45258</c:v>
                </c:pt>
              </c:numCache>
            </c:numRef>
          </c:xVal>
          <c:yVal>
            <c:numRef>
              <c:f>EC_irrigation!$B$9:$L$9</c:f>
              <c:numCache>
                <c:formatCode>General</c:formatCode>
                <c:ptCount val="11"/>
                <c:pt idx="0">
                  <c:v>3.4</c:v>
                </c:pt>
                <c:pt idx="4">
                  <c:v>3.5</c:v>
                </c:pt>
                <c:pt idx="6">
                  <c:v>3.4</c:v>
                </c:pt>
                <c:pt idx="8">
                  <c:v>3.3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5C9-4974-9C2A-6E18FF69280F}"/>
            </c:ext>
          </c:extLst>
        </c:ser>
        <c:ser>
          <c:idx val="7"/>
          <c:order val="7"/>
          <c:tx>
            <c:strRef>
              <c:f>EC_irrigation!$A$10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EC_irrigation!$B$2:$L$2</c:f>
              <c:numCache>
                <c:formatCode>d\-mmm</c:formatCode>
                <c:ptCount val="11"/>
                <c:pt idx="0">
                  <c:v>45176</c:v>
                </c:pt>
                <c:pt idx="1">
                  <c:v>45198</c:v>
                </c:pt>
                <c:pt idx="2">
                  <c:v>45203</c:v>
                </c:pt>
                <c:pt idx="3">
                  <c:v>45207</c:v>
                </c:pt>
                <c:pt idx="4">
                  <c:v>45214</c:v>
                </c:pt>
                <c:pt idx="5">
                  <c:v>45217</c:v>
                </c:pt>
                <c:pt idx="6">
                  <c:v>45218</c:v>
                </c:pt>
                <c:pt idx="7">
                  <c:v>45230</c:v>
                </c:pt>
                <c:pt idx="8">
                  <c:v>45237</c:v>
                </c:pt>
                <c:pt idx="9">
                  <c:v>45244</c:v>
                </c:pt>
                <c:pt idx="10">
                  <c:v>45258</c:v>
                </c:pt>
              </c:numCache>
            </c:numRef>
          </c:xVal>
          <c:yVal>
            <c:numRef>
              <c:f>EC_irrigation!$B$10:$L$10</c:f>
              <c:numCache>
                <c:formatCode>General</c:formatCode>
                <c:ptCount val="11"/>
                <c:pt idx="0">
                  <c:v>3.5</c:v>
                </c:pt>
                <c:pt idx="1">
                  <c:v>4</c:v>
                </c:pt>
                <c:pt idx="4">
                  <c:v>3.7</c:v>
                </c:pt>
                <c:pt idx="6">
                  <c:v>3.7</c:v>
                </c:pt>
                <c:pt idx="8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5C9-4974-9C2A-6E18FF69280F}"/>
            </c:ext>
          </c:extLst>
        </c:ser>
        <c:ser>
          <c:idx val="8"/>
          <c:order val="8"/>
          <c:tx>
            <c:strRef>
              <c:f>EC_irrigation!$A$11</c:f>
              <c:strCache>
                <c:ptCount val="1"/>
                <c:pt idx="0">
                  <c:v>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EC_irrigation!$B$2:$L$2</c:f>
              <c:numCache>
                <c:formatCode>d\-mmm</c:formatCode>
                <c:ptCount val="11"/>
                <c:pt idx="0">
                  <c:v>45176</c:v>
                </c:pt>
                <c:pt idx="1">
                  <c:v>45198</c:v>
                </c:pt>
                <c:pt idx="2">
                  <c:v>45203</c:v>
                </c:pt>
                <c:pt idx="3">
                  <c:v>45207</c:v>
                </c:pt>
                <c:pt idx="4">
                  <c:v>45214</c:v>
                </c:pt>
                <c:pt idx="5">
                  <c:v>45217</c:v>
                </c:pt>
                <c:pt idx="6">
                  <c:v>45218</c:v>
                </c:pt>
                <c:pt idx="7">
                  <c:v>45230</c:v>
                </c:pt>
                <c:pt idx="8">
                  <c:v>45237</c:v>
                </c:pt>
                <c:pt idx="9">
                  <c:v>45244</c:v>
                </c:pt>
                <c:pt idx="10">
                  <c:v>45258</c:v>
                </c:pt>
              </c:numCache>
            </c:numRef>
          </c:xVal>
          <c:yVal>
            <c:numRef>
              <c:f>EC_irrigation!$B$11:$L$11</c:f>
              <c:numCache>
                <c:formatCode>General</c:formatCode>
                <c:ptCount val="11"/>
                <c:pt idx="0">
                  <c:v>3.7</c:v>
                </c:pt>
                <c:pt idx="1">
                  <c:v>4.3</c:v>
                </c:pt>
                <c:pt idx="4">
                  <c:v>3.6</c:v>
                </c:pt>
                <c:pt idx="6">
                  <c:v>3.7</c:v>
                </c:pt>
                <c:pt idx="8">
                  <c:v>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5C9-4974-9C2A-6E18FF69280F}"/>
            </c:ext>
          </c:extLst>
        </c:ser>
        <c:ser>
          <c:idx val="9"/>
          <c:order val="9"/>
          <c:tx>
            <c:strRef>
              <c:f>EC_irrigation!$A$12</c:f>
              <c:strCache>
                <c:ptCount val="1"/>
                <c:pt idx="0">
                  <c:v>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EC_irrigation!$B$2:$L$2</c:f>
              <c:numCache>
                <c:formatCode>d\-mmm</c:formatCode>
                <c:ptCount val="11"/>
                <c:pt idx="0">
                  <c:v>45176</c:v>
                </c:pt>
                <c:pt idx="1">
                  <c:v>45198</c:v>
                </c:pt>
                <c:pt idx="2">
                  <c:v>45203</c:v>
                </c:pt>
                <c:pt idx="3">
                  <c:v>45207</c:v>
                </c:pt>
                <c:pt idx="4">
                  <c:v>45214</c:v>
                </c:pt>
                <c:pt idx="5">
                  <c:v>45217</c:v>
                </c:pt>
                <c:pt idx="6">
                  <c:v>45218</c:v>
                </c:pt>
                <c:pt idx="7">
                  <c:v>45230</c:v>
                </c:pt>
                <c:pt idx="8">
                  <c:v>45237</c:v>
                </c:pt>
                <c:pt idx="9">
                  <c:v>45244</c:v>
                </c:pt>
                <c:pt idx="10">
                  <c:v>45258</c:v>
                </c:pt>
              </c:numCache>
            </c:numRef>
          </c:xVal>
          <c:yVal>
            <c:numRef>
              <c:f>EC_irrigation!$B$12:$L$12</c:f>
              <c:numCache>
                <c:formatCode>General</c:formatCode>
                <c:ptCount val="11"/>
                <c:pt idx="0">
                  <c:v>3.8</c:v>
                </c:pt>
                <c:pt idx="4">
                  <c:v>3.4</c:v>
                </c:pt>
                <c:pt idx="6">
                  <c:v>3.6</c:v>
                </c:pt>
                <c:pt idx="8">
                  <c:v>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5C9-4974-9C2A-6E18FF69280F}"/>
            </c:ext>
          </c:extLst>
        </c:ser>
        <c:ser>
          <c:idx val="10"/>
          <c:order val="10"/>
          <c:tx>
            <c:strRef>
              <c:f>EC_irrigation!$A$13</c:f>
              <c:strCache>
                <c:ptCount val="1"/>
                <c:pt idx="0">
                  <c:v>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EC_irrigation!$B$2:$L$2</c:f>
              <c:numCache>
                <c:formatCode>d\-mmm</c:formatCode>
                <c:ptCount val="11"/>
                <c:pt idx="0">
                  <c:v>45176</c:v>
                </c:pt>
                <c:pt idx="1">
                  <c:v>45198</c:v>
                </c:pt>
                <c:pt idx="2">
                  <c:v>45203</c:v>
                </c:pt>
                <c:pt idx="3">
                  <c:v>45207</c:v>
                </c:pt>
                <c:pt idx="4">
                  <c:v>45214</c:v>
                </c:pt>
                <c:pt idx="5">
                  <c:v>45217</c:v>
                </c:pt>
                <c:pt idx="6">
                  <c:v>45218</c:v>
                </c:pt>
                <c:pt idx="7">
                  <c:v>45230</c:v>
                </c:pt>
                <c:pt idx="8">
                  <c:v>45237</c:v>
                </c:pt>
                <c:pt idx="9">
                  <c:v>45244</c:v>
                </c:pt>
                <c:pt idx="10">
                  <c:v>45258</c:v>
                </c:pt>
              </c:numCache>
            </c:numRef>
          </c:xVal>
          <c:yVal>
            <c:numRef>
              <c:f>EC_irrigation!$B$13:$L$13</c:f>
              <c:numCache>
                <c:formatCode>General</c:formatCode>
                <c:ptCount val="11"/>
                <c:pt idx="0">
                  <c:v>3.8</c:v>
                </c:pt>
                <c:pt idx="1">
                  <c:v>4.4000000000000004</c:v>
                </c:pt>
                <c:pt idx="3">
                  <c:v>3.6</c:v>
                </c:pt>
                <c:pt idx="4">
                  <c:v>3.6</c:v>
                </c:pt>
                <c:pt idx="6">
                  <c:v>3.5</c:v>
                </c:pt>
                <c:pt idx="7">
                  <c:v>3.5</c:v>
                </c:pt>
                <c:pt idx="8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5C9-4974-9C2A-6E18FF69280F}"/>
            </c:ext>
          </c:extLst>
        </c:ser>
        <c:ser>
          <c:idx val="11"/>
          <c:order val="11"/>
          <c:tx>
            <c:strRef>
              <c:f>EC_irrigation!$A$14</c:f>
              <c:strCache>
                <c:ptCount val="1"/>
                <c:pt idx="0">
                  <c:v>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EC_irrigation!$B$2:$L$2</c:f>
              <c:numCache>
                <c:formatCode>d\-mmm</c:formatCode>
                <c:ptCount val="11"/>
                <c:pt idx="0">
                  <c:v>45176</c:v>
                </c:pt>
                <c:pt idx="1">
                  <c:v>45198</c:v>
                </c:pt>
                <c:pt idx="2">
                  <c:v>45203</c:v>
                </c:pt>
                <c:pt idx="3">
                  <c:v>45207</c:v>
                </c:pt>
                <c:pt idx="4">
                  <c:v>45214</c:v>
                </c:pt>
                <c:pt idx="5">
                  <c:v>45217</c:v>
                </c:pt>
                <c:pt idx="6">
                  <c:v>45218</c:v>
                </c:pt>
                <c:pt idx="7">
                  <c:v>45230</c:v>
                </c:pt>
                <c:pt idx="8">
                  <c:v>45237</c:v>
                </c:pt>
                <c:pt idx="9">
                  <c:v>45244</c:v>
                </c:pt>
                <c:pt idx="10">
                  <c:v>45258</c:v>
                </c:pt>
              </c:numCache>
            </c:numRef>
          </c:xVal>
          <c:yVal>
            <c:numRef>
              <c:f>EC_irrigation!$B$14:$L$14</c:f>
              <c:numCache>
                <c:formatCode>General</c:formatCode>
                <c:ptCount val="11"/>
                <c:pt idx="0">
                  <c:v>3.9</c:v>
                </c:pt>
                <c:pt idx="1">
                  <c:v>4.5</c:v>
                </c:pt>
                <c:pt idx="3">
                  <c:v>3.8</c:v>
                </c:pt>
                <c:pt idx="4">
                  <c:v>3.8</c:v>
                </c:pt>
                <c:pt idx="6">
                  <c:v>3.8</c:v>
                </c:pt>
                <c:pt idx="8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5C9-4974-9C2A-6E18FF692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0264975"/>
        <c:axId val="1699052687"/>
      </c:scatterChart>
      <c:valAx>
        <c:axId val="1580264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699052687"/>
        <c:crosses val="autoZero"/>
        <c:crossBetween val="midCat"/>
      </c:valAx>
      <c:valAx>
        <c:axId val="169905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EC</a:t>
                </a:r>
                <a:r>
                  <a:rPr lang="he-IL" sz="1100"/>
                  <a:t> </a:t>
                </a:r>
                <a:r>
                  <a:rPr lang="es-419" sz="1100"/>
                  <a:t>irrigation</a:t>
                </a:r>
                <a:r>
                  <a:rPr lang="es-419" sz="1100" baseline="0"/>
                  <a:t> solutions (dS/m)</a:t>
                </a:r>
                <a:endParaRPr lang="en-US" sz="1100"/>
              </a:p>
            </c:rich>
          </c:tx>
          <c:layout>
            <c:manualLayout>
              <c:xMode val="edge"/>
              <c:yMode val="edge"/>
              <c:x val="1.6810923134359387E-2"/>
              <c:y val="0.19439400858831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580264975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Drainage_N_EC!$B$3:$B$14</c:f>
              <c:numCache>
                <c:formatCode>General</c:formatCode>
                <c:ptCount val="12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6</c:v>
                </c:pt>
                <c:pt idx="5">
                  <c:v>6</c:v>
                </c:pt>
                <c:pt idx="6">
                  <c:v>1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2</c:v>
                </c:pt>
                <c:pt idx="11">
                  <c:v>2</c:v>
                </c:pt>
              </c:numCache>
            </c:numRef>
          </c:xVal>
          <c:yVal>
            <c:numRef>
              <c:f>Drainage_N_EC!$E$3:$E$14</c:f>
              <c:numCache>
                <c:formatCode>General</c:formatCode>
                <c:ptCount val="12"/>
                <c:pt idx="0">
                  <c:v>211</c:v>
                </c:pt>
                <c:pt idx="1">
                  <c:v>219</c:v>
                </c:pt>
                <c:pt idx="2">
                  <c:v>45</c:v>
                </c:pt>
                <c:pt idx="3">
                  <c:v>47</c:v>
                </c:pt>
                <c:pt idx="4">
                  <c:v>0</c:v>
                </c:pt>
                <c:pt idx="5">
                  <c:v>0</c:v>
                </c:pt>
                <c:pt idx="6">
                  <c:v>19</c:v>
                </c:pt>
                <c:pt idx="7">
                  <c:v>203</c:v>
                </c:pt>
                <c:pt idx="8">
                  <c:v>0</c:v>
                </c:pt>
                <c:pt idx="9">
                  <c:v>0</c:v>
                </c:pt>
                <c:pt idx="10">
                  <c:v>53</c:v>
                </c:pt>
                <c:pt idx="1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5A-4652-BC7C-E3A63277D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045472"/>
        <c:axId val="361043504"/>
      </c:scatterChart>
      <c:valAx>
        <c:axId val="36104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61043504"/>
        <c:crosses val="autoZero"/>
        <c:crossBetween val="midCat"/>
      </c:valAx>
      <c:valAx>
        <c:axId val="36104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6104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384234470691163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Drainage_N_EC!$K$2</c:f>
              <c:strCache>
                <c:ptCount val="1"/>
                <c:pt idx="0">
                  <c:v>31/10/2023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Drainage_N_EC!$C$3:$C$74</c:f>
              <c:numCache>
                <c:formatCode>General</c:formatCode>
                <c:ptCount val="72"/>
                <c:pt idx="0">
                  <c:v>5</c:v>
                </c:pt>
                <c:pt idx="1">
                  <c:v>10</c:v>
                </c:pt>
                <c:pt idx="2">
                  <c:v>8</c:v>
                </c:pt>
                <c:pt idx="3">
                  <c:v>2</c:v>
                </c:pt>
                <c:pt idx="4">
                  <c:v>12</c:v>
                </c:pt>
                <c:pt idx="5">
                  <c:v>6</c:v>
                </c:pt>
                <c:pt idx="6">
                  <c:v>1</c:v>
                </c:pt>
                <c:pt idx="7">
                  <c:v>11</c:v>
                </c:pt>
                <c:pt idx="8">
                  <c:v>10</c:v>
                </c:pt>
                <c:pt idx="9">
                  <c:v>5</c:v>
                </c:pt>
                <c:pt idx="10">
                  <c:v>8</c:v>
                </c:pt>
                <c:pt idx="11">
                  <c:v>2</c:v>
                </c:pt>
                <c:pt idx="12">
                  <c:v>9</c:v>
                </c:pt>
                <c:pt idx="13">
                  <c:v>7</c:v>
                </c:pt>
                <c:pt idx="14">
                  <c:v>3</c:v>
                </c:pt>
                <c:pt idx="15">
                  <c:v>6</c:v>
                </c:pt>
                <c:pt idx="16">
                  <c:v>4</c:v>
                </c:pt>
                <c:pt idx="17">
                  <c:v>12</c:v>
                </c:pt>
                <c:pt idx="18">
                  <c:v>7</c:v>
                </c:pt>
                <c:pt idx="19">
                  <c:v>11</c:v>
                </c:pt>
                <c:pt idx="20">
                  <c:v>1</c:v>
                </c:pt>
                <c:pt idx="21">
                  <c:v>4</c:v>
                </c:pt>
                <c:pt idx="22">
                  <c:v>3</c:v>
                </c:pt>
                <c:pt idx="23">
                  <c:v>9</c:v>
                </c:pt>
                <c:pt idx="24">
                  <c:v>7</c:v>
                </c:pt>
                <c:pt idx="25">
                  <c:v>12</c:v>
                </c:pt>
                <c:pt idx="26">
                  <c:v>10</c:v>
                </c:pt>
                <c:pt idx="27">
                  <c:v>2</c:v>
                </c:pt>
                <c:pt idx="28">
                  <c:v>6</c:v>
                </c:pt>
                <c:pt idx="29">
                  <c:v>8</c:v>
                </c:pt>
                <c:pt idx="30">
                  <c:v>11</c:v>
                </c:pt>
                <c:pt idx="31">
                  <c:v>12</c:v>
                </c:pt>
                <c:pt idx="32">
                  <c:v>7</c:v>
                </c:pt>
                <c:pt idx="33">
                  <c:v>3</c:v>
                </c:pt>
                <c:pt idx="34">
                  <c:v>4</c:v>
                </c:pt>
                <c:pt idx="35">
                  <c:v>10</c:v>
                </c:pt>
                <c:pt idx="36">
                  <c:v>6</c:v>
                </c:pt>
                <c:pt idx="37">
                  <c:v>5</c:v>
                </c:pt>
                <c:pt idx="38">
                  <c:v>1</c:v>
                </c:pt>
                <c:pt idx="39">
                  <c:v>2</c:v>
                </c:pt>
                <c:pt idx="40">
                  <c:v>8</c:v>
                </c:pt>
                <c:pt idx="41">
                  <c:v>9</c:v>
                </c:pt>
                <c:pt idx="42">
                  <c:v>1</c:v>
                </c:pt>
                <c:pt idx="43">
                  <c:v>4</c:v>
                </c:pt>
                <c:pt idx="44">
                  <c:v>9</c:v>
                </c:pt>
                <c:pt idx="45">
                  <c:v>3</c:v>
                </c:pt>
                <c:pt idx="46">
                  <c:v>5</c:v>
                </c:pt>
                <c:pt idx="47">
                  <c:v>11</c:v>
                </c:pt>
                <c:pt idx="48">
                  <c:v>5</c:v>
                </c:pt>
                <c:pt idx="49">
                  <c:v>4</c:v>
                </c:pt>
                <c:pt idx="50">
                  <c:v>9</c:v>
                </c:pt>
                <c:pt idx="51">
                  <c:v>8</c:v>
                </c:pt>
                <c:pt idx="52">
                  <c:v>1</c:v>
                </c:pt>
                <c:pt idx="53">
                  <c:v>7</c:v>
                </c:pt>
                <c:pt idx="54">
                  <c:v>5</c:v>
                </c:pt>
                <c:pt idx="55">
                  <c:v>6</c:v>
                </c:pt>
                <c:pt idx="56">
                  <c:v>8</c:v>
                </c:pt>
                <c:pt idx="57">
                  <c:v>2</c:v>
                </c:pt>
                <c:pt idx="58">
                  <c:v>1</c:v>
                </c:pt>
                <c:pt idx="59">
                  <c:v>11</c:v>
                </c:pt>
                <c:pt idx="60">
                  <c:v>12</c:v>
                </c:pt>
                <c:pt idx="61">
                  <c:v>3</c:v>
                </c:pt>
                <c:pt idx="62">
                  <c:v>7</c:v>
                </c:pt>
                <c:pt idx="63">
                  <c:v>10</c:v>
                </c:pt>
                <c:pt idx="64">
                  <c:v>4</c:v>
                </c:pt>
                <c:pt idx="65">
                  <c:v>9</c:v>
                </c:pt>
                <c:pt idx="66">
                  <c:v>11</c:v>
                </c:pt>
                <c:pt idx="67">
                  <c:v>6</c:v>
                </c:pt>
                <c:pt idx="68">
                  <c:v>2</c:v>
                </c:pt>
                <c:pt idx="69">
                  <c:v>10</c:v>
                </c:pt>
                <c:pt idx="70">
                  <c:v>12</c:v>
                </c:pt>
                <c:pt idx="71">
                  <c:v>3</c:v>
                </c:pt>
              </c:numCache>
            </c:numRef>
          </c:xVal>
          <c:yVal>
            <c:numRef>
              <c:f>Drainage_N_EC!$K$3:$K$74</c:f>
              <c:numCache>
                <c:formatCode>General</c:formatCode>
                <c:ptCount val="72"/>
                <c:pt idx="0">
                  <c:v>204</c:v>
                </c:pt>
                <c:pt idx="1">
                  <c:v>258</c:v>
                </c:pt>
                <c:pt idx="2">
                  <c:v>52</c:v>
                </c:pt>
                <c:pt idx="3">
                  <c:v>50</c:v>
                </c:pt>
                <c:pt idx="4">
                  <c:v>398</c:v>
                </c:pt>
                <c:pt idx="5">
                  <c:v>308</c:v>
                </c:pt>
                <c:pt idx="6">
                  <c:v>32</c:v>
                </c:pt>
                <c:pt idx="7">
                  <c:v>346</c:v>
                </c:pt>
                <c:pt idx="8">
                  <c:v>196</c:v>
                </c:pt>
                <c:pt idx="9">
                  <c:v>0</c:v>
                </c:pt>
                <c:pt idx="14">
                  <c:v>120</c:v>
                </c:pt>
                <c:pt idx="15">
                  <c:v>306</c:v>
                </c:pt>
                <c:pt idx="16">
                  <c:v>199</c:v>
                </c:pt>
                <c:pt idx="17">
                  <c:v>368</c:v>
                </c:pt>
                <c:pt idx="18">
                  <c:v>32</c:v>
                </c:pt>
                <c:pt idx="19">
                  <c:v>322</c:v>
                </c:pt>
                <c:pt idx="20">
                  <c:v>28</c:v>
                </c:pt>
                <c:pt idx="21">
                  <c:v>192</c:v>
                </c:pt>
                <c:pt idx="22">
                  <c:v>135</c:v>
                </c:pt>
                <c:pt idx="23">
                  <c:v>140</c:v>
                </c:pt>
                <c:pt idx="24">
                  <c:v>35</c:v>
                </c:pt>
                <c:pt idx="25">
                  <c:v>360</c:v>
                </c:pt>
                <c:pt idx="26">
                  <c:v>254</c:v>
                </c:pt>
                <c:pt idx="27">
                  <c:v>17</c:v>
                </c:pt>
                <c:pt idx="28">
                  <c:v>390</c:v>
                </c:pt>
                <c:pt idx="29">
                  <c:v>56</c:v>
                </c:pt>
                <c:pt idx="30">
                  <c:v>326</c:v>
                </c:pt>
                <c:pt idx="31">
                  <c:v>330</c:v>
                </c:pt>
                <c:pt idx="32">
                  <c:v>29</c:v>
                </c:pt>
                <c:pt idx="33">
                  <c:v>108</c:v>
                </c:pt>
                <c:pt idx="38">
                  <c:v>22</c:v>
                </c:pt>
                <c:pt idx="39">
                  <c:v>59</c:v>
                </c:pt>
                <c:pt idx="40">
                  <c:v>57</c:v>
                </c:pt>
                <c:pt idx="41">
                  <c:v>116</c:v>
                </c:pt>
                <c:pt idx="42">
                  <c:v>29</c:v>
                </c:pt>
                <c:pt idx="43">
                  <c:v>179</c:v>
                </c:pt>
                <c:pt idx="44">
                  <c:v>130</c:v>
                </c:pt>
                <c:pt idx="45">
                  <c:v>109</c:v>
                </c:pt>
                <c:pt idx="46">
                  <c:v>246</c:v>
                </c:pt>
                <c:pt idx="47">
                  <c:v>374</c:v>
                </c:pt>
                <c:pt idx="48">
                  <c:v>238</c:v>
                </c:pt>
                <c:pt idx="49">
                  <c:v>209</c:v>
                </c:pt>
                <c:pt idx="50">
                  <c:v>111</c:v>
                </c:pt>
                <c:pt idx="51">
                  <c:v>47</c:v>
                </c:pt>
                <c:pt idx="52">
                  <c:v>33</c:v>
                </c:pt>
                <c:pt idx="53">
                  <c:v>30</c:v>
                </c:pt>
                <c:pt idx="54">
                  <c:v>238</c:v>
                </c:pt>
                <c:pt idx="55">
                  <c:v>392</c:v>
                </c:pt>
                <c:pt idx="56">
                  <c:v>60</c:v>
                </c:pt>
                <c:pt idx="57">
                  <c:v>59</c:v>
                </c:pt>
                <c:pt idx="62">
                  <c:v>33</c:v>
                </c:pt>
                <c:pt idx="63">
                  <c:v>189</c:v>
                </c:pt>
                <c:pt idx="64">
                  <c:v>184</c:v>
                </c:pt>
                <c:pt idx="65">
                  <c:v>130</c:v>
                </c:pt>
                <c:pt idx="66">
                  <c:v>310</c:v>
                </c:pt>
                <c:pt idx="67">
                  <c:v>318</c:v>
                </c:pt>
                <c:pt idx="68">
                  <c:v>64</c:v>
                </c:pt>
                <c:pt idx="69">
                  <c:v>202</c:v>
                </c:pt>
                <c:pt idx="70">
                  <c:v>370</c:v>
                </c:pt>
                <c:pt idx="71">
                  <c:v>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45-4EB1-9DA2-AE8DAD525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579663"/>
        <c:axId val="684451439"/>
      </c:scatterChart>
      <c:valAx>
        <c:axId val="68257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84451439"/>
        <c:crosses val="autoZero"/>
        <c:crossBetween val="midCat"/>
      </c:valAx>
      <c:valAx>
        <c:axId val="68445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82579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Drainage_N_EC!$D$3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Drainage_N_EC!$E$2:$O$2</c:f>
              <c:numCache>
                <c:formatCode>m/d/yyyy</c:formatCode>
                <c:ptCount val="11"/>
                <c:pt idx="0">
                  <c:v>45188</c:v>
                </c:pt>
                <c:pt idx="1">
                  <c:v>45189</c:v>
                </c:pt>
                <c:pt idx="2">
                  <c:v>45196</c:v>
                </c:pt>
                <c:pt idx="3">
                  <c:v>45203</c:v>
                </c:pt>
                <c:pt idx="4">
                  <c:v>45214</c:v>
                </c:pt>
                <c:pt idx="5">
                  <c:v>45221</c:v>
                </c:pt>
                <c:pt idx="6">
                  <c:v>45230</c:v>
                </c:pt>
                <c:pt idx="7">
                  <c:v>45237</c:v>
                </c:pt>
                <c:pt idx="8">
                  <c:v>45244</c:v>
                </c:pt>
                <c:pt idx="9">
                  <c:v>45251</c:v>
                </c:pt>
                <c:pt idx="10">
                  <c:v>45258</c:v>
                </c:pt>
              </c:numCache>
            </c:numRef>
          </c:xVal>
          <c:yVal>
            <c:numRef>
              <c:f>Drainage_N_EC!$E$3:$O$3</c:f>
              <c:numCache>
                <c:formatCode>General</c:formatCode>
                <c:ptCount val="11"/>
                <c:pt idx="0">
                  <c:v>211</c:v>
                </c:pt>
                <c:pt idx="1">
                  <c:v>208</c:v>
                </c:pt>
                <c:pt idx="2">
                  <c:v>199</c:v>
                </c:pt>
                <c:pt idx="4">
                  <c:v>0</c:v>
                </c:pt>
                <c:pt idx="5">
                  <c:v>220</c:v>
                </c:pt>
                <c:pt idx="6">
                  <c:v>204</c:v>
                </c:pt>
                <c:pt idx="7">
                  <c:v>192</c:v>
                </c:pt>
                <c:pt idx="8">
                  <c:v>236</c:v>
                </c:pt>
                <c:pt idx="9">
                  <c:v>366</c:v>
                </c:pt>
                <c:pt idx="10">
                  <c:v>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3A-493E-872F-1460D6BC84A0}"/>
            </c:ext>
          </c:extLst>
        </c:ser>
        <c:ser>
          <c:idx val="1"/>
          <c:order val="1"/>
          <c:tx>
            <c:strRef>
              <c:f>Drainage_N_EC!$D$4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Drainage_N_EC!$E$2:$O$2</c:f>
              <c:numCache>
                <c:formatCode>m/d/yyyy</c:formatCode>
                <c:ptCount val="11"/>
                <c:pt idx="0">
                  <c:v>45188</c:v>
                </c:pt>
                <c:pt idx="1">
                  <c:v>45189</c:v>
                </c:pt>
                <c:pt idx="2">
                  <c:v>45196</c:v>
                </c:pt>
                <c:pt idx="3">
                  <c:v>45203</c:v>
                </c:pt>
                <c:pt idx="4">
                  <c:v>45214</c:v>
                </c:pt>
                <c:pt idx="5">
                  <c:v>45221</c:v>
                </c:pt>
                <c:pt idx="6">
                  <c:v>45230</c:v>
                </c:pt>
                <c:pt idx="7">
                  <c:v>45237</c:v>
                </c:pt>
                <c:pt idx="8">
                  <c:v>45244</c:v>
                </c:pt>
                <c:pt idx="9">
                  <c:v>45251</c:v>
                </c:pt>
                <c:pt idx="10">
                  <c:v>45258</c:v>
                </c:pt>
              </c:numCache>
            </c:numRef>
          </c:xVal>
          <c:yVal>
            <c:numRef>
              <c:f>Drainage_N_EC!$E$4:$O$4</c:f>
              <c:numCache>
                <c:formatCode>General</c:formatCode>
                <c:ptCount val="11"/>
                <c:pt idx="0">
                  <c:v>219</c:v>
                </c:pt>
                <c:pt idx="1">
                  <c:v>226</c:v>
                </c:pt>
                <c:pt idx="2">
                  <c:v>214</c:v>
                </c:pt>
                <c:pt idx="4">
                  <c:v>0</c:v>
                </c:pt>
                <c:pt idx="5">
                  <c:v>252</c:v>
                </c:pt>
                <c:pt idx="6">
                  <c:v>258</c:v>
                </c:pt>
                <c:pt idx="7">
                  <c:v>198</c:v>
                </c:pt>
                <c:pt idx="8">
                  <c:v>272</c:v>
                </c:pt>
                <c:pt idx="9">
                  <c:v>304</c:v>
                </c:pt>
                <c:pt idx="10">
                  <c:v>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3A-493E-872F-1460D6BC84A0}"/>
            </c:ext>
          </c:extLst>
        </c:ser>
        <c:ser>
          <c:idx val="2"/>
          <c:order val="2"/>
          <c:tx>
            <c:strRef>
              <c:f>Drainage_N_EC!$D$5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Drainage_N_EC!$E$2:$O$2</c:f>
              <c:numCache>
                <c:formatCode>m/d/yyyy</c:formatCode>
                <c:ptCount val="11"/>
                <c:pt idx="0">
                  <c:v>45188</c:v>
                </c:pt>
                <c:pt idx="1">
                  <c:v>45189</c:v>
                </c:pt>
                <c:pt idx="2">
                  <c:v>45196</c:v>
                </c:pt>
                <c:pt idx="3">
                  <c:v>45203</c:v>
                </c:pt>
                <c:pt idx="4">
                  <c:v>45214</c:v>
                </c:pt>
                <c:pt idx="5">
                  <c:v>45221</c:v>
                </c:pt>
                <c:pt idx="6">
                  <c:v>45230</c:v>
                </c:pt>
                <c:pt idx="7">
                  <c:v>45237</c:v>
                </c:pt>
                <c:pt idx="8">
                  <c:v>45244</c:v>
                </c:pt>
                <c:pt idx="9">
                  <c:v>45251</c:v>
                </c:pt>
                <c:pt idx="10">
                  <c:v>45258</c:v>
                </c:pt>
              </c:numCache>
            </c:numRef>
          </c:xVal>
          <c:yVal>
            <c:numRef>
              <c:f>Drainage_N_EC!$E$5:$O$5</c:f>
              <c:numCache>
                <c:formatCode>General</c:formatCode>
                <c:ptCount val="11"/>
                <c:pt idx="0">
                  <c:v>45</c:v>
                </c:pt>
                <c:pt idx="1">
                  <c:v>37</c:v>
                </c:pt>
                <c:pt idx="2">
                  <c:v>42</c:v>
                </c:pt>
                <c:pt idx="3">
                  <c:v>47</c:v>
                </c:pt>
                <c:pt idx="4">
                  <c:v>46</c:v>
                </c:pt>
                <c:pt idx="5">
                  <c:v>43</c:v>
                </c:pt>
                <c:pt idx="6">
                  <c:v>52</c:v>
                </c:pt>
                <c:pt idx="7">
                  <c:v>53</c:v>
                </c:pt>
                <c:pt idx="8">
                  <c:v>64</c:v>
                </c:pt>
                <c:pt idx="9">
                  <c:v>58</c:v>
                </c:pt>
                <c:pt idx="10">
                  <c:v>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3A-493E-872F-1460D6BC84A0}"/>
            </c:ext>
          </c:extLst>
        </c:ser>
        <c:ser>
          <c:idx val="3"/>
          <c:order val="3"/>
          <c:tx>
            <c:strRef>
              <c:f>Drainage_N_EC!$D$6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Drainage_N_EC!$E$2:$O$2</c:f>
              <c:numCache>
                <c:formatCode>m/d/yyyy</c:formatCode>
                <c:ptCount val="11"/>
                <c:pt idx="0">
                  <c:v>45188</c:v>
                </c:pt>
                <c:pt idx="1">
                  <c:v>45189</c:v>
                </c:pt>
                <c:pt idx="2">
                  <c:v>45196</c:v>
                </c:pt>
                <c:pt idx="3">
                  <c:v>45203</c:v>
                </c:pt>
                <c:pt idx="4">
                  <c:v>45214</c:v>
                </c:pt>
                <c:pt idx="5">
                  <c:v>45221</c:v>
                </c:pt>
                <c:pt idx="6">
                  <c:v>45230</c:v>
                </c:pt>
                <c:pt idx="7">
                  <c:v>45237</c:v>
                </c:pt>
                <c:pt idx="8">
                  <c:v>45244</c:v>
                </c:pt>
                <c:pt idx="9">
                  <c:v>45251</c:v>
                </c:pt>
                <c:pt idx="10">
                  <c:v>45258</c:v>
                </c:pt>
              </c:numCache>
            </c:numRef>
          </c:xVal>
          <c:yVal>
            <c:numRef>
              <c:f>Drainage_N_EC!$E$6:$O$6</c:f>
              <c:numCache>
                <c:formatCode>General</c:formatCode>
                <c:ptCount val="11"/>
                <c:pt idx="0">
                  <c:v>47</c:v>
                </c:pt>
                <c:pt idx="1">
                  <c:v>46</c:v>
                </c:pt>
                <c:pt idx="2">
                  <c:v>45</c:v>
                </c:pt>
                <c:pt idx="3">
                  <c:v>48</c:v>
                </c:pt>
                <c:pt idx="4">
                  <c:v>44</c:v>
                </c:pt>
                <c:pt idx="5">
                  <c:v>46</c:v>
                </c:pt>
                <c:pt idx="6">
                  <c:v>50</c:v>
                </c:pt>
                <c:pt idx="7">
                  <c:v>47</c:v>
                </c:pt>
                <c:pt idx="8">
                  <c:v>46</c:v>
                </c:pt>
                <c:pt idx="9">
                  <c:v>43</c:v>
                </c:pt>
                <c:pt idx="10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3A-493E-872F-1460D6BC84A0}"/>
            </c:ext>
          </c:extLst>
        </c:ser>
        <c:ser>
          <c:idx val="4"/>
          <c:order val="4"/>
          <c:tx>
            <c:strRef>
              <c:f>Drainage_N_EC!$D$7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Drainage_N_EC!$E$2:$O$2</c:f>
              <c:numCache>
                <c:formatCode>m/d/yyyy</c:formatCode>
                <c:ptCount val="11"/>
                <c:pt idx="0">
                  <c:v>45188</c:v>
                </c:pt>
                <c:pt idx="1">
                  <c:v>45189</c:v>
                </c:pt>
                <c:pt idx="2">
                  <c:v>45196</c:v>
                </c:pt>
                <c:pt idx="3">
                  <c:v>45203</c:v>
                </c:pt>
                <c:pt idx="4">
                  <c:v>45214</c:v>
                </c:pt>
                <c:pt idx="5">
                  <c:v>45221</c:v>
                </c:pt>
                <c:pt idx="6">
                  <c:v>45230</c:v>
                </c:pt>
                <c:pt idx="7">
                  <c:v>45237</c:v>
                </c:pt>
                <c:pt idx="8">
                  <c:v>45244</c:v>
                </c:pt>
                <c:pt idx="9">
                  <c:v>45251</c:v>
                </c:pt>
                <c:pt idx="10">
                  <c:v>45258</c:v>
                </c:pt>
              </c:numCache>
            </c:numRef>
          </c:xVal>
          <c:yVal>
            <c:numRef>
              <c:f>Drainage_N_EC!$E$7:$O$7</c:f>
              <c:numCache>
                <c:formatCode>General</c:formatCode>
                <c:ptCount val="11"/>
                <c:pt idx="0">
                  <c:v>0</c:v>
                </c:pt>
                <c:pt idx="2">
                  <c:v>286</c:v>
                </c:pt>
                <c:pt idx="4">
                  <c:v>0</c:v>
                </c:pt>
                <c:pt idx="5">
                  <c:v>350</c:v>
                </c:pt>
                <c:pt idx="6">
                  <c:v>398</c:v>
                </c:pt>
                <c:pt idx="7">
                  <c:v>338</c:v>
                </c:pt>
                <c:pt idx="8">
                  <c:v>386</c:v>
                </c:pt>
                <c:pt idx="9">
                  <c:v>398</c:v>
                </c:pt>
                <c:pt idx="10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3A-493E-872F-1460D6BC84A0}"/>
            </c:ext>
          </c:extLst>
        </c:ser>
        <c:ser>
          <c:idx val="5"/>
          <c:order val="5"/>
          <c:tx>
            <c:strRef>
              <c:f>Drainage_N_EC!$D$8</c:f>
              <c:strCache>
                <c:ptCount val="1"/>
                <c:pt idx="0">
                  <c:v>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Drainage_N_EC!$E$2:$O$2</c:f>
              <c:numCache>
                <c:formatCode>m/d/yyyy</c:formatCode>
                <c:ptCount val="11"/>
                <c:pt idx="0">
                  <c:v>45188</c:v>
                </c:pt>
                <c:pt idx="1">
                  <c:v>45189</c:v>
                </c:pt>
                <c:pt idx="2">
                  <c:v>45196</c:v>
                </c:pt>
                <c:pt idx="3">
                  <c:v>45203</c:v>
                </c:pt>
                <c:pt idx="4">
                  <c:v>45214</c:v>
                </c:pt>
                <c:pt idx="5">
                  <c:v>45221</c:v>
                </c:pt>
                <c:pt idx="6">
                  <c:v>45230</c:v>
                </c:pt>
                <c:pt idx="7">
                  <c:v>45237</c:v>
                </c:pt>
                <c:pt idx="8">
                  <c:v>45244</c:v>
                </c:pt>
                <c:pt idx="9">
                  <c:v>45251</c:v>
                </c:pt>
                <c:pt idx="10">
                  <c:v>45258</c:v>
                </c:pt>
              </c:numCache>
            </c:numRef>
          </c:xVal>
          <c:yVal>
            <c:numRef>
              <c:f>Drainage_N_EC!$E$8:$O$8</c:f>
              <c:numCache>
                <c:formatCode>General</c:formatCode>
                <c:ptCount val="11"/>
                <c:pt idx="0">
                  <c:v>0</c:v>
                </c:pt>
                <c:pt idx="2">
                  <c:v>276</c:v>
                </c:pt>
                <c:pt idx="4">
                  <c:v>0</c:v>
                </c:pt>
                <c:pt idx="5">
                  <c:v>292</c:v>
                </c:pt>
                <c:pt idx="6">
                  <c:v>308</c:v>
                </c:pt>
                <c:pt idx="7">
                  <c:v>266</c:v>
                </c:pt>
                <c:pt idx="8">
                  <c:v>342</c:v>
                </c:pt>
                <c:pt idx="9">
                  <c:v>430</c:v>
                </c:pt>
                <c:pt idx="10">
                  <c:v>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B3A-493E-872F-1460D6BC84A0}"/>
            </c:ext>
          </c:extLst>
        </c:ser>
        <c:ser>
          <c:idx val="6"/>
          <c:order val="6"/>
          <c:tx>
            <c:strRef>
              <c:f>Drainage_N_EC!$D$9</c:f>
              <c:strCache>
                <c:ptCount val="1"/>
                <c:pt idx="0">
                  <c:v>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Drainage_N_EC!$E$2:$O$2</c:f>
              <c:numCache>
                <c:formatCode>m/d/yyyy</c:formatCode>
                <c:ptCount val="11"/>
                <c:pt idx="0">
                  <c:v>45188</c:v>
                </c:pt>
                <c:pt idx="1">
                  <c:v>45189</c:v>
                </c:pt>
                <c:pt idx="2">
                  <c:v>45196</c:v>
                </c:pt>
                <c:pt idx="3">
                  <c:v>45203</c:v>
                </c:pt>
                <c:pt idx="4">
                  <c:v>45214</c:v>
                </c:pt>
                <c:pt idx="5">
                  <c:v>45221</c:v>
                </c:pt>
                <c:pt idx="6">
                  <c:v>45230</c:v>
                </c:pt>
                <c:pt idx="7">
                  <c:v>45237</c:v>
                </c:pt>
                <c:pt idx="8">
                  <c:v>45244</c:v>
                </c:pt>
                <c:pt idx="9">
                  <c:v>45251</c:v>
                </c:pt>
                <c:pt idx="10">
                  <c:v>45258</c:v>
                </c:pt>
              </c:numCache>
            </c:numRef>
          </c:xVal>
          <c:yVal>
            <c:numRef>
              <c:f>Drainage_N_EC!$E$9:$O$9</c:f>
              <c:numCache>
                <c:formatCode>General</c:formatCode>
                <c:ptCount val="11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20</c:v>
                </c:pt>
                <c:pt idx="4">
                  <c:v>17</c:v>
                </c:pt>
                <c:pt idx="5">
                  <c:v>17</c:v>
                </c:pt>
                <c:pt idx="6">
                  <c:v>32</c:v>
                </c:pt>
                <c:pt idx="7">
                  <c:v>37</c:v>
                </c:pt>
                <c:pt idx="8">
                  <c:v>27</c:v>
                </c:pt>
                <c:pt idx="9">
                  <c:v>25</c:v>
                </c:pt>
                <c:pt idx="10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B3A-493E-872F-1460D6BC84A0}"/>
            </c:ext>
          </c:extLst>
        </c:ser>
        <c:ser>
          <c:idx val="7"/>
          <c:order val="7"/>
          <c:tx>
            <c:strRef>
              <c:f>Drainage_N_EC!$D$10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Drainage_N_EC!$E$2:$O$2</c:f>
              <c:numCache>
                <c:formatCode>m/d/yyyy</c:formatCode>
                <c:ptCount val="11"/>
                <c:pt idx="0">
                  <c:v>45188</c:v>
                </c:pt>
                <c:pt idx="1">
                  <c:v>45189</c:v>
                </c:pt>
                <c:pt idx="2">
                  <c:v>45196</c:v>
                </c:pt>
                <c:pt idx="3">
                  <c:v>45203</c:v>
                </c:pt>
                <c:pt idx="4">
                  <c:v>45214</c:v>
                </c:pt>
                <c:pt idx="5">
                  <c:v>45221</c:v>
                </c:pt>
                <c:pt idx="6">
                  <c:v>45230</c:v>
                </c:pt>
                <c:pt idx="7">
                  <c:v>45237</c:v>
                </c:pt>
                <c:pt idx="8">
                  <c:v>45244</c:v>
                </c:pt>
                <c:pt idx="9">
                  <c:v>45251</c:v>
                </c:pt>
                <c:pt idx="10">
                  <c:v>45258</c:v>
                </c:pt>
              </c:numCache>
            </c:numRef>
          </c:xVal>
          <c:yVal>
            <c:numRef>
              <c:f>Drainage_N_EC!$E$10:$O$10</c:f>
              <c:numCache>
                <c:formatCode>General</c:formatCode>
                <c:ptCount val="11"/>
                <c:pt idx="0">
                  <c:v>203</c:v>
                </c:pt>
                <c:pt idx="1">
                  <c:v>215</c:v>
                </c:pt>
                <c:pt idx="2">
                  <c:v>215</c:v>
                </c:pt>
                <c:pt idx="4">
                  <c:v>0</c:v>
                </c:pt>
                <c:pt idx="5">
                  <c:v>198</c:v>
                </c:pt>
                <c:pt idx="6">
                  <c:v>346</c:v>
                </c:pt>
                <c:pt idx="7">
                  <c:v>344</c:v>
                </c:pt>
                <c:pt idx="8">
                  <c:v>296</c:v>
                </c:pt>
                <c:pt idx="9">
                  <c:v>330</c:v>
                </c:pt>
                <c:pt idx="10">
                  <c:v>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B3A-493E-872F-1460D6BC84A0}"/>
            </c:ext>
          </c:extLst>
        </c:ser>
        <c:ser>
          <c:idx val="8"/>
          <c:order val="8"/>
          <c:tx>
            <c:strRef>
              <c:f>Drainage_N_EC!$D$11</c:f>
              <c:strCache>
                <c:ptCount val="1"/>
                <c:pt idx="0">
                  <c:v>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Drainage_N_EC!$E$2:$O$2</c:f>
              <c:numCache>
                <c:formatCode>m/d/yyyy</c:formatCode>
                <c:ptCount val="11"/>
                <c:pt idx="0">
                  <c:v>45188</c:v>
                </c:pt>
                <c:pt idx="1">
                  <c:v>45189</c:v>
                </c:pt>
                <c:pt idx="2">
                  <c:v>45196</c:v>
                </c:pt>
                <c:pt idx="3">
                  <c:v>45203</c:v>
                </c:pt>
                <c:pt idx="4">
                  <c:v>45214</c:v>
                </c:pt>
                <c:pt idx="5">
                  <c:v>45221</c:v>
                </c:pt>
                <c:pt idx="6">
                  <c:v>45230</c:v>
                </c:pt>
                <c:pt idx="7">
                  <c:v>45237</c:v>
                </c:pt>
                <c:pt idx="8">
                  <c:v>45244</c:v>
                </c:pt>
                <c:pt idx="9">
                  <c:v>45251</c:v>
                </c:pt>
                <c:pt idx="10">
                  <c:v>45258</c:v>
                </c:pt>
              </c:numCache>
            </c:numRef>
          </c:xVal>
          <c:yVal>
            <c:numRef>
              <c:f>Drainage_N_EC!$E$11:$O$11</c:f>
              <c:numCache>
                <c:formatCode>General</c:formatCode>
                <c:ptCount val="11"/>
                <c:pt idx="0">
                  <c:v>0</c:v>
                </c:pt>
                <c:pt idx="2">
                  <c:v>222</c:v>
                </c:pt>
                <c:pt idx="4">
                  <c:v>203</c:v>
                </c:pt>
                <c:pt idx="5">
                  <c:v>194</c:v>
                </c:pt>
                <c:pt idx="6">
                  <c:v>196</c:v>
                </c:pt>
                <c:pt idx="7">
                  <c:v>210</c:v>
                </c:pt>
                <c:pt idx="8">
                  <c:v>278</c:v>
                </c:pt>
                <c:pt idx="9">
                  <c:v>376</c:v>
                </c:pt>
                <c:pt idx="10">
                  <c:v>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B3A-493E-872F-1460D6BC84A0}"/>
            </c:ext>
          </c:extLst>
        </c:ser>
        <c:ser>
          <c:idx val="9"/>
          <c:order val="9"/>
          <c:tx>
            <c:strRef>
              <c:f>Drainage_N_EC!$D$12</c:f>
              <c:strCache>
                <c:ptCount val="1"/>
                <c:pt idx="0">
                  <c:v>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Drainage_N_EC!$E$2:$O$2</c:f>
              <c:numCache>
                <c:formatCode>m/d/yyyy</c:formatCode>
                <c:ptCount val="11"/>
                <c:pt idx="0">
                  <c:v>45188</c:v>
                </c:pt>
                <c:pt idx="1">
                  <c:v>45189</c:v>
                </c:pt>
                <c:pt idx="2">
                  <c:v>45196</c:v>
                </c:pt>
                <c:pt idx="3">
                  <c:v>45203</c:v>
                </c:pt>
                <c:pt idx="4">
                  <c:v>45214</c:v>
                </c:pt>
                <c:pt idx="5">
                  <c:v>45221</c:v>
                </c:pt>
                <c:pt idx="6">
                  <c:v>45230</c:v>
                </c:pt>
                <c:pt idx="7">
                  <c:v>45237</c:v>
                </c:pt>
                <c:pt idx="8">
                  <c:v>45244</c:v>
                </c:pt>
                <c:pt idx="9">
                  <c:v>45251</c:v>
                </c:pt>
                <c:pt idx="10">
                  <c:v>45258</c:v>
                </c:pt>
              </c:numCache>
            </c:numRef>
          </c:xVal>
          <c:yVal>
            <c:numRef>
              <c:f>Drainage_N_EC!$E$12:$O$12</c:f>
              <c:numCache>
                <c:formatCode>General</c:formatCode>
                <c:ptCount val="11"/>
                <c:pt idx="0">
                  <c:v>0</c:v>
                </c:pt>
                <c:pt idx="2">
                  <c:v>218</c:v>
                </c:pt>
                <c:pt idx="4">
                  <c:v>227</c:v>
                </c:pt>
                <c:pt idx="5">
                  <c:v>229</c:v>
                </c:pt>
                <c:pt idx="6">
                  <c:v>0</c:v>
                </c:pt>
                <c:pt idx="7">
                  <c:v>177</c:v>
                </c:pt>
                <c:pt idx="8">
                  <c:v>228</c:v>
                </c:pt>
                <c:pt idx="9">
                  <c:v>348</c:v>
                </c:pt>
                <c:pt idx="10">
                  <c:v>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B3A-493E-872F-1460D6BC84A0}"/>
            </c:ext>
          </c:extLst>
        </c:ser>
        <c:ser>
          <c:idx val="10"/>
          <c:order val="10"/>
          <c:tx>
            <c:strRef>
              <c:f>Drainage_N_EC!$D$13</c:f>
              <c:strCache>
                <c:ptCount val="1"/>
                <c:pt idx="0">
                  <c:v>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Drainage_N_EC!$E$2:$O$2</c:f>
              <c:numCache>
                <c:formatCode>m/d/yyyy</c:formatCode>
                <c:ptCount val="11"/>
                <c:pt idx="0">
                  <c:v>45188</c:v>
                </c:pt>
                <c:pt idx="1">
                  <c:v>45189</c:v>
                </c:pt>
                <c:pt idx="2">
                  <c:v>45196</c:v>
                </c:pt>
                <c:pt idx="3">
                  <c:v>45203</c:v>
                </c:pt>
                <c:pt idx="4">
                  <c:v>45214</c:v>
                </c:pt>
                <c:pt idx="5">
                  <c:v>45221</c:v>
                </c:pt>
                <c:pt idx="6">
                  <c:v>45230</c:v>
                </c:pt>
                <c:pt idx="7">
                  <c:v>45237</c:v>
                </c:pt>
                <c:pt idx="8">
                  <c:v>45244</c:v>
                </c:pt>
                <c:pt idx="9">
                  <c:v>45251</c:v>
                </c:pt>
                <c:pt idx="10">
                  <c:v>45258</c:v>
                </c:pt>
              </c:numCache>
            </c:numRef>
          </c:xVal>
          <c:yVal>
            <c:numRef>
              <c:f>Drainage_N_EC!$E$13:$O$13</c:f>
              <c:numCache>
                <c:formatCode>General</c:formatCode>
                <c:ptCount val="11"/>
                <c:pt idx="0">
                  <c:v>53</c:v>
                </c:pt>
                <c:pt idx="1">
                  <c:v>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B3A-493E-872F-1460D6BC84A0}"/>
            </c:ext>
          </c:extLst>
        </c:ser>
        <c:ser>
          <c:idx val="11"/>
          <c:order val="11"/>
          <c:tx>
            <c:strRef>
              <c:f>Drainage_N_EC!$D$14</c:f>
              <c:strCache>
                <c:ptCount val="1"/>
                <c:pt idx="0">
                  <c:v>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Drainage_N_EC!$E$2:$O$2</c:f>
              <c:numCache>
                <c:formatCode>m/d/yyyy</c:formatCode>
                <c:ptCount val="11"/>
                <c:pt idx="0">
                  <c:v>45188</c:v>
                </c:pt>
                <c:pt idx="1">
                  <c:v>45189</c:v>
                </c:pt>
                <c:pt idx="2">
                  <c:v>45196</c:v>
                </c:pt>
                <c:pt idx="3">
                  <c:v>45203</c:v>
                </c:pt>
                <c:pt idx="4">
                  <c:v>45214</c:v>
                </c:pt>
                <c:pt idx="5">
                  <c:v>45221</c:v>
                </c:pt>
                <c:pt idx="6">
                  <c:v>45230</c:v>
                </c:pt>
                <c:pt idx="7">
                  <c:v>45237</c:v>
                </c:pt>
                <c:pt idx="8">
                  <c:v>45244</c:v>
                </c:pt>
                <c:pt idx="9">
                  <c:v>45251</c:v>
                </c:pt>
                <c:pt idx="10">
                  <c:v>45258</c:v>
                </c:pt>
              </c:numCache>
            </c:numRef>
          </c:xVal>
          <c:yVal>
            <c:numRef>
              <c:f>Drainage_N_EC!$E$14:$O$14</c:f>
              <c:numCache>
                <c:formatCode>General</c:formatCode>
                <c:ptCount val="11"/>
                <c:pt idx="0">
                  <c:v>57</c:v>
                </c:pt>
                <c:pt idx="1">
                  <c:v>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B3A-493E-872F-1460D6BC84A0}"/>
            </c:ext>
          </c:extLst>
        </c:ser>
        <c:ser>
          <c:idx val="12"/>
          <c:order val="12"/>
          <c:tx>
            <c:strRef>
              <c:f>Drainage_N_EC!$D$15</c:f>
              <c:strCache>
                <c:ptCount val="1"/>
                <c:pt idx="0">
                  <c:v>13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Drainage_N_EC!$E$2:$O$2</c:f>
              <c:numCache>
                <c:formatCode>m/d/yyyy</c:formatCode>
                <c:ptCount val="11"/>
                <c:pt idx="0">
                  <c:v>45188</c:v>
                </c:pt>
                <c:pt idx="1">
                  <c:v>45189</c:v>
                </c:pt>
                <c:pt idx="2">
                  <c:v>45196</c:v>
                </c:pt>
                <c:pt idx="3">
                  <c:v>45203</c:v>
                </c:pt>
                <c:pt idx="4">
                  <c:v>45214</c:v>
                </c:pt>
                <c:pt idx="5">
                  <c:v>45221</c:v>
                </c:pt>
                <c:pt idx="6">
                  <c:v>45230</c:v>
                </c:pt>
                <c:pt idx="7">
                  <c:v>45237</c:v>
                </c:pt>
                <c:pt idx="8">
                  <c:v>45244</c:v>
                </c:pt>
                <c:pt idx="9">
                  <c:v>45251</c:v>
                </c:pt>
                <c:pt idx="10">
                  <c:v>45258</c:v>
                </c:pt>
              </c:numCache>
            </c:numRef>
          </c:xVal>
          <c:yVal>
            <c:numRef>
              <c:f>Drainage_N_EC!$E$15:$O$15</c:f>
              <c:numCache>
                <c:formatCode>General</c:formatCode>
                <c:ptCount val="11"/>
                <c:pt idx="1">
                  <c:v>74</c:v>
                </c:pt>
                <c:pt idx="4">
                  <c:v>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B3A-493E-872F-1460D6BC84A0}"/>
            </c:ext>
          </c:extLst>
        </c:ser>
        <c:ser>
          <c:idx val="13"/>
          <c:order val="13"/>
          <c:tx>
            <c:strRef>
              <c:f>Drainage_N_EC!$D$16</c:f>
              <c:strCache>
                <c:ptCount val="1"/>
                <c:pt idx="0">
                  <c:v>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Drainage_N_EC!$E$2:$O$2</c:f>
              <c:numCache>
                <c:formatCode>m/d/yyyy</c:formatCode>
                <c:ptCount val="11"/>
                <c:pt idx="0">
                  <c:v>45188</c:v>
                </c:pt>
                <c:pt idx="1">
                  <c:v>45189</c:v>
                </c:pt>
                <c:pt idx="2">
                  <c:v>45196</c:v>
                </c:pt>
                <c:pt idx="3">
                  <c:v>45203</c:v>
                </c:pt>
                <c:pt idx="4">
                  <c:v>45214</c:v>
                </c:pt>
                <c:pt idx="5">
                  <c:v>45221</c:v>
                </c:pt>
                <c:pt idx="6">
                  <c:v>45230</c:v>
                </c:pt>
                <c:pt idx="7">
                  <c:v>45237</c:v>
                </c:pt>
                <c:pt idx="8">
                  <c:v>45244</c:v>
                </c:pt>
                <c:pt idx="9">
                  <c:v>45251</c:v>
                </c:pt>
                <c:pt idx="10">
                  <c:v>45258</c:v>
                </c:pt>
              </c:numCache>
            </c:numRef>
          </c:xVal>
          <c:yVal>
            <c:numRef>
              <c:f>Drainage_N_EC!$E$16:$O$16</c:f>
              <c:numCache>
                <c:formatCode>General</c:formatCode>
                <c:ptCount val="11"/>
                <c:pt idx="1">
                  <c:v>29</c:v>
                </c:pt>
                <c:pt idx="4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B3A-493E-872F-1460D6BC84A0}"/>
            </c:ext>
          </c:extLst>
        </c:ser>
        <c:ser>
          <c:idx val="14"/>
          <c:order val="14"/>
          <c:tx>
            <c:strRef>
              <c:f>Drainage_N_EC!$D$17</c:f>
              <c:strCache>
                <c:ptCount val="1"/>
                <c:pt idx="0">
                  <c:v>15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Drainage_N_EC!$E$2:$O$2</c:f>
              <c:numCache>
                <c:formatCode>m/d/yyyy</c:formatCode>
                <c:ptCount val="11"/>
                <c:pt idx="0">
                  <c:v>45188</c:v>
                </c:pt>
                <c:pt idx="1">
                  <c:v>45189</c:v>
                </c:pt>
                <c:pt idx="2">
                  <c:v>45196</c:v>
                </c:pt>
                <c:pt idx="3">
                  <c:v>45203</c:v>
                </c:pt>
                <c:pt idx="4">
                  <c:v>45214</c:v>
                </c:pt>
                <c:pt idx="5">
                  <c:v>45221</c:v>
                </c:pt>
                <c:pt idx="6">
                  <c:v>45230</c:v>
                </c:pt>
                <c:pt idx="7">
                  <c:v>45237</c:v>
                </c:pt>
                <c:pt idx="8">
                  <c:v>45244</c:v>
                </c:pt>
                <c:pt idx="9">
                  <c:v>45251</c:v>
                </c:pt>
                <c:pt idx="10">
                  <c:v>45258</c:v>
                </c:pt>
              </c:numCache>
            </c:numRef>
          </c:xVal>
          <c:yVal>
            <c:numRef>
              <c:f>Drainage_N_EC!$E$17:$O$17</c:f>
              <c:numCache>
                <c:formatCode>General</c:formatCode>
                <c:ptCount val="11"/>
                <c:pt idx="1">
                  <c:v>103</c:v>
                </c:pt>
                <c:pt idx="3">
                  <c:v>119</c:v>
                </c:pt>
                <c:pt idx="4">
                  <c:v>107</c:v>
                </c:pt>
                <c:pt idx="5">
                  <c:v>116</c:v>
                </c:pt>
                <c:pt idx="6">
                  <c:v>120</c:v>
                </c:pt>
                <c:pt idx="7">
                  <c:v>94</c:v>
                </c:pt>
                <c:pt idx="8">
                  <c:v>103</c:v>
                </c:pt>
                <c:pt idx="9">
                  <c:v>154</c:v>
                </c:pt>
                <c:pt idx="1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B3A-493E-872F-1460D6BC84A0}"/>
            </c:ext>
          </c:extLst>
        </c:ser>
        <c:ser>
          <c:idx val="15"/>
          <c:order val="15"/>
          <c:tx>
            <c:strRef>
              <c:f>Drainage_N_EC!$D$18</c:f>
              <c:strCache>
                <c:ptCount val="1"/>
                <c:pt idx="0">
                  <c:v>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Drainage_N_EC!$E$2:$O$2</c:f>
              <c:numCache>
                <c:formatCode>m/d/yyyy</c:formatCode>
                <c:ptCount val="11"/>
                <c:pt idx="0">
                  <c:v>45188</c:v>
                </c:pt>
                <c:pt idx="1">
                  <c:v>45189</c:v>
                </c:pt>
                <c:pt idx="2">
                  <c:v>45196</c:v>
                </c:pt>
                <c:pt idx="3">
                  <c:v>45203</c:v>
                </c:pt>
                <c:pt idx="4">
                  <c:v>45214</c:v>
                </c:pt>
                <c:pt idx="5">
                  <c:v>45221</c:v>
                </c:pt>
                <c:pt idx="6">
                  <c:v>45230</c:v>
                </c:pt>
                <c:pt idx="7">
                  <c:v>45237</c:v>
                </c:pt>
                <c:pt idx="8">
                  <c:v>45244</c:v>
                </c:pt>
                <c:pt idx="9">
                  <c:v>45251</c:v>
                </c:pt>
                <c:pt idx="10">
                  <c:v>45258</c:v>
                </c:pt>
              </c:numCache>
            </c:numRef>
          </c:xVal>
          <c:yVal>
            <c:numRef>
              <c:f>Drainage_N_EC!$E$18:$O$18</c:f>
              <c:numCache>
                <c:formatCode>General</c:formatCode>
                <c:ptCount val="11"/>
                <c:pt idx="1">
                  <c:v>0</c:v>
                </c:pt>
                <c:pt idx="2">
                  <c:v>318</c:v>
                </c:pt>
                <c:pt idx="4">
                  <c:v>0</c:v>
                </c:pt>
                <c:pt idx="5">
                  <c:v>312</c:v>
                </c:pt>
                <c:pt idx="6">
                  <c:v>306</c:v>
                </c:pt>
                <c:pt idx="7">
                  <c:v>284</c:v>
                </c:pt>
                <c:pt idx="8">
                  <c:v>322</c:v>
                </c:pt>
                <c:pt idx="9">
                  <c:v>410</c:v>
                </c:pt>
                <c:pt idx="10">
                  <c:v>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B3A-493E-872F-1460D6BC84A0}"/>
            </c:ext>
          </c:extLst>
        </c:ser>
        <c:ser>
          <c:idx val="16"/>
          <c:order val="16"/>
          <c:tx>
            <c:strRef>
              <c:f>Drainage_N_EC!$D$19</c:f>
              <c:strCache>
                <c:ptCount val="1"/>
                <c:pt idx="0">
                  <c:v>17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Drainage_N_EC!$E$2:$O$2</c:f>
              <c:numCache>
                <c:formatCode>m/d/yyyy</c:formatCode>
                <c:ptCount val="11"/>
                <c:pt idx="0">
                  <c:v>45188</c:v>
                </c:pt>
                <c:pt idx="1">
                  <c:v>45189</c:v>
                </c:pt>
                <c:pt idx="2">
                  <c:v>45196</c:v>
                </c:pt>
                <c:pt idx="3">
                  <c:v>45203</c:v>
                </c:pt>
                <c:pt idx="4">
                  <c:v>45214</c:v>
                </c:pt>
                <c:pt idx="5">
                  <c:v>45221</c:v>
                </c:pt>
                <c:pt idx="6">
                  <c:v>45230</c:v>
                </c:pt>
                <c:pt idx="7">
                  <c:v>45237</c:v>
                </c:pt>
                <c:pt idx="8">
                  <c:v>45244</c:v>
                </c:pt>
                <c:pt idx="9">
                  <c:v>45251</c:v>
                </c:pt>
                <c:pt idx="10">
                  <c:v>45258</c:v>
                </c:pt>
              </c:numCache>
            </c:numRef>
          </c:xVal>
          <c:yVal>
            <c:numRef>
              <c:f>Drainage_N_EC!$E$19:$O$19</c:f>
              <c:numCache>
                <c:formatCode>General</c:formatCode>
                <c:ptCount val="11"/>
                <c:pt idx="1">
                  <c:v>200</c:v>
                </c:pt>
                <c:pt idx="4">
                  <c:v>173</c:v>
                </c:pt>
                <c:pt idx="5">
                  <c:v>161</c:v>
                </c:pt>
                <c:pt idx="6">
                  <c:v>199</c:v>
                </c:pt>
                <c:pt idx="7">
                  <c:v>189</c:v>
                </c:pt>
                <c:pt idx="8">
                  <c:v>188</c:v>
                </c:pt>
                <c:pt idx="9">
                  <c:v>312</c:v>
                </c:pt>
                <c:pt idx="10">
                  <c:v>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B3A-493E-872F-1460D6BC84A0}"/>
            </c:ext>
          </c:extLst>
        </c:ser>
        <c:ser>
          <c:idx val="17"/>
          <c:order val="17"/>
          <c:tx>
            <c:strRef>
              <c:f>Drainage_N_EC!$D$20</c:f>
              <c:strCache>
                <c:ptCount val="1"/>
                <c:pt idx="0">
                  <c:v>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Drainage_N_EC!$E$2:$O$2</c:f>
              <c:numCache>
                <c:formatCode>m/d/yyyy</c:formatCode>
                <c:ptCount val="11"/>
                <c:pt idx="0">
                  <c:v>45188</c:v>
                </c:pt>
                <c:pt idx="1">
                  <c:v>45189</c:v>
                </c:pt>
                <c:pt idx="2">
                  <c:v>45196</c:v>
                </c:pt>
                <c:pt idx="3">
                  <c:v>45203</c:v>
                </c:pt>
                <c:pt idx="4">
                  <c:v>45214</c:v>
                </c:pt>
                <c:pt idx="5">
                  <c:v>45221</c:v>
                </c:pt>
                <c:pt idx="6">
                  <c:v>45230</c:v>
                </c:pt>
                <c:pt idx="7">
                  <c:v>45237</c:v>
                </c:pt>
                <c:pt idx="8">
                  <c:v>45244</c:v>
                </c:pt>
                <c:pt idx="9">
                  <c:v>45251</c:v>
                </c:pt>
                <c:pt idx="10">
                  <c:v>45258</c:v>
                </c:pt>
              </c:numCache>
            </c:numRef>
          </c:xVal>
          <c:yVal>
            <c:numRef>
              <c:f>Drainage_N_EC!$E$20:$O$20</c:f>
              <c:numCache>
                <c:formatCode>General</c:formatCode>
                <c:ptCount val="11"/>
                <c:pt idx="1">
                  <c:v>0</c:v>
                </c:pt>
                <c:pt idx="2">
                  <c:v>306</c:v>
                </c:pt>
                <c:pt idx="4">
                  <c:v>0</c:v>
                </c:pt>
                <c:pt idx="5">
                  <c:v>378</c:v>
                </c:pt>
                <c:pt idx="6">
                  <c:v>368</c:v>
                </c:pt>
                <c:pt idx="7">
                  <c:v>364</c:v>
                </c:pt>
                <c:pt idx="8">
                  <c:v>356</c:v>
                </c:pt>
                <c:pt idx="9">
                  <c:v>392</c:v>
                </c:pt>
                <c:pt idx="10">
                  <c:v>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B3A-493E-872F-1460D6BC84A0}"/>
            </c:ext>
          </c:extLst>
        </c:ser>
        <c:ser>
          <c:idx val="18"/>
          <c:order val="18"/>
          <c:tx>
            <c:strRef>
              <c:f>Drainage_N_EC!$D$21</c:f>
              <c:strCache>
                <c:ptCount val="1"/>
                <c:pt idx="0">
                  <c:v>19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Drainage_N_EC!$E$2:$O$2</c:f>
              <c:numCache>
                <c:formatCode>m/d/yyyy</c:formatCode>
                <c:ptCount val="11"/>
                <c:pt idx="0">
                  <c:v>45188</c:v>
                </c:pt>
                <c:pt idx="1">
                  <c:v>45189</c:v>
                </c:pt>
                <c:pt idx="2">
                  <c:v>45196</c:v>
                </c:pt>
                <c:pt idx="3">
                  <c:v>45203</c:v>
                </c:pt>
                <c:pt idx="4">
                  <c:v>45214</c:v>
                </c:pt>
                <c:pt idx="5">
                  <c:v>45221</c:v>
                </c:pt>
                <c:pt idx="6">
                  <c:v>45230</c:v>
                </c:pt>
                <c:pt idx="7">
                  <c:v>45237</c:v>
                </c:pt>
                <c:pt idx="8">
                  <c:v>45244</c:v>
                </c:pt>
                <c:pt idx="9">
                  <c:v>45251</c:v>
                </c:pt>
                <c:pt idx="10">
                  <c:v>45258</c:v>
                </c:pt>
              </c:numCache>
            </c:numRef>
          </c:xVal>
          <c:yVal>
            <c:numRef>
              <c:f>Drainage_N_EC!$E$21:$O$21</c:f>
              <c:numCache>
                <c:formatCode>General</c:formatCode>
                <c:ptCount val="11"/>
                <c:pt idx="1">
                  <c:v>21</c:v>
                </c:pt>
                <c:pt idx="3">
                  <c:v>19</c:v>
                </c:pt>
                <c:pt idx="4">
                  <c:v>17</c:v>
                </c:pt>
                <c:pt idx="5">
                  <c:v>19</c:v>
                </c:pt>
                <c:pt idx="6">
                  <c:v>32</c:v>
                </c:pt>
                <c:pt idx="7">
                  <c:v>32</c:v>
                </c:pt>
                <c:pt idx="8">
                  <c:v>35</c:v>
                </c:pt>
                <c:pt idx="9">
                  <c:v>30</c:v>
                </c:pt>
                <c:pt idx="10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1B3A-493E-872F-1460D6BC84A0}"/>
            </c:ext>
          </c:extLst>
        </c:ser>
        <c:ser>
          <c:idx val="19"/>
          <c:order val="19"/>
          <c:tx>
            <c:strRef>
              <c:f>Drainage_N_EC!$D$22</c:f>
              <c:strCache>
                <c:ptCount val="1"/>
                <c:pt idx="0">
                  <c:v>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Drainage_N_EC!$E$2:$O$2</c:f>
              <c:numCache>
                <c:formatCode>m/d/yyyy</c:formatCode>
                <c:ptCount val="11"/>
                <c:pt idx="0">
                  <c:v>45188</c:v>
                </c:pt>
                <c:pt idx="1">
                  <c:v>45189</c:v>
                </c:pt>
                <c:pt idx="2">
                  <c:v>45196</c:v>
                </c:pt>
                <c:pt idx="3">
                  <c:v>45203</c:v>
                </c:pt>
                <c:pt idx="4">
                  <c:v>45214</c:v>
                </c:pt>
                <c:pt idx="5">
                  <c:v>45221</c:v>
                </c:pt>
                <c:pt idx="6">
                  <c:v>45230</c:v>
                </c:pt>
                <c:pt idx="7">
                  <c:v>45237</c:v>
                </c:pt>
                <c:pt idx="8">
                  <c:v>45244</c:v>
                </c:pt>
                <c:pt idx="9">
                  <c:v>45251</c:v>
                </c:pt>
                <c:pt idx="10">
                  <c:v>45258</c:v>
                </c:pt>
              </c:numCache>
            </c:numRef>
          </c:xVal>
          <c:yVal>
            <c:numRef>
              <c:f>Drainage_N_EC!$E$22:$O$22</c:f>
              <c:numCache>
                <c:formatCode>General</c:formatCode>
                <c:ptCount val="11"/>
                <c:pt idx="1">
                  <c:v>217</c:v>
                </c:pt>
                <c:pt idx="4">
                  <c:v>0</c:v>
                </c:pt>
                <c:pt idx="5">
                  <c:v>276</c:v>
                </c:pt>
                <c:pt idx="6">
                  <c:v>322</c:v>
                </c:pt>
                <c:pt idx="7">
                  <c:v>240</c:v>
                </c:pt>
                <c:pt idx="8">
                  <c:v>276</c:v>
                </c:pt>
                <c:pt idx="9">
                  <c:v>360</c:v>
                </c:pt>
                <c:pt idx="10">
                  <c:v>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1B3A-493E-872F-1460D6BC8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465280"/>
        <c:axId val="265135216"/>
      </c:scatterChart>
      <c:valAx>
        <c:axId val="54446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65135216"/>
        <c:crosses val="autoZero"/>
        <c:crossBetween val="midCat"/>
      </c:valAx>
      <c:valAx>
        <c:axId val="26513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4446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ocumenttasks/documenttask1.xml><?xml version="1.0" encoding="utf-8"?>
<Tasks xmlns="http://schemas.microsoft.com/office/tasks/2019/documenttasks">
  <Task id="{7C162AEA-79AF-4B27-BE69-6B6FE4D7AED3}">
    <Anchor>
      <Comment id="{C221D0C3-246C-4FE1-87DE-62A07206ADE4}"/>
    </Anchor>
    <History>
      <Event time="2023-12-24T11:10:47.03" id="{83072D2A-FDFB-4DC5-8A8B-570C741C813E}">
        <Attribution userId="S::MopRes8@aravard.org.il::c74f2c86-bccf-4ee8-b947-a31bdb0c48e0" userName="MopRes8" userProvider="AD"/>
        <Anchor>
          <Comment id="{05781AE8-A3EA-487E-B297-5AEB11A66D62}"/>
        </Anchor>
        <Create/>
      </Event>
      <Event time="2023-12-24T11:10:47.03" id="{7281E832-DE4F-4844-BA31-4A6867594A92}">
        <Attribution userId="S::MopRes8@aravard.org.il::c74f2c86-bccf-4ee8-b947-a31bdb0c48e0" userName="MopRes8" userProvider="AD"/>
        <Anchor>
          <Comment id="{05781AE8-A3EA-487E-B297-5AEB11A66D62}"/>
        </Anchor>
        <Assign userId="S::MopRes5@aravard.org.il::9aa2c1c8-332f-4a32-bdf7-96dbd2a8e5b1" userName="Iael Raij Hoffman" userProvider="AD"/>
      </Event>
      <Event time="2023-12-24T11:10:47.03" id="{4963FE2B-A35F-4990-BE0F-4AE3275E7B92}">
        <Attribution userId="S::MopRes8@aravard.org.il::c74f2c86-bccf-4ee8-b947-a31bdb0c48e0" userName="MopRes8" userProvider="AD"/>
        <Anchor>
          <Comment id="{05781AE8-A3EA-487E-B297-5AEB11A66D62}"/>
        </Anchor>
        <SetTitle title="@Iael Raij Hoffman look into the actual irrigation for all treatments this week."/>
      </Event>
    </History>
  </Task>
</Task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206188</xdr:colOff>
      <xdr:row>36</xdr:row>
      <xdr:rowOff>40342</xdr:rowOff>
    </xdr:from>
    <xdr:to>
      <xdr:col>6</xdr:col>
      <xdr:colOff>403412</xdr:colOff>
      <xdr:row>47</xdr:row>
      <xdr:rowOff>170330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8654A7-CDBE-4188-9C0D-26E243ACD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600636</xdr:colOff>
      <xdr:row>36</xdr:row>
      <xdr:rowOff>71718</xdr:rowOff>
    </xdr:from>
    <xdr:to>
      <xdr:col>14</xdr:col>
      <xdr:colOff>125508</xdr:colOff>
      <xdr:row>48</xdr:row>
      <xdr:rowOff>22412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A00473-06A1-4FAA-AFED-68B1DF8AEC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537883</xdr:colOff>
      <xdr:row>36</xdr:row>
      <xdr:rowOff>98612</xdr:rowOff>
    </xdr:from>
    <xdr:to>
      <xdr:col>25</xdr:col>
      <xdr:colOff>62754</xdr:colOff>
      <xdr:row>48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5BD0A7-2141-48EA-BB67-CA9F3E29EE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50</xdr:row>
      <xdr:rowOff>0</xdr:rowOff>
    </xdr:from>
    <xdr:to>
      <xdr:col>20</xdr:col>
      <xdr:colOff>125507</xdr:colOff>
      <xdr:row>66</xdr:row>
      <xdr:rowOff>78441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E7E549-5011-4391-85AB-E8BD8FD1F7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266141</xdr:colOff>
      <xdr:row>48</xdr:row>
      <xdr:rowOff>77657</xdr:rowOff>
    </xdr:from>
    <xdr:to>
      <xdr:col>27</xdr:col>
      <xdr:colOff>98052</xdr:colOff>
      <xdr:row>66</xdr:row>
      <xdr:rowOff>73847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FD4980-38F3-6281-5B02-5C311F26F4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626521</xdr:colOff>
      <xdr:row>52</xdr:row>
      <xdr:rowOff>57935</xdr:rowOff>
    </xdr:from>
    <xdr:to>
      <xdr:col>18</xdr:col>
      <xdr:colOff>24204</xdr:colOff>
      <xdr:row>70</xdr:row>
      <xdr:rowOff>57935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0790F1-A449-43D3-BA1E-1A5F585E3B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231457</xdr:colOff>
      <xdr:row>5</xdr:row>
      <xdr:rowOff>209549</xdr:rowOff>
    </xdr:from>
    <xdr:to>
      <xdr:col>23</xdr:col>
      <xdr:colOff>238125</xdr:colOff>
      <xdr:row>17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3BA7F0-6C7A-375B-0869-4668A9354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333375</xdr:colOff>
      <xdr:row>17</xdr:row>
      <xdr:rowOff>154304</xdr:rowOff>
    </xdr:from>
    <xdr:to>
      <xdr:col>21</xdr:col>
      <xdr:colOff>330517</xdr:colOff>
      <xdr:row>32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749C1B-D537-E9C2-AAA6-CD7E0FB00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445593</xdr:colOff>
      <xdr:row>19</xdr:row>
      <xdr:rowOff>48421</xdr:rowOff>
    </xdr:from>
    <xdr:to>
      <xdr:col>88</xdr:col>
      <xdr:colOff>115849</xdr:colOff>
      <xdr:row>34</xdr:row>
      <xdr:rowOff>49634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9C756C-60A0-4420-83F5-85A7EA72D1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44</xdr:col>
      <xdr:colOff>410744</xdr:colOff>
      <xdr:row>76</xdr:row>
      <xdr:rowOff>169321</xdr:rowOff>
    </xdr:from>
    <xdr:to>
      <xdr:col>58</xdr:col>
      <xdr:colOff>589902</xdr:colOff>
      <xdr:row>92</xdr:row>
      <xdr:rowOff>97080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58869D-BD02-3C10-A534-977F4D2A14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490246</xdr:colOff>
      <xdr:row>53</xdr:row>
      <xdr:rowOff>162582</xdr:rowOff>
    </xdr:from>
    <xdr:to>
      <xdr:col>13</xdr:col>
      <xdr:colOff>361303</xdr:colOff>
      <xdr:row>67</xdr:row>
      <xdr:rowOff>3053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DBDE681-F0F9-05E0-D2E5-933C046331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7</xdr:row>
      <xdr:rowOff>0</xdr:rowOff>
    </xdr:from>
    <xdr:to>
      <xdr:col>15</xdr:col>
      <xdr:colOff>85725</xdr:colOff>
      <xdr:row>21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B17297-6EED-90D8-4296-AA5F9E81B059}"/>
            </a:ext>
          </a:extLst>
        </xdr:cNvPr>
        <xdr:cNvSpPr txBox="1"/>
      </xdr:nvSpPr>
      <xdr:spPr>
        <a:xfrm>
          <a:off x="5743575" y="1323975"/>
          <a:ext cx="4343400" cy="2724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- Treatment</a:t>
          </a:r>
          <a:r>
            <a:rPr lang="en-US" sz="1100" baseline="0"/>
            <a:t> 5 has a general low discharge.... we need to check the pump.</a:t>
          </a:r>
        </a:p>
        <a:p>
          <a:endParaRPr lang="he-IL" sz="1100" baseline="0"/>
        </a:p>
        <a:p>
          <a:r>
            <a:rPr lang="en-US" sz="1100" baseline="0"/>
            <a:t>Revisar de nuevo:</a:t>
          </a:r>
        </a:p>
        <a:p>
          <a:r>
            <a:rPr lang="en-US" sz="1100" baseline="0"/>
            <a:t>53</a:t>
          </a:r>
        </a:p>
        <a:p>
          <a:r>
            <a:rPr lang="en-US" sz="1100" baseline="0"/>
            <a:t>54</a:t>
          </a:r>
        </a:p>
        <a:p>
          <a:r>
            <a:rPr lang="en-US" sz="1100" baseline="0"/>
            <a:t>19</a:t>
          </a:r>
        </a:p>
        <a:p>
          <a:r>
            <a:rPr lang="en-US" sz="1100" baseline="0"/>
            <a:t>57</a:t>
          </a:r>
        </a:p>
        <a:p>
          <a:r>
            <a:rPr lang="en-US" sz="1100" baseline="0"/>
            <a:t>71</a:t>
          </a:r>
        </a:p>
        <a:p>
          <a:r>
            <a:rPr lang="en-US" sz="1100" baseline="0"/>
            <a:t>18</a:t>
          </a:r>
        </a:p>
        <a:p>
          <a:r>
            <a:rPr lang="en-US" sz="1100" baseline="0"/>
            <a:t>14</a:t>
          </a:r>
        </a:p>
        <a:p>
          <a:r>
            <a:rPr lang="en-US" sz="1100" baseline="0"/>
            <a:t>63</a:t>
          </a:r>
        </a:p>
        <a:p>
          <a:r>
            <a:rPr lang="en-US" sz="1100" baseline="0"/>
            <a:t>44</a:t>
          </a:r>
        </a:p>
        <a:p>
          <a:r>
            <a:rPr lang="en-US" sz="1100" baseline="0"/>
            <a:t>29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loridalma Miguel" id="{93D210EA-42BE-49CD-ADFA-00AB88688B71}" userId="09e536e6cbb8302d" providerId="Windows Live"/>
  <person displayName="Iael Raij Hoffman" id="{7C9B9BA4-BB7E-4CBF-AECE-371C71410B22}" userId="MopRes5@aravard.org.il" providerId="PeoplePicker"/>
  <person displayName="Iael Raij Hoffman" id="{4BA1B0E1-B2C7-4A61-A5C3-A402E7877A77}" userId="S::MopRes5@aravard.org.il::9aa2c1c8-332f-4a32-bdf7-96dbd2a8e5b1" providerId="AD"/>
  <person displayName="MopRes8" id="{E2EA780D-4531-4EE2-A644-A98A721C081F}" userId="S::MopRes8@aravard.org.il::c74f2c86-bccf-4ee8-b947-a31bdb0c48e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8" dT="2023-10-22T11:59:47.13" personId="{4BA1B0E1-B2C7-4A61-A5C3-A402E7877A77}" id="{F0471142-0A19-4FB2-A3F0-1FADDF6E6C1C}">
    <text xml:space="preserve">This is how many liters of irrigation solution are to be prepared at this time.
</text>
  </threadedComment>
  <threadedComment ref="M18" dT="2023-10-22T12:01:54.33" personId="{4BA1B0E1-B2C7-4A61-A5C3-A402E7877A77}" id="{A7C6B00C-0879-413E-A210-A71FBDAD0A04}">
    <text>These are how many mililiters of each fertilizer are needed for the liters of solution to be prepared. Treatments 1 and 7  (with zero nitrogen) use the average K in the other treatments, therefore you need to input the "liters" of those treatments in the others to get the right "ml of fertilizer"</text>
  </threadedComment>
  <threadedComment ref="Q33" dT="2023-12-05T10:08:55.04" personId="{E2EA780D-4531-4EE2-A644-A98A721C081F}" id="{FB1A9F45-FDE7-4743-9D21-EB3F3174220C}">
    <text>Solutions from 1-6 whit 100L of water</text>
  </threadedComment>
  <threadedComment ref="Q39" dT="2023-12-05T10:10:05.26" personId="{E2EA780D-4531-4EE2-A644-A98A721C081F}" id="{71C5FF11-72C6-46FD-B978-43ACF7864C1F}">
    <text>From 7-12 whit solutions in the tanks</text>
  </threadedComment>
  <threadedComment ref="R40" dT="2023-11-14T10:19:23.03" personId="{E2EA780D-4531-4EE2-A644-A98A721C081F}" id="{AF0A307D-AB59-4C37-B056-871518652291}">
    <text>Water meter stopped working, we calculated +25 liters above the 100 liter mark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Q3" dT="2023-11-14T09:38:24.87" personId="{E2EA780D-4531-4EE2-A644-A98A721C081F}" id="{7A30EDD9-5AA8-481B-B66C-1C510618DF45}">
    <text>Converted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R2" dT="2023-12-03T07:32:34.08" personId="{E2EA780D-4531-4EE2-A644-A98A721C081F}" id="{F518CDA5-88DF-4087-BA3C-73C88F4C5339}">
    <text>Added 45 mL</text>
  </threadedComment>
  <threadedComment ref="S2" dT="2023-12-24T09:56:35.56" personId="{E2EA780D-4531-4EE2-A644-A98A721C081F}" id="{EEF4D3B9-BBA8-442E-80BC-FDDE973C7C94}">
    <text>Added 45mL</text>
  </threadedComment>
  <threadedComment ref="T2" dT="2023-12-24T09:57:47.70" personId="{E2EA780D-4531-4EE2-A644-A98A721C081F}" id="{9D4CCB4B-C8E3-42C9-BB92-4EFF605E3980}">
    <text>Added 45 mL</text>
  </threadedComment>
  <threadedComment ref="U2" dT="2024-01-04T12:33:02.00" personId="{E2EA780D-4531-4EE2-A644-A98A721C081F}" id="{8EB189BC-A740-4A6B-A0F0-03FC981C0712}">
    <text xml:space="preserve">Added 45 ml
</text>
  </threadedComment>
  <threadedComment ref="M3" dT="2023-11-14T08:21:43.91" personId="{E2EA780D-4531-4EE2-A644-A98A721C081F}" id="{2AFFF851-6364-431D-A249-BC0D6269A2D5}">
    <text xml:space="preserve">Added 45ml
</text>
  </threadedComment>
  <threadedComment ref="N3" dT="2023-11-14T08:22:24.54" personId="{E2EA780D-4531-4EE2-A644-A98A721C081F}" id="{A56478ED-6D8D-4C00-8BEB-42289C958F40}">
    <text>Added 45ml</text>
  </threadedComment>
  <threadedComment ref="O3" dT="2023-11-19T10:41:16.57" personId="{E2EA780D-4531-4EE2-A644-A98A721C081F}" id="{7A611CD0-FE35-42B5-8CC7-9C6DF35E0453}">
    <text xml:space="preserve">Added 45ml
</text>
  </threadedComment>
  <threadedComment ref="P3" dT="2023-11-30T09:47:06.42" personId="{93D210EA-42BE-49CD-ADFA-00AB88688B71}" id="{898CAC5E-C7B5-4BE9-9340-33D33DDE4A32}">
    <text xml:space="preserve">Added 45mL
</text>
  </threadedComment>
  <threadedComment ref="Q3" dT="2023-12-03T07:32:34.08" personId="{E2EA780D-4531-4EE2-A644-A98A721C081F}" id="{F8E915C8-00E8-4FCF-AEA1-A0359EBAD72B}">
    <text>Added 45 mL</text>
  </threadedComment>
  <threadedComment ref="T3" dT="2023-12-24T11:08:56.32" personId="{E2EA780D-4531-4EE2-A644-A98A721C081F}" id="{C221D0C3-246C-4FE1-87DE-62A07206ADE4}">
    <text>The draiage was emptied on the 18h but the irrigation was emptied on the 17th</text>
  </threadedComment>
  <threadedComment ref="T3" dT="2023-12-24T11:09:29.11" personId="{E2EA780D-4531-4EE2-A644-A98A721C081F}" id="{8C853C2F-449A-4CE8-B5DC-76D89EEF033E}" parentId="{C221D0C3-246C-4FE1-87DE-62A07206ADE4}">
    <text>All the treatments but #5 didn't irrigate on  22nd by mistake.</text>
  </threadedComment>
  <threadedComment ref="T3" dT="2023-12-24T11:10:47.04" personId="{E2EA780D-4531-4EE2-A644-A98A721C081F}" id="{05781AE8-A3EA-487E-B297-5AEB11A66D62}" parentId="{C221D0C3-246C-4FE1-87DE-62A07206ADE4}">
    <text>@Iael Raij Hoffman  look into the actual irrigation for all treatments this week.</text>
    <mentions>
      <mention mentionpersonId="{7C9B9BA4-BB7E-4CBF-AECE-371C71410B22}" mentionId="{B6FFEFEE-A6FB-4741-B3B1-692EBE921E95}" startIndex="0" length="18"/>
    </mentions>
  </threadedComment>
  <threadedComment ref="U4" dT="2024-01-04T12:33:24.88" personId="{E2EA780D-4531-4EE2-A644-A98A721C081F}" id="{3C6669E5-3113-4804-BCC8-F595C8E26F24}">
    <text xml:space="preserve">Too full
</text>
  </threadedComment>
  <threadedComment ref="U6" dT="2024-01-04T12:33:24.88" personId="{E2EA780D-4531-4EE2-A644-A98A721C081F}" id="{ACBE49C6-6C15-4E42-B84B-FDF48AC9C55B}">
    <text xml:space="preserve">Too full
</text>
  </threadedComment>
  <threadedComment ref="U8" dT="2024-01-04T12:33:24.88" personId="{E2EA780D-4531-4EE2-A644-A98A721C081F}" id="{AA903270-B52E-4CC9-B134-F4A0E8C638C6}">
    <text xml:space="preserve">Too full
</text>
  </threadedComment>
  <threadedComment ref="AD10" dT="2023-10-19T12:03:46.25" personId="{4BA1B0E1-B2C7-4A61-A5C3-A402E7877A77}" id="{360F5CAF-17F5-4CD8-83BC-475DF327AB29}">
    <text>Changed the dripper</text>
  </threadedComment>
  <threadedComment ref="L11" dT="2023-10-29T06:56:47.21" personId="{E2EA780D-4531-4EE2-A644-A98A721C081F}" id="{7925CE22-7783-4E7D-910E-8110F647286D}">
    <text xml:space="preserve">Issue </text>
  </threadedComment>
  <threadedComment ref="M11" dT="2023-11-05T10:05:44.27" personId="{4BA1B0E1-B2C7-4A61-A5C3-A402E7877A77}" id="{56505E30-6084-400C-9ED5-8F074144AFC0}">
    <text xml:space="preserve">Dripper got disconnected during the week
</text>
  </threadedComment>
  <threadedComment ref="U22" dT="2024-01-04T12:33:24.88" personId="{E2EA780D-4531-4EE2-A644-A98A721C081F}" id="{CAB4AF39-E280-4A6A-AAD6-5DE37A7F0BEE}">
    <text xml:space="preserve">Too full
</text>
  </threadedComment>
  <threadedComment ref="U45" dT="2024-01-04T12:34:04.20" personId="{E2EA780D-4531-4EE2-A644-A98A721C081F}" id="{808EAE56-DC1D-4EC6-8E31-5CF9E6682A49}">
    <text>spilling</text>
  </threadedComment>
  <threadedComment ref="U47" dT="2024-01-04T12:33:59.88" personId="{E2EA780D-4531-4EE2-A644-A98A721C081F}" id="{786E5CC9-71E4-479A-A734-C5EC40E261DC}">
    <text xml:space="preserve">Large plants
</text>
  </threadedComment>
  <threadedComment ref="AE51" dT="2023-10-22T07:41:52.39" personId="{4BA1B0E1-B2C7-4A61-A5C3-A402E7877A77}" id="{441AF953-F1D2-4638-8545-5B031DEE8734}">
    <text>Changed the dripper</text>
  </threadedComment>
  <threadedComment ref="AF51" dT="2023-10-22T07:41:52.39" personId="{4BA1B0E1-B2C7-4A61-A5C3-A402E7877A77}" id="{54656DF5-1FED-4DB7-AF1A-55739E939BBC}">
    <text>Changed the dripper</text>
  </threadedComment>
  <threadedComment ref="M60" dT="2023-11-05T10:06:06.96" personId="{4BA1B0E1-B2C7-4A61-A5C3-A402E7877A77}" id="{BF5D8851-DCE2-4E01-BD96-8C07E08671D4}">
    <text xml:space="preserve">Dripper got disconnected during the week
</text>
  </threadedComment>
  <threadedComment ref="U60" dT="2024-01-04T12:34:14.30" personId="{E2EA780D-4531-4EE2-A644-A98A721C081F}" id="{F46A40AE-AC69-4F43-B39E-37FB26EC4F59}">
    <text xml:space="preserve">Too full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K2" dT="2023-10-24T06:56:33.98" personId="{4BA1B0E1-B2C7-4A61-A5C3-A402E7877A77}" id="{2AD61C66-379B-467B-869C-85E20E20F68C}">
    <text>11 ml DI water + 11 ml sample</text>
  </threadedComment>
  <threadedComment ref="BW3" dT="2023-12-26T12:45:40.43" personId="{E2EA780D-4531-4EE2-A644-A98A721C081F}" id="{DE7E5781-53D3-4D16-90D8-3D1448894A67}">
    <text xml:space="preserve">The dilutions was with 2.75 mL
</text>
  </threadedComment>
  <threadedComment ref="BW4" dT="2023-12-26T12:45:40.43" personId="{E2EA780D-4531-4EE2-A644-A98A721C081F}" id="{B05A27F9-5E74-44EC-860D-522D00DC1238}">
    <text xml:space="preserve">The dilutions was with 2.75 mL
</text>
  </threadedComment>
  <threadedComment ref="BW7" dT="2024-01-03T09:58:25.36" personId="{E2EA780D-4531-4EE2-A644-A98A721C081F}" id="{8AC82D31-FAFD-4984-9EF7-79B01128CD70}">
    <text>4.5 ml</text>
  </threadedComment>
  <threadedComment ref="AL33" dT="2023-12-27T09:46:10.04" personId="{E2EA780D-4531-4EE2-A644-A98A721C081F}" id="{CE26CF7D-8B2A-422D-B44C-B081FB1012FD}">
    <text>מעט מאוד מים</text>
  </threadedComment>
  <threadedComment ref="S46" dT="2023-12-26T08:17:06.28" personId="{E2EA780D-4531-4EE2-A644-A98A721C081F}" id="{66E7360C-A5D5-4740-BBC1-00D74D85F48A}">
    <text>No water in the drainage bucket</text>
  </threadedComment>
  <threadedComment ref="AL46" dT="2023-12-26T08:21:15.62" personId="{E2EA780D-4531-4EE2-A644-A98A721C081F}" id="{049B9F35-0FF8-4F54-953A-F22461512315}">
    <text xml:space="preserve">No water in the drainage bucket
</text>
  </threadedComment>
  <threadedComment ref="S52" dT="2023-12-26T08:17:06.28" personId="{E2EA780D-4531-4EE2-A644-A98A721C081F}" id="{94EF524B-EE57-4DA5-B763-CD60F669F5CC}">
    <text>No water in the drainage bucket</text>
  </threadedComment>
  <threadedComment ref="AL52" dT="2023-12-26T08:17:06.28" personId="{E2EA780D-4531-4EE2-A644-A98A721C081F}" id="{0EC4A1EC-6615-4D8F-9D05-599C25CCE885}">
    <text>No water in the drainage bucket</text>
  </threadedComment>
  <threadedComment ref="S58" dT="2023-12-26T08:17:06.28" personId="{E2EA780D-4531-4EE2-A644-A98A721C081F}" id="{B291E862-1782-4C5F-81AD-13FAD56E1F0E}">
    <text>No water in the drainage bucket</text>
  </threadedComment>
  <threadedComment ref="AL58" dT="2023-12-26T08:17:06.28" personId="{E2EA780D-4531-4EE2-A644-A98A721C081F}" id="{F15474AE-DF09-4DF8-9156-B30E8F8C7121}">
    <text>No water in the drainage bucket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1" dT="2023-12-12T09:55:49.56" personId="{E2EA780D-4531-4EE2-A644-A98A721C081F}" id="{A8BB1ABF-C02B-4D55-9D31-480D8A919B3A}">
    <text>Without the weight of the cup (7 g)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Relationship Id="rId4" Type="http://schemas.microsoft.com/office/2019/04/relationships/documenttask" Target="../documenttasks/documenttask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BB97-F5AC-4C0A-A668-9DDCC9749E28}">
  <dimension ref="A1:V45"/>
  <sheetViews>
    <sheetView topLeftCell="C1" zoomScaleNormal="100" workbookViewId="0">
      <selection activeCell="T40" sqref="T40"/>
    </sheetView>
  </sheetViews>
  <sheetFormatPr defaultColWidth="8.8984375" defaultRowHeight="13.8" x14ac:dyDescent="0.25"/>
  <cols>
    <col min="2" max="2" width="10.8984375" bestFit="1" customWidth="1"/>
    <col min="3" max="3" width="15.3984375" bestFit="1" customWidth="1"/>
    <col min="4" max="4" width="10.3984375" bestFit="1" customWidth="1"/>
    <col min="5" max="12" width="9.8984375" bestFit="1" customWidth="1"/>
    <col min="13" max="13" width="9.3984375" bestFit="1" customWidth="1"/>
    <col min="14" max="15" width="9.8984375" bestFit="1" customWidth="1"/>
    <col min="21" max="22" width="10.59765625" bestFit="1" customWidth="1"/>
  </cols>
  <sheetData>
    <row r="1" spans="1:9" x14ac:dyDescent="0.25">
      <c r="C1" s="256" t="s">
        <v>0</v>
      </c>
      <c r="D1" s="256"/>
      <c r="E1" s="256"/>
      <c r="F1" s="256"/>
      <c r="G1" s="256"/>
    </row>
    <row r="2" spans="1:9" x14ac:dyDescent="0.25">
      <c r="A2" t="s">
        <v>1</v>
      </c>
      <c r="B2" s="3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9" x14ac:dyDescent="0.25">
      <c r="A3">
        <v>1</v>
      </c>
      <c r="B3" s="4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9" x14ac:dyDescent="0.25">
      <c r="A4">
        <v>2</v>
      </c>
      <c r="B4" s="4">
        <v>20</v>
      </c>
      <c r="C4">
        <f t="shared" ref="C4:G6" si="0">C$7*$B4/$B$7</f>
        <v>10</v>
      </c>
      <c r="D4">
        <f t="shared" si="0"/>
        <v>14</v>
      </c>
      <c r="E4">
        <f t="shared" si="0"/>
        <v>24</v>
      </c>
      <c r="F4">
        <f t="shared" si="0"/>
        <v>20</v>
      </c>
      <c r="G4">
        <f t="shared" si="0"/>
        <v>0</v>
      </c>
    </row>
    <row r="5" spans="1:9" x14ac:dyDescent="0.25">
      <c r="A5">
        <v>3</v>
      </c>
      <c r="B5" s="4">
        <v>50</v>
      </c>
      <c r="C5">
        <f t="shared" si="0"/>
        <v>25</v>
      </c>
      <c r="D5">
        <f t="shared" si="0"/>
        <v>35</v>
      </c>
      <c r="E5">
        <f t="shared" si="0"/>
        <v>60</v>
      </c>
      <c r="F5">
        <f t="shared" si="0"/>
        <v>50</v>
      </c>
      <c r="G5">
        <f t="shared" si="0"/>
        <v>0</v>
      </c>
    </row>
    <row r="6" spans="1:9" x14ac:dyDescent="0.25">
      <c r="A6">
        <v>4</v>
      </c>
      <c r="B6" s="4">
        <v>75</v>
      </c>
      <c r="C6">
        <f t="shared" si="0"/>
        <v>37.5</v>
      </c>
      <c r="D6">
        <f t="shared" si="0"/>
        <v>52.5</v>
      </c>
      <c r="E6">
        <f t="shared" si="0"/>
        <v>90</v>
      </c>
      <c r="F6">
        <f t="shared" si="0"/>
        <v>75</v>
      </c>
      <c r="G6">
        <f t="shared" si="0"/>
        <v>0</v>
      </c>
    </row>
    <row r="7" spans="1:9" x14ac:dyDescent="0.25">
      <c r="A7">
        <v>5</v>
      </c>
      <c r="B7" s="4">
        <v>100</v>
      </c>
      <c r="C7" s="1">
        <v>50</v>
      </c>
      <c r="D7" s="1">
        <v>70</v>
      </c>
      <c r="E7" s="1">
        <v>120</v>
      </c>
      <c r="F7" s="1">
        <v>100</v>
      </c>
      <c r="G7" s="1">
        <v>0</v>
      </c>
    </row>
    <row r="8" spans="1:9" x14ac:dyDescent="0.25">
      <c r="A8">
        <v>6</v>
      </c>
      <c r="B8" s="4">
        <v>125</v>
      </c>
      <c r="C8">
        <f>C$7*$B8/$B$7</f>
        <v>62.5</v>
      </c>
      <c r="D8">
        <f>D$7*$B8/$B$7</f>
        <v>87.5</v>
      </c>
      <c r="E8">
        <f>E$7*$B8/$B$7</f>
        <v>150</v>
      </c>
      <c r="F8">
        <f>F$7*$B8/$B$7</f>
        <v>125</v>
      </c>
      <c r="G8">
        <f>G$7*$B8/$B$7</f>
        <v>0</v>
      </c>
    </row>
    <row r="10" spans="1:9" x14ac:dyDescent="0.25">
      <c r="G10" s="5"/>
      <c r="H10" s="5"/>
      <c r="I10" s="5"/>
    </row>
    <row r="12" spans="1:9" x14ac:dyDescent="0.25">
      <c r="A12" t="s">
        <v>8</v>
      </c>
      <c r="B12" t="s">
        <v>9</v>
      </c>
    </row>
    <row r="13" spans="1:9" ht="17.399999999999999" x14ac:dyDescent="0.3">
      <c r="A13" s="7">
        <v>0.9</v>
      </c>
      <c r="B13" s="6">
        <v>2.67</v>
      </c>
    </row>
    <row r="14" spans="1:9" ht="17.399999999999999" x14ac:dyDescent="0.3">
      <c r="A14" s="7">
        <v>4</v>
      </c>
      <c r="B14" s="6">
        <v>2.96</v>
      </c>
    </row>
    <row r="17" spans="1:22" ht="14.4" thickBot="1" x14ac:dyDescent="0.3">
      <c r="B17" s="255" t="s">
        <v>10</v>
      </c>
      <c r="C17" s="255"/>
      <c r="D17" s="255"/>
      <c r="E17" s="255"/>
      <c r="F17" s="255"/>
      <c r="G17" s="255"/>
    </row>
    <row r="18" spans="1:22" ht="15" thickBot="1" x14ac:dyDescent="0.35">
      <c r="B18" s="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s="1" t="s">
        <v>20</v>
      </c>
      <c r="L18" t="s">
        <v>21</v>
      </c>
      <c r="M18" s="1" t="s">
        <v>22</v>
      </c>
      <c r="N18" t="s">
        <v>23</v>
      </c>
    </row>
    <row r="19" spans="1:22" x14ac:dyDescent="0.25">
      <c r="B19">
        <v>0.83</v>
      </c>
      <c r="C19">
        <f>B19*10000</f>
        <v>8300</v>
      </c>
      <c r="D19">
        <v>5539.8</v>
      </c>
      <c r="E19">
        <v>2798.12</v>
      </c>
      <c r="F19">
        <v>121265</v>
      </c>
      <c r="G19" s="5">
        <f>E19+D19</f>
        <v>8337.92</v>
      </c>
      <c r="H19" s="5">
        <v>8500.39</v>
      </c>
      <c r="I19" s="5">
        <f>H19+$B$13</f>
        <v>8503.06</v>
      </c>
      <c r="J19">
        <v>1</v>
      </c>
      <c r="K19" s="1">
        <v>100</v>
      </c>
      <c r="L19">
        <f>K19*E3</f>
        <v>0</v>
      </c>
      <c r="M19" s="9">
        <f>N19/F19*1000</f>
        <v>55.942518734584723</v>
      </c>
      <c r="N19">
        <f>AVERAGE(N20:N24)</f>
        <v>6783.8695343494164</v>
      </c>
    </row>
    <row r="20" spans="1:22" x14ac:dyDescent="0.25">
      <c r="B20">
        <v>3.1</v>
      </c>
      <c r="C20">
        <f t="shared" ref="C20:C24" si="1">B20*10000</f>
        <v>31000</v>
      </c>
      <c r="D20">
        <v>20356.3</v>
      </c>
      <c r="E20">
        <v>10603.61</v>
      </c>
      <c r="F20">
        <v>71909</v>
      </c>
      <c r="G20" s="5">
        <f t="shared" ref="G20:G24" si="2">E20+D20</f>
        <v>30959.91</v>
      </c>
      <c r="H20" s="5">
        <v>29229.32</v>
      </c>
      <c r="I20" s="5">
        <f>H20+$B$13</f>
        <v>29231.989999999998</v>
      </c>
      <c r="J20">
        <v>2</v>
      </c>
      <c r="K20" s="1">
        <v>100</v>
      </c>
      <c r="L20">
        <f>K20*E4</f>
        <v>2400</v>
      </c>
      <c r="M20" s="9">
        <f>L20/I20*1000</f>
        <v>82.101834326024331</v>
      </c>
      <c r="N20">
        <f>F20*M20/1000</f>
        <v>5903.8608045500832</v>
      </c>
      <c r="O20" s="18"/>
    </row>
    <row r="21" spans="1:22" x14ac:dyDescent="0.25">
      <c r="B21">
        <v>4.33</v>
      </c>
      <c r="C21">
        <f t="shared" si="1"/>
        <v>43300</v>
      </c>
      <c r="D21">
        <v>24123.4</v>
      </c>
      <c r="E21">
        <v>19235.62</v>
      </c>
      <c r="F21">
        <v>74211</v>
      </c>
      <c r="G21" s="5">
        <f t="shared" si="2"/>
        <v>43359.020000000004</v>
      </c>
      <c r="H21" s="5">
        <v>44606.79</v>
      </c>
      <c r="I21" s="5">
        <f t="shared" ref="I21:I24" si="3">H21+$B$13</f>
        <v>44609.46</v>
      </c>
      <c r="J21">
        <v>3</v>
      </c>
      <c r="K21" s="1">
        <v>100</v>
      </c>
      <c r="L21">
        <f t="shared" ref="L21:L24" si="4">K21*E5</f>
        <v>6000</v>
      </c>
      <c r="M21" s="9">
        <f t="shared" ref="M21:M30" si="5">L21/I21*1000</f>
        <v>134.50061937535224</v>
      </c>
      <c r="N21">
        <f t="shared" ref="N21:N23" si="6">F21*M21/1000</f>
        <v>9981.425464464266</v>
      </c>
      <c r="O21" s="18"/>
    </row>
    <row r="22" spans="1:22" x14ac:dyDescent="0.25">
      <c r="B22">
        <v>12.63</v>
      </c>
      <c r="C22">
        <f t="shared" si="1"/>
        <v>126300.00000000001</v>
      </c>
      <c r="D22">
        <v>69000</v>
      </c>
      <c r="E22">
        <v>57235.360000000001</v>
      </c>
      <c r="F22">
        <v>61577</v>
      </c>
      <c r="G22" s="5">
        <f t="shared" si="2"/>
        <v>126235.36</v>
      </c>
      <c r="H22" s="5">
        <v>105498.62</v>
      </c>
      <c r="I22" s="5">
        <f t="shared" si="3"/>
        <v>105501.29</v>
      </c>
      <c r="J22">
        <v>4</v>
      </c>
      <c r="K22" s="1">
        <v>100</v>
      </c>
      <c r="L22">
        <f t="shared" si="4"/>
        <v>9000</v>
      </c>
      <c r="M22" s="9">
        <f t="shared" si="5"/>
        <v>85.307013781537648</v>
      </c>
      <c r="N22">
        <f t="shared" si="6"/>
        <v>5252.9499876257441</v>
      </c>
      <c r="O22" s="18"/>
    </row>
    <row r="23" spans="1:22" x14ac:dyDescent="0.25">
      <c r="B23">
        <v>12.25</v>
      </c>
      <c r="C23">
        <f t="shared" si="1"/>
        <v>122500</v>
      </c>
      <c r="D23">
        <v>74231.5</v>
      </c>
      <c r="E23">
        <v>47974.13</v>
      </c>
      <c r="F23">
        <v>63252</v>
      </c>
      <c r="G23" s="5">
        <f t="shared" si="2"/>
        <v>122205.63</v>
      </c>
      <c r="H23" s="5">
        <v>129009.13</v>
      </c>
      <c r="I23" s="5">
        <f t="shared" si="3"/>
        <v>129011.8</v>
      </c>
      <c r="J23">
        <v>5</v>
      </c>
      <c r="K23" s="1">
        <v>100</v>
      </c>
      <c r="L23">
        <f t="shared" si="4"/>
        <v>12000</v>
      </c>
      <c r="M23" s="9">
        <f t="shared" si="5"/>
        <v>93.014747488214255</v>
      </c>
      <c r="N23">
        <f t="shared" si="6"/>
        <v>5883.3688081245282</v>
      </c>
      <c r="O23" s="18"/>
    </row>
    <row r="24" spans="1:22" x14ac:dyDescent="0.25">
      <c r="B24">
        <v>12.28</v>
      </c>
      <c r="C24">
        <f t="shared" si="1"/>
        <v>122800</v>
      </c>
      <c r="D24">
        <v>75975.3</v>
      </c>
      <c r="E24">
        <v>46835.34</v>
      </c>
      <c r="F24" s="5">
        <v>54159.7</v>
      </c>
      <c r="G24" s="5">
        <f t="shared" si="2"/>
        <v>122810.64</v>
      </c>
      <c r="H24" s="5">
        <v>117774.34</v>
      </c>
      <c r="I24" s="5">
        <f t="shared" si="3"/>
        <v>117777.01</v>
      </c>
      <c r="J24">
        <v>6</v>
      </c>
      <c r="K24" s="1">
        <v>100</v>
      </c>
      <c r="L24">
        <f t="shared" si="4"/>
        <v>15000</v>
      </c>
      <c r="M24" s="9">
        <f t="shared" si="5"/>
        <v>127.35932080462902</v>
      </c>
      <c r="N24">
        <f>F24*M24/1000</f>
        <v>6897.742606982466</v>
      </c>
      <c r="O24" s="18"/>
    </row>
    <row r="25" spans="1:22" x14ac:dyDescent="0.25">
      <c r="I25" s="5">
        <f t="shared" ref="I25:I30" si="7">H19+$B$14</f>
        <v>8503.3499999999985</v>
      </c>
      <c r="J25">
        <v>7</v>
      </c>
      <c r="K25" s="1">
        <v>100</v>
      </c>
      <c r="L25">
        <f>K25*E3</f>
        <v>0</v>
      </c>
      <c r="M25" s="9">
        <f>N25/F19*1000</f>
        <v>55.942241481970875</v>
      </c>
      <c r="N25">
        <f>AVERAGE(N26:N30)</f>
        <v>6783.8359133111981</v>
      </c>
      <c r="O25" s="18"/>
    </row>
    <row r="26" spans="1:22" x14ac:dyDescent="0.25">
      <c r="I26" s="5">
        <f t="shared" si="7"/>
        <v>29232.28</v>
      </c>
      <c r="J26">
        <v>8</v>
      </c>
      <c r="K26" s="1">
        <v>100</v>
      </c>
      <c r="L26">
        <f t="shared" ref="L26:L30" si="8">K26*E4</f>
        <v>2400</v>
      </c>
      <c r="M26" s="9">
        <f>L26/I26*1000</f>
        <v>82.101019831501333</v>
      </c>
      <c r="N26">
        <f t="shared" ref="N26:N30" si="9">F20*M26/1000</f>
        <v>5903.8022350634292</v>
      </c>
      <c r="O26" s="18"/>
    </row>
    <row r="27" spans="1:22" x14ac:dyDescent="0.25">
      <c r="I27" s="5">
        <f t="shared" si="7"/>
        <v>44609.75</v>
      </c>
      <c r="J27">
        <v>9</v>
      </c>
      <c r="K27" s="1">
        <v>100</v>
      </c>
      <c r="L27">
        <f t="shared" si="8"/>
        <v>6000</v>
      </c>
      <c r="M27" s="9">
        <f t="shared" si="5"/>
        <v>134.49974501090009</v>
      </c>
      <c r="N27">
        <f t="shared" si="9"/>
        <v>9981.3605770039048</v>
      </c>
      <c r="O27" s="18"/>
    </row>
    <row r="28" spans="1:22" x14ac:dyDescent="0.25">
      <c r="I28" s="5">
        <f t="shared" si="7"/>
        <v>105501.58</v>
      </c>
      <c r="J28">
        <v>10</v>
      </c>
      <c r="K28" s="1">
        <v>100</v>
      </c>
      <c r="L28">
        <f t="shared" si="8"/>
        <v>9000</v>
      </c>
      <c r="M28" s="9">
        <f t="shared" si="5"/>
        <v>85.306779291836193</v>
      </c>
      <c r="N28">
        <f t="shared" si="9"/>
        <v>5252.9355484533971</v>
      </c>
      <c r="O28" s="18"/>
    </row>
    <row r="29" spans="1:22" x14ac:dyDescent="0.25">
      <c r="I29" s="5">
        <f t="shared" si="7"/>
        <v>129012.09000000001</v>
      </c>
      <c r="J29">
        <v>11</v>
      </c>
      <c r="K29" s="1">
        <v>100</v>
      </c>
      <c r="L29">
        <f t="shared" si="8"/>
        <v>12000</v>
      </c>
      <c r="M29" s="9">
        <f t="shared" si="5"/>
        <v>93.014538404889024</v>
      </c>
      <c r="N29">
        <f t="shared" si="9"/>
        <v>5883.3555831860403</v>
      </c>
    </row>
    <row r="30" spans="1:22" x14ac:dyDescent="0.25">
      <c r="I30" s="5">
        <f t="shared" si="7"/>
        <v>117777.3</v>
      </c>
      <c r="J30">
        <v>12</v>
      </c>
      <c r="K30" s="1">
        <v>100</v>
      </c>
      <c r="L30">
        <f t="shared" si="8"/>
        <v>15000</v>
      </c>
      <c r="M30" s="9">
        <f t="shared" si="5"/>
        <v>127.359007211067</v>
      </c>
      <c r="N30">
        <f t="shared" si="9"/>
        <v>6897.7256228492251</v>
      </c>
    </row>
    <row r="31" spans="1:22" ht="14.4" thickBot="1" x14ac:dyDescent="0.3">
      <c r="B31" s="254" t="s">
        <v>24</v>
      </c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254"/>
      <c r="U31" s="254"/>
    </row>
    <row r="32" spans="1:22" ht="15" thickBot="1" x14ac:dyDescent="0.35">
      <c r="A32" t="s">
        <v>25</v>
      </c>
      <c r="B32" s="16">
        <v>45166</v>
      </c>
      <c r="C32" s="16">
        <v>45173</v>
      </c>
      <c r="D32" s="16">
        <v>45174</v>
      </c>
      <c r="E32" s="16">
        <v>45180</v>
      </c>
      <c r="F32" s="16">
        <v>45184</v>
      </c>
      <c r="G32" s="16">
        <v>45190</v>
      </c>
      <c r="H32" s="16">
        <v>45196</v>
      </c>
      <c r="I32" s="16">
        <v>45198</v>
      </c>
      <c r="J32" s="16">
        <v>45201</v>
      </c>
      <c r="K32" s="16">
        <v>45203</v>
      </c>
      <c r="L32" s="16">
        <v>45207</v>
      </c>
      <c r="M32" s="17">
        <v>45214</v>
      </c>
      <c r="N32" s="16">
        <v>45217</v>
      </c>
      <c r="O32" s="16">
        <v>45218</v>
      </c>
      <c r="P32" s="11">
        <v>45230</v>
      </c>
      <c r="Q32" t="s">
        <v>26</v>
      </c>
      <c r="R32" s="11">
        <v>45244</v>
      </c>
      <c r="S32" s="11">
        <v>45258</v>
      </c>
      <c r="T32" s="11">
        <v>45265</v>
      </c>
      <c r="U32" s="16">
        <v>45279</v>
      </c>
      <c r="V32" s="16">
        <v>45286</v>
      </c>
    </row>
    <row r="33" spans="1:22" ht="15" thickBot="1" x14ac:dyDescent="0.35">
      <c r="A33">
        <v>1</v>
      </c>
      <c r="B33" s="2">
        <v>22.718743201125918</v>
      </c>
      <c r="C33">
        <v>23</v>
      </c>
      <c r="D33" s="5"/>
      <c r="E33" s="5">
        <v>23</v>
      </c>
      <c r="F33">
        <v>0</v>
      </c>
      <c r="G33" s="12">
        <v>18</v>
      </c>
      <c r="I33">
        <v>0</v>
      </c>
      <c r="K33" s="5">
        <v>23</v>
      </c>
      <c r="M33" s="13"/>
      <c r="O33" s="5">
        <v>23.309099979257386</v>
      </c>
      <c r="Q33">
        <v>36</v>
      </c>
      <c r="R33">
        <v>0</v>
      </c>
      <c r="S33">
        <v>56</v>
      </c>
      <c r="U33">
        <v>47</v>
      </c>
    </row>
    <row r="34" spans="1:22" ht="15" thickBot="1" x14ac:dyDescent="0.35">
      <c r="A34">
        <v>2</v>
      </c>
      <c r="B34" s="2">
        <v>32.299835496937817</v>
      </c>
      <c r="C34">
        <v>0</v>
      </c>
      <c r="D34" s="5">
        <f t="shared" ref="D34:D44" si="10">M20</f>
        <v>82.101834326024331</v>
      </c>
      <c r="E34" s="5">
        <v>33.642931139006997</v>
      </c>
      <c r="F34">
        <v>0</v>
      </c>
      <c r="H34" s="5">
        <v>10.262480030924273</v>
      </c>
      <c r="I34" s="5">
        <v>34</v>
      </c>
      <c r="J34" s="5"/>
      <c r="K34" s="5"/>
      <c r="M34" s="14">
        <v>17</v>
      </c>
      <c r="O34" s="5">
        <v>34.208266769747581</v>
      </c>
      <c r="Q34">
        <v>48</v>
      </c>
      <c r="R34">
        <v>0</v>
      </c>
      <c r="S34">
        <v>82</v>
      </c>
      <c r="U34">
        <v>68</v>
      </c>
    </row>
    <row r="35" spans="1:22" ht="15" thickBot="1" x14ac:dyDescent="0.35">
      <c r="A35">
        <v>3</v>
      </c>
      <c r="B35" s="2">
        <v>57.658129727101766</v>
      </c>
      <c r="C35">
        <v>0</v>
      </c>
      <c r="D35" s="5">
        <f t="shared" si="10"/>
        <v>134.50061937535224</v>
      </c>
      <c r="E35" s="5">
        <v>0</v>
      </c>
      <c r="F35" s="15">
        <v>47</v>
      </c>
      <c r="H35" s="5">
        <v>16.812309838765465</v>
      </c>
      <c r="I35" s="5">
        <v>56</v>
      </c>
      <c r="J35" s="5"/>
      <c r="K35" s="5"/>
      <c r="M35" s="13"/>
      <c r="N35">
        <v>28</v>
      </c>
      <c r="O35" s="5">
        <v>0</v>
      </c>
      <c r="P35">
        <v>28</v>
      </c>
      <c r="Q35">
        <v>78</v>
      </c>
      <c r="R35">
        <v>0</v>
      </c>
      <c r="S35">
        <v>135</v>
      </c>
      <c r="U35">
        <v>112</v>
      </c>
    </row>
    <row r="36" spans="1:22" ht="15" thickBot="1" x14ac:dyDescent="0.35">
      <c r="A36">
        <v>4</v>
      </c>
      <c r="B36" s="2">
        <v>29.706415064685523</v>
      </c>
      <c r="C36">
        <v>0</v>
      </c>
      <c r="D36" s="5">
        <f t="shared" si="10"/>
        <v>85.307013781537648</v>
      </c>
      <c r="E36" s="5">
        <v>40.95035792885254</v>
      </c>
      <c r="F36">
        <v>0</v>
      </c>
      <c r="H36" s="5"/>
      <c r="I36">
        <v>36</v>
      </c>
      <c r="K36" s="5"/>
      <c r="L36">
        <v>53</v>
      </c>
      <c r="M36" s="13"/>
      <c r="O36" s="5">
        <v>0</v>
      </c>
      <c r="Q36">
        <v>50</v>
      </c>
      <c r="R36">
        <v>0</v>
      </c>
      <c r="S36">
        <v>85</v>
      </c>
      <c r="U36">
        <v>71</v>
      </c>
    </row>
    <row r="37" spans="1:22" ht="15" thickBot="1" x14ac:dyDescent="0.35">
      <c r="A37">
        <v>5</v>
      </c>
      <c r="B37" s="2">
        <v>40.914645258160363</v>
      </c>
      <c r="C37">
        <v>39</v>
      </c>
      <c r="D37" s="5">
        <v>0</v>
      </c>
      <c r="E37" s="5">
        <v>36.638104605464747</v>
      </c>
      <c r="F37">
        <v>0</v>
      </c>
      <c r="H37" s="5">
        <v>11.626779449527801</v>
      </c>
      <c r="I37" s="5">
        <v>0</v>
      </c>
      <c r="J37" s="5">
        <v>39</v>
      </c>
      <c r="K37" s="5"/>
      <c r="M37" s="13"/>
      <c r="O37" s="5">
        <v>39</v>
      </c>
      <c r="Q37">
        <v>54</v>
      </c>
      <c r="R37">
        <v>0</v>
      </c>
      <c r="S37">
        <v>93</v>
      </c>
      <c r="U37">
        <v>78</v>
      </c>
    </row>
    <row r="38" spans="1:22" ht="15" thickBot="1" x14ac:dyDescent="0.35">
      <c r="A38">
        <v>6</v>
      </c>
      <c r="B38" s="2">
        <v>50.891355993259218</v>
      </c>
      <c r="C38">
        <v>53</v>
      </c>
      <c r="D38" s="5">
        <v>0</v>
      </c>
      <c r="E38" s="5">
        <v>54.664921068545176</v>
      </c>
      <c r="F38">
        <v>0</v>
      </c>
      <c r="H38" s="5">
        <v>15.919819130477308</v>
      </c>
      <c r="I38" s="5">
        <v>0</v>
      </c>
      <c r="J38" s="5">
        <v>53</v>
      </c>
      <c r="K38" s="5"/>
      <c r="M38" s="13"/>
      <c r="N38" s="5">
        <v>27</v>
      </c>
      <c r="O38" s="5">
        <v>53</v>
      </c>
      <c r="Q38">
        <v>74</v>
      </c>
      <c r="R38">
        <v>0</v>
      </c>
      <c r="S38">
        <v>127</v>
      </c>
      <c r="U38">
        <v>106</v>
      </c>
    </row>
    <row r="39" spans="1:22" ht="15" thickBot="1" x14ac:dyDescent="0.35">
      <c r="A39">
        <v>7</v>
      </c>
      <c r="B39" s="2">
        <v>22.718743201125918</v>
      </c>
      <c r="C39">
        <v>23</v>
      </c>
      <c r="D39" s="5">
        <v>0</v>
      </c>
      <c r="E39" s="5">
        <v>23</v>
      </c>
      <c r="F39">
        <v>0</v>
      </c>
      <c r="G39" s="12">
        <v>20</v>
      </c>
      <c r="I39" s="5">
        <v>0</v>
      </c>
      <c r="J39" s="5"/>
      <c r="K39" s="5">
        <v>23</v>
      </c>
      <c r="M39" s="13"/>
      <c r="O39" s="5">
        <f>23</f>
        <v>23</v>
      </c>
      <c r="Q39">
        <v>5</v>
      </c>
      <c r="R39" s="5">
        <v>32.632974197816345</v>
      </c>
      <c r="S39" s="234">
        <v>0</v>
      </c>
      <c r="T39" s="5">
        <v>55.942241481970875</v>
      </c>
      <c r="V39">
        <v>47</v>
      </c>
    </row>
    <row r="40" spans="1:22" ht="15" thickBot="1" x14ac:dyDescent="0.35">
      <c r="A40">
        <v>8</v>
      </c>
      <c r="B40" s="2">
        <v>32.299835496937817</v>
      </c>
      <c r="C40">
        <v>0</v>
      </c>
      <c r="D40" s="5">
        <f t="shared" si="10"/>
        <v>82.101019831501333</v>
      </c>
      <c r="E40" s="5">
        <v>0</v>
      </c>
      <c r="F40" s="15">
        <v>31</v>
      </c>
      <c r="I40" s="5">
        <v>34</v>
      </c>
      <c r="J40" s="5"/>
      <c r="K40" s="5"/>
      <c r="M40" s="14">
        <v>17</v>
      </c>
      <c r="O40" s="5">
        <v>34.205914818378567</v>
      </c>
      <c r="Q40">
        <v>6</v>
      </c>
      <c r="R40" s="5">
        <f>47.8922615683758+12</f>
        <v>59.892261568375801</v>
      </c>
      <c r="S40" s="234">
        <v>0</v>
      </c>
      <c r="T40" s="5">
        <v>82.101019831501333</v>
      </c>
      <c r="V40">
        <v>68</v>
      </c>
    </row>
    <row r="41" spans="1:22" ht="15" thickBot="1" x14ac:dyDescent="0.35">
      <c r="A41">
        <v>9</v>
      </c>
      <c r="B41" s="2">
        <v>57.658129727101766</v>
      </c>
      <c r="C41">
        <v>56</v>
      </c>
      <c r="D41" s="5">
        <v>0</v>
      </c>
      <c r="E41" s="5">
        <v>62.648534001213719</v>
      </c>
      <c r="F41">
        <v>0</v>
      </c>
      <c r="I41" s="5">
        <v>73</v>
      </c>
      <c r="J41" s="5"/>
      <c r="K41" s="5"/>
      <c r="M41" s="14">
        <v>28</v>
      </c>
      <c r="O41" s="5">
        <v>56.038507869375579</v>
      </c>
      <c r="Q41">
        <v>12</v>
      </c>
      <c r="R41" s="5">
        <v>78.458184589691712</v>
      </c>
      <c r="S41" s="234">
        <v>0</v>
      </c>
      <c r="T41" s="5">
        <v>134.49974501090009</v>
      </c>
      <c r="V41">
        <v>112</v>
      </c>
    </row>
    <row r="42" spans="1:22" x14ac:dyDescent="0.25">
      <c r="A42">
        <v>10</v>
      </c>
      <c r="B42" s="2">
        <v>29.706415064685523</v>
      </c>
      <c r="C42">
        <v>0</v>
      </c>
      <c r="D42" s="5">
        <f t="shared" si="10"/>
        <v>85.306779291836193</v>
      </c>
      <c r="E42" s="5">
        <v>36.09402663276542</v>
      </c>
      <c r="F42" s="15">
        <v>0</v>
      </c>
      <c r="G42" s="12">
        <v>37</v>
      </c>
      <c r="I42" s="5">
        <v>0</v>
      </c>
      <c r="J42" s="5"/>
      <c r="K42" s="5">
        <v>36</v>
      </c>
      <c r="O42" s="5">
        <v>35.543672700213008</v>
      </c>
      <c r="Q42">
        <v>5</v>
      </c>
      <c r="R42" s="5">
        <v>49.762287920237782</v>
      </c>
      <c r="S42" s="234">
        <v>0</v>
      </c>
      <c r="T42" s="5">
        <v>85.306779291836193</v>
      </c>
      <c r="V42">
        <v>71</v>
      </c>
    </row>
    <row r="43" spans="1:22" x14ac:dyDescent="0.25">
      <c r="A43">
        <v>11</v>
      </c>
      <c r="B43" s="2">
        <v>40.914645258160363</v>
      </c>
      <c r="C43">
        <v>0</v>
      </c>
      <c r="D43" s="5">
        <f t="shared" si="10"/>
        <v>93.014538404889024</v>
      </c>
      <c r="E43" s="5">
        <v>0</v>
      </c>
      <c r="F43" s="15">
        <v>39</v>
      </c>
      <c r="I43" s="5">
        <v>39</v>
      </c>
      <c r="J43" s="5"/>
      <c r="K43" s="5"/>
      <c r="L43">
        <v>58</v>
      </c>
      <c r="O43" s="5">
        <v>0</v>
      </c>
      <c r="Q43">
        <v>4</v>
      </c>
      <c r="R43" s="5">
        <v>54.258480736185263</v>
      </c>
      <c r="S43" s="234">
        <v>0</v>
      </c>
      <c r="T43" s="5">
        <v>93.014538404889024</v>
      </c>
      <c r="V43">
        <v>78</v>
      </c>
    </row>
    <row r="44" spans="1:22" x14ac:dyDescent="0.25">
      <c r="A44">
        <v>12</v>
      </c>
      <c r="B44" s="2">
        <v>50.891355993259218</v>
      </c>
      <c r="C44">
        <v>0</v>
      </c>
      <c r="D44" s="5">
        <f t="shared" si="10"/>
        <v>127.359007211067</v>
      </c>
      <c r="E44">
        <v>0</v>
      </c>
      <c r="F44" s="15">
        <v>52</v>
      </c>
      <c r="I44" s="5">
        <v>58</v>
      </c>
      <c r="J44" s="5"/>
      <c r="K44" s="5"/>
      <c r="L44">
        <v>80</v>
      </c>
      <c r="O44" s="5">
        <v>0</v>
      </c>
      <c r="P44">
        <v>19</v>
      </c>
      <c r="Q44">
        <v>11</v>
      </c>
      <c r="R44" s="5">
        <v>74.29275420645574</v>
      </c>
      <c r="S44" s="234">
        <v>0</v>
      </c>
      <c r="T44" s="5">
        <v>127.359007211067</v>
      </c>
      <c r="V44">
        <v>106</v>
      </c>
    </row>
    <row r="45" spans="1:22" x14ac:dyDescent="0.25">
      <c r="A45" t="s">
        <v>27</v>
      </c>
      <c r="L45" t="s">
        <v>28</v>
      </c>
      <c r="M45" t="s">
        <v>29</v>
      </c>
      <c r="N45" t="s">
        <v>30</v>
      </c>
      <c r="O45" s="5">
        <v>100</v>
      </c>
      <c r="P45">
        <v>50</v>
      </c>
      <c r="Q45">
        <v>100</v>
      </c>
      <c r="R45" s="5">
        <v>100</v>
      </c>
      <c r="S45">
        <v>100</v>
      </c>
    </row>
  </sheetData>
  <autoFilter ref="B18:J25" xr:uid="{00000000-0009-0000-0000-000000000000}">
    <sortState xmlns:xlrd2="http://schemas.microsoft.com/office/spreadsheetml/2017/richdata2" ref="B19:J25">
      <sortCondition ref="J18:J25"/>
    </sortState>
  </autoFilter>
  <mergeCells count="3">
    <mergeCell ref="B31:U31"/>
    <mergeCell ref="B17:G17"/>
    <mergeCell ref="C1:G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116A-DF6D-4D14-A31F-D6FD3B8D5047}">
  <dimension ref="A1:AQ88"/>
  <sheetViews>
    <sheetView tabSelected="1" zoomScale="68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8" sqref="Q8"/>
    </sheetView>
  </sheetViews>
  <sheetFormatPr defaultColWidth="8.8984375" defaultRowHeight="13.8" x14ac:dyDescent="0.25"/>
  <cols>
    <col min="10" max="18" width="11.09765625" bestFit="1" customWidth="1"/>
    <col min="19" max="19" width="11.8984375" bestFit="1" customWidth="1"/>
  </cols>
  <sheetData>
    <row r="1" spans="1:43" x14ac:dyDescent="0.25">
      <c r="A1" t="s">
        <v>31</v>
      </c>
      <c r="B1">
        <v>0.22589999999999999</v>
      </c>
      <c r="C1" s="258" t="s">
        <v>32</v>
      </c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9" t="s">
        <v>33</v>
      </c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P1" s="257" t="s">
        <v>34</v>
      </c>
      <c r="AQ1" s="257"/>
    </row>
    <row r="2" spans="1:43" ht="16.2" thickBot="1" x14ac:dyDescent="0.3">
      <c r="C2" s="19" t="s">
        <v>35</v>
      </c>
      <c r="D2" s="19" t="s">
        <v>35</v>
      </c>
      <c r="E2" s="19" t="s">
        <v>36</v>
      </c>
      <c r="F2" s="19" t="s">
        <v>36</v>
      </c>
      <c r="G2" s="19" t="s">
        <v>37</v>
      </c>
      <c r="H2" s="19" t="s">
        <v>37</v>
      </c>
      <c r="I2" s="19" t="s">
        <v>37</v>
      </c>
      <c r="J2" s="19" t="s">
        <v>37</v>
      </c>
      <c r="K2" s="19" t="s">
        <v>37</v>
      </c>
      <c r="L2" s="19" t="s">
        <v>37</v>
      </c>
      <c r="M2" s="19" t="s">
        <v>37</v>
      </c>
      <c r="N2" s="233" t="s">
        <v>38</v>
      </c>
      <c r="O2" s="19" t="s">
        <v>37</v>
      </c>
      <c r="P2" s="19"/>
      <c r="Q2" s="233" t="s">
        <v>39</v>
      </c>
      <c r="R2" s="233" t="s">
        <v>40</v>
      </c>
      <c r="S2" s="253" t="s">
        <v>159</v>
      </c>
      <c r="U2" s="20" t="s">
        <v>35</v>
      </c>
      <c r="V2" s="20" t="s">
        <v>35</v>
      </c>
      <c r="W2" s="20"/>
      <c r="X2" s="20" t="s">
        <v>41</v>
      </c>
      <c r="Y2" s="20" t="s">
        <v>35</v>
      </c>
      <c r="Z2" s="20"/>
      <c r="AA2" s="20"/>
      <c r="AB2" s="20"/>
      <c r="AC2" s="20"/>
      <c r="AD2" s="20"/>
      <c r="AE2" s="20"/>
      <c r="AF2" s="20"/>
      <c r="AG2" s="20"/>
      <c r="AP2" s="226" t="s">
        <v>42</v>
      </c>
      <c r="AQ2" s="226" t="s">
        <v>43</v>
      </c>
    </row>
    <row r="3" spans="1:43" ht="31.8" thickBot="1" x14ac:dyDescent="0.35">
      <c r="B3" t="s">
        <v>19</v>
      </c>
      <c r="C3" s="11">
        <v>45168</v>
      </c>
      <c r="D3" s="11">
        <v>45176</v>
      </c>
      <c r="E3" s="11">
        <v>45180</v>
      </c>
      <c r="F3" s="11">
        <v>45189</v>
      </c>
      <c r="G3" s="11">
        <v>45196</v>
      </c>
      <c r="H3" s="11">
        <v>45198</v>
      </c>
      <c r="I3" s="11">
        <v>45203</v>
      </c>
      <c r="J3" s="11">
        <v>45207</v>
      </c>
      <c r="K3" s="11">
        <v>45214</v>
      </c>
      <c r="L3" s="11">
        <v>45217</v>
      </c>
      <c r="M3" s="11">
        <v>45218</v>
      </c>
      <c r="N3" s="11">
        <v>45218</v>
      </c>
      <c r="O3" s="11">
        <v>45230</v>
      </c>
      <c r="P3" s="11">
        <v>45236</v>
      </c>
      <c r="Q3" s="11">
        <v>45236</v>
      </c>
      <c r="R3" s="11">
        <v>45244</v>
      </c>
      <c r="S3" s="11">
        <v>45265</v>
      </c>
      <c r="U3" s="11">
        <v>45168</v>
      </c>
      <c r="V3" s="11">
        <v>45176</v>
      </c>
      <c r="W3" s="11">
        <v>45189</v>
      </c>
      <c r="X3" s="11">
        <v>45203</v>
      </c>
      <c r="Y3" s="11">
        <v>45218</v>
      </c>
      <c r="AH3" t="s">
        <v>44</v>
      </c>
      <c r="AI3" s="21" t="s">
        <v>45</v>
      </c>
      <c r="AJ3" s="21" t="s">
        <v>46</v>
      </c>
      <c r="AK3" t="s">
        <v>47</v>
      </c>
      <c r="AP3" s="225">
        <v>37.29</v>
      </c>
      <c r="AQ3" s="225">
        <v>3.79</v>
      </c>
    </row>
    <row r="4" spans="1:43" ht="18" thickBot="1" x14ac:dyDescent="0.35">
      <c r="B4">
        <v>1</v>
      </c>
      <c r="C4" s="22">
        <v>2.8</v>
      </c>
      <c r="D4" s="23">
        <v>2.1</v>
      </c>
      <c r="E4">
        <v>3.6143999999999998</v>
      </c>
      <c r="F4" s="15">
        <v>3.3884999999999996</v>
      </c>
      <c r="H4" s="24"/>
      <c r="I4">
        <v>3.1625999999999999</v>
      </c>
      <c r="J4" s="24"/>
      <c r="K4" s="25"/>
      <c r="M4">
        <f>B1*20</f>
        <v>4.5179999999999998</v>
      </c>
      <c r="N4" s="225">
        <v>4.2</v>
      </c>
      <c r="P4" s="15">
        <v>25</v>
      </c>
      <c r="Q4" s="15">
        <f>P4*$B$1</f>
        <v>5.6475</v>
      </c>
      <c r="S4" s="16"/>
      <c r="T4" s="15"/>
      <c r="U4" s="22">
        <v>1.45</v>
      </c>
      <c r="V4" s="26">
        <v>0.18</v>
      </c>
      <c r="W4" s="27">
        <v>0.92</v>
      </c>
      <c r="X4" t="s">
        <v>48</v>
      </c>
      <c r="Y4" s="225">
        <v>0</v>
      </c>
      <c r="AH4" s="28">
        <v>12</v>
      </c>
      <c r="AI4" s="29">
        <v>5</v>
      </c>
      <c r="AJ4" s="30">
        <v>1.62</v>
      </c>
      <c r="AK4">
        <v>11</v>
      </c>
      <c r="AL4" s="28"/>
      <c r="AM4" s="31"/>
      <c r="AP4" s="225">
        <v>28.72</v>
      </c>
      <c r="AQ4" s="225">
        <v>2</v>
      </c>
    </row>
    <row r="5" spans="1:43" ht="18" thickBot="1" x14ac:dyDescent="0.35">
      <c r="B5">
        <v>2</v>
      </c>
      <c r="C5" s="22">
        <v>7.4</v>
      </c>
      <c r="D5" s="32">
        <v>6.6</v>
      </c>
      <c r="E5">
        <v>8.3582999999999998</v>
      </c>
      <c r="F5" s="15">
        <v>13.328099999999999</v>
      </c>
      <c r="G5">
        <f>50*0.2259</f>
        <v>11.295</v>
      </c>
      <c r="H5" s="33">
        <f>37*B1</f>
        <v>8.3582999999999998</v>
      </c>
      <c r="I5">
        <v>15.135299999999999</v>
      </c>
      <c r="J5" s="24"/>
      <c r="K5" s="34">
        <v>7.2287999999999997</v>
      </c>
      <c r="M5">
        <f>35*B1</f>
        <v>7.9064999999999994</v>
      </c>
      <c r="N5" s="225">
        <v>8.8000000000000007</v>
      </c>
      <c r="P5" s="15">
        <v>39</v>
      </c>
      <c r="Q5" s="15">
        <f t="shared" ref="Q5:Q15" si="0">P5*$B$1</f>
        <v>8.8101000000000003</v>
      </c>
      <c r="R5" s="15"/>
      <c r="S5" s="15"/>
      <c r="U5" s="22">
        <v>6.94</v>
      </c>
      <c r="V5" s="30">
        <v>4.7699999999999996</v>
      </c>
      <c r="Y5" s="225">
        <v>3.7</v>
      </c>
      <c r="AH5">
        <v>6</v>
      </c>
      <c r="AI5" s="29">
        <v>6</v>
      </c>
      <c r="AJ5" s="30">
        <v>0.92</v>
      </c>
      <c r="AK5">
        <v>12</v>
      </c>
      <c r="AM5" s="35"/>
      <c r="AP5" s="225">
        <v>43.32</v>
      </c>
      <c r="AQ5" s="225">
        <v>3.76</v>
      </c>
    </row>
    <row r="6" spans="1:43" ht="18" thickBot="1" x14ac:dyDescent="0.35">
      <c r="B6">
        <v>3</v>
      </c>
      <c r="C6" s="22">
        <v>13.4</v>
      </c>
      <c r="D6" s="32">
        <v>15.5</v>
      </c>
      <c r="F6" s="15">
        <v>15.3612</v>
      </c>
      <c r="G6">
        <f>93*B1</f>
        <v>21.008699999999997</v>
      </c>
      <c r="H6" s="33">
        <f>71*B1</f>
        <v>16.038899999999998</v>
      </c>
      <c r="I6">
        <v>24.849</v>
      </c>
      <c r="J6" s="24"/>
      <c r="K6" s="25"/>
      <c r="L6">
        <f>62*B1</f>
        <v>14.005799999999999</v>
      </c>
      <c r="N6" s="225">
        <v>14.3</v>
      </c>
      <c r="O6">
        <f>90*B1</f>
        <v>20.331</v>
      </c>
      <c r="P6" s="15">
        <v>76</v>
      </c>
      <c r="Q6" s="15">
        <f t="shared" si="0"/>
        <v>17.168399999999998</v>
      </c>
      <c r="R6" s="15"/>
      <c r="S6" s="15"/>
      <c r="U6" s="22">
        <v>13.4</v>
      </c>
      <c r="V6" s="30">
        <v>11.12</v>
      </c>
      <c r="W6" s="27">
        <v>14.97</v>
      </c>
      <c r="Y6" s="225">
        <v>13.02</v>
      </c>
      <c r="AH6" s="28">
        <v>10</v>
      </c>
      <c r="AI6" s="29">
        <v>9</v>
      </c>
      <c r="AJ6" s="30">
        <v>2.38</v>
      </c>
      <c r="AK6">
        <v>13</v>
      </c>
      <c r="AL6" s="28"/>
      <c r="AM6" s="31"/>
      <c r="AP6" s="225">
        <v>30.54</v>
      </c>
      <c r="AQ6" s="225">
        <v>2.29</v>
      </c>
    </row>
    <row r="7" spans="1:43" ht="18" thickBot="1" x14ac:dyDescent="0.35">
      <c r="B7">
        <v>4</v>
      </c>
      <c r="C7" s="22">
        <v>17</v>
      </c>
      <c r="D7" s="32">
        <v>24.3</v>
      </c>
      <c r="E7">
        <v>24.171299999999999</v>
      </c>
      <c r="F7" s="15">
        <v>39.532499999999999</v>
      </c>
      <c r="H7" s="33">
        <f>107*B1</f>
        <v>24.171299999999999</v>
      </c>
      <c r="I7">
        <v>36.8217</v>
      </c>
      <c r="J7" s="24">
        <v>13</v>
      </c>
      <c r="K7" s="25"/>
      <c r="N7" s="225">
        <v>19.7</v>
      </c>
      <c r="P7" s="15">
        <v>137</v>
      </c>
      <c r="Q7" s="15">
        <f t="shared" si="0"/>
        <v>30.9483</v>
      </c>
      <c r="R7" s="15"/>
      <c r="S7" s="15"/>
      <c r="U7" s="22">
        <v>18.64</v>
      </c>
      <c r="V7" s="30">
        <v>18.77</v>
      </c>
      <c r="Y7" s="225">
        <v>9.7899999999999991</v>
      </c>
      <c r="AH7">
        <v>5</v>
      </c>
      <c r="AI7" s="29">
        <v>10</v>
      </c>
      <c r="AJ7" s="30">
        <v>2.86</v>
      </c>
      <c r="AK7">
        <v>14</v>
      </c>
      <c r="AM7" s="35"/>
      <c r="AP7" s="225">
        <v>28.45</v>
      </c>
      <c r="AQ7" s="225">
        <v>2.5499999999999998</v>
      </c>
    </row>
    <row r="8" spans="1:43" ht="18" thickBot="1" x14ac:dyDescent="0.35">
      <c r="B8">
        <v>5</v>
      </c>
      <c r="C8" s="22">
        <v>27.1</v>
      </c>
      <c r="D8" s="32">
        <v>27.8</v>
      </c>
      <c r="E8">
        <v>26.2044</v>
      </c>
      <c r="F8" s="15">
        <v>40.436099999999996</v>
      </c>
      <c r="G8">
        <f>186*B1</f>
        <v>42.017399999999995</v>
      </c>
      <c r="H8" s="33"/>
      <c r="I8">
        <v>35.918099999999995</v>
      </c>
      <c r="J8" s="24"/>
      <c r="K8" s="25"/>
      <c r="M8">
        <f>B1*119</f>
        <v>26.882099999999998</v>
      </c>
      <c r="N8" s="225">
        <v>25.6</v>
      </c>
      <c r="P8" s="15">
        <v>172</v>
      </c>
      <c r="Q8" s="15">
        <f t="shared" si="0"/>
        <v>38.854799999999997</v>
      </c>
      <c r="R8" s="15"/>
      <c r="S8" s="15"/>
      <c r="U8" s="22">
        <v>28.27</v>
      </c>
      <c r="V8" s="30">
        <v>23</v>
      </c>
      <c r="W8" s="27">
        <v>28.65</v>
      </c>
      <c r="Y8" s="225">
        <v>24.82</v>
      </c>
      <c r="AH8">
        <v>6</v>
      </c>
      <c r="AI8" s="29">
        <v>16</v>
      </c>
      <c r="AJ8" s="30">
        <v>4.1900000000000004</v>
      </c>
      <c r="AK8">
        <v>35</v>
      </c>
      <c r="AL8" s="28"/>
      <c r="AM8" s="31"/>
      <c r="AP8" s="225">
        <v>31.56</v>
      </c>
      <c r="AQ8" s="225">
        <v>2.2999999999999998</v>
      </c>
    </row>
    <row r="9" spans="1:43" ht="18" thickBot="1" x14ac:dyDescent="0.35">
      <c r="B9">
        <v>6</v>
      </c>
      <c r="C9" s="22">
        <v>30.7</v>
      </c>
      <c r="D9" s="32">
        <v>32.700000000000003</v>
      </c>
      <c r="E9">
        <v>39.758399999999995</v>
      </c>
      <c r="F9" s="15"/>
      <c r="G9" t="s">
        <v>49</v>
      </c>
      <c r="H9" s="36"/>
      <c r="I9">
        <v>44.502299999999998</v>
      </c>
      <c r="J9" s="24"/>
      <c r="K9" s="25"/>
      <c r="L9">
        <f>155*B1</f>
        <v>35.014499999999998</v>
      </c>
      <c r="M9">
        <f>B1*159</f>
        <v>35.918099999999995</v>
      </c>
      <c r="N9" s="225">
        <v>31.8</v>
      </c>
      <c r="P9" s="15">
        <v>185</v>
      </c>
      <c r="Q9" s="15">
        <f t="shared" si="0"/>
        <v>41.791499999999999</v>
      </c>
      <c r="R9" s="15"/>
      <c r="S9" s="15"/>
      <c r="U9" s="22">
        <v>34.6</v>
      </c>
      <c r="V9" s="30">
        <v>27</v>
      </c>
      <c r="W9" s="27">
        <v>28.29</v>
      </c>
      <c r="Y9" s="225">
        <v>29.79</v>
      </c>
      <c r="AH9" s="28">
        <v>12</v>
      </c>
      <c r="AI9" s="29">
        <v>26</v>
      </c>
      <c r="AJ9" s="30">
        <v>1.53</v>
      </c>
      <c r="AK9">
        <v>36</v>
      </c>
      <c r="AM9" s="35"/>
      <c r="AP9" s="225">
        <v>46.78</v>
      </c>
      <c r="AQ9" s="225">
        <v>3.13</v>
      </c>
    </row>
    <row r="10" spans="1:43" ht="18" thickBot="1" x14ac:dyDescent="0.35">
      <c r="B10">
        <v>7</v>
      </c>
      <c r="C10" s="22">
        <v>3.9</v>
      </c>
      <c r="D10" s="32">
        <v>3.8</v>
      </c>
      <c r="F10" s="15">
        <v>6.5510999999999999</v>
      </c>
      <c r="H10" s="33"/>
      <c r="I10">
        <v>0</v>
      </c>
      <c r="J10" s="24"/>
      <c r="K10" s="25"/>
      <c r="M10">
        <f>B1*26</f>
        <v>5.8734000000000002</v>
      </c>
      <c r="N10" s="225">
        <v>6.4</v>
      </c>
      <c r="P10" s="15">
        <v>36</v>
      </c>
      <c r="Q10" s="15">
        <f t="shared" si="0"/>
        <v>8.1324000000000005</v>
      </c>
      <c r="R10" s="15">
        <v>6.3251999999999997</v>
      </c>
      <c r="S10" s="15">
        <f>20*B1</f>
        <v>4.5179999999999998</v>
      </c>
      <c r="U10" s="22">
        <v>1.57</v>
      </c>
      <c r="V10" s="30">
        <v>3.71</v>
      </c>
      <c r="Y10" s="225">
        <v>1.96</v>
      </c>
      <c r="AH10">
        <v>6</v>
      </c>
      <c r="AI10" s="29">
        <v>29</v>
      </c>
      <c r="AJ10" s="30">
        <v>0.68</v>
      </c>
      <c r="AK10">
        <v>37</v>
      </c>
      <c r="AL10" s="28"/>
      <c r="AM10" s="31"/>
      <c r="AP10" s="225">
        <v>38.67</v>
      </c>
      <c r="AQ10" s="225">
        <v>1.87</v>
      </c>
    </row>
    <row r="11" spans="1:43" ht="18" thickBot="1" x14ac:dyDescent="0.35">
      <c r="B11">
        <v>8</v>
      </c>
      <c r="C11" s="22">
        <v>7.3</v>
      </c>
      <c r="D11" s="32">
        <v>7.7</v>
      </c>
      <c r="E11">
        <v>4.0662000000000003</v>
      </c>
      <c r="F11" s="15">
        <v>12.198599999999999</v>
      </c>
      <c r="H11" s="33">
        <f>42*B1</f>
        <v>9.4878</v>
      </c>
      <c r="I11">
        <v>0</v>
      </c>
      <c r="J11" s="24"/>
      <c r="K11" s="34">
        <v>8.1324000000000005</v>
      </c>
      <c r="M11">
        <f>B1*47</f>
        <v>10.6173</v>
      </c>
      <c r="N11" s="225">
        <v>8.6</v>
      </c>
      <c r="P11" s="15">
        <v>55</v>
      </c>
      <c r="Q11" s="15">
        <f t="shared" si="0"/>
        <v>12.4245</v>
      </c>
      <c r="R11" s="15">
        <v>8.3582999999999998</v>
      </c>
      <c r="S11" s="15">
        <f>56*B1</f>
        <v>12.650399999999999</v>
      </c>
      <c r="U11" s="22">
        <v>5.84</v>
      </c>
      <c r="V11" s="30">
        <v>4.8899999999999997</v>
      </c>
      <c r="Y11" s="225">
        <v>4.32</v>
      </c>
      <c r="AH11">
        <v>12</v>
      </c>
      <c r="AI11" s="29">
        <v>32</v>
      </c>
      <c r="AJ11" s="30">
        <v>5.89</v>
      </c>
      <c r="AK11">
        <v>38</v>
      </c>
      <c r="AM11" s="35"/>
      <c r="AP11" s="225">
        <v>52.74</v>
      </c>
      <c r="AQ11" s="225">
        <v>3.74</v>
      </c>
    </row>
    <row r="12" spans="1:43" ht="18" thickBot="1" x14ac:dyDescent="0.35">
      <c r="B12">
        <v>9</v>
      </c>
      <c r="C12" s="22">
        <v>15.6</v>
      </c>
      <c r="D12" s="32">
        <v>16</v>
      </c>
      <c r="E12">
        <v>13.553999999999998</v>
      </c>
      <c r="F12" s="15">
        <v>16.7166</v>
      </c>
      <c r="H12" s="33">
        <f>100*B1</f>
        <v>22.59</v>
      </c>
      <c r="I12">
        <v>0</v>
      </c>
      <c r="J12" s="24"/>
      <c r="K12" s="34">
        <v>12.876300000000001</v>
      </c>
      <c r="M12">
        <f>B1*85</f>
        <v>19.201499999999999</v>
      </c>
      <c r="N12" s="225">
        <v>15.6</v>
      </c>
      <c r="P12" s="15">
        <v>226</v>
      </c>
      <c r="Q12" s="15">
        <f t="shared" si="0"/>
        <v>51.053399999999996</v>
      </c>
      <c r="R12" s="15">
        <v>16.264800000000001</v>
      </c>
      <c r="S12" s="15">
        <f>105*B1</f>
        <v>23.7195</v>
      </c>
      <c r="U12" s="22">
        <v>17.78</v>
      </c>
      <c r="V12" s="30">
        <v>13.12</v>
      </c>
      <c r="Y12" s="225">
        <v>12.27</v>
      </c>
      <c r="AH12" s="28">
        <v>10</v>
      </c>
      <c r="AI12" s="37">
        <v>36</v>
      </c>
      <c r="AJ12" s="27">
        <v>27.56</v>
      </c>
      <c r="AK12">
        <v>59</v>
      </c>
      <c r="AL12" s="28"/>
      <c r="AM12" s="31"/>
      <c r="AP12" s="225">
        <v>49.78</v>
      </c>
      <c r="AQ12" s="225">
        <v>3.04</v>
      </c>
    </row>
    <row r="13" spans="1:43" ht="18" thickBot="1" x14ac:dyDescent="0.35">
      <c r="B13">
        <v>10</v>
      </c>
      <c r="C13" s="22">
        <v>19.5</v>
      </c>
      <c r="D13" s="32">
        <v>23.6</v>
      </c>
      <c r="E13">
        <v>31.400099999999998</v>
      </c>
      <c r="F13" s="15" t="s">
        <v>49</v>
      </c>
      <c r="H13" s="33"/>
      <c r="I13">
        <v>0</v>
      </c>
      <c r="J13" s="24"/>
      <c r="K13" s="24"/>
      <c r="M13">
        <f>191*B1</f>
        <v>43.146899999999995</v>
      </c>
      <c r="N13" s="225">
        <v>22.5</v>
      </c>
      <c r="P13" s="15">
        <f>2*213</f>
        <v>426</v>
      </c>
      <c r="Q13" s="15">
        <f t="shared" si="0"/>
        <v>96.233399999999989</v>
      </c>
      <c r="R13" s="15">
        <v>30.270599999999998</v>
      </c>
      <c r="S13" s="15">
        <f>202*B1</f>
        <v>45.631799999999998</v>
      </c>
      <c r="U13" s="22">
        <v>21.2</v>
      </c>
      <c r="V13" s="30">
        <v>23.24</v>
      </c>
      <c r="W13" s="27">
        <v>27.56</v>
      </c>
      <c r="Y13" s="225">
        <v>18.61</v>
      </c>
      <c r="AH13" s="28">
        <v>6</v>
      </c>
      <c r="AI13" s="37">
        <v>37</v>
      </c>
      <c r="AJ13" s="27">
        <v>28.29</v>
      </c>
      <c r="AK13">
        <v>60</v>
      </c>
      <c r="AM13" s="35"/>
      <c r="AP13" s="225">
        <v>45.51</v>
      </c>
      <c r="AQ13" s="225">
        <v>2.67</v>
      </c>
    </row>
    <row r="14" spans="1:43" ht="18" thickBot="1" x14ac:dyDescent="0.35">
      <c r="B14">
        <v>11</v>
      </c>
      <c r="C14" s="22">
        <v>24.2</v>
      </c>
      <c r="D14" s="32">
        <v>13.9</v>
      </c>
      <c r="F14" s="15" t="s">
        <v>49</v>
      </c>
      <c r="H14" s="33">
        <f>201*B1</f>
        <v>45.405899999999995</v>
      </c>
      <c r="I14">
        <v>0</v>
      </c>
      <c r="J14" s="24">
        <v>20</v>
      </c>
      <c r="K14" s="24"/>
      <c r="N14" s="225">
        <v>29.7</v>
      </c>
      <c r="O14">
        <f>B1*126</f>
        <v>28.4634</v>
      </c>
      <c r="P14" s="15">
        <f>2*189</f>
        <v>378</v>
      </c>
      <c r="Q14" s="15">
        <f t="shared" si="0"/>
        <v>85.390199999999993</v>
      </c>
      <c r="R14" s="15">
        <v>39.532499999999999</v>
      </c>
      <c r="S14" s="15"/>
      <c r="U14" s="22">
        <v>28.39</v>
      </c>
      <c r="V14" s="30">
        <v>25.35</v>
      </c>
      <c r="W14" s="27">
        <v>22.24</v>
      </c>
      <c r="Y14" s="225">
        <v>16.37</v>
      </c>
      <c r="AH14">
        <v>5</v>
      </c>
      <c r="AI14" s="37">
        <v>38</v>
      </c>
      <c r="AJ14" s="27">
        <v>28.65</v>
      </c>
      <c r="AK14">
        <v>61</v>
      </c>
      <c r="AL14" s="28"/>
      <c r="AM14" s="31"/>
      <c r="AP14" s="225">
        <v>45.2</v>
      </c>
      <c r="AQ14" s="225">
        <v>2.02</v>
      </c>
    </row>
    <row r="15" spans="1:43" ht="18" thickBot="1" x14ac:dyDescent="0.35">
      <c r="B15">
        <v>12</v>
      </c>
      <c r="C15" s="22">
        <v>27.7</v>
      </c>
      <c r="D15" s="32">
        <v>32.200000000000003</v>
      </c>
      <c r="F15" s="15" t="s">
        <v>49</v>
      </c>
      <c r="H15" s="33">
        <f>102*2*B1</f>
        <v>46.083599999999997</v>
      </c>
      <c r="I15">
        <v>0</v>
      </c>
      <c r="J15" s="24">
        <v>25</v>
      </c>
      <c r="K15" s="24"/>
      <c r="N15" s="225">
        <v>36.200000000000003</v>
      </c>
      <c r="P15" s="15">
        <f>171*3</f>
        <v>513</v>
      </c>
      <c r="Q15" s="15">
        <f t="shared" si="0"/>
        <v>115.88669999999999</v>
      </c>
      <c r="R15" s="15">
        <v>50.827500000000001</v>
      </c>
      <c r="S15" s="15"/>
      <c r="U15" s="22">
        <v>30.34</v>
      </c>
      <c r="V15" s="30">
        <v>27.7</v>
      </c>
      <c r="W15" s="27">
        <v>26.35</v>
      </c>
      <c r="Y15" s="225">
        <v>21.18</v>
      </c>
      <c r="AH15">
        <v>5</v>
      </c>
      <c r="AI15" s="29">
        <v>47</v>
      </c>
      <c r="AJ15" s="30">
        <v>3.95</v>
      </c>
      <c r="AK15">
        <v>62</v>
      </c>
      <c r="AM15" s="35"/>
    </row>
    <row r="16" spans="1:43" ht="18" thickBot="1" x14ac:dyDescent="0.35">
      <c r="B16" t="s">
        <v>50</v>
      </c>
      <c r="C16" s="6">
        <v>1.8</v>
      </c>
      <c r="D16" s="32">
        <v>1.9</v>
      </c>
      <c r="I16">
        <v>0</v>
      </c>
      <c r="J16" s="24"/>
      <c r="U16" s="6">
        <v>1.58</v>
      </c>
      <c r="V16" s="30">
        <v>0.77</v>
      </c>
      <c r="AH16" s="28">
        <v>11</v>
      </c>
      <c r="AI16" s="29">
        <v>48</v>
      </c>
      <c r="AJ16" s="30">
        <v>4.1900000000000004</v>
      </c>
      <c r="AL16" s="28"/>
      <c r="AM16" s="31"/>
    </row>
    <row r="17" spans="1:39" ht="18" thickBot="1" x14ac:dyDescent="0.35">
      <c r="B17" t="s">
        <v>51</v>
      </c>
      <c r="C17" s="6">
        <v>3.3</v>
      </c>
      <c r="D17" s="32">
        <v>2.9</v>
      </c>
      <c r="E17">
        <v>3.1625999999999999</v>
      </c>
      <c r="I17">
        <v>0</v>
      </c>
      <c r="J17" s="24"/>
      <c r="L17">
        <f>14*B1</f>
        <v>3.1625999999999999</v>
      </c>
      <c r="U17" s="6">
        <v>2.09</v>
      </c>
      <c r="V17" s="30">
        <v>0.06</v>
      </c>
      <c r="AH17">
        <v>5</v>
      </c>
      <c r="AI17" s="29">
        <v>49</v>
      </c>
      <c r="AJ17" s="30">
        <v>0.32</v>
      </c>
      <c r="AM17" s="35"/>
    </row>
    <row r="18" spans="1:39" ht="18" thickBot="1" x14ac:dyDescent="0.35">
      <c r="AH18">
        <v>6</v>
      </c>
      <c r="AI18" s="29">
        <v>56</v>
      </c>
      <c r="AJ18" s="30">
        <v>0.44</v>
      </c>
      <c r="AL18" s="28"/>
      <c r="AM18" s="31"/>
    </row>
    <row r="19" spans="1:39" ht="18" thickBot="1" x14ac:dyDescent="0.35">
      <c r="C19" s="258" t="s">
        <v>52</v>
      </c>
      <c r="D19" s="258"/>
      <c r="E19" s="258"/>
      <c r="F19" s="258"/>
      <c r="G19" s="258"/>
      <c r="H19" s="258"/>
      <c r="I19" s="258"/>
      <c r="J19" s="258"/>
      <c r="K19" s="258"/>
      <c r="L19" s="258"/>
      <c r="M19" s="258"/>
      <c r="N19" s="258"/>
      <c r="O19" s="258"/>
      <c r="P19" s="258"/>
      <c r="Q19" s="258"/>
      <c r="R19" s="258"/>
      <c r="S19" s="258"/>
      <c r="T19" s="258"/>
      <c r="U19" s="260" t="s">
        <v>53</v>
      </c>
      <c r="V19" s="260"/>
      <c r="W19" s="260"/>
      <c r="X19" s="260"/>
      <c r="Y19" s="260"/>
      <c r="Z19" s="260"/>
      <c r="AA19" s="260"/>
      <c r="AB19" s="260"/>
      <c r="AC19" s="260"/>
      <c r="AD19" s="260"/>
      <c r="AE19" s="260"/>
      <c r="AF19" s="260"/>
      <c r="AG19" s="260"/>
      <c r="AH19">
        <v>1</v>
      </c>
      <c r="AI19" s="37">
        <v>59</v>
      </c>
      <c r="AJ19" s="27">
        <v>0.92</v>
      </c>
      <c r="AM19" s="35"/>
    </row>
    <row r="20" spans="1:39" ht="18" thickBot="1" x14ac:dyDescent="0.35">
      <c r="A20" t="s">
        <v>54</v>
      </c>
      <c r="B20" t="s">
        <v>19</v>
      </c>
      <c r="C20" s="11">
        <f>C3</f>
        <v>45168</v>
      </c>
      <c r="D20" s="11">
        <f>D3</f>
        <v>45176</v>
      </c>
      <c r="E20" s="11">
        <f>E3</f>
        <v>45180</v>
      </c>
      <c r="F20" s="11">
        <v>45189</v>
      </c>
      <c r="G20" s="11">
        <v>45198</v>
      </c>
      <c r="H20" s="11">
        <f>N3</f>
        <v>45218</v>
      </c>
      <c r="I20" s="1" t="s">
        <v>55</v>
      </c>
      <c r="K20" s="11">
        <v>45244</v>
      </c>
      <c r="L20" s="1" t="s">
        <v>56</v>
      </c>
      <c r="M20" s="11">
        <f>S3</f>
        <v>45265</v>
      </c>
      <c r="U20" s="11">
        <f>U3</f>
        <v>45168</v>
      </c>
      <c r="V20" s="11">
        <f>V3</f>
        <v>45176</v>
      </c>
      <c r="AH20" s="28">
        <v>11</v>
      </c>
      <c r="AI20" s="37">
        <v>60</v>
      </c>
      <c r="AJ20" s="27">
        <v>22.24</v>
      </c>
      <c r="AL20" s="28"/>
      <c r="AM20" s="31"/>
    </row>
    <row r="21" spans="1:39" ht="18" thickBot="1" x14ac:dyDescent="0.35">
      <c r="A21">
        <v>0</v>
      </c>
      <c r="B21">
        <v>1</v>
      </c>
      <c r="C21">
        <f t="shared" ref="C21:C34" si="1">C4+U4</f>
        <v>4.25</v>
      </c>
      <c r="D21">
        <f t="shared" ref="D21:D34" si="2">D4+V4</f>
        <v>2.2800000000000002</v>
      </c>
      <c r="E21" s="5">
        <f>100*E4/V$35</f>
        <v>6.3731402671692639</v>
      </c>
      <c r="F21">
        <f>F4+W4</f>
        <v>4.3084999999999996</v>
      </c>
      <c r="H21">
        <f t="shared" ref="H21:H32" si="3">N4+Y4</f>
        <v>4.2</v>
      </c>
      <c r="I21" s="1">
        <v>0</v>
      </c>
      <c r="J21">
        <f t="shared" ref="J21:J26" si="4">Q4*2</f>
        <v>11.295</v>
      </c>
      <c r="L21" s="1">
        <v>0</v>
      </c>
      <c r="U21" s="2">
        <f t="shared" ref="U21:U34" si="5">C4*100/(U4+C4)</f>
        <v>65.882352941176464</v>
      </c>
      <c r="V21" s="2">
        <f t="shared" ref="V21:V34" si="6">D4*100/(V4+D4)</f>
        <v>92.105263157894726</v>
      </c>
      <c r="W21" s="2">
        <f>F4*100/(W4+F4)</f>
        <v>78.646860856446565</v>
      </c>
      <c r="X21" s="2">
        <f>N4*100/(Y4+N4)</f>
        <v>100</v>
      </c>
      <c r="AH21">
        <v>12</v>
      </c>
      <c r="AI21" s="37">
        <v>61</v>
      </c>
      <c r="AJ21" s="27">
        <v>26.35</v>
      </c>
      <c r="AL21" s="38"/>
      <c r="AM21" s="35"/>
    </row>
    <row r="22" spans="1:39" ht="18" thickBot="1" x14ac:dyDescent="0.35">
      <c r="A22">
        <v>10</v>
      </c>
      <c r="B22">
        <v>2</v>
      </c>
      <c r="C22">
        <f t="shared" si="1"/>
        <v>14.34</v>
      </c>
      <c r="D22">
        <f t="shared" si="2"/>
        <v>11.37</v>
      </c>
      <c r="E22" s="5">
        <f>100*E5/V$35</f>
        <v>14.737886867828921</v>
      </c>
      <c r="G22">
        <f>H5+AVERAGE(U5:W5)</f>
        <v>14.2133</v>
      </c>
      <c r="H22">
        <f t="shared" si="3"/>
        <v>12.5</v>
      </c>
      <c r="I22" s="1">
        <v>14</v>
      </c>
      <c r="J22">
        <f t="shared" si="4"/>
        <v>17.620200000000001</v>
      </c>
      <c r="L22" s="1">
        <v>24</v>
      </c>
      <c r="U22" s="2">
        <f t="shared" si="5"/>
        <v>51.603905160390518</v>
      </c>
      <c r="V22" s="2">
        <f t="shared" si="6"/>
        <v>58.047493403693935</v>
      </c>
      <c r="W22" s="2"/>
      <c r="X22" s="2">
        <f t="shared" ref="X22:X34" si="7">N5*100/(Y5+N5)</f>
        <v>70.400000000000006</v>
      </c>
      <c r="AH22" s="28">
        <v>3</v>
      </c>
      <c r="AI22" s="37">
        <v>62</v>
      </c>
      <c r="AJ22" s="27">
        <v>14.97</v>
      </c>
      <c r="AL22" s="28"/>
      <c r="AM22" s="31"/>
    </row>
    <row r="23" spans="1:39" ht="18" thickBot="1" x14ac:dyDescent="0.35">
      <c r="A23">
        <v>25</v>
      </c>
      <c r="B23">
        <v>3</v>
      </c>
      <c r="C23">
        <f t="shared" si="1"/>
        <v>26.8</v>
      </c>
      <c r="D23">
        <f t="shared" si="2"/>
        <v>26.619999999999997</v>
      </c>
      <c r="E23" s="5"/>
      <c r="F23">
        <f>F6+W6</f>
        <v>30.331200000000003</v>
      </c>
      <c r="G23">
        <f>H6+AVERAGE(U6:W6)</f>
        <v>29.202233333333332</v>
      </c>
      <c r="H23">
        <f t="shared" si="3"/>
        <v>27.32</v>
      </c>
      <c r="I23" s="1">
        <v>35</v>
      </c>
      <c r="J23">
        <f t="shared" si="4"/>
        <v>34.336799999999997</v>
      </c>
      <c r="L23" s="1">
        <v>60</v>
      </c>
      <c r="U23" s="2">
        <f t="shared" si="5"/>
        <v>50</v>
      </c>
      <c r="V23" s="2">
        <f t="shared" si="6"/>
        <v>58.22689706987228</v>
      </c>
      <c r="W23" s="2">
        <f>F6*100/(W6+F6)</f>
        <v>50.644880519069474</v>
      </c>
      <c r="X23" s="2">
        <f t="shared" si="7"/>
        <v>52.342606149341144</v>
      </c>
      <c r="AH23">
        <v>10</v>
      </c>
      <c r="AI23" s="29">
        <v>70</v>
      </c>
      <c r="AJ23" s="30">
        <v>1.65</v>
      </c>
      <c r="AM23" s="35"/>
    </row>
    <row r="24" spans="1:39" ht="18" thickBot="1" x14ac:dyDescent="0.35">
      <c r="A24">
        <v>37.5</v>
      </c>
      <c r="B24">
        <v>4</v>
      </c>
      <c r="C24">
        <f t="shared" si="1"/>
        <v>35.64</v>
      </c>
      <c r="D24">
        <f t="shared" si="2"/>
        <v>43.07</v>
      </c>
      <c r="E24" s="5">
        <f>100*E7/V$35</f>
        <v>42.620375536694446</v>
      </c>
      <c r="F24">
        <f>F7+W7</f>
        <v>39.532499999999999</v>
      </c>
      <c r="G24">
        <f>H7+AVERAGE(U7:W7)</f>
        <v>42.876300000000001</v>
      </c>
      <c r="H24">
        <f t="shared" si="3"/>
        <v>29.49</v>
      </c>
      <c r="I24" s="1">
        <v>52.5</v>
      </c>
      <c r="J24">
        <f t="shared" si="4"/>
        <v>61.896599999999999</v>
      </c>
      <c r="L24" s="1">
        <v>90</v>
      </c>
      <c r="U24" s="2">
        <f t="shared" si="5"/>
        <v>47.699214365881033</v>
      </c>
      <c r="V24" s="2">
        <f t="shared" si="6"/>
        <v>56.419781750638492</v>
      </c>
      <c r="W24" s="2"/>
      <c r="X24" s="2">
        <f t="shared" si="7"/>
        <v>66.802305866395386</v>
      </c>
      <c r="AH24" s="28">
        <v>12</v>
      </c>
      <c r="AI24" s="29">
        <v>71</v>
      </c>
      <c r="AJ24" s="30">
        <v>2.13</v>
      </c>
      <c r="AL24" s="28"/>
      <c r="AM24" s="31"/>
    </row>
    <row r="25" spans="1:39" x14ac:dyDescent="0.25">
      <c r="A25">
        <v>50</v>
      </c>
      <c r="B25">
        <v>5</v>
      </c>
      <c r="C25">
        <f t="shared" si="1"/>
        <v>55.370000000000005</v>
      </c>
      <c r="D25">
        <f t="shared" si="2"/>
        <v>50.8</v>
      </c>
      <c r="E25" s="5">
        <f>100*E8/V$35</f>
        <v>46.205266936977168</v>
      </c>
      <c r="F25">
        <f>F8+W8</f>
        <v>69.086099999999988</v>
      </c>
      <c r="H25">
        <f t="shared" si="3"/>
        <v>50.42</v>
      </c>
      <c r="I25" s="1">
        <v>70</v>
      </c>
      <c r="J25">
        <f t="shared" si="4"/>
        <v>77.709599999999995</v>
      </c>
      <c r="L25" s="1">
        <v>120</v>
      </c>
      <c r="U25" s="2">
        <f t="shared" si="5"/>
        <v>48.943471193787246</v>
      </c>
      <c r="V25" s="2">
        <f t="shared" si="6"/>
        <v>54.724409448818903</v>
      </c>
      <c r="W25" s="2">
        <f>F8*100/(W8+F8)</f>
        <v>58.530008207150217</v>
      </c>
      <c r="X25" s="2">
        <f t="shared" si="7"/>
        <v>50.773502578341926</v>
      </c>
      <c r="AM25" s="35"/>
    </row>
    <row r="26" spans="1:39" x14ac:dyDescent="0.25">
      <c r="A26">
        <v>62.5</v>
      </c>
      <c r="B26">
        <v>6</v>
      </c>
      <c r="C26">
        <f t="shared" si="1"/>
        <v>65.3</v>
      </c>
      <c r="D26">
        <f t="shared" si="2"/>
        <v>59.7</v>
      </c>
      <c r="E26" s="5">
        <f>100*E9/V$35</f>
        <v>70.104542938861897</v>
      </c>
      <c r="H26">
        <f t="shared" si="3"/>
        <v>61.59</v>
      </c>
      <c r="I26" s="1">
        <v>87.5</v>
      </c>
      <c r="J26">
        <f t="shared" si="4"/>
        <v>83.582999999999998</v>
      </c>
      <c r="L26" s="1">
        <v>150</v>
      </c>
      <c r="U26" s="2">
        <f t="shared" si="5"/>
        <v>47.013782542113326</v>
      </c>
      <c r="V26" s="2">
        <f t="shared" si="6"/>
        <v>54.773869346733676</v>
      </c>
      <c r="W26" s="2"/>
      <c r="X26" s="2">
        <f t="shared" si="7"/>
        <v>51.631758402338036</v>
      </c>
      <c r="AM26" s="35"/>
    </row>
    <row r="27" spans="1:39" x14ac:dyDescent="0.25">
      <c r="A27">
        <v>0</v>
      </c>
      <c r="B27">
        <v>7</v>
      </c>
      <c r="C27">
        <f t="shared" si="1"/>
        <v>5.47</v>
      </c>
      <c r="D27">
        <f t="shared" si="2"/>
        <v>7.51</v>
      </c>
      <c r="E27" s="5"/>
      <c r="H27">
        <f t="shared" si="3"/>
        <v>8.36</v>
      </c>
      <c r="I27" s="1">
        <v>0</v>
      </c>
      <c r="K27">
        <f>R10*2</f>
        <v>12.650399999999999</v>
      </c>
      <c r="L27" s="1">
        <v>0</v>
      </c>
      <c r="M27">
        <f>S10*2</f>
        <v>9.0359999999999996</v>
      </c>
      <c r="U27" s="2">
        <f t="shared" si="5"/>
        <v>71.297989031078615</v>
      </c>
      <c r="V27" s="2">
        <f t="shared" si="6"/>
        <v>50.599201065246341</v>
      </c>
      <c r="W27" s="2"/>
      <c r="X27" s="2">
        <f t="shared" si="7"/>
        <v>76.555023923444978</v>
      </c>
      <c r="AL27" s="28"/>
      <c r="AM27" s="31"/>
    </row>
    <row r="28" spans="1:39" x14ac:dyDescent="0.25">
      <c r="A28">
        <v>10</v>
      </c>
      <c r="B28">
        <v>8</v>
      </c>
      <c r="C28">
        <f t="shared" si="1"/>
        <v>13.14</v>
      </c>
      <c r="D28">
        <f t="shared" si="2"/>
        <v>12.59</v>
      </c>
      <c r="E28" s="5">
        <f>100*E11/V$35</f>
        <v>7.1697828005654225</v>
      </c>
      <c r="G28">
        <f>H11+AVERAGE(U11:W11)</f>
        <v>14.8528</v>
      </c>
      <c r="H28">
        <f t="shared" si="3"/>
        <v>12.92</v>
      </c>
      <c r="I28" s="1">
        <v>14</v>
      </c>
      <c r="K28">
        <f t="shared" ref="K28:K32" si="8">R11*2</f>
        <v>16.7166</v>
      </c>
      <c r="L28" s="1">
        <v>24</v>
      </c>
      <c r="M28">
        <f t="shared" ref="M28:M30" si="9">S11*2</f>
        <v>25.300799999999999</v>
      </c>
      <c r="U28" s="2">
        <f t="shared" si="5"/>
        <v>55.55555555555555</v>
      </c>
      <c r="V28" s="2">
        <f t="shared" si="6"/>
        <v>61.159650516282767</v>
      </c>
      <c r="W28" s="2"/>
      <c r="X28" s="2">
        <f t="shared" si="7"/>
        <v>66.56346749226006</v>
      </c>
      <c r="AM28" s="35"/>
    </row>
    <row r="29" spans="1:39" x14ac:dyDescent="0.25">
      <c r="A29">
        <v>25</v>
      </c>
      <c r="B29">
        <v>9</v>
      </c>
      <c r="C29">
        <f t="shared" si="1"/>
        <v>33.380000000000003</v>
      </c>
      <c r="D29">
        <f t="shared" si="2"/>
        <v>29.119999999999997</v>
      </c>
      <c r="E29" s="5">
        <f>100*E12/V$35</f>
        <v>23.899276001884736</v>
      </c>
      <c r="G29">
        <f>H12+AVERAGE(U12:W12)</f>
        <v>38.04</v>
      </c>
      <c r="H29">
        <f t="shared" si="3"/>
        <v>27.869999999999997</v>
      </c>
      <c r="I29" s="1">
        <v>35</v>
      </c>
      <c r="K29">
        <f t="shared" si="8"/>
        <v>32.529600000000002</v>
      </c>
      <c r="L29" s="1">
        <v>60</v>
      </c>
      <c r="M29">
        <f t="shared" si="9"/>
        <v>47.439</v>
      </c>
      <c r="U29" s="2">
        <f t="shared" si="5"/>
        <v>46.734571599760329</v>
      </c>
      <c r="V29" s="2">
        <f t="shared" si="6"/>
        <v>54.945054945054949</v>
      </c>
      <c r="W29" s="2"/>
      <c r="X29" s="2">
        <f t="shared" si="7"/>
        <v>55.974165769644785</v>
      </c>
      <c r="AL29" s="28"/>
      <c r="AM29" s="31"/>
    </row>
    <row r="30" spans="1:39" x14ac:dyDescent="0.25">
      <c r="A30">
        <v>37.5</v>
      </c>
      <c r="B30">
        <v>10</v>
      </c>
      <c r="C30">
        <f t="shared" si="1"/>
        <v>40.700000000000003</v>
      </c>
      <c r="D30">
        <f t="shared" si="2"/>
        <v>46.84</v>
      </c>
      <c r="E30" s="5">
        <f>100*E13/V$35</f>
        <v>55.366656071032978</v>
      </c>
      <c r="H30">
        <f t="shared" si="3"/>
        <v>41.11</v>
      </c>
      <c r="I30" s="1">
        <v>52.5</v>
      </c>
      <c r="K30">
        <f t="shared" si="8"/>
        <v>60.541199999999996</v>
      </c>
      <c r="L30" s="1">
        <v>90</v>
      </c>
      <c r="M30">
        <f t="shared" si="9"/>
        <v>91.263599999999997</v>
      </c>
      <c r="U30" s="2">
        <f t="shared" si="5"/>
        <v>47.911547911547906</v>
      </c>
      <c r="V30" s="2">
        <f t="shared" si="6"/>
        <v>50.38428693424423</v>
      </c>
      <c r="W30" s="2"/>
      <c r="X30" s="2">
        <f t="shared" si="7"/>
        <v>54.731208951593288</v>
      </c>
      <c r="AM30" s="35"/>
    </row>
    <row r="31" spans="1:39" x14ac:dyDescent="0.25">
      <c r="A31">
        <v>50</v>
      </c>
      <c r="B31">
        <v>11</v>
      </c>
      <c r="C31">
        <f t="shared" si="1"/>
        <v>52.59</v>
      </c>
      <c r="D31">
        <f t="shared" si="2"/>
        <v>39.25</v>
      </c>
      <c r="E31" s="5"/>
      <c r="G31">
        <f>H14+AVERAGE(U14:W14)</f>
        <v>70.732566666666656</v>
      </c>
      <c r="H31">
        <f t="shared" si="3"/>
        <v>46.07</v>
      </c>
      <c r="I31" s="1">
        <v>70</v>
      </c>
      <c r="K31">
        <f t="shared" si="8"/>
        <v>79.064999999999998</v>
      </c>
      <c r="L31" s="1">
        <v>120</v>
      </c>
      <c r="U31" s="2">
        <f t="shared" si="5"/>
        <v>46.01635291880585</v>
      </c>
      <c r="V31" s="2">
        <f t="shared" si="6"/>
        <v>35.414012738853501</v>
      </c>
      <c r="W31" s="2"/>
      <c r="X31" s="2">
        <f t="shared" si="7"/>
        <v>64.467115259387882</v>
      </c>
      <c r="AL31" s="28"/>
      <c r="AM31" s="31"/>
    </row>
    <row r="32" spans="1:39" x14ac:dyDescent="0.25">
      <c r="A32">
        <v>62.5</v>
      </c>
      <c r="B32">
        <v>12</v>
      </c>
      <c r="C32">
        <f t="shared" si="1"/>
        <v>58.04</v>
      </c>
      <c r="D32">
        <f t="shared" si="2"/>
        <v>59.900000000000006</v>
      </c>
      <c r="E32" s="5"/>
      <c r="G32">
        <f>H15+AVERAGE(U15:W15)</f>
        <v>74.2136</v>
      </c>
      <c r="H32">
        <f t="shared" si="3"/>
        <v>57.38</v>
      </c>
      <c r="I32" s="1">
        <v>87.5</v>
      </c>
      <c r="K32">
        <f t="shared" si="8"/>
        <v>101.655</v>
      </c>
      <c r="L32" s="1">
        <v>150</v>
      </c>
      <c r="U32" s="2">
        <f t="shared" si="5"/>
        <v>47.725706409372847</v>
      </c>
      <c r="V32" s="2">
        <f t="shared" si="6"/>
        <v>53.756260434056763</v>
      </c>
      <c r="W32" s="2"/>
      <c r="X32" s="2">
        <f t="shared" si="7"/>
        <v>63.088184036249572</v>
      </c>
      <c r="AM32" s="35"/>
    </row>
    <row r="33" spans="1:39" x14ac:dyDescent="0.25">
      <c r="B33" t="s">
        <v>50</v>
      </c>
      <c r="C33">
        <f t="shared" si="1"/>
        <v>3.38</v>
      </c>
      <c r="D33">
        <f t="shared" si="2"/>
        <v>2.67</v>
      </c>
      <c r="E33" s="5"/>
      <c r="U33" s="2">
        <f t="shared" si="5"/>
        <v>53.254437869822489</v>
      </c>
      <c r="V33" s="2">
        <f t="shared" si="6"/>
        <v>71.161048689138582</v>
      </c>
      <c r="W33" s="2"/>
      <c r="X33" s="2" t="e">
        <f t="shared" si="7"/>
        <v>#DIV/0!</v>
      </c>
      <c r="AI33" s="28"/>
      <c r="AJ33" s="31"/>
      <c r="AL33" s="28"/>
      <c r="AM33" s="31"/>
    </row>
    <row r="34" spans="1:39" x14ac:dyDescent="0.25">
      <c r="A34">
        <v>0</v>
      </c>
      <c r="B34" t="s">
        <v>51</v>
      </c>
      <c r="C34">
        <f t="shared" si="1"/>
        <v>5.39</v>
      </c>
      <c r="D34">
        <f t="shared" si="2"/>
        <v>2.96</v>
      </c>
      <c r="E34" s="5"/>
      <c r="H34">
        <f t="shared" ref="H34" si="10">T17+Y17</f>
        <v>0</v>
      </c>
      <c r="U34" s="2">
        <f t="shared" si="5"/>
        <v>61.224489795918373</v>
      </c>
      <c r="V34" s="2">
        <f t="shared" si="6"/>
        <v>97.972972972972968</v>
      </c>
      <c r="W34" s="2"/>
      <c r="X34" s="2" t="e">
        <f t="shared" si="7"/>
        <v>#DIV/0!</v>
      </c>
      <c r="AJ34" s="35"/>
      <c r="AM34" s="35"/>
    </row>
    <row r="35" spans="1:39" x14ac:dyDescent="0.25">
      <c r="A35">
        <v>90</v>
      </c>
      <c r="U35" s="2">
        <f>AVERAGE(U21:U32)</f>
        <v>52.198704135789143</v>
      </c>
      <c r="V35" s="2">
        <f>AVERAGE(V21:V32)</f>
        <v>56.713015067615885</v>
      </c>
      <c r="W35" s="2"/>
      <c r="AI35" s="28"/>
      <c r="AJ35" s="31"/>
      <c r="AM35" s="35"/>
    </row>
    <row r="36" spans="1:39" x14ac:dyDescent="0.25">
      <c r="AJ36" s="35"/>
      <c r="AL36" s="28"/>
      <c r="AM36" s="31"/>
    </row>
    <row r="37" spans="1:39" x14ac:dyDescent="0.25">
      <c r="AJ37" s="35"/>
      <c r="AM37" s="35"/>
    </row>
    <row r="38" spans="1:39" x14ac:dyDescent="0.25">
      <c r="AI38" s="28"/>
      <c r="AJ38" s="31"/>
      <c r="AL38" s="28"/>
      <c r="AM38" s="31"/>
    </row>
    <row r="39" spans="1:39" ht="14.4" thickBot="1" x14ac:dyDescent="0.3">
      <c r="AJ39" s="35"/>
      <c r="AL39" s="38"/>
      <c r="AM39" s="35"/>
    </row>
    <row r="40" spans="1:39" x14ac:dyDescent="0.25">
      <c r="AJ40" s="35"/>
      <c r="AL40" s="28"/>
      <c r="AM40" s="31"/>
    </row>
    <row r="41" spans="1:39" x14ac:dyDescent="0.25">
      <c r="AI41" s="28"/>
      <c r="AJ41" s="31"/>
      <c r="AM41" s="35"/>
    </row>
    <row r="42" spans="1:39" x14ac:dyDescent="0.25">
      <c r="AI42" s="28"/>
      <c r="AJ42" s="31"/>
      <c r="AL42" s="28"/>
      <c r="AM42" s="31"/>
    </row>
    <row r="43" spans="1:39" x14ac:dyDescent="0.25">
      <c r="AJ43" s="35"/>
      <c r="AM43" s="35"/>
    </row>
    <row r="44" spans="1:39" x14ac:dyDescent="0.25">
      <c r="AJ44" s="35"/>
      <c r="AM44" s="35"/>
    </row>
    <row r="45" spans="1:39" x14ac:dyDescent="0.25">
      <c r="AI45" s="28"/>
      <c r="AJ45" s="31"/>
      <c r="AL45" s="28"/>
      <c r="AM45" s="31"/>
    </row>
    <row r="46" spans="1:39" x14ac:dyDescent="0.25">
      <c r="AJ46" s="35"/>
      <c r="AM46" s="35"/>
    </row>
    <row r="47" spans="1:39" x14ac:dyDescent="0.25">
      <c r="AJ47" s="35"/>
      <c r="AL47" s="28"/>
      <c r="AM47" s="31"/>
    </row>
    <row r="48" spans="1:39" x14ac:dyDescent="0.25">
      <c r="AJ48" s="35"/>
      <c r="AM48" s="35"/>
    </row>
    <row r="49" spans="2:39" x14ac:dyDescent="0.25">
      <c r="AI49" s="28"/>
      <c r="AJ49" s="31"/>
      <c r="AL49" s="28"/>
      <c r="AM49" s="31"/>
    </row>
    <row r="50" spans="2:39" x14ac:dyDescent="0.25">
      <c r="AJ50" s="35"/>
      <c r="AM50" s="35"/>
    </row>
    <row r="51" spans="2:39" x14ac:dyDescent="0.25">
      <c r="C51" s="255" t="s">
        <v>57</v>
      </c>
      <c r="D51" s="255"/>
      <c r="E51" s="255"/>
      <c r="F51" s="255"/>
      <c r="G51" s="255"/>
      <c r="AI51" s="28"/>
      <c r="AJ51" s="31"/>
      <c r="AL51" s="28"/>
      <c r="AM51" s="31"/>
    </row>
    <row r="52" spans="2:39" x14ac:dyDescent="0.25">
      <c r="B52" s="39" t="s">
        <v>2</v>
      </c>
      <c r="C52" s="40" t="s">
        <v>3</v>
      </c>
      <c r="D52" s="41" t="s">
        <v>4</v>
      </c>
      <c r="E52" s="42" t="s">
        <v>5</v>
      </c>
      <c r="F52" s="43" t="s">
        <v>6</v>
      </c>
      <c r="G52" s="44" t="s">
        <v>7</v>
      </c>
      <c r="AJ52" s="35"/>
      <c r="AM52" s="35"/>
    </row>
    <row r="53" spans="2:39" x14ac:dyDescent="0.25">
      <c r="B53" s="39">
        <v>0</v>
      </c>
      <c r="C53">
        <v>0</v>
      </c>
      <c r="D53">
        <v>0</v>
      </c>
      <c r="E53">
        <v>0</v>
      </c>
      <c r="F53">
        <v>0</v>
      </c>
      <c r="G53">
        <v>0</v>
      </c>
      <c r="AI53" s="28"/>
      <c r="AJ53" s="31"/>
      <c r="AM53" s="35"/>
    </row>
    <row r="54" spans="2:39" x14ac:dyDescent="0.25">
      <c r="B54" s="39">
        <v>20</v>
      </c>
      <c r="C54">
        <v>10</v>
      </c>
      <c r="D54">
        <v>14</v>
      </c>
      <c r="E54">
        <v>24</v>
      </c>
      <c r="F54">
        <v>20</v>
      </c>
      <c r="G54">
        <v>0</v>
      </c>
      <c r="AL54" s="28"/>
      <c r="AM54" s="31"/>
    </row>
    <row r="55" spans="2:39" x14ac:dyDescent="0.25">
      <c r="B55" s="39">
        <v>50</v>
      </c>
      <c r="C55">
        <v>25</v>
      </c>
      <c r="D55">
        <v>35</v>
      </c>
      <c r="E55">
        <v>60</v>
      </c>
      <c r="F55">
        <v>50</v>
      </c>
      <c r="G55">
        <v>0</v>
      </c>
      <c r="AM55" s="35"/>
    </row>
    <row r="56" spans="2:39" x14ac:dyDescent="0.25">
      <c r="B56" s="39">
        <v>75</v>
      </c>
      <c r="C56">
        <v>37.5</v>
      </c>
      <c r="D56">
        <v>52.5</v>
      </c>
      <c r="E56">
        <v>90</v>
      </c>
      <c r="F56">
        <v>75</v>
      </c>
      <c r="G56">
        <v>0</v>
      </c>
      <c r="AL56" s="28"/>
      <c r="AM56" s="31"/>
    </row>
    <row r="57" spans="2:39" ht="14.4" thickBot="1" x14ac:dyDescent="0.3">
      <c r="B57" s="39">
        <v>100</v>
      </c>
      <c r="C57">
        <v>50</v>
      </c>
      <c r="D57">
        <v>70</v>
      </c>
      <c r="E57">
        <v>120</v>
      </c>
      <c r="F57">
        <v>100</v>
      </c>
      <c r="G57">
        <v>0</v>
      </c>
      <c r="AL57" s="38"/>
      <c r="AM57" s="35"/>
    </row>
    <row r="58" spans="2:39" x14ac:dyDescent="0.25">
      <c r="B58" s="39">
        <v>125</v>
      </c>
      <c r="C58">
        <v>62.5</v>
      </c>
      <c r="D58">
        <v>87.5</v>
      </c>
      <c r="E58">
        <v>150</v>
      </c>
      <c r="F58">
        <v>125</v>
      </c>
      <c r="G58">
        <v>0</v>
      </c>
      <c r="AL58" s="28"/>
      <c r="AM58" s="31"/>
    </row>
    <row r="59" spans="2:39" x14ac:dyDescent="0.25">
      <c r="AM59" s="35"/>
    </row>
    <row r="60" spans="2:39" x14ac:dyDescent="0.25">
      <c r="AL60" s="28"/>
      <c r="AM60" s="31"/>
    </row>
    <row r="61" spans="2:39" x14ac:dyDescent="0.25">
      <c r="AM61" s="35"/>
    </row>
    <row r="62" spans="2:39" x14ac:dyDescent="0.25">
      <c r="AM62" s="35"/>
    </row>
    <row r="63" spans="2:39" x14ac:dyDescent="0.25">
      <c r="AL63" s="28"/>
      <c r="AM63" s="31"/>
    </row>
    <row r="64" spans="2:39" x14ac:dyDescent="0.25">
      <c r="AM64" s="35"/>
    </row>
    <row r="65" spans="9:39" x14ac:dyDescent="0.25">
      <c r="AL65" s="28"/>
      <c r="AM65" s="31"/>
    </row>
    <row r="66" spans="9:39" x14ac:dyDescent="0.25">
      <c r="AM66" s="35"/>
    </row>
    <row r="67" spans="9:39" x14ac:dyDescent="0.25">
      <c r="AL67" s="28"/>
      <c r="AM67" s="31"/>
    </row>
    <row r="68" spans="9:39" x14ac:dyDescent="0.25">
      <c r="AM68" s="35"/>
    </row>
    <row r="69" spans="9:39" x14ac:dyDescent="0.25">
      <c r="AL69" s="28"/>
      <c r="AM69" s="31"/>
    </row>
    <row r="70" spans="9:39" x14ac:dyDescent="0.25">
      <c r="AM70" s="35"/>
    </row>
    <row r="71" spans="9:39" x14ac:dyDescent="0.25">
      <c r="AM71" s="35"/>
    </row>
    <row r="72" spans="9:39" x14ac:dyDescent="0.25">
      <c r="AL72" s="28"/>
      <c r="AM72" s="31"/>
    </row>
    <row r="73" spans="9:39" x14ac:dyDescent="0.25">
      <c r="AM73" s="35"/>
    </row>
    <row r="74" spans="9:39" x14ac:dyDescent="0.25">
      <c r="AL74" s="28"/>
      <c r="AM74" s="31"/>
    </row>
    <row r="75" spans="9:39" ht="14.4" thickBot="1" x14ac:dyDescent="0.3">
      <c r="J75" t="s">
        <v>52</v>
      </c>
      <c r="AL75" s="38"/>
      <c r="AM75" s="35"/>
    </row>
    <row r="76" spans="9:39" x14ac:dyDescent="0.25">
      <c r="I76" t="s">
        <v>19</v>
      </c>
      <c r="J76" s="16">
        <v>45168</v>
      </c>
      <c r="K76" s="16">
        <v>45176</v>
      </c>
      <c r="L76" s="16">
        <v>45180</v>
      </c>
      <c r="M76" s="16">
        <v>45189</v>
      </c>
      <c r="N76" s="16">
        <v>45198</v>
      </c>
      <c r="O76" s="16">
        <v>45218</v>
      </c>
      <c r="P76" s="16">
        <v>45236</v>
      </c>
      <c r="Q76" s="16">
        <v>45244</v>
      </c>
      <c r="R76" s="16">
        <v>45265</v>
      </c>
      <c r="U76" t="s">
        <v>54</v>
      </c>
      <c r="W76" t="s">
        <v>55</v>
      </c>
      <c r="Y76" t="s">
        <v>56</v>
      </c>
    </row>
    <row r="77" spans="9:39" x14ac:dyDescent="0.25">
      <c r="I77">
        <v>1</v>
      </c>
      <c r="J77">
        <v>4.25</v>
      </c>
      <c r="K77">
        <v>2.2800000000000002</v>
      </c>
      <c r="L77">
        <v>6.3731402671692639</v>
      </c>
      <c r="M77">
        <v>4.3084999999999996</v>
      </c>
      <c r="O77">
        <v>4.2</v>
      </c>
      <c r="P77">
        <v>11.295</v>
      </c>
      <c r="U77">
        <v>0</v>
      </c>
      <c r="V77">
        <f>AVERAGE(J77:O77)</f>
        <v>4.2823280534338526</v>
      </c>
      <c r="W77">
        <v>0</v>
      </c>
      <c r="X77">
        <f>AVERAGE(P77:Q77)</f>
        <v>11.295</v>
      </c>
      <c r="Y77">
        <v>0</v>
      </c>
    </row>
    <row r="78" spans="9:39" x14ac:dyDescent="0.25">
      <c r="I78">
        <v>2</v>
      </c>
      <c r="J78">
        <v>14.34</v>
      </c>
      <c r="K78">
        <v>11.37</v>
      </c>
      <c r="L78">
        <v>14.737886867828921</v>
      </c>
      <c r="N78">
        <v>14.2133</v>
      </c>
      <c r="O78">
        <v>12.5</v>
      </c>
      <c r="P78">
        <v>17.620200000000001</v>
      </c>
      <c r="U78">
        <v>10</v>
      </c>
      <c r="V78">
        <f t="shared" ref="V78:V88" si="11">AVERAGE(J78:O78)</f>
        <v>13.432237373565783</v>
      </c>
      <c r="W78">
        <v>14</v>
      </c>
      <c r="X78">
        <f t="shared" ref="X78:X88" si="12">AVERAGE(P78:Q78)</f>
        <v>17.620200000000001</v>
      </c>
      <c r="Y78">
        <v>24</v>
      </c>
    </row>
    <row r="79" spans="9:39" x14ac:dyDescent="0.25">
      <c r="I79">
        <v>3</v>
      </c>
      <c r="J79">
        <v>26.8</v>
      </c>
      <c r="K79">
        <v>26.619999999999997</v>
      </c>
      <c r="M79">
        <v>30.331200000000003</v>
      </c>
      <c r="N79">
        <v>29.202233333333332</v>
      </c>
      <c r="O79">
        <v>27.32</v>
      </c>
      <c r="P79">
        <v>34.336799999999997</v>
      </c>
      <c r="U79">
        <v>25</v>
      </c>
      <c r="V79">
        <f t="shared" si="11"/>
        <v>28.054686666666669</v>
      </c>
      <c r="W79">
        <v>35</v>
      </c>
      <c r="X79">
        <f t="shared" si="12"/>
        <v>34.336799999999997</v>
      </c>
      <c r="Y79">
        <v>60</v>
      </c>
    </row>
    <row r="80" spans="9:39" x14ac:dyDescent="0.25">
      <c r="I80">
        <v>4</v>
      </c>
      <c r="J80">
        <v>35.64</v>
      </c>
      <c r="K80">
        <v>43.07</v>
      </c>
      <c r="L80">
        <v>42.620375536694446</v>
      </c>
      <c r="M80">
        <v>39.532499999999999</v>
      </c>
      <c r="N80">
        <v>42.876300000000001</v>
      </c>
      <c r="O80">
        <v>29.49</v>
      </c>
      <c r="P80">
        <v>61.896599999999999</v>
      </c>
      <c r="U80">
        <v>37.5</v>
      </c>
      <c r="V80">
        <f t="shared" si="11"/>
        <v>38.871529256115743</v>
      </c>
      <c r="W80">
        <v>52.5</v>
      </c>
      <c r="X80">
        <f t="shared" si="12"/>
        <v>61.896599999999999</v>
      </c>
      <c r="Y80">
        <v>90</v>
      </c>
    </row>
    <row r="81" spans="9:25" x14ac:dyDescent="0.25">
      <c r="I81">
        <v>5</v>
      </c>
      <c r="J81">
        <v>55.370000000000005</v>
      </c>
      <c r="K81">
        <v>50.8</v>
      </c>
      <c r="L81">
        <v>46.205266936977168</v>
      </c>
      <c r="M81">
        <v>69.086099999999988</v>
      </c>
      <c r="O81">
        <v>50.42</v>
      </c>
      <c r="P81">
        <v>77.709599999999995</v>
      </c>
      <c r="U81">
        <v>50</v>
      </c>
      <c r="V81">
        <f t="shared" si="11"/>
        <v>54.376273387395429</v>
      </c>
      <c r="W81">
        <v>70</v>
      </c>
      <c r="X81">
        <f t="shared" si="12"/>
        <v>77.709599999999995</v>
      </c>
      <c r="Y81">
        <v>120</v>
      </c>
    </row>
    <row r="82" spans="9:25" x14ac:dyDescent="0.25">
      <c r="I82">
        <v>6</v>
      </c>
      <c r="J82">
        <v>65.3</v>
      </c>
      <c r="K82">
        <v>59.7</v>
      </c>
      <c r="L82">
        <v>70.104542938861897</v>
      </c>
      <c r="O82">
        <v>61.59</v>
      </c>
      <c r="P82">
        <v>83.582999999999998</v>
      </c>
      <c r="U82">
        <v>62.5</v>
      </c>
      <c r="V82">
        <f t="shared" si="11"/>
        <v>64.173635734715475</v>
      </c>
      <c r="W82">
        <v>87.5</v>
      </c>
      <c r="X82">
        <f t="shared" si="12"/>
        <v>83.582999999999998</v>
      </c>
      <c r="Y82">
        <v>150</v>
      </c>
    </row>
    <row r="83" spans="9:25" x14ac:dyDescent="0.25">
      <c r="I83">
        <v>7</v>
      </c>
      <c r="J83">
        <v>5.47</v>
      </c>
      <c r="K83">
        <v>7.51</v>
      </c>
      <c r="O83">
        <v>8.36</v>
      </c>
      <c r="Q83">
        <v>12.650399999999999</v>
      </c>
      <c r="R83">
        <v>9.0359999999999996</v>
      </c>
      <c r="U83">
        <v>0</v>
      </c>
      <c r="V83">
        <f t="shared" si="11"/>
        <v>7.1133333333333333</v>
      </c>
      <c r="W83">
        <v>0</v>
      </c>
      <c r="X83">
        <f t="shared" si="12"/>
        <v>12.650399999999999</v>
      </c>
      <c r="Y83">
        <v>0</v>
      </c>
    </row>
    <row r="84" spans="9:25" x14ac:dyDescent="0.25">
      <c r="I84">
        <v>8</v>
      </c>
      <c r="J84">
        <v>13.14</v>
      </c>
      <c r="K84">
        <v>12.59</v>
      </c>
      <c r="L84">
        <v>7.1697828005654225</v>
      </c>
      <c r="N84">
        <v>14.8528</v>
      </c>
      <c r="O84">
        <v>12.92</v>
      </c>
      <c r="Q84">
        <v>16.7166</v>
      </c>
      <c r="R84">
        <v>25.300799999999999</v>
      </c>
      <c r="U84">
        <v>10</v>
      </c>
      <c r="V84">
        <f t="shared" si="11"/>
        <v>12.134516560113086</v>
      </c>
      <c r="W84">
        <v>14</v>
      </c>
      <c r="X84">
        <f t="shared" si="12"/>
        <v>16.7166</v>
      </c>
      <c r="Y84">
        <v>24</v>
      </c>
    </row>
    <row r="85" spans="9:25" x14ac:dyDescent="0.25">
      <c r="I85">
        <v>9</v>
      </c>
      <c r="J85">
        <v>33.380000000000003</v>
      </c>
      <c r="K85">
        <v>29.119999999999997</v>
      </c>
      <c r="L85">
        <v>23.899276001884736</v>
      </c>
      <c r="N85">
        <v>38.04</v>
      </c>
      <c r="O85">
        <v>27.869999999999997</v>
      </c>
      <c r="Q85">
        <v>32.529600000000002</v>
      </c>
      <c r="R85">
        <v>47.439</v>
      </c>
      <c r="U85">
        <v>25</v>
      </c>
      <c r="V85">
        <f t="shared" si="11"/>
        <v>30.461855200376949</v>
      </c>
      <c r="W85">
        <v>35</v>
      </c>
      <c r="X85">
        <f t="shared" si="12"/>
        <v>32.529600000000002</v>
      </c>
      <c r="Y85">
        <v>60</v>
      </c>
    </row>
    <row r="86" spans="9:25" x14ac:dyDescent="0.25">
      <c r="I86">
        <v>10</v>
      </c>
      <c r="J86">
        <v>40.700000000000003</v>
      </c>
      <c r="K86">
        <v>46.84</v>
      </c>
      <c r="L86">
        <v>55.366656071032978</v>
      </c>
      <c r="O86">
        <v>41.11</v>
      </c>
      <c r="Q86">
        <v>60.541199999999996</v>
      </c>
      <c r="R86">
        <v>91.263599999999997</v>
      </c>
      <c r="U86">
        <v>37.5</v>
      </c>
      <c r="V86">
        <f t="shared" si="11"/>
        <v>46.004164017758242</v>
      </c>
      <c r="W86">
        <v>52.5</v>
      </c>
      <c r="X86">
        <f t="shared" si="12"/>
        <v>60.541199999999996</v>
      </c>
      <c r="Y86">
        <v>90</v>
      </c>
    </row>
    <row r="87" spans="9:25" x14ac:dyDescent="0.25">
      <c r="I87">
        <v>11</v>
      </c>
      <c r="J87">
        <v>52.59</v>
      </c>
      <c r="N87">
        <v>70.732566666666656</v>
      </c>
      <c r="O87">
        <v>46.07</v>
      </c>
      <c r="Q87">
        <v>79.064999999999998</v>
      </c>
      <c r="U87">
        <v>50</v>
      </c>
      <c r="V87">
        <f t="shared" si="11"/>
        <v>56.464188888888884</v>
      </c>
      <c r="W87">
        <v>70</v>
      </c>
      <c r="X87">
        <f t="shared" si="12"/>
        <v>79.064999999999998</v>
      </c>
      <c r="Y87">
        <v>120</v>
      </c>
    </row>
    <row r="88" spans="9:25" x14ac:dyDescent="0.25">
      <c r="I88">
        <v>12</v>
      </c>
      <c r="J88">
        <v>58.04</v>
      </c>
      <c r="K88">
        <v>59.900000000000006</v>
      </c>
      <c r="N88">
        <v>74.2136</v>
      </c>
      <c r="O88">
        <v>57.38</v>
      </c>
      <c r="Q88">
        <v>101.655</v>
      </c>
      <c r="U88">
        <v>62.5</v>
      </c>
      <c r="V88">
        <f t="shared" si="11"/>
        <v>62.383399999999995</v>
      </c>
      <c r="W88">
        <v>87.5</v>
      </c>
      <c r="X88">
        <f t="shared" si="12"/>
        <v>101.655</v>
      </c>
      <c r="Y88">
        <v>150</v>
      </c>
    </row>
  </sheetData>
  <autoFilter ref="AH3:AJ24" xr:uid="{00000000-0009-0000-0000-000001000000}">
    <sortState xmlns:xlrd2="http://schemas.microsoft.com/office/spreadsheetml/2017/richdata2" ref="AH4:AJ35">
      <sortCondition ref="AI3:AI24"/>
    </sortState>
  </autoFilter>
  <mergeCells count="6">
    <mergeCell ref="C51:G51"/>
    <mergeCell ref="AP1:AQ1"/>
    <mergeCell ref="C1:T1"/>
    <mergeCell ref="U1:AG1"/>
    <mergeCell ref="C19:T19"/>
    <mergeCell ref="U19:AG19"/>
  </mergeCells>
  <conditionalFormatting sqref="B53:B5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9593-957C-4BB6-832E-67CFC9268165}">
  <dimension ref="A1:M24"/>
  <sheetViews>
    <sheetView workbookViewId="0">
      <selection activeCell="L30" sqref="L30"/>
    </sheetView>
  </sheetViews>
  <sheetFormatPr defaultColWidth="8.8984375" defaultRowHeight="13.8" x14ac:dyDescent="0.25"/>
  <cols>
    <col min="10" max="10" width="10.3984375" bestFit="1" customWidth="1"/>
  </cols>
  <sheetData>
    <row r="1" spans="1:12" x14ac:dyDescent="0.25">
      <c r="C1" s="11"/>
      <c r="H1" t="s">
        <v>58</v>
      </c>
    </row>
    <row r="2" spans="1:12" ht="14.4" thickBot="1" x14ac:dyDescent="0.3">
      <c r="B2" s="11">
        <v>45176</v>
      </c>
      <c r="C2" s="11">
        <v>45198</v>
      </c>
      <c r="D2" s="11">
        <v>45203</v>
      </c>
      <c r="E2" s="11">
        <v>45207</v>
      </c>
      <c r="F2" s="11">
        <v>45214</v>
      </c>
      <c r="G2" s="11">
        <v>45217</v>
      </c>
      <c r="H2" s="11">
        <v>45218</v>
      </c>
      <c r="I2" s="11">
        <v>45230</v>
      </c>
      <c r="J2" s="11">
        <v>45237</v>
      </c>
      <c r="K2" s="11">
        <v>45244</v>
      </c>
      <c r="L2" s="11">
        <v>45258</v>
      </c>
    </row>
    <row r="3" spans="1:12" ht="18" thickBot="1" x14ac:dyDescent="0.35">
      <c r="A3" s="7">
        <v>1</v>
      </c>
      <c r="B3">
        <v>1.28</v>
      </c>
      <c r="C3" s="45"/>
      <c r="D3">
        <v>1.29</v>
      </c>
      <c r="F3" s="34">
        <v>1.19</v>
      </c>
      <c r="H3">
        <v>1.18</v>
      </c>
      <c r="J3">
        <v>1.05</v>
      </c>
      <c r="L3">
        <v>1.19</v>
      </c>
    </row>
    <row r="4" spans="1:12" ht="18" thickBot="1" x14ac:dyDescent="0.35">
      <c r="A4" s="7">
        <v>2</v>
      </c>
      <c r="B4">
        <v>1.3</v>
      </c>
      <c r="C4" s="45">
        <v>1.44</v>
      </c>
      <c r="D4">
        <v>1.42</v>
      </c>
      <c r="F4" s="34">
        <v>1.67</v>
      </c>
      <c r="H4">
        <v>1.29</v>
      </c>
      <c r="J4">
        <v>0.94</v>
      </c>
      <c r="L4">
        <v>1.18</v>
      </c>
    </row>
    <row r="5" spans="1:12" ht="18" thickBot="1" x14ac:dyDescent="0.35">
      <c r="A5" s="7">
        <v>3</v>
      </c>
      <c r="B5">
        <v>1.44</v>
      </c>
      <c r="C5" s="45">
        <v>1.5</v>
      </c>
      <c r="D5">
        <v>1.46</v>
      </c>
      <c r="F5" s="34">
        <v>1.29</v>
      </c>
      <c r="H5">
        <v>1.78</v>
      </c>
      <c r="I5">
        <v>1.48</v>
      </c>
      <c r="J5">
        <v>1.05</v>
      </c>
      <c r="L5">
        <v>1.44</v>
      </c>
    </row>
    <row r="6" spans="1:12" ht="18" thickBot="1" x14ac:dyDescent="0.35">
      <c r="A6" s="7">
        <v>4</v>
      </c>
      <c r="B6">
        <v>1.54</v>
      </c>
      <c r="C6" s="45">
        <v>1.48</v>
      </c>
      <c r="E6" s="34">
        <v>1.7</v>
      </c>
      <c r="F6" s="34">
        <v>1.6</v>
      </c>
      <c r="G6">
        <v>1.76</v>
      </c>
      <c r="H6">
        <v>1.61</v>
      </c>
      <c r="J6">
        <v>1.1100000000000001</v>
      </c>
      <c r="L6">
        <v>1.56</v>
      </c>
    </row>
    <row r="7" spans="1:12" ht="18" thickBot="1" x14ac:dyDescent="0.35">
      <c r="A7" s="7">
        <v>5</v>
      </c>
      <c r="B7">
        <v>1.56</v>
      </c>
      <c r="C7" s="45"/>
      <c r="F7" s="34">
        <v>1.31</v>
      </c>
      <c r="H7">
        <v>1.27</v>
      </c>
      <c r="J7">
        <v>1.18</v>
      </c>
      <c r="L7">
        <v>1.72</v>
      </c>
    </row>
    <row r="8" spans="1:12" ht="18" thickBot="1" x14ac:dyDescent="0.35">
      <c r="A8" s="7">
        <v>6</v>
      </c>
      <c r="B8">
        <v>1.64</v>
      </c>
      <c r="C8" s="45"/>
      <c r="F8" s="34">
        <v>1.31</v>
      </c>
      <c r="G8">
        <v>1.53</v>
      </c>
      <c r="H8">
        <v>1.41</v>
      </c>
      <c r="J8">
        <v>1.2</v>
      </c>
      <c r="L8">
        <v>1.73</v>
      </c>
    </row>
    <row r="9" spans="1:12" ht="18" thickBot="1" x14ac:dyDescent="0.35">
      <c r="A9" s="7">
        <v>7</v>
      </c>
      <c r="B9">
        <v>3.4</v>
      </c>
      <c r="C9" s="45"/>
      <c r="F9" s="34">
        <v>3.5</v>
      </c>
      <c r="H9">
        <v>3.4</v>
      </c>
      <c r="J9">
        <v>3.3</v>
      </c>
    </row>
    <row r="10" spans="1:12" ht="18" thickBot="1" x14ac:dyDescent="0.35">
      <c r="A10" s="7">
        <v>8</v>
      </c>
      <c r="B10">
        <v>3.5</v>
      </c>
      <c r="C10" s="45">
        <v>4</v>
      </c>
      <c r="F10" s="34">
        <v>3.7</v>
      </c>
      <c r="H10">
        <v>3.7</v>
      </c>
      <c r="J10">
        <v>3.5</v>
      </c>
    </row>
    <row r="11" spans="1:12" ht="18" thickBot="1" x14ac:dyDescent="0.35">
      <c r="A11" s="7">
        <v>9</v>
      </c>
      <c r="B11">
        <v>3.7</v>
      </c>
      <c r="C11" s="45">
        <v>4.3</v>
      </c>
      <c r="F11" s="34">
        <v>3.6</v>
      </c>
      <c r="H11">
        <v>3.7</v>
      </c>
      <c r="J11">
        <v>3.7</v>
      </c>
    </row>
    <row r="12" spans="1:12" ht="18" thickBot="1" x14ac:dyDescent="0.35">
      <c r="A12" s="7">
        <v>10</v>
      </c>
      <c r="B12">
        <v>3.8</v>
      </c>
      <c r="F12" s="34">
        <v>3.4</v>
      </c>
      <c r="H12">
        <v>3.6</v>
      </c>
      <c r="J12">
        <v>3.7</v>
      </c>
    </row>
    <row r="13" spans="1:12" ht="18" thickBot="1" x14ac:dyDescent="0.35">
      <c r="A13" s="7">
        <v>11</v>
      </c>
      <c r="B13">
        <v>3.8</v>
      </c>
      <c r="C13" s="45">
        <v>4.4000000000000004</v>
      </c>
      <c r="E13" s="34">
        <v>3.6</v>
      </c>
      <c r="F13" s="34">
        <v>3.6</v>
      </c>
      <c r="H13">
        <v>3.5</v>
      </c>
      <c r="I13">
        <v>3.5</v>
      </c>
      <c r="J13">
        <v>3.5</v>
      </c>
    </row>
    <row r="14" spans="1:12" ht="18" thickBot="1" x14ac:dyDescent="0.35">
      <c r="A14" s="7">
        <v>12</v>
      </c>
      <c r="B14">
        <v>3.9</v>
      </c>
      <c r="C14" s="45">
        <v>4.5</v>
      </c>
      <c r="E14" s="34">
        <v>3.8</v>
      </c>
      <c r="F14" s="34">
        <v>3.8</v>
      </c>
      <c r="H14">
        <v>3.8</v>
      </c>
      <c r="J14">
        <v>3.8</v>
      </c>
    </row>
    <row r="15" spans="1:12" ht="17.399999999999999" x14ac:dyDescent="0.3">
      <c r="A15" s="7" t="s">
        <v>60</v>
      </c>
      <c r="B15">
        <v>3.5</v>
      </c>
      <c r="G15">
        <v>3.6</v>
      </c>
      <c r="L15">
        <v>0.33300000000000002</v>
      </c>
    </row>
    <row r="16" spans="1:12" ht="17.399999999999999" x14ac:dyDescent="0.3">
      <c r="A16" s="7" t="s">
        <v>61</v>
      </c>
      <c r="B16">
        <v>1.26</v>
      </c>
      <c r="G16">
        <v>1.4</v>
      </c>
    </row>
    <row r="20" spans="2:13" ht="31.2" x14ac:dyDescent="0.25">
      <c r="B20" s="226" t="s">
        <v>62</v>
      </c>
      <c r="C20" s="226" t="s">
        <v>63</v>
      </c>
      <c r="D20" s="226" t="s">
        <v>64</v>
      </c>
      <c r="E20" s="226" t="s">
        <v>65</v>
      </c>
      <c r="F20" s="226" t="s">
        <v>42</v>
      </c>
      <c r="G20" s="226" t="s">
        <v>43</v>
      </c>
      <c r="H20" s="227" t="s">
        <v>33</v>
      </c>
      <c r="I20" s="227" t="s">
        <v>32</v>
      </c>
      <c r="J20" s="227" t="s">
        <v>66</v>
      </c>
      <c r="K20" s="227" t="s">
        <v>67</v>
      </c>
      <c r="L20" s="226" t="s">
        <v>68</v>
      </c>
      <c r="M20" s="227" t="s">
        <v>69</v>
      </c>
    </row>
    <row r="21" spans="2:13" ht="17.399999999999999" x14ac:dyDescent="0.3">
      <c r="B21" s="228">
        <v>93.16</v>
      </c>
      <c r="C21" s="228">
        <v>30.3</v>
      </c>
      <c r="D21" s="225">
        <v>28.3</v>
      </c>
      <c r="E21" s="225">
        <v>104.58</v>
      </c>
      <c r="F21" s="225">
        <v>6.56</v>
      </c>
      <c r="G21" s="225">
        <v>0</v>
      </c>
      <c r="H21" s="225">
        <v>0</v>
      </c>
      <c r="I21" s="225">
        <v>1.1000000000000001</v>
      </c>
      <c r="J21" s="225">
        <v>245</v>
      </c>
      <c r="K21" s="225">
        <v>1.413</v>
      </c>
      <c r="L21" s="229">
        <v>0.9</v>
      </c>
      <c r="M21" s="230" t="s">
        <v>70</v>
      </c>
    </row>
    <row r="22" spans="2:13" ht="17.399999999999999" x14ac:dyDescent="0.3">
      <c r="B22" s="231">
        <v>36.47</v>
      </c>
      <c r="C22" s="231">
        <v>12.5</v>
      </c>
      <c r="D22" s="231">
        <v>6.7</v>
      </c>
      <c r="E22" s="225">
        <v>87.98</v>
      </c>
      <c r="F22" s="225">
        <v>4.46</v>
      </c>
      <c r="G22" s="225">
        <v>0</v>
      </c>
      <c r="H22" s="225">
        <v>0</v>
      </c>
      <c r="I22" s="225">
        <v>1.3</v>
      </c>
      <c r="J22" s="225">
        <v>186</v>
      </c>
      <c r="K22" s="225">
        <v>0.91</v>
      </c>
      <c r="L22" s="229">
        <v>0.9</v>
      </c>
      <c r="M22" s="230" t="s">
        <v>71</v>
      </c>
    </row>
    <row r="23" spans="2:13" ht="17.399999999999999" x14ac:dyDescent="0.3">
      <c r="B23" s="231">
        <v>206.9</v>
      </c>
      <c r="C23" s="231">
        <v>56</v>
      </c>
      <c r="D23" s="231">
        <v>86.3</v>
      </c>
      <c r="E23" s="225">
        <v>260.58</v>
      </c>
      <c r="F23" s="225">
        <v>15.74</v>
      </c>
      <c r="G23" s="225">
        <v>0</v>
      </c>
      <c r="H23" s="225">
        <v>0</v>
      </c>
      <c r="I23" s="225">
        <v>2.2000000000000002</v>
      </c>
      <c r="J23" s="225">
        <v>680</v>
      </c>
      <c r="K23" s="225">
        <v>3.42</v>
      </c>
      <c r="L23" s="232" t="s">
        <v>72</v>
      </c>
      <c r="M23" s="230" t="s">
        <v>70</v>
      </c>
    </row>
    <row r="24" spans="2:13" ht="17.399999999999999" x14ac:dyDescent="0.3">
      <c r="B24" s="231">
        <v>208.85</v>
      </c>
      <c r="C24" s="231">
        <v>40</v>
      </c>
      <c r="D24" s="231">
        <v>76.900000000000006</v>
      </c>
      <c r="E24" s="225">
        <v>22.94</v>
      </c>
      <c r="F24" s="225">
        <v>14.72</v>
      </c>
      <c r="G24" s="225">
        <v>0</v>
      </c>
      <c r="H24" s="225">
        <v>0</v>
      </c>
      <c r="I24" s="225">
        <v>2</v>
      </c>
      <c r="J24" s="225">
        <v>600</v>
      </c>
      <c r="K24" s="225">
        <v>3.02</v>
      </c>
      <c r="L24" s="232" t="s">
        <v>72</v>
      </c>
      <c r="M24" s="230" t="s">
        <v>71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0689-D1EB-4B97-83A1-E2F17D730B29}">
  <dimension ref="A1:BA103"/>
  <sheetViews>
    <sheetView zoomScale="55" zoomScaleNormal="55" workbookViewId="0">
      <pane xSplit="5" ySplit="3" topLeftCell="F17" activePane="bottomRight" state="frozen"/>
      <selection pane="topRight" activeCell="E1" sqref="E1"/>
      <selection pane="bottomLeft" activeCell="A4" sqref="A4"/>
      <selection pane="bottomRight" activeCell="A3" sqref="A3:A75"/>
    </sheetView>
  </sheetViews>
  <sheetFormatPr defaultColWidth="8.8984375" defaultRowHeight="13.8" x14ac:dyDescent="0.25"/>
  <cols>
    <col min="27" max="27" width="14" customWidth="1"/>
    <col min="40" max="40" width="11.8984375" bestFit="1" customWidth="1"/>
  </cols>
  <sheetData>
    <row r="1" spans="1:53" x14ac:dyDescent="0.25">
      <c r="A1" t="s">
        <v>73</v>
      </c>
      <c r="B1">
        <v>216</v>
      </c>
      <c r="F1" s="254" t="s">
        <v>74</v>
      </c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4"/>
      <c r="V1" s="10"/>
      <c r="W1" s="10"/>
      <c r="X1" s="10"/>
      <c r="Y1" s="10"/>
      <c r="Z1" s="254" t="s">
        <v>75</v>
      </c>
      <c r="AA1" s="254"/>
      <c r="AB1" s="254"/>
      <c r="AC1" s="254"/>
      <c r="AD1" s="254"/>
      <c r="AE1" s="254"/>
      <c r="AF1" s="254"/>
      <c r="AG1" s="254"/>
      <c r="AH1" s="254"/>
      <c r="AI1" s="10"/>
      <c r="AJ1" s="10"/>
      <c r="AK1" s="10"/>
      <c r="AL1" s="10"/>
      <c r="AM1" s="10"/>
    </row>
    <row r="2" spans="1:53" x14ac:dyDescent="0.25">
      <c r="A2" t="s">
        <v>76</v>
      </c>
      <c r="B2">
        <v>671.5</v>
      </c>
      <c r="E2" t="s">
        <v>77</v>
      </c>
      <c r="F2" s="46">
        <v>45187</v>
      </c>
      <c r="G2" s="11">
        <v>45189</v>
      </c>
      <c r="H2" s="46">
        <v>45201</v>
      </c>
      <c r="I2" s="46">
        <v>45211</v>
      </c>
      <c r="J2" s="46">
        <v>45214</v>
      </c>
      <c r="K2" s="46">
        <f>J3</f>
        <v>45218</v>
      </c>
      <c r="L2" s="11">
        <v>45221</v>
      </c>
      <c r="M2" s="11">
        <v>45228</v>
      </c>
      <c r="N2" s="11">
        <v>45235</v>
      </c>
      <c r="O2" s="11">
        <v>45242</v>
      </c>
      <c r="P2" s="11">
        <v>45249</v>
      </c>
      <c r="Q2" s="11">
        <v>45256</v>
      </c>
      <c r="R2" s="11">
        <v>45263</v>
      </c>
      <c r="S2" s="11">
        <v>45272</v>
      </c>
      <c r="T2" s="11">
        <v>45278</v>
      </c>
      <c r="U2" s="46">
        <f>T3</f>
        <v>45284</v>
      </c>
      <c r="V2" s="46">
        <v>45291</v>
      </c>
      <c r="W2" s="46"/>
      <c r="X2" s="46"/>
      <c r="Y2" s="46"/>
      <c r="AB2" t="s">
        <v>78</v>
      </c>
      <c r="AC2" t="s">
        <v>79</v>
      </c>
      <c r="AE2" t="s">
        <v>80</v>
      </c>
      <c r="AN2" s="16">
        <v>45277</v>
      </c>
    </row>
    <row r="3" spans="1:53" ht="14.4" thickBot="1" x14ac:dyDescent="0.3">
      <c r="A3" t="s">
        <v>59</v>
      </c>
      <c r="B3" t="s">
        <v>81</v>
      </c>
      <c r="C3" t="s">
        <v>44</v>
      </c>
      <c r="D3" t="s">
        <v>82</v>
      </c>
      <c r="E3" t="s">
        <v>83</v>
      </c>
      <c r="F3" s="11">
        <v>45189</v>
      </c>
      <c r="G3" s="11">
        <v>45195</v>
      </c>
      <c r="H3" s="11">
        <v>45203</v>
      </c>
      <c r="I3" s="11">
        <v>45214</v>
      </c>
      <c r="J3" s="11">
        <v>45218</v>
      </c>
      <c r="K3" s="11">
        <v>45221</v>
      </c>
      <c r="L3" s="11">
        <v>45228</v>
      </c>
      <c r="M3" s="11">
        <v>45235</v>
      </c>
      <c r="N3" s="11">
        <v>45242</v>
      </c>
      <c r="O3" s="11">
        <v>45249</v>
      </c>
      <c r="P3" s="11">
        <v>45256</v>
      </c>
      <c r="Q3" s="11">
        <v>45263</v>
      </c>
      <c r="R3" s="11">
        <v>45270</v>
      </c>
      <c r="S3" s="11">
        <v>45277</v>
      </c>
      <c r="T3" s="11">
        <v>45284</v>
      </c>
      <c r="U3" s="11">
        <v>45291</v>
      </c>
      <c r="V3" s="11">
        <v>45298</v>
      </c>
      <c r="W3" s="11"/>
      <c r="X3" s="11"/>
      <c r="Y3" s="11"/>
      <c r="Z3" s="11">
        <f t="shared" ref="Z3:AJ3" si="0">F3</f>
        <v>45189</v>
      </c>
      <c r="AA3" s="11">
        <f t="shared" si="0"/>
        <v>45195</v>
      </c>
      <c r="AB3" s="11">
        <f t="shared" si="0"/>
        <v>45203</v>
      </c>
      <c r="AC3" s="11">
        <f t="shared" si="0"/>
        <v>45214</v>
      </c>
      <c r="AD3" s="11">
        <f t="shared" si="0"/>
        <v>45218</v>
      </c>
      <c r="AE3" s="11">
        <f t="shared" si="0"/>
        <v>45221</v>
      </c>
      <c r="AF3" s="11">
        <f t="shared" si="0"/>
        <v>45228</v>
      </c>
      <c r="AG3" s="11">
        <f t="shared" si="0"/>
        <v>45235</v>
      </c>
      <c r="AH3" s="11">
        <f t="shared" si="0"/>
        <v>45242</v>
      </c>
      <c r="AI3" s="11">
        <f t="shared" si="0"/>
        <v>45249</v>
      </c>
      <c r="AJ3" s="11">
        <f t="shared" si="0"/>
        <v>45256</v>
      </c>
      <c r="AK3" s="11">
        <v>45263</v>
      </c>
      <c r="AL3" s="11">
        <v>45270</v>
      </c>
      <c r="AM3" s="11">
        <v>45277</v>
      </c>
      <c r="AN3" s="11">
        <v>45284</v>
      </c>
      <c r="AO3" s="11">
        <f>U3</f>
        <v>45291</v>
      </c>
      <c r="AP3" s="11">
        <f>V3</f>
        <v>45298</v>
      </c>
      <c r="AQ3" s="11">
        <f t="shared" ref="AQ3:AX3" si="1">AF3</f>
        <v>45228</v>
      </c>
      <c r="AR3" s="11">
        <f t="shared" si="1"/>
        <v>45235</v>
      </c>
      <c r="AS3" s="11">
        <f t="shared" si="1"/>
        <v>45242</v>
      </c>
      <c r="AT3" s="11">
        <f t="shared" si="1"/>
        <v>45249</v>
      </c>
      <c r="AU3" s="11">
        <f t="shared" si="1"/>
        <v>45256</v>
      </c>
      <c r="AV3" s="11">
        <f t="shared" si="1"/>
        <v>45263</v>
      </c>
      <c r="AW3" s="11">
        <f t="shared" si="1"/>
        <v>45270</v>
      </c>
      <c r="AX3" s="11">
        <f t="shared" si="1"/>
        <v>45277</v>
      </c>
      <c r="AY3" s="11">
        <f>AN3</f>
        <v>45284</v>
      </c>
      <c r="AZ3" s="11">
        <f>AO3</f>
        <v>45291</v>
      </c>
      <c r="BA3" s="11">
        <f>AP3</f>
        <v>45298</v>
      </c>
    </row>
    <row r="4" spans="1:53" ht="15.6" thickBot="1" x14ac:dyDescent="0.3">
      <c r="A4" s="28">
        <v>0.9</v>
      </c>
      <c r="B4" s="28">
        <v>5</v>
      </c>
      <c r="C4" s="47">
        <v>5</v>
      </c>
      <c r="D4" s="47" t="s">
        <v>84</v>
      </c>
      <c r="E4" s="31">
        <v>1</v>
      </c>
      <c r="F4">
        <v>1860</v>
      </c>
      <c r="G4" s="28">
        <v>4258</v>
      </c>
      <c r="H4" s="28">
        <v>1814</v>
      </c>
      <c r="I4" s="34">
        <v>2338</v>
      </c>
      <c r="J4" s="28">
        <v>3342</v>
      </c>
      <c r="K4" s="28">
        <v>1624</v>
      </c>
      <c r="L4" s="28">
        <v>2496</v>
      </c>
      <c r="M4" s="28">
        <v>2567</v>
      </c>
      <c r="N4" s="28">
        <v>2995</v>
      </c>
      <c r="O4" s="28">
        <v>4117</v>
      </c>
      <c r="P4" s="28">
        <v>3413</v>
      </c>
      <c r="Q4" s="28">
        <v>2773</v>
      </c>
      <c r="R4" s="28">
        <v>2915</v>
      </c>
      <c r="S4" s="28">
        <v>2159</v>
      </c>
      <c r="T4" s="28">
        <v>2025</v>
      </c>
      <c r="U4" t="s">
        <v>157</v>
      </c>
      <c r="V4">
        <v>2381</v>
      </c>
      <c r="Z4" s="28">
        <f t="shared" ref="Z4:Z13" si="2">(F4-$B$1)/(F$3-F$2)</f>
        <v>822</v>
      </c>
      <c r="AA4" s="48">
        <f t="shared" ref="AA4:AA13" si="3">(G4-$B$1)/(G$3-G$2)</f>
        <v>673.66666666666663</v>
      </c>
      <c r="AB4" s="48">
        <f t="shared" ref="AB4:AB13" si="4">(H4-$B$1)/(H$3-H$2)</f>
        <v>799</v>
      </c>
      <c r="AC4" s="48">
        <f t="shared" ref="AC4:AC13" si="5">(I4-$B$1)/(I$3-I$2)</f>
        <v>707.33333333333337</v>
      </c>
      <c r="AD4" s="48">
        <f t="shared" ref="AD4:AD13" si="6">(J4-$B$1)/(J$3-J$2)</f>
        <v>781.5</v>
      </c>
      <c r="AE4" s="48">
        <f t="shared" ref="AE4:AE13" si="7">(K4-$B$1)/(K$3-K$2)</f>
        <v>469.33333333333331</v>
      </c>
      <c r="AF4" s="48">
        <f t="shared" ref="AF4:AF13" si="8">(L4-$B$1)/(L$3-L$2)</f>
        <v>325.71428571428572</v>
      </c>
      <c r="AG4" s="48">
        <f t="shared" ref="AG4:AG13" si="9">(M4-$B$1)/(M$3-M$2)</f>
        <v>335.85714285714283</v>
      </c>
      <c r="AH4" s="48">
        <f t="shared" ref="AH4:AH13" si="10">(N4-$B$1)/(N$3-N$2)</f>
        <v>397</v>
      </c>
      <c r="AI4" s="48">
        <f t="shared" ref="AI4:AI13" si="11">(O4-$B$1)/(O$3-O$2)</f>
        <v>557.28571428571433</v>
      </c>
      <c r="AJ4" s="48">
        <f t="shared" ref="AJ4:AJ13" si="12">(P4-$B$1)/(P$3-P$2)</f>
        <v>456.71428571428572</v>
      </c>
      <c r="AK4" s="48">
        <f t="shared" ref="AK4:AK13" si="13">(Q4-$B$1)/(Q$3-Q$2)</f>
        <v>365.28571428571428</v>
      </c>
      <c r="AL4" s="48">
        <f t="shared" ref="AL4:AL13" si="14">(R4-$B$1)/(R$3-R$2)</f>
        <v>385.57142857142856</v>
      </c>
      <c r="AM4" s="48">
        <f t="shared" ref="AM4:AM13" si="15">(S4-$B$1)/(S$3-S$2)</f>
        <v>388.6</v>
      </c>
      <c r="AN4" s="48">
        <f t="shared" ref="AN4:AN13" si="16">(T4-$B$1)/(T$3-T$2)</f>
        <v>301.5</v>
      </c>
      <c r="AO4" s="51">
        <f>AVERAGE(AO13,AO50,AO52,AO58)</f>
        <v>463.71428571428578</v>
      </c>
      <c r="AP4" s="51">
        <f>(V4-$B$1)/(V$3-V$2)</f>
        <v>309.28571428571428</v>
      </c>
      <c r="AQ4" s="5">
        <f>(AE4+AF4)/2</f>
        <v>397.52380952380952</v>
      </c>
      <c r="AR4" s="5">
        <f t="shared" ref="AR4:BA4" si="17">(AF4+AG4)/2</f>
        <v>330.78571428571428</v>
      </c>
      <c r="AS4" s="5">
        <f t="shared" si="17"/>
        <v>366.42857142857144</v>
      </c>
      <c r="AT4" s="5">
        <f t="shared" si="17"/>
        <v>477.14285714285717</v>
      </c>
      <c r="AU4" s="5">
        <f t="shared" si="17"/>
        <v>507</v>
      </c>
      <c r="AV4" s="5">
        <f t="shared" si="17"/>
        <v>411</v>
      </c>
      <c r="AW4" s="5">
        <f t="shared" si="17"/>
        <v>375.42857142857144</v>
      </c>
      <c r="AX4" s="5">
        <f t="shared" si="17"/>
        <v>387.08571428571429</v>
      </c>
      <c r="AY4" s="5">
        <f t="shared" si="17"/>
        <v>345.05</v>
      </c>
      <c r="AZ4" s="5">
        <f t="shared" si="17"/>
        <v>382.60714285714289</v>
      </c>
      <c r="BA4" s="5">
        <f t="shared" si="17"/>
        <v>386.5</v>
      </c>
    </row>
    <row r="5" spans="1:53" ht="15.6" thickBot="1" x14ac:dyDescent="0.3">
      <c r="A5">
        <v>4</v>
      </c>
      <c r="B5">
        <v>4</v>
      </c>
      <c r="C5" s="49">
        <v>10</v>
      </c>
      <c r="D5" s="49" t="s">
        <v>84</v>
      </c>
      <c r="E5" s="35">
        <v>2</v>
      </c>
      <c r="F5">
        <v>1808</v>
      </c>
      <c r="G5">
        <v>4294</v>
      </c>
      <c r="H5">
        <v>1898</v>
      </c>
      <c r="I5" s="34">
        <v>2622</v>
      </c>
      <c r="J5" s="28">
        <v>3896</v>
      </c>
      <c r="K5">
        <v>1946</v>
      </c>
      <c r="L5">
        <v>2252</v>
      </c>
      <c r="M5" s="28">
        <v>3735</v>
      </c>
      <c r="N5" s="28">
        <v>2913</v>
      </c>
      <c r="O5" s="28">
        <v>4685</v>
      </c>
      <c r="P5" s="28">
        <v>3451</v>
      </c>
      <c r="Q5" s="28">
        <v>3359</v>
      </c>
      <c r="R5" s="28">
        <v>3831</v>
      </c>
      <c r="S5" s="28">
        <v>3055</v>
      </c>
      <c r="T5" s="28">
        <v>1781</v>
      </c>
      <c r="U5" s="28">
        <v>4147</v>
      </c>
      <c r="V5">
        <v>3241</v>
      </c>
      <c r="X5" s="28"/>
      <c r="Z5" s="50">
        <f t="shared" si="2"/>
        <v>796</v>
      </c>
      <c r="AA5" s="51">
        <f t="shared" si="3"/>
        <v>679.66666666666663</v>
      </c>
      <c r="AB5" s="51">
        <f t="shared" si="4"/>
        <v>841</v>
      </c>
      <c r="AC5" s="51">
        <f t="shared" si="5"/>
        <v>802</v>
      </c>
      <c r="AD5" s="51">
        <f t="shared" si="6"/>
        <v>920</v>
      </c>
      <c r="AE5" s="51">
        <f t="shared" si="7"/>
        <v>576.66666666666663</v>
      </c>
      <c r="AF5" s="51">
        <f t="shared" si="8"/>
        <v>290.85714285714283</v>
      </c>
      <c r="AG5" s="51">
        <f t="shared" si="9"/>
        <v>502.71428571428572</v>
      </c>
      <c r="AH5" s="51">
        <f t="shared" si="10"/>
        <v>385.28571428571428</v>
      </c>
      <c r="AI5" s="51">
        <f t="shared" si="11"/>
        <v>638.42857142857144</v>
      </c>
      <c r="AJ5" s="51">
        <f t="shared" si="12"/>
        <v>462.14285714285717</v>
      </c>
      <c r="AK5" s="48">
        <f t="shared" si="13"/>
        <v>449</v>
      </c>
      <c r="AL5" s="48">
        <f t="shared" si="14"/>
        <v>516.42857142857144</v>
      </c>
      <c r="AM5" s="48">
        <f t="shared" si="15"/>
        <v>567.79999999999995</v>
      </c>
      <c r="AN5" s="48">
        <f t="shared" si="16"/>
        <v>260.83333333333331</v>
      </c>
      <c r="AO5" s="51">
        <f>(U5-$B$1)/(U$3-U$2)</f>
        <v>561.57142857142856</v>
      </c>
      <c r="AP5" s="51">
        <f t="shared" ref="AP5:AP68" si="18">(V5-$B$1)/(V$3-V$2)</f>
        <v>432.14285714285717</v>
      </c>
      <c r="AQ5" s="5">
        <f t="shared" ref="AQ5:AQ68" si="19">(AE5+AF5)/2</f>
        <v>433.7619047619047</v>
      </c>
      <c r="AR5" s="5">
        <f t="shared" ref="AR5:AR68" si="20">(AF5+AG5)/2</f>
        <v>396.78571428571428</v>
      </c>
      <c r="AS5" s="5">
        <f t="shared" ref="AS5:AS68" si="21">(AG5+AH5)/2</f>
        <v>444</v>
      </c>
      <c r="AT5" s="5">
        <f t="shared" ref="AT5:AT68" si="22">(AH5+AI5)/2</f>
        <v>511.85714285714289</v>
      </c>
      <c r="AU5" s="5">
        <f t="shared" ref="AU5:AU68" si="23">(AI5+AJ5)/2</f>
        <v>550.28571428571433</v>
      </c>
      <c r="AV5" s="5">
        <f t="shared" ref="AV5:AV68" si="24">(AJ5+AK5)/2</f>
        <v>455.57142857142856</v>
      </c>
      <c r="AW5" s="5">
        <f t="shared" ref="AW5:AW68" si="25">(AK5+AL5)/2</f>
        <v>482.71428571428572</v>
      </c>
      <c r="AX5" s="5">
        <f t="shared" ref="AX5:AX68" si="26">(AL5+AM5)/2</f>
        <v>542.11428571428564</v>
      </c>
      <c r="AY5" s="5">
        <f t="shared" ref="AY5:AY68" si="27">(AM5+AN5)/2</f>
        <v>414.31666666666661</v>
      </c>
      <c r="AZ5" s="5">
        <f t="shared" ref="AZ5:AZ68" si="28">(AN5+AO5)/2</f>
        <v>411.20238095238096</v>
      </c>
      <c r="BA5" s="5">
        <f t="shared" ref="BA5:BA68" si="29">(AO5+AP5)/2</f>
        <v>496.85714285714289</v>
      </c>
    </row>
    <row r="6" spans="1:53" ht="15.6" thickBot="1" x14ac:dyDescent="0.3">
      <c r="A6" s="28">
        <v>4</v>
      </c>
      <c r="B6" s="28">
        <v>2</v>
      </c>
      <c r="C6" s="47">
        <v>8</v>
      </c>
      <c r="D6" s="47" t="s">
        <v>84</v>
      </c>
      <c r="E6" s="31">
        <v>3</v>
      </c>
      <c r="F6">
        <v>1796</v>
      </c>
      <c r="G6" s="28">
        <v>4444</v>
      </c>
      <c r="H6" s="28">
        <v>2022</v>
      </c>
      <c r="I6" s="34">
        <v>2920</v>
      </c>
      <c r="J6" s="28">
        <v>3786</v>
      </c>
      <c r="K6" s="28">
        <v>2416</v>
      </c>
      <c r="L6" s="28">
        <v>3138</v>
      </c>
      <c r="M6" s="28">
        <v>2511</v>
      </c>
      <c r="N6" s="28">
        <v>2893</v>
      </c>
      <c r="O6" s="28">
        <v>4113</v>
      </c>
      <c r="P6" s="28">
        <v>3881</v>
      </c>
      <c r="Q6" s="28">
        <v>3295</v>
      </c>
      <c r="R6" s="28">
        <v>3381</v>
      </c>
      <c r="S6" s="28">
        <v>2737</v>
      </c>
      <c r="T6" s="28">
        <v>2039</v>
      </c>
      <c r="U6" t="s">
        <v>157</v>
      </c>
      <c r="V6">
        <v>2313</v>
      </c>
      <c r="Z6" s="28">
        <f t="shared" si="2"/>
        <v>790</v>
      </c>
      <c r="AA6" s="48">
        <f t="shared" si="3"/>
        <v>704.66666666666663</v>
      </c>
      <c r="AB6" s="48">
        <f t="shared" si="4"/>
        <v>903</v>
      </c>
      <c r="AC6" s="48">
        <f t="shared" si="5"/>
        <v>901.33333333333337</v>
      </c>
      <c r="AD6" s="48">
        <f t="shared" si="6"/>
        <v>892.5</v>
      </c>
      <c r="AE6" s="48">
        <f t="shared" si="7"/>
        <v>733.33333333333337</v>
      </c>
      <c r="AF6" s="48">
        <f t="shared" si="8"/>
        <v>417.42857142857144</v>
      </c>
      <c r="AG6" s="48">
        <f t="shared" si="9"/>
        <v>327.85714285714283</v>
      </c>
      <c r="AH6" s="48">
        <f t="shared" si="10"/>
        <v>382.42857142857144</v>
      </c>
      <c r="AI6" s="48">
        <f t="shared" si="11"/>
        <v>556.71428571428567</v>
      </c>
      <c r="AJ6" s="48">
        <f t="shared" si="12"/>
        <v>523.57142857142856</v>
      </c>
      <c r="AK6" s="48">
        <f t="shared" si="13"/>
        <v>439.85714285714283</v>
      </c>
      <c r="AL6" s="48">
        <f t="shared" si="14"/>
        <v>452.14285714285717</v>
      </c>
      <c r="AM6" s="48">
        <f t="shared" si="15"/>
        <v>504.2</v>
      </c>
      <c r="AN6" s="48">
        <f t="shared" si="16"/>
        <v>303.83333333333331</v>
      </c>
      <c r="AO6" s="48">
        <f>AVERAGE(AO33,AO44,AO55,AO60)</f>
        <v>686.28571428571422</v>
      </c>
      <c r="AP6" s="51">
        <f t="shared" si="18"/>
        <v>299.57142857142856</v>
      </c>
      <c r="AQ6" s="5">
        <f t="shared" si="19"/>
        <v>575.38095238095241</v>
      </c>
      <c r="AR6" s="5">
        <f t="shared" si="20"/>
        <v>372.64285714285711</v>
      </c>
      <c r="AS6" s="5">
        <f t="shared" si="21"/>
        <v>355.14285714285711</v>
      </c>
      <c r="AT6" s="5">
        <f t="shared" si="22"/>
        <v>469.57142857142856</v>
      </c>
      <c r="AU6" s="5">
        <f t="shared" si="23"/>
        <v>540.14285714285711</v>
      </c>
      <c r="AV6" s="5">
        <f t="shared" si="24"/>
        <v>481.71428571428567</v>
      </c>
      <c r="AW6" s="5">
        <f t="shared" si="25"/>
        <v>446</v>
      </c>
      <c r="AX6" s="5">
        <f t="shared" si="26"/>
        <v>478.17142857142858</v>
      </c>
      <c r="AY6" s="5">
        <f t="shared" si="27"/>
        <v>404.01666666666665</v>
      </c>
      <c r="AZ6" s="5">
        <f t="shared" si="28"/>
        <v>495.05952380952374</v>
      </c>
      <c r="BA6" s="5">
        <f t="shared" si="29"/>
        <v>492.92857142857139</v>
      </c>
    </row>
    <row r="7" spans="1:53" ht="15.6" thickBot="1" x14ac:dyDescent="0.3">
      <c r="A7">
        <v>0.9</v>
      </c>
      <c r="B7">
        <v>2</v>
      </c>
      <c r="C7" s="49">
        <v>2</v>
      </c>
      <c r="D7" s="49" t="s">
        <v>84</v>
      </c>
      <c r="E7" s="35">
        <v>4</v>
      </c>
      <c r="F7">
        <v>1702</v>
      </c>
      <c r="G7">
        <v>4196</v>
      </c>
      <c r="H7">
        <v>2006</v>
      </c>
      <c r="I7" s="34">
        <v>2794</v>
      </c>
      <c r="J7" s="28">
        <v>3694</v>
      </c>
      <c r="K7">
        <v>2214</v>
      </c>
      <c r="L7">
        <v>2838</v>
      </c>
      <c r="M7" s="28">
        <v>2599</v>
      </c>
      <c r="N7" s="28">
        <v>3031</v>
      </c>
      <c r="O7" s="28">
        <v>3471</v>
      </c>
      <c r="P7" s="28">
        <v>3067</v>
      </c>
      <c r="Q7" s="28">
        <v>2399</v>
      </c>
      <c r="R7" s="28">
        <v>2265</v>
      </c>
      <c r="S7" s="28">
        <v>1865</v>
      </c>
      <c r="T7" s="28">
        <v>1201</v>
      </c>
      <c r="U7" s="28">
        <v>3179</v>
      </c>
      <c r="V7">
        <v>1141</v>
      </c>
      <c r="X7" s="28"/>
      <c r="Z7" s="50">
        <f t="shared" si="2"/>
        <v>743</v>
      </c>
      <c r="AA7" s="51">
        <f t="shared" si="3"/>
        <v>663.33333333333337</v>
      </c>
      <c r="AB7" s="51">
        <f t="shared" si="4"/>
        <v>895</v>
      </c>
      <c r="AC7" s="51">
        <f t="shared" si="5"/>
        <v>859.33333333333337</v>
      </c>
      <c r="AD7" s="51">
        <f t="shared" si="6"/>
        <v>869.5</v>
      </c>
      <c r="AE7" s="51">
        <f t="shared" si="7"/>
        <v>666</v>
      </c>
      <c r="AF7" s="51">
        <f t="shared" si="8"/>
        <v>374.57142857142856</v>
      </c>
      <c r="AG7" s="51">
        <f t="shared" si="9"/>
        <v>340.42857142857144</v>
      </c>
      <c r="AH7" s="51">
        <f t="shared" si="10"/>
        <v>402.14285714285717</v>
      </c>
      <c r="AI7" s="51">
        <f t="shared" si="11"/>
        <v>465</v>
      </c>
      <c r="AJ7" s="51">
        <f t="shared" si="12"/>
        <v>407.28571428571428</v>
      </c>
      <c r="AK7" s="48">
        <f t="shared" si="13"/>
        <v>311.85714285714283</v>
      </c>
      <c r="AL7" s="48">
        <f t="shared" si="14"/>
        <v>292.71428571428572</v>
      </c>
      <c r="AM7" s="48">
        <f t="shared" si="15"/>
        <v>329.8</v>
      </c>
      <c r="AN7" s="48">
        <f t="shared" si="16"/>
        <v>164.16666666666666</v>
      </c>
      <c r="AO7" s="51">
        <f>(U7-$B$1)/(U$3-U$2)</f>
        <v>423.28571428571428</v>
      </c>
      <c r="AP7" s="51">
        <f t="shared" si="18"/>
        <v>132.14285714285714</v>
      </c>
      <c r="AQ7" s="5">
        <f t="shared" si="19"/>
        <v>520.28571428571422</v>
      </c>
      <c r="AR7" s="5">
        <f t="shared" si="20"/>
        <v>357.5</v>
      </c>
      <c r="AS7" s="5">
        <f t="shared" si="21"/>
        <v>371.28571428571433</v>
      </c>
      <c r="AT7" s="5">
        <f t="shared" si="22"/>
        <v>433.57142857142856</v>
      </c>
      <c r="AU7" s="5">
        <f t="shared" si="23"/>
        <v>436.14285714285711</v>
      </c>
      <c r="AV7" s="5">
        <f t="shared" si="24"/>
        <v>359.57142857142856</v>
      </c>
      <c r="AW7" s="5">
        <f t="shared" si="25"/>
        <v>302.28571428571428</v>
      </c>
      <c r="AX7" s="5">
        <f t="shared" si="26"/>
        <v>311.25714285714287</v>
      </c>
      <c r="AY7" s="5">
        <f t="shared" si="27"/>
        <v>246.98333333333335</v>
      </c>
      <c r="AZ7" s="5">
        <f t="shared" si="28"/>
        <v>293.72619047619048</v>
      </c>
      <c r="BA7" s="5">
        <f t="shared" si="29"/>
        <v>277.71428571428572</v>
      </c>
    </row>
    <row r="8" spans="1:53" ht="15.6" thickBot="1" x14ac:dyDescent="0.3">
      <c r="A8" s="28">
        <v>4</v>
      </c>
      <c r="B8" s="28">
        <v>6</v>
      </c>
      <c r="C8" s="47">
        <v>12</v>
      </c>
      <c r="D8" s="47" t="s">
        <v>84</v>
      </c>
      <c r="E8" s="31">
        <v>5</v>
      </c>
      <c r="F8">
        <v>1840</v>
      </c>
      <c r="G8" s="28">
        <v>3858</v>
      </c>
      <c r="H8" s="28">
        <v>2018</v>
      </c>
      <c r="I8" s="34">
        <v>2828</v>
      </c>
      <c r="J8" s="28">
        <v>3830</v>
      </c>
      <c r="K8" s="28">
        <v>2024</v>
      </c>
      <c r="L8" s="28">
        <v>2516</v>
      </c>
      <c r="M8" s="28">
        <v>3359</v>
      </c>
      <c r="N8" s="28">
        <v>3233</v>
      </c>
      <c r="O8" s="28">
        <v>4221</v>
      </c>
      <c r="P8" s="28">
        <v>3065</v>
      </c>
      <c r="Q8" s="28">
        <v>2699</v>
      </c>
      <c r="R8" s="28">
        <v>3223</v>
      </c>
      <c r="S8" s="28">
        <v>2827</v>
      </c>
      <c r="T8" s="28">
        <v>1511</v>
      </c>
      <c r="U8" t="s">
        <v>157</v>
      </c>
      <c r="V8">
        <v>1759</v>
      </c>
      <c r="Z8" s="28">
        <f t="shared" si="2"/>
        <v>812</v>
      </c>
      <c r="AA8" s="48">
        <f t="shared" si="3"/>
        <v>607</v>
      </c>
      <c r="AB8" s="48">
        <f t="shared" si="4"/>
        <v>901</v>
      </c>
      <c r="AC8" s="48">
        <f t="shared" si="5"/>
        <v>870.66666666666663</v>
      </c>
      <c r="AD8" s="48">
        <f t="shared" si="6"/>
        <v>903.5</v>
      </c>
      <c r="AE8" s="48">
        <f t="shared" si="7"/>
        <v>602.66666666666663</v>
      </c>
      <c r="AF8" s="48">
        <f t="shared" si="8"/>
        <v>328.57142857142856</v>
      </c>
      <c r="AG8" s="48">
        <f t="shared" si="9"/>
        <v>449</v>
      </c>
      <c r="AH8" s="48">
        <f t="shared" si="10"/>
        <v>431</v>
      </c>
      <c r="AI8" s="48">
        <f t="shared" si="11"/>
        <v>572.14285714285711</v>
      </c>
      <c r="AJ8" s="48">
        <f t="shared" si="12"/>
        <v>407</v>
      </c>
      <c r="AK8" s="48">
        <f t="shared" si="13"/>
        <v>354.71428571428572</v>
      </c>
      <c r="AL8" s="48">
        <f t="shared" si="14"/>
        <v>429.57142857142856</v>
      </c>
      <c r="AM8" s="48">
        <f t="shared" si="15"/>
        <v>522.20000000000005</v>
      </c>
      <c r="AN8" s="48">
        <f t="shared" si="16"/>
        <v>215.83333333333334</v>
      </c>
      <c r="AO8" s="48">
        <f>AVERAGE(AO21,AO29,AO35,AO74)</f>
        <v>593.85714285714289</v>
      </c>
      <c r="AP8" s="51">
        <f t="shared" si="18"/>
        <v>220.42857142857142</v>
      </c>
      <c r="AQ8" s="5">
        <f t="shared" si="19"/>
        <v>465.61904761904759</v>
      </c>
      <c r="AR8" s="5">
        <f t="shared" si="20"/>
        <v>388.78571428571428</v>
      </c>
      <c r="AS8" s="5">
        <f t="shared" si="21"/>
        <v>440</v>
      </c>
      <c r="AT8" s="5">
        <f t="shared" si="22"/>
        <v>501.57142857142856</v>
      </c>
      <c r="AU8" s="5">
        <f t="shared" si="23"/>
        <v>489.57142857142856</v>
      </c>
      <c r="AV8" s="5">
        <f t="shared" si="24"/>
        <v>380.85714285714289</v>
      </c>
      <c r="AW8" s="5">
        <f t="shared" si="25"/>
        <v>392.14285714285711</v>
      </c>
      <c r="AX8" s="5">
        <f t="shared" si="26"/>
        <v>475.8857142857143</v>
      </c>
      <c r="AY8" s="5">
        <f t="shared" si="27"/>
        <v>369.01666666666671</v>
      </c>
      <c r="AZ8" s="5">
        <f t="shared" si="28"/>
        <v>404.84523809523813</v>
      </c>
      <c r="BA8" s="5">
        <f t="shared" si="29"/>
        <v>407.14285714285717</v>
      </c>
    </row>
    <row r="9" spans="1:53" ht="15.6" thickBot="1" x14ac:dyDescent="0.3">
      <c r="A9">
        <v>0.9</v>
      </c>
      <c r="B9">
        <v>6</v>
      </c>
      <c r="C9" s="49">
        <v>6</v>
      </c>
      <c r="D9" s="49" t="s">
        <v>84</v>
      </c>
      <c r="E9" s="35">
        <v>6</v>
      </c>
      <c r="F9">
        <v>2022</v>
      </c>
      <c r="G9">
        <v>4458</v>
      </c>
      <c r="H9">
        <v>1992</v>
      </c>
      <c r="I9" s="34">
        <v>2806</v>
      </c>
      <c r="J9" s="28">
        <v>3700</v>
      </c>
      <c r="K9">
        <v>2128</v>
      </c>
      <c r="L9">
        <v>2610</v>
      </c>
      <c r="M9" s="28">
        <v>3049</v>
      </c>
      <c r="N9" s="28">
        <v>3281</v>
      </c>
      <c r="O9" s="28">
        <v>3811</v>
      </c>
      <c r="P9" s="28">
        <v>3415</v>
      </c>
      <c r="Q9" s="28">
        <v>2977</v>
      </c>
      <c r="R9" s="28">
        <v>3085</v>
      </c>
      <c r="S9" s="28">
        <v>2711</v>
      </c>
      <c r="T9" s="28">
        <v>1609</v>
      </c>
      <c r="U9" s="28">
        <v>4265</v>
      </c>
      <c r="V9">
        <v>1955</v>
      </c>
      <c r="X9" s="28"/>
      <c r="Z9" s="50">
        <f t="shared" si="2"/>
        <v>903</v>
      </c>
      <c r="AA9" s="51">
        <f t="shared" si="3"/>
        <v>707</v>
      </c>
      <c r="AB9" s="51">
        <f t="shared" si="4"/>
        <v>888</v>
      </c>
      <c r="AC9" s="51">
        <f t="shared" si="5"/>
        <v>863.33333333333337</v>
      </c>
      <c r="AD9" s="51">
        <f t="shared" si="6"/>
        <v>871</v>
      </c>
      <c r="AE9" s="51">
        <f t="shared" si="7"/>
        <v>637.33333333333337</v>
      </c>
      <c r="AF9" s="51">
        <f t="shared" si="8"/>
        <v>342</v>
      </c>
      <c r="AG9" s="51">
        <f t="shared" si="9"/>
        <v>404.71428571428572</v>
      </c>
      <c r="AH9" s="51">
        <f t="shared" si="10"/>
        <v>437.85714285714283</v>
      </c>
      <c r="AI9" s="51">
        <f t="shared" si="11"/>
        <v>513.57142857142856</v>
      </c>
      <c r="AJ9" s="51">
        <f t="shared" si="12"/>
        <v>457</v>
      </c>
      <c r="AK9" s="48">
        <f t="shared" si="13"/>
        <v>394.42857142857144</v>
      </c>
      <c r="AL9" s="48">
        <f t="shared" si="14"/>
        <v>409.85714285714283</v>
      </c>
      <c r="AM9" s="48">
        <f t="shared" si="15"/>
        <v>499</v>
      </c>
      <c r="AN9" s="48">
        <f t="shared" si="16"/>
        <v>232.16666666666666</v>
      </c>
      <c r="AO9" s="51">
        <f>(U9-$B$1)/(U$3-U$2)</f>
        <v>578.42857142857144</v>
      </c>
      <c r="AP9" s="51">
        <f t="shared" si="18"/>
        <v>248.42857142857142</v>
      </c>
      <c r="AQ9" s="5">
        <f t="shared" si="19"/>
        <v>489.66666666666669</v>
      </c>
      <c r="AR9" s="5">
        <f t="shared" si="20"/>
        <v>373.35714285714289</v>
      </c>
      <c r="AS9" s="5">
        <f t="shared" si="21"/>
        <v>421.28571428571428</v>
      </c>
      <c r="AT9" s="5">
        <f t="shared" si="22"/>
        <v>475.71428571428567</v>
      </c>
      <c r="AU9" s="5">
        <f t="shared" si="23"/>
        <v>485.28571428571428</v>
      </c>
      <c r="AV9" s="5">
        <f t="shared" si="24"/>
        <v>425.71428571428572</v>
      </c>
      <c r="AW9" s="5">
        <f t="shared" si="25"/>
        <v>402.14285714285711</v>
      </c>
      <c r="AX9" s="5">
        <f t="shared" si="26"/>
        <v>454.42857142857144</v>
      </c>
      <c r="AY9" s="5">
        <f t="shared" si="27"/>
        <v>365.58333333333331</v>
      </c>
      <c r="AZ9" s="5">
        <f t="shared" si="28"/>
        <v>405.29761904761904</v>
      </c>
      <c r="BA9" s="5">
        <f t="shared" si="29"/>
        <v>413.42857142857144</v>
      </c>
    </row>
    <row r="10" spans="1:53" ht="15.6" thickBot="1" x14ac:dyDescent="0.3">
      <c r="A10" s="28">
        <v>0.9</v>
      </c>
      <c r="B10" s="28">
        <v>1</v>
      </c>
      <c r="C10" s="47">
        <v>1</v>
      </c>
      <c r="D10" s="47" t="s">
        <v>84</v>
      </c>
      <c r="E10" s="31">
        <v>7</v>
      </c>
      <c r="F10">
        <v>1748</v>
      </c>
      <c r="G10" s="28">
        <v>4308</v>
      </c>
      <c r="H10" s="28">
        <v>1900</v>
      </c>
      <c r="I10" s="34">
        <v>2790</v>
      </c>
      <c r="J10" s="28">
        <v>1538</v>
      </c>
      <c r="K10" s="28">
        <v>2424</v>
      </c>
      <c r="L10" s="28">
        <v>2730</v>
      </c>
      <c r="M10" s="28">
        <v>3143</v>
      </c>
      <c r="N10" s="28">
        <v>2545</v>
      </c>
      <c r="O10" s="28">
        <v>3839</v>
      </c>
      <c r="P10" s="28">
        <v>3471</v>
      </c>
      <c r="Q10" s="28">
        <v>3007</v>
      </c>
      <c r="R10" s="28">
        <v>2939</v>
      </c>
      <c r="S10" s="28">
        <v>2567</v>
      </c>
      <c r="T10" s="28">
        <v>1637</v>
      </c>
      <c r="U10" s="28">
        <v>4571</v>
      </c>
      <c r="V10">
        <v>1875</v>
      </c>
      <c r="X10" s="28"/>
      <c r="Z10" s="28">
        <f t="shared" si="2"/>
        <v>766</v>
      </c>
      <c r="AA10" s="48">
        <f t="shared" si="3"/>
        <v>682</v>
      </c>
      <c r="AB10" s="48">
        <f t="shared" si="4"/>
        <v>842</v>
      </c>
      <c r="AC10" s="48">
        <f t="shared" si="5"/>
        <v>858</v>
      </c>
      <c r="AD10" s="48">
        <f t="shared" si="6"/>
        <v>330.5</v>
      </c>
      <c r="AE10" s="48">
        <f t="shared" si="7"/>
        <v>736</v>
      </c>
      <c r="AF10" s="48">
        <f t="shared" si="8"/>
        <v>359.14285714285717</v>
      </c>
      <c r="AG10" s="48">
        <f t="shared" si="9"/>
        <v>418.14285714285717</v>
      </c>
      <c r="AH10" s="48">
        <f t="shared" si="10"/>
        <v>332.71428571428572</v>
      </c>
      <c r="AI10" s="48">
        <f t="shared" si="11"/>
        <v>517.57142857142856</v>
      </c>
      <c r="AJ10" s="48">
        <f t="shared" si="12"/>
        <v>465</v>
      </c>
      <c r="AK10" s="48">
        <f t="shared" si="13"/>
        <v>398.71428571428572</v>
      </c>
      <c r="AL10" s="48">
        <f t="shared" si="14"/>
        <v>389</v>
      </c>
      <c r="AM10" s="48">
        <f t="shared" si="15"/>
        <v>470.2</v>
      </c>
      <c r="AN10" s="48">
        <f t="shared" si="16"/>
        <v>236.83333333333334</v>
      </c>
      <c r="AO10" s="48">
        <f>(U10-$B$1)/(U$3-U$2)</f>
        <v>622.14285714285711</v>
      </c>
      <c r="AP10" s="51">
        <f t="shared" si="18"/>
        <v>237</v>
      </c>
      <c r="AQ10" s="5">
        <f t="shared" si="19"/>
        <v>547.57142857142856</v>
      </c>
      <c r="AR10" s="5">
        <f t="shared" si="20"/>
        <v>388.64285714285717</v>
      </c>
      <c r="AS10" s="5">
        <f t="shared" si="21"/>
        <v>375.42857142857144</v>
      </c>
      <c r="AT10" s="5">
        <f t="shared" si="22"/>
        <v>425.14285714285711</v>
      </c>
      <c r="AU10" s="5">
        <f t="shared" si="23"/>
        <v>491.28571428571428</v>
      </c>
      <c r="AV10" s="5">
        <f t="shared" si="24"/>
        <v>431.85714285714289</v>
      </c>
      <c r="AW10" s="5">
        <f t="shared" si="25"/>
        <v>393.85714285714289</v>
      </c>
      <c r="AX10" s="5">
        <f t="shared" si="26"/>
        <v>429.6</v>
      </c>
      <c r="AY10" s="5">
        <f t="shared" si="27"/>
        <v>353.51666666666665</v>
      </c>
      <c r="AZ10" s="5">
        <f t="shared" si="28"/>
        <v>429.48809523809524</v>
      </c>
      <c r="BA10" s="5">
        <f t="shared" si="29"/>
        <v>429.57142857142856</v>
      </c>
    </row>
    <row r="11" spans="1:53" ht="15.6" thickBot="1" x14ac:dyDescent="0.3">
      <c r="A11">
        <v>4</v>
      </c>
      <c r="B11">
        <v>5</v>
      </c>
      <c r="C11" s="49">
        <v>11</v>
      </c>
      <c r="D11" s="49" t="s">
        <v>84</v>
      </c>
      <c r="E11" s="35">
        <v>8</v>
      </c>
      <c r="F11">
        <v>1836</v>
      </c>
      <c r="G11">
        <v>4588</v>
      </c>
      <c r="H11">
        <v>2006</v>
      </c>
      <c r="I11" s="34">
        <v>3758</v>
      </c>
      <c r="J11" s="28">
        <v>3214</v>
      </c>
      <c r="K11">
        <v>2376</v>
      </c>
      <c r="L11">
        <v>5328</v>
      </c>
      <c r="M11" s="28">
        <v>5479</v>
      </c>
      <c r="N11" s="28">
        <v>2627</v>
      </c>
      <c r="O11" s="28">
        <v>4081</v>
      </c>
      <c r="P11" s="28">
        <v>3861</v>
      </c>
      <c r="Q11" s="28">
        <v>3197</v>
      </c>
      <c r="R11" s="28">
        <v>3057</v>
      </c>
      <c r="S11" s="28">
        <v>2561</v>
      </c>
      <c r="T11" s="28">
        <v>1655</v>
      </c>
      <c r="U11" s="28">
        <v>3391</v>
      </c>
      <c r="V11">
        <v>2017</v>
      </c>
      <c r="X11" s="28"/>
      <c r="Z11" s="50">
        <f t="shared" si="2"/>
        <v>810</v>
      </c>
      <c r="AA11" s="51">
        <f t="shared" si="3"/>
        <v>728.66666666666663</v>
      </c>
      <c r="AB11" s="51">
        <f t="shared" si="4"/>
        <v>895</v>
      </c>
      <c r="AC11" s="51">
        <f t="shared" si="5"/>
        <v>1180.6666666666667</v>
      </c>
      <c r="AD11" s="51">
        <f t="shared" si="6"/>
        <v>749.5</v>
      </c>
      <c r="AE11" s="51">
        <f t="shared" si="7"/>
        <v>720</v>
      </c>
      <c r="AF11" s="51">
        <f t="shared" si="8"/>
        <v>730.28571428571433</v>
      </c>
      <c r="AG11" s="51">
        <f t="shared" si="9"/>
        <v>751.85714285714289</v>
      </c>
      <c r="AH11" s="51">
        <f t="shared" si="10"/>
        <v>344.42857142857144</v>
      </c>
      <c r="AI11" s="51">
        <f t="shared" si="11"/>
        <v>552.14285714285711</v>
      </c>
      <c r="AJ11" s="51">
        <f t="shared" si="12"/>
        <v>520.71428571428567</v>
      </c>
      <c r="AK11" s="48">
        <f t="shared" si="13"/>
        <v>425.85714285714283</v>
      </c>
      <c r="AL11" s="48">
        <f t="shared" si="14"/>
        <v>405.85714285714283</v>
      </c>
      <c r="AM11" s="48">
        <f t="shared" si="15"/>
        <v>469</v>
      </c>
      <c r="AN11" s="48">
        <f t="shared" si="16"/>
        <v>239.83333333333334</v>
      </c>
      <c r="AO11" s="51">
        <f>(U11-$B$1)/(U$3-U$2)</f>
        <v>453.57142857142856</v>
      </c>
      <c r="AP11" s="51">
        <f t="shared" si="18"/>
        <v>257.28571428571428</v>
      </c>
      <c r="AQ11" s="5">
        <f t="shared" si="19"/>
        <v>725.14285714285711</v>
      </c>
      <c r="AR11" s="5">
        <f t="shared" si="20"/>
        <v>741.07142857142867</v>
      </c>
      <c r="AS11" s="5">
        <f t="shared" si="21"/>
        <v>548.14285714285711</v>
      </c>
      <c r="AT11" s="5">
        <f t="shared" si="22"/>
        <v>448.28571428571428</v>
      </c>
      <c r="AU11" s="5">
        <f t="shared" si="23"/>
        <v>536.42857142857133</v>
      </c>
      <c r="AV11" s="5">
        <f t="shared" si="24"/>
        <v>473.28571428571422</v>
      </c>
      <c r="AW11" s="5">
        <f t="shared" si="25"/>
        <v>415.85714285714283</v>
      </c>
      <c r="AX11" s="5">
        <f t="shared" si="26"/>
        <v>437.42857142857144</v>
      </c>
      <c r="AY11" s="5">
        <f t="shared" si="27"/>
        <v>354.41666666666669</v>
      </c>
      <c r="AZ11" s="5">
        <f t="shared" si="28"/>
        <v>346.70238095238096</v>
      </c>
      <c r="BA11" s="5">
        <f t="shared" si="29"/>
        <v>355.42857142857144</v>
      </c>
    </row>
    <row r="12" spans="1:53" ht="15.6" thickBot="1" x14ac:dyDescent="0.3">
      <c r="A12" s="28">
        <v>4</v>
      </c>
      <c r="B12" s="28">
        <v>4</v>
      </c>
      <c r="C12" s="47">
        <v>10</v>
      </c>
      <c r="D12" s="47" t="s">
        <v>84</v>
      </c>
      <c r="E12" s="31">
        <v>9</v>
      </c>
      <c r="F12">
        <v>1892</v>
      </c>
      <c r="G12" s="28">
        <v>4704</v>
      </c>
      <c r="H12" s="28">
        <v>2122</v>
      </c>
      <c r="I12" s="34">
        <v>2958</v>
      </c>
      <c r="J12" s="28">
        <v>3736</v>
      </c>
      <c r="K12" s="28">
        <v>2514</v>
      </c>
      <c r="L12" s="28">
        <v>2982</v>
      </c>
      <c r="M12" s="28">
        <v>3049</v>
      </c>
      <c r="N12" s="28">
        <v>3631</v>
      </c>
      <c r="O12" s="28">
        <v>4057</v>
      </c>
      <c r="P12" s="28">
        <v>3727</v>
      </c>
      <c r="Q12" s="28">
        <v>3371</v>
      </c>
      <c r="R12" s="28">
        <v>3443</v>
      </c>
      <c r="S12" s="28">
        <v>2857</v>
      </c>
      <c r="T12" s="28">
        <v>2037</v>
      </c>
      <c r="U12" s="28">
        <v>4059</v>
      </c>
      <c r="V12">
        <v>3205</v>
      </c>
      <c r="X12" s="28"/>
      <c r="Z12" s="28">
        <f t="shared" si="2"/>
        <v>838</v>
      </c>
      <c r="AA12" s="48">
        <f t="shared" si="3"/>
        <v>748</v>
      </c>
      <c r="AB12" s="48">
        <f t="shared" si="4"/>
        <v>953</v>
      </c>
      <c r="AC12" s="48">
        <f t="shared" si="5"/>
        <v>914</v>
      </c>
      <c r="AD12" s="48">
        <f t="shared" si="6"/>
        <v>880</v>
      </c>
      <c r="AE12" s="48">
        <f t="shared" si="7"/>
        <v>766</v>
      </c>
      <c r="AF12" s="48">
        <f t="shared" si="8"/>
        <v>395.14285714285717</v>
      </c>
      <c r="AG12" s="48">
        <f t="shared" si="9"/>
        <v>404.71428571428572</v>
      </c>
      <c r="AH12" s="48">
        <f t="shared" si="10"/>
        <v>487.85714285714283</v>
      </c>
      <c r="AI12" s="48">
        <f t="shared" si="11"/>
        <v>548.71428571428567</v>
      </c>
      <c r="AJ12" s="48">
        <f t="shared" si="12"/>
        <v>501.57142857142856</v>
      </c>
      <c r="AK12" s="48">
        <f t="shared" si="13"/>
        <v>450.71428571428572</v>
      </c>
      <c r="AL12" s="48">
        <f t="shared" si="14"/>
        <v>461</v>
      </c>
      <c r="AM12" s="48">
        <f t="shared" si="15"/>
        <v>528.20000000000005</v>
      </c>
      <c r="AN12" s="48">
        <f t="shared" si="16"/>
        <v>303.5</v>
      </c>
      <c r="AO12" s="48">
        <f>(U12-$B$1)/(U$3-U$2)</f>
        <v>549</v>
      </c>
      <c r="AP12" s="51">
        <f t="shared" si="18"/>
        <v>427</v>
      </c>
      <c r="AQ12" s="5">
        <f t="shared" si="19"/>
        <v>580.57142857142856</v>
      </c>
      <c r="AR12" s="5">
        <f t="shared" si="20"/>
        <v>399.92857142857144</v>
      </c>
      <c r="AS12" s="5">
        <f t="shared" si="21"/>
        <v>446.28571428571428</v>
      </c>
      <c r="AT12" s="5">
        <f t="shared" si="22"/>
        <v>518.28571428571422</v>
      </c>
      <c r="AU12" s="5">
        <f t="shared" si="23"/>
        <v>525.14285714285711</v>
      </c>
      <c r="AV12" s="5">
        <f t="shared" si="24"/>
        <v>476.14285714285711</v>
      </c>
      <c r="AW12" s="5">
        <f t="shared" si="25"/>
        <v>455.85714285714289</v>
      </c>
      <c r="AX12" s="5">
        <f t="shared" si="26"/>
        <v>494.6</v>
      </c>
      <c r="AY12" s="5">
        <f t="shared" si="27"/>
        <v>415.85</v>
      </c>
      <c r="AZ12" s="5">
        <f t="shared" si="28"/>
        <v>426.25</v>
      </c>
      <c r="BA12" s="5">
        <f t="shared" si="29"/>
        <v>488</v>
      </c>
    </row>
    <row r="13" spans="1:53" ht="15.6" thickBot="1" x14ac:dyDescent="0.3">
      <c r="A13">
        <v>0.9</v>
      </c>
      <c r="B13">
        <v>5</v>
      </c>
      <c r="C13" s="49">
        <v>5</v>
      </c>
      <c r="D13" s="49" t="s">
        <v>84</v>
      </c>
      <c r="E13" s="35">
        <v>10</v>
      </c>
      <c r="F13">
        <v>1818</v>
      </c>
      <c r="G13">
        <v>4186</v>
      </c>
      <c r="H13">
        <v>1842</v>
      </c>
      <c r="I13" s="34">
        <v>2310</v>
      </c>
      <c r="J13" s="28">
        <v>3350</v>
      </c>
      <c r="K13">
        <v>1642</v>
      </c>
      <c r="L13">
        <v>2466</v>
      </c>
      <c r="M13" s="28">
        <v>2325</v>
      </c>
      <c r="N13" s="28">
        <v>2991</v>
      </c>
      <c r="O13" s="28">
        <v>3779</v>
      </c>
      <c r="P13" s="28">
        <v>3107</v>
      </c>
      <c r="Q13" s="28">
        <v>2455</v>
      </c>
      <c r="R13" s="28">
        <v>2355</v>
      </c>
      <c r="S13" s="28">
        <v>1765</v>
      </c>
      <c r="T13" s="28">
        <v>1555</v>
      </c>
      <c r="U13" s="28">
        <v>3423</v>
      </c>
      <c r="V13">
        <v>1709</v>
      </c>
      <c r="X13" s="28"/>
      <c r="Z13" s="50">
        <f t="shared" si="2"/>
        <v>801</v>
      </c>
      <c r="AA13" s="51">
        <f t="shared" si="3"/>
        <v>661.66666666666663</v>
      </c>
      <c r="AB13" s="51">
        <f t="shared" si="4"/>
        <v>813</v>
      </c>
      <c r="AC13" s="51">
        <f t="shared" si="5"/>
        <v>698</v>
      </c>
      <c r="AD13" s="51">
        <f t="shared" si="6"/>
        <v>783.5</v>
      </c>
      <c r="AE13" s="51">
        <f t="shared" si="7"/>
        <v>475.33333333333331</v>
      </c>
      <c r="AF13" s="51">
        <f t="shared" si="8"/>
        <v>321.42857142857144</v>
      </c>
      <c r="AG13" s="51">
        <f t="shared" si="9"/>
        <v>301.28571428571428</v>
      </c>
      <c r="AH13" s="51">
        <f t="shared" si="10"/>
        <v>396.42857142857144</v>
      </c>
      <c r="AI13" s="51">
        <f t="shared" si="11"/>
        <v>509</v>
      </c>
      <c r="AJ13" s="51">
        <f t="shared" si="12"/>
        <v>413</v>
      </c>
      <c r="AK13" s="48">
        <f t="shared" si="13"/>
        <v>319.85714285714283</v>
      </c>
      <c r="AL13" s="48">
        <f t="shared" si="14"/>
        <v>305.57142857142856</v>
      </c>
      <c r="AM13" s="48">
        <f t="shared" si="15"/>
        <v>309.8</v>
      </c>
      <c r="AN13" s="48">
        <f t="shared" si="16"/>
        <v>223.16666666666666</v>
      </c>
      <c r="AO13" s="51">
        <f>(U13-$B$1)/(U$3-U$2)</f>
        <v>458.14285714285717</v>
      </c>
      <c r="AP13" s="51">
        <f t="shared" si="18"/>
        <v>213.28571428571428</v>
      </c>
      <c r="AQ13" s="5">
        <f t="shared" si="19"/>
        <v>398.38095238095241</v>
      </c>
      <c r="AR13" s="5">
        <f t="shared" si="20"/>
        <v>311.35714285714289</v>
      </c>
      <c r="AS13" s="5">
        <f t="shared" si="21"/>
        <v>348.85714285714289</v>
      </c>
      <c r="AT13" s="5">
        <f t="shared" si="22"/>
        <v>452.71428571428572</v>
      </c>
      <c r="AU13" s="5">
        <f t="shared" si="23"/>
        <v>461</v>
      </c>
      <c r="AV13" s="5">
        <f t="shared" si="24"/>
        <v>366.42857142857144</v>
      </c>
      <c r="AW13" s="5">
        <f t="shared" si="25"/>
        <v>312.71428571428567</v>
      </c>
      <c r="AX13" s="5">
        <f t="shared" si="26"/>
        <v>307.68571428571431</v>
      </c>
      <c r="AY13" s="5">
        <f t="shared" si="27"/>
        <v>266.48333333333335</v>
      </c>
      <c r="AZ13" s="5">
        <f t="shared" si="28"/>
        <v>340.65476190476193</v>
      </c>
      <c r="BA13" s="5">
        <f t="shared" si="29"/>
        <v>335.71428571428572</v>
      </c>
    </row>
    <row r="14" spans="1:53" ht="15.6" thickBot="1" x14ac:dyDescent="0.3">
      <c r="A14" s="28">
        <v>4</v>
      </c>
      <c r="B14" s="28">
        <v>2</v>
      </c>
      <c r="C14" s="47">
        <v>8</v>
      </c>
      <c r="D14" s="47" t="s">
        <v>85</v>
      </c>
      <c r="E14" s="52">
        <v>11</v>
      </c>
      <c r="F14" s="15">
        <v>2582</v>
      </c>
      <c r="G14" s="15">
        <v>5876</v>
      </c>
      <c r="H14" s="15">
        <v>1786</v>
      </c>
      <c r="I14" s="34">
        <v>2892</v>
      </c>
      <c r="J14" s="15">
        <v>5098</v>
      </c>
      <c r="K14" s="15">
        <v>2896</v>
      </c>
      <c r="L14" s="15">
        <v>3918</v>
      </c>
      <c r="M14" s="28">
        <v>5476</v>
      </c>
      <c r="N14" s="28">
        <v>4269</v>
      </c>
      <c r="O14" s="28">
        <v>6203</v>
      </c>
      <c r="P14" s="28">
        <v>3893</v>
      </c>
      <c r="Q14" s="28">
        <v>4961</v>
      </c>
      <c r="R14" s="28">
        <v>4129</v>
      </c>
      <c r="S14" s="28">
        <v>3917</v>
      </c>
      <c r="T14" s="28">
        <v>2893</v>
      </c>
      <c r="U14" s="28">
        <v>7059</v>
      </c>
      <c r="V14">
        <v>3905</v>
      </c>
      <c r="X14" s="28"/>
      <c r="Z14" s="15">
        <f t="shared" ref="Z14:AA17" si="30">(F14-$B$2)/(F$3-F$2)</f>
        <v>955.25</v>
      </c>
      <c r="AA14" s="53">
        <f t="shared" si="30"/>
        <v>867.41666666666663</v>
      </c>
      <c r="AB14" s="53">
        <f>(H14-$B$2)</f>
        <v>1114.5</v>
      </c>
      <c r="AC14" s="53">
        <f>(I14-$B$2)/2</f>
        <v>1110.25</v>
      </c>
      <c r="AD14" s="53">
        <f t="shared" ref="AD14:AJ17" si="31">(J14-$B$2)/(J$3-J$2)</f>
        <v>1106.625</v>
      </c>
      <c r="AE14" s="53">
        <f t="shared" si="31"/>
        <v>741.5</v>
      </c>
      <c r="AF14" s="53">
        <f t="shared" si="31"/>
        <v>463.78571428571428</v>
      </c>
      <c r="AG14" s="53">
        <f t="shared" si="31"/>
        <v>686.35714285714289</v>
      </c>
      <c r="AH14" s="53">
        <f t="shared" si="31"/>
        <v>513.92857142857144</v>
      </c>
      <c r="AI14" s="53">
        <f t="shared" si="31"/>
        <v>790.21428571428567</v>
      </c>
      <c r="AJ14" s="53">
        <f t="shared" si="31"/>
        <v>460.21428571428572</v>
      </c>
      <c r="AK14" s="48">
        <f t="shared" ref="AK14:AK45" si="32">(Q14-$B$1)/(Q$3-Q$2)</f>
        <v>677.85714285714289</v>
      </c>
      <c r="AL14" s="48">
        <f t="shared" ref="AL14:AL45" si="33">(R14-$B$1)/(R$3-R$2)</f>
        <v>559</v>
      </c>
      <c r="AM14" s="48">
        <f t="shared" ref="AM14:AM45" si="34">(S14-$B$1)/(S$3-S$2)</f>
        <v>740.2</v>
      </c>
      <c r="AN14" s="48">
        <f>(T14-$B$1)/(T$3-AN$2)</f>
        <v>382.42857142857144</v>
      </c>
      <c r="AO14" s="53">
        <f>(U14-$B$2)/(U$3-U$2)</f>
        <v>912.5</v>
      </c>
      <c r="AP14" s="51">
        <f t="shared" si="18"/>
        <v>527</v>
      </c>
      <c r="AQ14" s="5">
        <f t="shared" si="19"/>
        <v>602.64285714285711</v>
      </c>
      <c r="AR14" s="5">
        <f t="shared" si="20"/>
        <v>575.07142857142856</v>
      </c>
      <c r="AS14" s="5">
        <f t="shared" si="21"/>
        <v>600.14285714285711</v>
      </c>
      <c r="AT14" s="5">
        <f t="shared" si="22"/>
        <v>652.07142857142856</v>
      </c>
      <c r="AU14" s="5">
        <f t="shared" si="23"/>
        <v>625.21428571428567</v>
      </c>
      <c r="AV14" s="5">
        <f t="shared" si="24"/>
        <v>569.03571428571433</v>
      </c>
      <c r="AW14" s="5">
        <f t="shared" si="25"/>
        <v>618.42857142857144</v>
      </c>
      <c r="AX14" s="5">
        <f t="shared" si="26"/>
        <v>649.6</v>
      </c>
      <c r="AY14" s="5">
        <f t="shared" si="27"/>
        <v>561.31428571428569</v>
      </c>
      <c r="AZ14" s="5">
        <f t="shared" si="28"/>
        <v>647.46428571428578</v>
      </c>
      <c r="BA14" s="5">
        <f t="shared" si="29"/>
        <v>719.75</v>
      </c>
    </row>
    <row r="15" spans="1:53" ht="15.6" thickBot="1" x14ac:dyDescent="0.3">
      <c r="A15">
        <v>0.9</v>
      </c>
      <c r="B15">
        <v>2</v>
      </c>
      <c r="C15" s="49">
        <v>2</v>
      </c>
      <c r="D15" s="49" t="s">
        <v>85</v>
      </c>
      <c r="E15" s="52">
        <v>12</v>
      </c>
      <c r="F15" s="15">
        <v>2470</v>
      </c>
      <c r="G15" s="15">
        <v>5558</v>
      </c>
      <c r="H15" s="15">
        <v>1754</v>
      </c>
      <c r="I15" s="34">
        <v>2824</v>
      </c>
      <c r="J15" s="15">
        <v>4944</v>
      </c>
      <c r="K15" s="15">
        <v>2828</v>
      </c>
      <c r="L15" s="15">
        <v>3810</v>
      </c>
      <c r="M15" s="28">
        <v>5734</v>
      </c>
      <c r="N15" s="28">
        <v>4157</v>
      </c>
      <c r="O15" s="28">
        <v>6049</v>
      </c>
      <c r="P15" s="28">
        <v>3889</v>
      </c>
      <c r="Q15" s="28">
        <v>4867</v>
      </c>
      <c r="R15" s="28">
        <v>3831</v>
      </c>
      <c r="S15" s="28">
        <v>3805</v>
      </c>
      <c r="T15" s="28">
        <v>2697</v>
      </c>
      <c r="U15" s="28">
        <v>6751</v>
      </c>
      <c r="V15">
        <v>3801</v>
      </c>
      <c r="X15" s="28"/>
      <c r="Z15" s="15">
        <f t="shared" si="30"/>
        <v>899.25</v>
      </c>
      <c r="AA15" s="53">
        <f t="shared" si="30"/>
        <v>814.41666666666663</v>
      </c>
      <c r="AB15" s="53">
        <f>(H15-$B$2)</f>
        <v>1082.5</v>
      </c>
      <c r="AC15" s="53">
        <f>(I15-$B$2)/2</f>
        <v>1076.25</v>
      </c>
      <c r="AD15" s="53">
        <f t="shared" si="31"/>
        <v>1068.125</v>
      </c>
      <c r="AE15" s="53">
        <f t="shared" si="31"/>
        <v>718.83333333333337</v>
      </c>
      <c r="AF15" s="53">
        <f t="shared" si="31"/>
        <v>448.35714285714283</v>
      </c>
      <c r="AG15" s="53">
        <f t="shared" si="31"/>
        <v>723.21428571428567</v>
      </c>
      <c r="AH15" s="53">
        <f t="shared" si="31"/>
        <v>497.92857142857144</v>
      </c>
      <c r="AI15" s="53">
        <f t="shared" si="31"/>
        <v>768.21428571428567</v>
      </c>
      <c r="AJ15" s="53">
        <f t="shared" si="31"/>
        <v>459.64285714285717</v>
      </c>
      <c r="AK15" s="48">
        <f t="shared" si="32"/>
        <v>664.42857142857144</v>
      </c>
      <c r="AL15" s="48">
        <f t="shared" si="33"/>
        <v>516.42857142857144</v>
      </c>
      <c r="AM15" s="48">
        <f t="shared" si="34"/>
        <v>717.8</v>
      </c>
      <c r="AN15" s="48">
        <f t="shared" ref="AN15:AN17" si="35">(T15-$B$1)/(T$3-AN$2)</f>
        <v>354.42857142857144</v>
      </c>
      <c r="AO15" s="53">
        <f>(U15-$B$2)/(U$3-U$2)</f>
        <v>868.5</v>
      </c>
      <c r="AP15" s="51">
        <f t="shared" si="18"/>
        <v>512.14285714285711</v>
      </c>
      <c r="AQ15" s="5">
        <f t="shared" si="19"/>
        <v>583.59523809523807</v>
      </c>
      <c r="AR15" s="5">
        <f t="shared" si="20"/>
        <v>585.78571428571422</v>
      </c>
      <c r="AS15" s="5">
        <f t="shared" si="21"/>
        <v>610.57142857142856</v>
      </c>
      <c r="AT15" s="5">
        <f t="shared" si="22"/>
        <v>633.07142857142856</v>
      </c>
      <c r="AU15" s="5">
        <f t="shared" si="23"/>
        <v>613.92857142857144</v>
      </c>
      <c r="AV15" s="5">
        <f t="shared" si="24"/>
        <v>562.03571428571433</v>
      </c>
      <c r="AW15" s="5">
        <f t="shared" si="25"/>
        <v>590.42857142857144</v>
      </c>
      <c r="AX15" s="5">
        <f t="shared" si="26"/>
        <v>617.11428571428564</v>
      </c>
      <c r="AY15" s="5">
        <f t="shared" si="27"/>
        <v>536.11428571428564</v>
      </c>
      <c r="AZ15" s="5">
        <f t="shared" si="28"/>
        <v>611.46428571428578</v>
      </c>
      <c r="BA15" s="5">
        <f t="shared" si="29"/>
        <v>690.32142857142856</v>
      </c>
    </row>
    <row r="16" spans="1:53" ht="15.6" thickBot="1" x14ac:dyDescent="0.3">
      <c r="A16" s="28">
        <v>4</v>
      </c>
      <c r="B16" s="28">
        <v>3</v>
      </c>
      <c r="C16" s="47">
        <v>9</v>
      </c>
      <c r="D16" s="47" t="s">
        <v>85</v>
      </c>
      <c r="E16" s="52">
        <v>13</v>
      </c>
      <c r="F16" s="15">
        <v>2656</v>
      </c>
      <c r="G16" s="15">
        <v>6082</v>
      </c>
      <c r="H16" s="15">
        <v>1898</v>
      </c>
      <c r="I16" s="34">
        <v>3176</v>
      </c>
      <c r="J16" s="15">
        <v>5510</v>
      </c>
      <c r="K16" s="15">
        <v>3086</v>
      </c>
      <c r="L16" s="15">
        <v>4048</v>
      </c>
      <c r="M16" s="28">
        <v>6070</v>
      </c>
      <c r="N16" s="28">
        <v>4501</v>
      </c>
      <c r="O16" s="28">
        <v>6415</v>
      </c>
      <c r="P16" s="28">
        <v>4159</v>
      </c>
      <c r="Q16" s="28">
        <v>5509</v>
      </c>
      <c r="R16" s="28">
        <v>4317</v>
      </c>
      <c r="S16" s="28">
        <v>4351</v>
      </c>
      <c r="T16" s="28">
        <v>3109</v>
      </c>
      <c r="U16" s="28">
        <v>7267</v>
      </c>
      <c r="V16">
        <v>4275</v>
      </c>
      <c r="X16" s="28"/>
      <c r="Z16" s="15">
        <f t="shared" si="30"/>
        <v>992.25</v>
      </c>
      <c r="AA16" s="53">
        <f t="shared" si="30"/>
        <v>901.75</v>
      </c>
      <c r="AB16" s="53">
        <f>(H16-$B$2)</f>
        <v>1226.5</v>
      </c>
      <c r="AC16" s="53">
        <f>(I16-$B$2)/2</f>
        <v>1252.25</v>
      </c>
      <c r="AD16" s="53">
        <f t="shared" si="31"/>
        <v>1209.625</v>
      </c>
      <c r="AE16" s="53">
        <f t="shared" si="31"/>
        <v>804.83333333333337</v>
      </c>
      <c r="AF16" s="53">
        <f t="shared" si="31"/>
        <v>482.35714285714283</v>
      </c>
      <c r="AG16" s="53">
        <f t="shared" si="31"/>
        <v>771.21428571428567</v>
      </c>
      <c r="AH16" s="53">
        <f t="shared" si="31"/>
        <v>547.07142857142856</v>
      </c>
      <c r="AI16" s="53">
        <f t="shared" si="31"/>
        <v>820.5</v>
      </c>
      <c r="AJ16" s="53">
        <f t="shared" si="31"/>
        <v>498.21428571428572</v>
      </c>
      <c r="AK16" s="48">
        <f t="shared" si="32"/>
        <v>756.14285714285711</v>
      </c>
      <c r="AL16" s="48">
        <f t="shared" si="33"/>
        <v>585.85714285714289</v>
      </c>
      <c r="AM16" s="48">
        <f t="shared" si="34"/>
        <v>827</v>
      </c>
      <c r="AN16" s="48">
        <f t="shared" si="35"/>
        <v>413.28571428571428</v>
      </c>
      <c r="AO16" s="53">
        <f>(U16-$B$2)/(U$3-U$2)</f>
        <v>942.21428571428567</v>
      </c>
      <c r="AP16" s="51">
        <f t="shared" si="18"/>
        <v>579.85714285714289</v>
      </c>
      <c r="AQ16" s="5">
        <f t="shared" si="19"/>
        <v>643.59523809523807</v>
      </c>
      <c r="AR16" s="5">
        <f t="shared" si="20"/>
        <v>626.78571428571422</v>
      </c>
      <c r="AS16" s="5">
        <f t="shared" si="21"/>
        <v>659.14285714285711</v>
      </c>
      <c r="AT16" s="5">
        <f t="shared" si="22"/>
        <v>683.78571428571422</v>
      </c>
      <c r="AU16" s="5">
        <f t="shared" si="23"/>
        <v>659.35714285714289</v>
      </c>
      <c r="AV16" s="5">
        <f t="shared" si="24"/>
        <v>627.17857142857144</v>
      </c>
      <c r="AW16" s="5">
        <f t="shared" si="25"/>
        <v>671</v>
      </c>
      <c r="AX16" s="5">
        <f t="shared" si="26"/>
        <v>706.42857142857144</v>
      </c>
      <c r="AY16" s="5">
        <f t="shared" si="27"/>
        <v>620.14285714285711</v>
      </c>
      <c r="AZ16" s="5">
        <f t="shared" si="28"/>
        <v>677.75</v>
      </c>
      <c r="BA16" s="5">
        <f t="shared" si="29"/>
        <v>761.03571428571422</v>
      </c>
    </row>
    <row r="17" spans="1:53" ht="15.6" thickBot="1" x14ac:dyDescent="0.3">
      <c r="A17">
        <v>4</v>
      </c>
      <c r="B17">
        <v>1</v>
      </c>
      <c r="C17" s="49">
        <v>7</v>
      </c>
      <c r="D17" s="49" t="s">
        <v>85</v>
      </c>
      <c r="E17" s="52">
        <v>14</v>
      </c>
      <c r="F17" s="15">
        <v>2684</v>
      </c>
      <c r="G17" s="15">
        <v>6070</v>
      </c>
      <c r="H17" s="15">
        <v>1832</v>
      </c>
      <c r="I17" s="34">
        <v>2990</v>
      </c>
      <c r="J17" s="15">
        <v>5310</v>
      </c>
      <c r="K17" s="15">
        <v>3012</v>
      </c>
      <c r="L17" s="15">
        <v>4100</v>
      </c>
      <c r="M17" s="28">
        <v>5658</v>
      </c>
      <c r="N17" s="28">
        <v>4461</v>
      </c>
      <c r="O17" s="28">
        <v>6461</v>
      </c>
      <c r="P17" s="28">
        <v>4143</v>
      </c>
      <c r="Q17" s="28">
        <v>5275</v>
      </c>
      <c r="R17" s="28">
        <v>4279</v>
      </c>
      <c r="S17" s="28">
        <v>4135</v>
      </c>
      <c r="T17" s="28">
        <v>2981</v>
      </c>
      <c r="U17" s="28">
        <v>7379</v>
      </c>
      <c r="V17">
        <v>4081</v>
      </c>
      <c r="X17" s="28"/>
      <c r="Z17" s="15">
        <f t="shared" si="30"/>
        <v>1006.25</v>
      </c>
      <c r="AA17" s="53">
        <f t="shared" si="30"/>
        <v>899.75</v>
      </c>
      <c r="AB17" s="53">
        <f>(H17-$B$2)</f>
        <v>1160.5</v>
      </c>
      <c r="AC17" s="53">
        <f>(I17-$B$2)/2</f>
        <v>1159.25</v>
      </c>
      <c r="AD17" s="53">
        <f t="shared" si="31"/>
        <v>1159.625</v>
      </c>
      <c r="AE17" s="53">
        <f t="shared" si="31"/>
        <v>780.16666666666663</v>
      </c>
      <c r="AF17" s="53">
        <f t="shared" si="31"/>
        <v>489.78571428571428</v>
      </c>
      <c r="AG17" s="53">
        <f t="shared" si="31"/>
        <v>712.35714285714289</v>
      </c>
      <c r="AH17" s="53">
        <f t="shared" si="31"/>
        <v>541.35714285714289</v>
      </c>
      <c r="AI17" s="53">
        <f t="shared" si="31"/>
        <v>827.07142857142856</v>
      </c>
      <c r="AJ17" s="53">
        <f t="shared" si="31"/>
        <v>495.92857142857144</v>
      </c>
      <c r="AK17" s="48">
        <f t="shared" si="32"/>
        <v>722.71428571428567</v>
      </c>
      <c r="AL17" s="48">
        <f t="shared" si="33"/>
        <v>580.42857142857144</v>
      </c>
      <c r="AM17" s="48">
        <f t="shared" si="34"/>
        <v>783.8</v>
      </c>
      <c r="AN17" s="48">
        <f t="shared" si="35"/>
        <v>395</v>
      </c>
      <c r="AO17" s="53">
        <f>(U17-$B$2)/(U$3-U$2)</f>
        <v>958.21428571428567</v>
      </c>
      <c r="AP17" s="51">
        <f t="shared" si="18"/>
        <v>552.14285714285711</v>
      </c>
      <c r="AQ17" s="5">
        <f t="shared" si="19"/>
        <v>634.97619047619048</v>
      </c>
      <c r="AR17" s="5">
        <f t="shared" si="20"/>
        <v>601.07142857142856</v>
      </c>
      <c r="AS17" s="5">
        <f t="shared" si="21"/>
        <v>626.85714285714289</v>
      </c>
      <c r="AT17" s="5">
        <f t="shared" si="22"/>
        <v>684.21428571428578</v>
      </c>
      <c r="AU17" s="5">
        <f t="shared" si="23"/>
        <v>661.5</v>
      </c>
      <c r="AV17" s="5">
        <f t="shared" si="24"/>
        <v>609.32142857142856</v>
      </c>
      <c r="AW17" s="5">
        <f t="shared" si="25"/>
        <v>651.57142857142856</v>
      </c>
      <c r="AX17" s="5">
        <f t="shared" si="26"/>
        <v>682.11428571428564</v>
      </c>
      <c r="AY17" s="5">
        <f t="shared" si="27"/>
        <v>589.4</v>
      </c>
      <c r="AZ17" s="5">
        <f t="shared" si="28"/>
        <v>676.60714285714289</v>
      </c>
      <c r="BA17" s="5">
        <f t="shared" si="29"/>
        <v>755.17857142857133</v>
      </c>
    </row>
    <row r="18" spans="1:53" ht="15.6" thickBot="1" x14ac:dyDescent="0.3">
      <c r="A18" s="28">
        <v>0.9</v>
      </c>
      <c r="B18" s="28">
        <v>3</v>
      </c>
      <c r="C18" s="47">
        <v>3</v>
      </c>
      <c r="D18" s="47" t="s">
        <v>84</v>
      </c>
      <c r="E18" s="31">
        <v>15</v>
      </c>
      <c r="F18">
        <v>1950</v>
      </c>
      <c r="G18" s="28">
        <v>4278</v>
      </c>
      <c r="H18" s="28">
        <v>2088</v>
      </c>
      <c r="I18" s="34">
        <v>3002</v>
      </c>
      <c r="J18" s="28">
        <v>3944</v>
      </c>
      <c r="K18" s="28">
        <v>2292</v>
      </c>
      <c r="L18" s="28">
        <v>2904</v>
      </c>
      <c r="M18" s="28">
        <v>2994</v>
      </c>
      <c r="N18" s="28">
        <v>3537</v>
      </c>
      <c r="O18" s="28">
        <v>4181</v>
      </c>
      <c r="P18" s="28">
        <v>3619</v>
      </c>
      <c r="Q18" s="28">
        <v>3271</v>
      </c>
      <c r="R18" s="28">
        <v>3373</v>
      </c>
      <c r="S18" s="28">
        <v>2903</v>
      </c>
      <c r="T18" s="28">
        <v>1765</v>
      </c>
      <c r="U18" s="28">
        <v>5183</v>
      </c>
      <c r="V18">
        <v>2621</v>
      </c>
      <c r="X18" s="28"/>
      <c r="Z18" s="28">
        <f t="shared" ref="Z18:Z37" si="36">(F18-$B$1)/(F$3-F$2)</f>
        <v>867</v>
      </c>
      <c r="AA18" s="48">
        <f t="shared" ref="AA18:AA37" si="37">(G18-$B$1)/(G$3-G$2)</f>
        <v>677</v>
      </c>
      <c r="AB18" s="48">
        <f t="shared" ref="AB18:AB37" si="38">(H18-$B$1)/(H$3-H$2)</f>
        <v>936</v>
      </c>
      <c r="AC18" s="48">
        <f t="shared" ref="AC18:AC37" si="39">(I18-$B$1)/(I$3-I$2)</f>
        <v>928.66666666666663</v>
      </c>
      <c r="AD18" s="48">
        <f t="shared" ref="AD18:AD37" si="40">(J18-$B$1)/(J$3-J$2)</f>
        <v>932</v>
      </c>
      <c r="AE18" s="48">
        <f t="shared" ref="AE18:AE37" si="41">(K18-$B$1)/(K$3-K$2)</f>
        <v>692</v>
      </c>
      <c r="AF18" s="48">
        <f t="shared" ref="AF18:AF37" si="42">(L18-$B$1)/(L$3-L$2)</f>
        <v>384</v>
      </c>
      <c r="AG18" s="48">
        <f t="shared" ref="AG18:AG37" si="43">(M18-$B$1)/(M$3-M$2)</f>
        <v>396.85714285714283</v>
      </c>
      <c r="AH18" s="48">
        <f t="shared" ref="AH18:AH37" si="44">(N18-$B$1)/(N$3-N$2)</f>
        <v>474.42857142857144</v>
      </c>
      <c r="AI18" s="48">
        <f t="shared" ref="AI18:AI37" si="45">(O18-$B$1)/(O$3-O$2)</f>
        <v>566.42857142857144</v>
      </c>
      <c r="AJ18" s="48">
        <f t="shared" ref="AJ18:AJ37" si="46">(P18-$B$1)/(P$3-P$2)</f>
        <v>486.14285714285717</v>
      </c>
      <c r="AK18" s="48">
        <f t="shared" si="32"/>
        <v>436.42857142857144</v>
      </c>
      <c r="AL18" s="48">
        <f t="shared" si="33"/>
        <v>451</v>
      </c>
      <c r="AM18" s="48">
        <f t="shared" si="34"/>
        <v>537.4</v>
      </c>
      <c r="AN18" s="48">
        <f t="shared" ref="AN18:AN37" si="47">(T18-$B$1)/(T$3-T$2)</f>
        <v>258.16666666666669</v>
      </c>
      <c r="AO18" s="48">
        <f t="shared" ref="AO18:AO37" si="48">(U18-$B$1)/(U$3-U$2)</f>
        <v>709.57142857142856</v>
      </c>
      <c r="AP18" s="51">
        <f t="shared" si="18"/>
        <v>343.57142857142856</v>
      </c>
      <c r="AQ18" s="5">
        <f t="shared" si="19"/>
        <v>538</v>
      </c>
      <c r="AR18" s="5">
        <f t="shared" si="20"/>
        <v>390.42857142857144</v>
      </c>
      <c r="AS18" s="5">
        <f t="shared" si="21"/>
        <v>435.64285714285711</v>
      </c>
      <c r="AT18" s="5">
        <f t="shared" si="22"/>
        <v>520.42857142857144</v>
      </c>
      <c r="AU18" s="5">
        <f t="shared" si="23"/>
        <v>526.28571428571433</v>
      </c>
      <c r="AV18" s="5">
        <f t="shared" si="24"/>
        <v>461.28571428571433</v>
      </c>
      <c r="AW18" s="5">
        <f t="shared" si="25"/>
        <v>443.71428571428572</v>
      </c>
      <c r="AX18" s="5">
        <f t="shared" si="26"/>
        <v>494.2</v>
      </c>
      <c r="AY18" s="5">
        <f t="shared" si="27"/>
        <v>397.7833333333333</v>
      </c>
      <c r="AZ18" s="5">
        <f t="shared" si="28"/>
        <v>483.86904761904759</v>
      </c>
      <c r="BA18" s="5">
        <f t="shared" si="29"/>
        <v>526.57142857142856</v>
      </c>
    </row>
    <row r="19" spans="1:53" ht="15.6" thickBot="1" x14ac:dyDescent="0.3">
      <c r="A19">
        <v>0.9</v>
      </c>
      <c r="B19">
        <v>6</v>
      </c>
      <c r="C19" s="49">
        <v>6</v>
      </c>
      <c r="D19" s="49" t="s">
        <v>84</v>
      </c>
      <c r="E19" s="35">
        <v>16</v>
      </c>
      <c r="F19">
        <v>2020</v>
      </c>
      <c r="G19">
        <v>4652</v>
      </c>
      <c r="H19" s="15">
        <v>2078</v>
      </c>
      <c r="I19" s="34">
        <v>2970</v>
      </c>
      <c r="J19" s="15">
        <v>3976</v>
      </c>
      <c r="K19" s="15">
        <v>2476</v>
      </c>
      <c r="L19" s="15">
        <v>2896</v>
      </c>
      <c r="M19" s="28">
        <v>2986</v>
      </c>
      <c r="N19" s="28">
        <v>3361</v>
      </c>
      <c r="O19" s="28">
        <v>4067</v>
      </c>
      <c r="P19" s="28">
        <v>3547</v>
      </c>
      <c r="Q19" s="28">
        <v>2835</v>
      </c>
      <c r="R19" s="28">
        <v>2711</v>
      </c>
      <c r="S19" s="28">
        <v>3207</v>
      </c>
      <c r="T19" s="28">
        <v>1421</v>
      </c>
      <c r="U19" s="28">
        <v>4937</v>
      </c>
      <c r="V19">
        <v>1373</v>
      </c>
      <c r="X19" s="28"/>
      <c r="Z19" s="50">
        <f t="shared" si="36"/>
        <v>902</v>
      </c>
      <c r="AA19" s="51">
        <f t="shared" si="37"/>
        <v>739.33333333333337</v>
      </c>
      <c r="AB19" s="51">
        <f t="shared" si="38"/>
        <v>931</v>
      </c>
      <c r="AC19" s="51">
        <f t="shared" si="39"/>
        <v>918</v>
      </c>
      <c r="AD19" s="51">
        <f t="shared" si="40"/>
        <v>940</v>
      </c>
      <c r="AE19" s="51">
        <f t="shared" si="41"/>
        <v>753.33333333333337</v>
      </c>
      <c r="AF19" s="51">
        <f t="shared" si="42"/>
        <v>382.85714285714283</v>
      </c>
      <c r="AG19" s="51">
        <f t="shared" si="43"/>
        <v>395.71428571428572</v>
      </c>
      <c r="AH19" s="51">
        <f t="shared" si="44"/>
        <v>449.28571428571428</v>
      </c>
      <c r="AI19" s="51">
        <f t="shared" si="45"/>
        <v>550.14285714285711</v>
      </c>
      <c r="AJ19" s="51">
        <f t="shared" si="46"/>
        <v>475.85714285714283</v>
      </c>
      <c r="AK19" s="48">
        <f t="shared" si="32"/>
        <v>374.14285714285717</v>
      </c>
      <c r="AL19" s="48">
        <f t="shared" si="33"/>
        <v>356.42857142857144</v>
      </c>
      <c r="AM19" s="48">
        <f t="shared" si="34"/>
        <v>598.20000000000005</v>
      </c>
      <c r="AN19" s="48">
        <f t="shared" si="47"/>
        <v>200.83333333333334</v>
      </c>
      <c r="AO19" s="51">
        <f t="shared" si="48"/>
        <v>674.42857142857144</v>
      </c>
      <c r="AP19" s="51">
        <f t="shared" si="18"/>
        <v>165.28571428571428</v>
      </c>
      <c r="AQ19" s="5">
        <f t="shared" si="19"/>
        <v>568.09523809523807</v>
      </c>
      <c r="AR19" s="5">
        <f t="shared" si="20"/>
        <v>389.28571428571428</v>
      </c>
      <c r="AS19" s="5">
        <f t="shared" si="21"/>
        <v>422.5</v>
      </c>
      <c r="AT19" s="5">
        <f t="shared" si="22"/>
        <v>499.71428571428567</v>
      </c>
      <c r="AU19" s="5">
        <f t="shared" si="23"/>
        <v>513</v>
      </c>
      <c r="AV19" s="5">
        <f t="shared" si="24"/>
        <v>425</v>
      </c>
      <c r="AW19" s="5">
        <f t="shared" si="25"/>
        <v>365.28571428571433</v>
      </c>
      <c r="AX19" s="5">
        <f t="shared" si="26"/>
        <v>477.31428571428575</v>
      </c>
      <c r="AY19" s="5">
        <f t="shared" si="27"/>
        <v>399.51666666666671</v>
      </c>
      <c r="AZ19" s="5">
        <f t="shared" si="28"/>
        <v>437.63095238095241</v>
      </c>
      <c r="BA19" s="5">
        <f t="shared" si="29"/>
        <v>419.85714285714289</v>
      </c>
    </row>
    <row r="20" spans="1:53" ht="15.6" thickBot="1" x14ac:dyDescent="0.3">
      <c r="A20" s="28">
        <v>0.9</v>
      </c>
      <c r="B20" s="28">
        <v>4</v>
      </c>
      <c r="C20" s="47">
        <v>4</v>
      </c>
      <c r="D20" s="47" t="s">
        <v>84</v>
      </c>
      <c r="E20" s="31">
        <v>17</v>
      </c>
      <c r="F20">
        <v>1880</v>
      </c>
      <c r="G20" s="28">
        <v>4360</v>
      </c>
      <c r="H20" s="28">
        <v>1932</v>
      </c>
      <c r="I20" s="34">
        <v>2758</v>
      </c>
      <c r="J20" s="28">
        <v>3644</v>
      </c>
      <c r="K20" s="28">
        <v>2240</v>
      </c>
      <c r="L20" s="28">
        <v>2774</v>
      </c>
      <c r="M20" s="28">
        <v>2864</v>
      </c>
      <c r="N20" s="28">
        <v>3157</v>
      </c>
      <c r="O20" s="28">
        <v>3661</v>
      </c>
      <c r="P20" s="28">
        <v>3275</v>
      </c>
      <c r="Q20" s="28">
        <v>2747</v>
      </c>
      <c r="R20" s="28">
        <v>2711</v>
      </c>
      <c r="S20" s="28">
        <v>2433</v>
      </c>
      <c r="T20" s="28">
        <v>1439</v>
      </c>
      <c r="U20" s="28">
        <v>3221</v>
      </c>
      <c r="V20">
        <v>2195</v>
      </c>
      <c r="X20" s="28"/>
      <c r="Z20" s="28">
        <f t="shared" si="36"/>
        <v>832</v>
      </c>
      <c r="AA20" s="48">
        <f t="shared" si="37"/>
        <v>690.66666666666663</v>
      </c>
      <c r="AB20" s="48">
        <f t="shared" si="38"/>
        <v>858</v>
      </c>
      <c r="AC20" s="48">
        <f t="shared" si="39"/>
        <v>847.33333333333337</v>
      </c>
      <c r="AD20" s="48">
        <f t="shared" si="40"/>
        <v>857</v>
      </c>
      <c r="AE20" s="48">
        <f t="shared" si="41"/>
        <v>674.66666666666663</v>
      </c>
      <c r="AF20" s="48">
        <f t="shared" si="42"/>
        <v>365.42857142857144</v>
      </c>
      <c r="AG20" s="48">
        <f t="shared" si="43"/>
        <v>378.28571428571428</v>
      </c>
      <c r="AH20" s="48">
        <f t="shared" si="44"/>
        <v>420.14285714285717</v>
      </c>
      <c r="AI20" s="48">
        <f t="shared" si="45"/>
        <v>492.14285714285717</v>
      </c>
      <c r="AJ20" s="48">
        <f t="shared" si="46"/>
        <v>437</v>
      </c>
      <c r="AK20" s="48">
        <f t="shared" si="32"/>
        <v>361.57142857142856</v>
      </c>
      <c r="AL20" s="48">
        <f t="shared" si="33"/>
        <v>356.42857142857144</v>
      </c>
      <c r="AM20" s="48">
        <f t="shared" si="34"/>
        <v>443.4</v>
      </c>
      <c r="AN20" s="48">
        <f t="shared" si="47"/>
        <v>203.83333333333334</v>
      </c>
      <c r="AO20" s="48">
        <f t="shared" si="48"/>
        <v>429.28571428571428</v>
      </c>
      <c r="AP20" s="51">
        <f t="shared" si="18"/>
        <v>282.71428571428572</v>
      </c>
      <c r="AQ20" s="5">
        <f t="shared" si="19"/>
        <v>520.04761904761904</v>
      </c>
      <c r="AR20" s="5">
        <f t="shared" si="20"/>
        <v>371.85714285714289</v>
      </c>
      <c r="AS20" s="5">
        <f t="shared" si="21"/>
        <v>399.21428571428572</v>
      </c>
      <c r="AT20" s="5">
        <f t="shared" si="22"/>
        <v>456.14285714285717</v>
      </c>
      <c r="AU20" s="5">
        <f t="shared" si="23"/>
        <v>464.57142857142856</v>
      </c>
      <c r="AV20" s="5">
        <f t="shared" si="24"/>
        <v>399.28571428571428</v>
      </c>
      <c r="AW20" s="5">
        <f t="shared" si="25"/>
        <v>359</v>
      </c>
      <c r="AX20" s="5">
        <f t="shared" si="26"/>
        <v>399.91428571428571</v>
      </c>
      <c r="AY20" s="5">
        <f t="shared" si="27"/>
        <v>323.61666666666667</v>
      </c>
      <c r="AZ20" s="5">
        <f t="shared" si="28"/>
        <v>316.5595238095238</v>
      </c>
      <c r="BA20" s="5">
        <f t="shared" si="29"/>
        <v>356</v>
      </c>
    </row>
    <row r="21" spans="1:53" ht="15.6" thickBot="1" x14ac:dyDescent="0.3">
      <c r="A21" s="38">
        <v>4</v>
      </c>
      <c r="B21" s="38">
        <v>6</v>
      </c>
      <c r="C21" s="54">
        <v>12</v>
      </c>
      <c r="D21" s="49" t="s">
        <v>84</v>
      </c>
      <c r="E21" s="35">
        <v>18</v>
      </c>
      <c r="F21">
        <v>2032</v>
      </c>
      <c r="G21">
        <v>4788</v>
      </c>
      <c r="H21" s="15">
        <v>2214</v>
      </c>
      <c r="I21" s="34">
        <v>3394</v>
      </c>
      <c r="J21" s="15">
        <v>4028</v>
      </c>
      <c r="K21" s="15">
        <v>2352</v>
      </c>
      <c r="L21" s="15">
        <v>2904</v>
      </c>
      <c r="M21" s="28">
        <v>2994</v>
      </c>
      <c r="N21" s="28">
        <v>2695</v>
      </c>
      <c r="O21" s="28">
        <v>4573</v>
      </c>
      <c r="P21" s="28">
        <v>3137</v>
      </c>
      <c r="Q21" s="28">
        <v>2805</v>
      </c>
      <c r="R21" s="28">
        <v>2755</v>
      </c>
      <c r="S21" s="28">
        <v>3425</v>
      </c>
      <c r="T21" s="28">
        <v>1061</v>
      </c>
      <c r="U21" s="28">
        <v>4693</v>
      </c>
      <c r="V21">
        <v>1079</v>
      </c>
      <c r="X21" s="28"/>
      <c r="Z21" s="50">
        <f t="shared" si="36"/>
        <v>908</v>
      </c>
      <c r="AA21" s="51">
        <f t="shared" si="37"/>
        <v>762</v>
      </c>
      <c r="AB21" s="51">
        <f t="shared" si="38"/>
        <v>999</v>
      </c>
      <c r="AC21" s="51">
        <f t="shared" si="39"/>
        <v>1059.3333333333333</v>
      </c>
      <c r="AD21" s="51">
        <f t="shared" si="40"/>
        <v>953</v>
      </c>
      <c r="AE21" s="51">
        <f t="shared" si="41"/>
        <v>712</v>
      </c>
      <c r="AF21" s="51">
        <f t="shared" si="42"/>
        <v>384</v>
      </c>
      <c r="AG21" s="51">
        <f t="shared" si="43"/>
        <v>396.85714285714283</v>
      </c>
      <c r="AH21" s="51">
        <f t="shared" si="44"/>
        <v>354.14285714285717</v>
      </c>
      <c r="AI21" s="51">
        <f t="shared" si="45"/>
        <v>622.42857142857144</v>
      </c>
      <c r="AJ21" s="51">
        <f t="shared" si="46"/>
        <v>417.28571428571428</v>
      </c>
      <c r="AK21" s="48">
        <f t="shared" si="32"/>
        <v>369.85714285714283</v>
      </c>
      <c r="AL21" s="48">
        <f t="shared" si="33"/>
        <v>362.71428571428572</v>
      </c>
      <c r="AM21" s="48">
        <f t="shared" si="34"/>
        <v>641.79999999999995</v>
      </c>
      <c r="AN21" s="48">
        <f t="shared" si="47"/>
        <v>140.83333333333334</v>
      </c>
      <c r="AO21" s="51">
        <f t="shared" si="48"/>
        <v>639.57142857142856</v>
      </c>
      <c r="AP21" s="51">
        <f t="shared" si="18"/>
        <v>123.28571428571429</v>
      </c>
      <c r="AQ21" s="5">
        <f t="shared" si="19"/>
        <v>548</v>
      </c>
      <c r="AR21" s="5">
        <f t="shared" si="20"/>
        <v>390.42857142857144</v>
      </c>
      <c r="AS21" s="5">
        <f t="shared" si="21"/>
        <v>375.5</v>
      </c>
      <c r="AT21" s="5">
        <f t="shared" si="22"/>
        <v>488.28571428571433</v>
      </c>
      <c r="AU21" s="5">
        <f t="shared" si="23"/>
        <v>519.85714285714289</v>
      </c>
      <c r="AV21" s="5">
        <f t="shared" si="24"/>
        <v>393.57142857142856</v>
      </c>
      <c r="AW21" s="5">
        <f t="shared" si="25"/>
        <v>366.28571428571428</v>
      </c>
      <c r="AX21" s="5">
        <f t="shared" si="26"/>
        <v>502.25714285714287</v>
      </c>
      <c r="AY21" s="5">
        <f t="shared" si="27"/>
        <v>391.31666666666666</v>
      </c>
      <c r="AZ21" s="5">
        <f t="shared" si="28"/>
        <v>390.20238095238096</v>
      </c>
      <c r="BA21" s="5">
        <f t="shared" si="29"/>
        <v>381.42857142857144</v>
      </c>
    </row>
    <row r="22" spans="1:53" ht="15.6" thickBot="1" x14ac:dyDescent="0.3">
      <c r="A22" s="28">
        <v>4</v>
      </c>
      <c r="B22" s="28">
        <v>1</v>
      </c>
      <c r="C22" s="47">
        <v>7</v>
      </c>
      <c r="D22" s="47" t="s">
        <v>84</v>
      </c>
      <c r="E22" s="31">
        <v>19</v>
      </c>
      <c r="F22">
        <v>2124</v>
      </c>
      <c r="G22" s="28">
        <v>5080</v>
      </c>
      <c r="H22" s="28">
        <v>2182</v>
      </c>
      <c r="I22" s="34">
        <v>3114</v>
      </c>
      <c r="J22" s="28">
        <v>4206</v>
      </c>
      <c r="K22" s="28">
        <v>2468</v>
      </c>
      <c r="L22" s="28">
        <v>2964</v>
      </c>
      <c r="M22" s="28">
        <v>3054</v>
      </c>
      <c r="N22" s="28">
        <v>3871</v>
      </c>
      <c r="O22" s="28">
        <v>4171</v>
      </c>
      <c r="P22" s="28">
        <v>3787</v>
      </c>
      <c r="Q22" s="28">
        <v>3477</v>
      </c>
      <c r="R22" s="28">
        <v>3569</v>
      </c>
      <c r="S22" s="28">
        <v>3263</v>
      </c>
      <c r="T22" s="28">
        <v>1963</v>
      </c>
      <c r="U22">
        <v>5501</v>
      </c>
      <c r="V22">
        <v>2641</v>
      </c>
      <c r="Z22" s="28">
        <f t="shared" si="36"/>
        <v>954</v>
      </c>
      <c r="AA22" s="48">
        <f t="shared" si="37"/>
        <v>810.66666666666663</v>
      </c>
      <c r="AB22" s="48">
        <f t="shared" si="38"/>
        <v>983</v>
      </c>
      <c r="AC22" s="48">
        <f t="shared" si="39"/>
        <v>966</v>
      </c>
      <c r="AD22" s="48">
        <f t="shared" si="40"/>
        <v>997.5</v>
      </c>
      <c r="AE22" s="48">
        <f t="shared" si="41"/>
        <v>750.66666666666663</v>
      </c>
      <c r="AF22" s="48">
        <f t="shared" si="42"/>
        <v>392.57142857142856</v>
      </c>
      <c r="AG22" s="48">
        <f t="shared" si="43"/>
        <v>405.42857142857144</v>
      </c>
      <c r="AH22" s="48">
        <f t="shared" si="44"/>
        <v>522.14285714285711</v>
      </c>
      <c r="AI22" s="48">
        <f t="shared" si="45"/>
        <v>565</v>
      </c>
      <c r="AJ22" s="48">
        <f t="shared" si="46"/>
        <v>510.14285714285717</v>
      </c>
      <c r="AK22" s="48">
        <f t="shared" si="32"/>
        <v>465.85714285714283</v>
      </c>
      <c r="AL22" s="48">
        <f t="shared" si="33"/>
        <v>479</v>
      </c>
      <c r="AM22" s="48">
        <f t="shared" si="34"/>
        <v>609.4</v>
      </c>
      <c r="AN22" s="48">
        <f t="shared" si="47"/>
        <v>291.16666666666669</v>
      </c>
      <c r="AO22" s="48">
        <f t="shared" si="48"/>
        <v>755</v>
      </c>
      <c r="AP22" s="51">
        <f t="shared" si="18"/>
        <v>346.42857142857144</v>
      </c>
      <c r="AQ22" s="5">
        <f t="shared" si="19"/>
        <v>571.61904761904759</v>
      </c>
      <c r="AR22" s="5">
        <f t="shared" si="20"/>
        <v>399</v>
      </c>
      <c r="AS22" s="5">
        <f t="shared" si="21"/>
        <v>463.78571428571428</v>
      </c>
      <c r="AT22" s="5">
        <f t="shared" si="22"/>
        <v>543.57142857142856</v>
      </c>
      <c r="AU22" s="5">
        <f t="shared" si="23"/>
        <v>537.57142857142856</v>
      </c>
      <c r="AV22" s="5">
        <f t="shared" si="24"/>
        <v>488</v>
      </c>
      <c r="AW22" s="5">
        <f t="shared" si="25"/>
        <v>472.42857142857144</v>
      </c>
      <c r="AX22" s="5">
        <f t="shared" si="26"/>
        <v>544.20000000000005</v>
      </c>
      <c r="AY22" s="5">
        <f t="shared" si="27"/>
        <v>450.2833333333333</v>
      </c>
      <c r="AZ22" s="5">
        <f t="shared" si="28"/>
        <v>523.08333333333337</v>
      </c>
      <c r="BA22" s="5">
        <f t="shared" si="29"/>
        <v>550.71428571428578</v>
      </c>
    </row>
    <row r="23" spans="1:53" ht="15.6" thickBot="1" x14ac:dyDescent="0.3">
      <c r="A23">
        <v>4</v>
      </c>
      <c r="B23">
        <v>5</v>
      </c>
      <c r="C23" s="49">
        <v>11</v>
      </c>
      <c r="D23" s="49" t="s">
        <v>84</v>
      </c>
      <c r="E23" s="35">
        <v>20</v>
      </c>
      <c r="F23">
        <v>1888</v>
      </c>
      <c r="G23">
        <v>4626</v>
      </c>
      <c r="H23" s="15">
        <v>2318</v>
      </c>
      <c r="I23" s="34">
        <v>2202</v>
      </c>
      <c r="J23" s="15">
        <v>4150</v>
      </c>
      <c r="K23" s="15">
        <v>2344</v>
      </c>
      <c r="L23" s="15">
        <v>2782</v>
      </c>
      <c r="M23" s="28">
        <v>2872</v>
      </c>
      <c r="N23" s="28">
        <v>3051</v>
      </c>
      <c r="O23" s="28">
        <v>4203</v>
      </c>
      <c r="P23" s="28">
        <v>3505</v>
      </c>
      <c r="Q23" s="28">
        <v>2767</v>
      </c>
      <c r="R23" s="28">
        <v>2897</v>
      </c>
      <c r="S23" s="28">
        <v>3033</v>
      </c>
      <c r="T23" s="28">
        <v>1417</v>
      </c>
      <c r="U23" s="28">
        <v>3567</v>
      </c>
      <c r="V23">
        <v>1267</v>
      </c>
      <c r="X23" s="28"/>
      <c r="Z23" s="50">
        <f t="shared" si="36"/>
        <v>836</v>
      </c>
      <c r="AA23" s="51">
        <f t="shared" si="37"/>
        <v>735</v>
      </c>
      <c r="AB23" s="51">
        <f t="shared" si="38"/>
        <v>1051</v>
      </c>
      <c r="AC23" s="51">
        <f t="shared" si="39"/>
        <v>662</v>
      </c>
      <c r="AD23" s="51">
        <f t="shared" si="40"/>
        <v>983.5</v>
      </c>
      <c r="AE23" s="51">
        <f t="shared" si="41"/>
        <v>709.33333333333337</v>
      </c>
      <c r="AF23" s="51">
        <f t="shared" si="42"/>
        <v>366.57142857142856</v>
      </c>
      <c r="AG23" s="51">
        <f t="shared" si="43"/>
        <v>379.42857142857144</v>
      </c>
      <c r="AH23" s="51">
        <f t="shared" si="44"/>
        <v>405</v>
      </c>
      <c r="AI23" s="51">
        <f t="shared" si="45"/>
        <v>569.57142857142856</v>
      </c>
      <c r="AJ23" s="51">
        <f t="shared" si="46"/>
        <v>469.85714285714283</v>
      </c>
      <c r="AK23" s="48">
        <f t="shared" si="32"/>
        <v>364.42857142857144</v>
      </c>
      <c r="AL23" s="48">
        <f t="shared" si="33"/>
        <v>383</v>
      </c>
      <c r="AM23" s="48">
        <f t="shared" si="34"/>
        <v>563.4</v>
      </c>
      <c r="AN23" s="48">
        <f t="shared" si="47"/>
        <v>200.16666666666666</v>
      </c>
      <c r="AO23" s="51">
        <f t="shared" si="48"/>
        <v>478.71428571428572</v>
      </c>
      <c r="AP23" s="51">
        <f t="shared" si="18"/>
        <v>150.14285714285714</v>
      </c>
      <c r="AQ23" s="5">
        <f t="shared" si="19"/>
        <v>537.95238095238096</v>
      </c>
      <c r="AR23" s="5">
        <f t="shared" si="20"/>
        <v>373</v>
      </c>
      <c r="AS23" s="5">
        <f t="shared" si="21"/>
        <v>392.21428571428572</v>
      </c>
      <c r="AT23" s="5">
        <f t="shared" si="22"/>
        <v>487.28571428571428</v>
      </c>
      <c r="AU23" s="5">
        <f t="shared" si="23"/>
        <v>519.71428571428567</v>
      </c>
      <c r="AV23" s="5">
        <f t="shared" si="24"/>
        <v>417.14285714285711</v>
      </c>
      <c r="AW23" s="5">
        <f t="shared" si="25"/>
        <v>373.71428571428572</v>
      </c>
      <c r="AX23" s="5">
        <f t="shared" si="26"/>
        <v>473.2</v>
      </c>
      <c r="AY23" s="5">
        <f t="shared" si="27"/>
        <v>381.7833333333333</v>
      </c>
      <c r="AZ23" s="5">
        <f t="shared" si="28"/>
        <v>339.4404761904762</v>
      </c>
      <c r="BA23" s="5">
        <f t="shared" si="29"/>
        <v>314.42857142857144</v>
      </c>
    </row>
    <row r="24" spans="1:53" ht="15.6" thickBot="1" x14ac:dyDescent="0.3">
      <c r="A24" s="28">
        <v>0.9</v>
      </c>
      <c r="B24" s="28">
        <v>1</v>
      </c>
      <c r="C24" s="47">
        <v>1</v>
      </c>
      <c r="D24" s="47" t="s">
        <v>84</v>
      </c>
      <c r="E24" s="31">
        <v>21</v>
      </c>
      <c r="F24">
        <v>1832</v>
      </c>
      <c r="G24" s="28">
        <v>4562</v>
      </c>
      <c r="H24" s="28">
        <v>1988</v>
      </c>
      <c r="I24" s="34">
        <v>2886</v>
      </c>
      <c r="J24" s="28">
        <v>3776</v>
      </c>
      <c r="K24" s="28">
        <v>2408</v>
      </c>
      <c r="L24" s="28">
        <v>2952</v>
      </c>
      <c r="M24" s="28">
        <v>3042</v>
      </c>
      <c r="N24" s="28">
        <v>3211</v>
      </c>
      <c r="O24" s="28">
        <v>3777</v>
      </c>
      <c r="P24" s="28">
        <v>3443</v>
      </c>
      <c r="Q24" s="28">
        <v>2961</v>
      </c>
      <c r="R24" s="28">
        <v>2779</v>
      </c>
      <c r="S24" s="28">
        <v>2283</v>
      </c>
      <c r="T24" s="28">
        <v>1535</v>
      </c>
      <c r="U24" s="28">
        <v>4201</v>
      </c>
      <c r="V24">
        <v>2115</v>
      </c>
      <c r="X24" s="28"/>
      <c r="Z24" s="28">
        <f t="shared" si="36"/>
        <v>808</v>
      </c>
      <c r="AA24" s="48">
        <f t="shared" si="37"/>
        <v>724.33333333333337</v>
      </c>
      <c r="AB24" s="48">
        <f t="shared" si="38"/>
        <v>886</v>
      </c>
      <c r="AC24" s="48">
        <f t="shared" si="39"/>
        <v>890</v>
      </c>
      <c r="AD24" s="48">
        <f t="shared" si="40"/>
        <v>890</v>
      </c>
      <c r="AE24" s="48">
        <f t="shared" si="41"/>
        <v>730.66666666666663</v>
      </c>
      <c r="AF24" s="48">
        <f t="shared" si="42"/>
        <v>390.85714285714283</v>
      </c>
      <c r="AG24" s="48">
        <f t="shared" si="43"/>
        <v>403.71428571428572</v>
      </c>
      <c r="AH24" s="48">
        <f t="shared" si="44"/>
        <v>427.85714285714283</v>
      </c>
      <c r="AI24" s="48">
        <f t="shared" si="45"/>
        <v>508.71428571428572</v>
      </c>
      <c r="AJ24" s="48">
        <f t="shared" si="46"/>
        <v>461</v>
      </c>
      <c r="AK24" s="48">
        <f t="shared" si="32"/>
        <v>392.14285714285717</v>
      </c>
      <c r="AL24" s="48">
        <f t="shared" si="33"/>
        <v>366.14285714285717</v>
      </c>
      <c r="AM24" s="48">
        <f t="shared" si="34"/>
        <v>413.4</v>
      </c>
      <c r="AN24" s="48">
        <f t="shared" si="47"/>
        <v>219.83333333333334</v>
      </c>
      <c r="AO24" s="48">
        <f t="shared" si="48"/>
        <v>569.28571428571433</v>
      </c>
      <c r="AP24" s="51">
        <f t="shared" si="18"/>
        <v>271.28571428571428</v>
      </c>
      <c r="AQ24" s="5">
        <f t="shared" si="19"/>
        <v>560.7619047619047</v>
      </c>
      <c r="AR24" s="5">
        <f t="shared" si="20"/>
        <v>397.28571428571428</v>
      </c>
      <c r="AS24" s="5">
        <f t="shared" si="21"/>
        <v>415.78571428571428</v>
      </c>
      <c r="AT24" s="5">
        <f t="shared" si="22"/>
        <v>468.28571428571428</v>
      </c>
      <c r="AU24" s="5">
        <f t="shared" si="23"/>
        <v>484.85714285714289</v>
      </c>
      <c r="AV24" s="5">
        <f t="shared" si="24"/>
        <v>426.57142857142856</v>
      </c>
      <c r="AW24" s="5">
        <f t="shared" si="25"/>
        <v>379.14285714285717</v>
      </c>
      <c r="AX24" s="5">
        <f t="shared" si="26"/>
        <v>389.7714285714286</v>
      </c>
      <c r="AY24" s="5">
        <f t="shared" si="27"/>
        <v>316.61666666666667</v>
      </c>
      <c r="AZ24" s="5">
        <f t="shared" si="28"/>
        <v>394.55952380952385</v>
      </c>
      <c r="BA24" s="5">
        <f t="shared" si="29"/>
        <v>420.28571428571433</v>
      </c>
    </row>
    <row r="25" spans="1:53" ht="15.6" thickBot="1" x14ac:dyDescent="0.3">
      <c r="A25">
        <v>0.9</v>
      </c>
      <c r="B25">
        <v>4</v>
      </c>
      <c r="C25" s="49">
        <v>4</v>
      </c>
      <c r="D25" s="49" t="s">
        <v>84</v>
      </c>
      <c r="E25" s="35">
        <v>22</v>
      </c>
      <c r="F25">
        <v>1824</v>
      </c>
      <c r="G25">
        <v>4366</v>
      </c>
      <c r="H25" s="15">
        <v>2030</v>
      </c>
      <c r="I25" s="34">
        <v>2802</v>
      </c>
      <c r="J25" s="15">
        <v>3694</v>
      </c>
      <c r="K25" s="15">
        <v>2204</v>
      </c>
      <c r="L25" s="15">
        <v>2696</v>
      </c>
      <c r="M25" s="28">
        <v>2786</v>
      </c>
      <c r="N25" s="28">
        <v>2955</v>
      </c>
      <c r="O25" s="28">
        <v>3759</v>
      </c>
      <c r="P25" s="28">
        <v>3299</v>
      </c>
      <c r="Q25" s="28">
        <v>2699</v>
      </c>
      <c r="R25" s="28">
        <v>2647</v>
      </c>
      <c r="S25" s="28">
        <v>2583</v>
      </c>
      <c r="T25" s="28">
        <v>1411</v>
      </c>
      <c r="U25" s="28">
        <v>4543</v>
      </c>
      <c r="V25">
        <v>893</v>
      </c>
      <c r="X25" s="28"/>
      <c r="Z25" s="50">
        <f t="shared" si="36"/>
        <v>804</v>
      </c>
      <c r="AA25" s="51">
        <f t="shared" si="37"/>
        <v>691.66666666666663</v>
      </c>
      <c r="AB25" s="51">
        <f t="shared" si="38"/>
        <v>907</v>
      </c>
      <c r="AC25" s="51">
        <f t="shared" si="39"/>
        <v>862</v>
      </c>
      <c r="AD25" s="51">
        <f t="shared" si="40"/>
        <v>869.5</v>
      </c>
      <c r="AE25" s="51">
        <f t="shared" si="41"/>
        <v>662.66666666666663</v>
      </c>
      <c r="AF25" s="51">
        <f t="shared" si="42"/>
        <v>354.28571428571428</v>
      </c>
      <c r="AG25" s="51">
        <f t="shared" si="43"/>
        <v>367.14285714285717</v>
      </c>
      <c r="AH25" s="51">
        <f t="shared" si="44"/>
        <v>391.28571428571428</v>
      </c>
      <c r="AI25" s="51">
        <f t="shared" si="45"/>
        <v>506.14285714285717</v>
      </c>
      <c r="AJ25" s="51">
        <f t="shared" si="46"/>
        <v>440.42857142857144</v>
      </c>
      <c r="AK25" s="48">
        <f t="shared" si="32"/>
        <v>354.71428571428572</v>
      </c>
      <c r="AL25" s="48">
        <f t="shared" si="33"/>
        <v>347.28571428571428</v>
      </c>
      <c r="AM25" s="48">
        <f t="shared" si="34"/>
        <v>473.4</v>
      </c>
      <c r="AN25" s="48">
        <f t="shared" si="47"/>
        <v>199.16666666666666</v>
      </c>
      <c r="AO25" s="51">
        <f t="shared" si="48"/>
        <v>618.14285714285711</v>
      </c>
      <c r="AP25" s="51">
        <f t="shared" si="18"/>
        <v>96.714285714285708</v>
      </c>
      <c r="AQ25" s="5">
        <f t="shared" si="19"/>
        <v>508.47619047619048</v>
      </c>
      <c r="AR25" s="5">
        <f t="shared" si="20"/>
        <v>360.71428571428572</v>
      </c>
      <c r="AS25" s="5">
        <f t="shared" si="21"/>
        <v>379.21428571428572</v>
      </c>
      <c r="AT25" s="5">
        <f t="shared" si="22"/>
        <v>448.71428571428572</v>
      </c>
      <c r="AU25" s="5">
        <f t="shared" si="23"/>
        <v>473.28571428571433</v>
      </c>
      <c r="AV25" s="5">
        <f t="shared" si="24"/>
        <v>397.57142857142856</v>
      </c>
      <c r="AW25" s="5">
        <f t="shared" si="25"/>
        <v>351</v>
      </c>
      <c r="AX25" s="5">
        <f t="shared" si="26"/>
        <v>410.34285714285716</v>
      </c>
      <c r="AY25" s="5">
        <f t="shared" si="27"/>
        <v>336.2833333333333</v>
      </c>
      <c r="AZ25" s="5">
        <f t="shared" si="28"/>
        <v>408.65476190476187</v>
      </c>
      <c r="BA25" s="5">
        <f t="shared" si="29"/>
        <v>357.42857142857139</v>
      </c>
    </row>
    <row r="26" spans="1:53" ht="15.6" thickBot="1" x14ac:dyDescent="0.3">
      <c r="A26">
        <v>0.9</v>
      </c>
      <c r="B26">
        <v>3</v>
      </c>
      <c r="C26" s="49">
        <v>3</v>
      </c>
      <c r="D26" s="49" t="s">
        <v>84</v>
      </c>
      <c r="E26" s="35">
        <v>23</v>
      </c>
      <c r="F26">
        <v>1864</v>
      </c>
      <c r="G26" s="28">
        <v>4482</v>
      </c>
      <c r="H26" s="28">
        <v>1996</v>
      </c>
      <c r="I26" s="34">
        <v>2914</v>
      </c>
      <c r="J26" s="28">
        <v>3858</v>
      </c>
      <c r="K26" s="28">
        <v>2396</v>
      </c>
      <c r="L26" s="28">
        <v>2884</v>
      </c>
      <c r="M26" s="28">
        <v>2974</v>
      </c>
      <c r="N26" s="28">
        <v>3341</v>
      </c>
      <c r="O26" s="28">
        <v>3811</v>
      </c>
      <c r="P26" s="28">
        <v>3563</v>
      </c>
      <c r="Q26" s="28">
        <v>3071</v>
      </c>
      <c r="R26" s="28">
        <v>3077</v>
      </c>
      <c r="S26" s="28">
        <v>2549</v>
      </c>
      <c r="T26" s="28">
        <v>1583</v>
      </c>
      <c r="U26" s="28">
        <v>3521</v>
      </c>
      <c r="V26">
        <v>1919</v>
      </c>
      <c r="X26" s="28"/>
      <c r="Z26" s="28">
        <f t="shared" si="36"/>
        <v>824</v>
      </c>
      <c r="AA26" s="48">
        <f t="shared" si="37"/>
        <v>711</v>
      </c>
      <c r="AB26" s="48">
        <f t="shared" si="38"/>
        <v>890</v>
      </c>
      <c r="AC26" s="48">
        <f t="shared" si="39"/>
        <v>899.33333333333337</v>
      </c>
      <c r="AD26" s="48">
        <f t="shared" si="40"/>
        <v>910.5</v>
      </c>
      <c r="AE26" s="48">
        <f t="shared" si="41"/>
        <v>726.66666666666663</v>
      </c>
      <c r="AF26" s="48">
        <f t="shared" si="42"/>
        <v>381.14285714285717</v>
      </c>
      <c r="AG26" s="48">
        <f t="shared" si="43"/>
        <v>394</v>
      </c>
      <c r="AH26" s="48">
        <f t="shared" si="44"/>
        <v>446.42857142857144</v>
      </c>
      <c r="AI26" s="48">
        <f t="shared" si="45"/>
        <v>513.57142857142856</v>
      </c>
      <c r="AJ26" s="48">
        <f t="shared" si="46"/>
        <v>478.14285714285717</v>
      </c>
      <c r="AK26" s="48">
        <f t="shared" si="32"/>
        <v>407.85714285714283</v>
      </c>
      <c r="AL26" s="48">
        <f t="shared" si="33"/>
        <v>408.71428571428572</v>
      </c>
      <c r="AM26" s="48">
        <f t="shared" si="34"/>
        <v>466.6</v>
      </c>
      <c r="AN26" s="48">
        <f t="shared" si="47"/>
        <v>227.83333333333334</v>
      </c>
      <c r="AO26" s="48">
        <f t="shared" si="48"/>
        <v>472.14285714285717</v>
      </c>
      <c r="AP26" s="51">
        <f t="shared" si="18"/>
        <v>243.28571428571428</v>
      </c>
      <c r="AQ26" s="5">
        <f t="shared" si="19"/>
        <v>553.90476190476193</v>
      </c>
      <c r="AR26" s="5">
        <f t="shared" si="20"/>
        <v>387.57142857142856</v>
      </c>
      <c r="AS26" s="5">
        <f t="shared" si="21"/>
        <v>420.21428571428572</v>
      </c>
      <c r="AT26" s="5">
        <f t="shared" si="22"/>
        <v>480</v>
      </c>
      <c r="AU26" s="5">
        <f t="shared" si="23"/>
        <v>495.85714285714289</v>
      </c>
      <c r="AV26" s="5">
        <f t="shared" si="24"/>
        <v>443</v>
      </c>
      <c r="AW26" s="5">
        <f t="shared" si="25"/>
        <v>408.28571428571428</v>
      </c>
      <c r="AX26" s="5">
        <f t="shared" si="26"/>
        <v>437.65714285714284</v>
      </c>
      <c r="AY26" s="5">
        <f t="shared" si="27"/>
        <v>347.2166666666667</v>
      </c>
      <c r="AZ26" s="5">
        <f t="shared" si="28"/>
        <v>349.98809523809524</v>
      </c>
      <c r="BA26" s="5">
        <f t="shared" si="29"/>
        <v>357.71428571428572</v>
      </c>
    </row>
    <row r="27" spans="1:53" ht="15.6" thickBot="1" x14ac:dyDescent="0.3">
      <c r="A27" s="28">
        <v>4</v>
      </c>
      <c r="B27" s="28">
        <v>3</v>
      </c>
      <c r="C27" s="47">
        <v>9</v>
      </c>
      <c r="D27" s="47" t="s">
        <v>84</v>
      </c>
      <c r="E27" s="31">
        <v>24</v>
      </c>
      <c r="F27">
        <v>1862</v>
      </c>
      <c r="G27" s="28">
        <v>4346</v>
      </c>
      <c r="H27" s="28">
        <v>2014</v>
      </c>
      <c r="I27" s="34">
        <v>2846</v>
      </c>
      <c r="J27" s="28">
        <v>3776</v>
      </c>
      <c r="K27" s="28">
        <v>2236</v>
      </c>
      <c r="L27" s="28">
        <v>2430</v>
      </c>
      <c r="M27" s="28">
        <v>2520</v>
      </c>
      <c r="N27" s="28">
        <v>3275</v>
      </c>
      <c r="O27" s="28">
        <v>3803</v>
      </c>
      <c r="P27" s="28">
        <v>3327</v>
      </c>
      <c r="Q27" s="28">
        <v>2953</v>
      </c>
      <c r="R27" s="28">
        <v>3017</v>
      </c>
      <c r="S27" s="28">
        <v>2635</v>
      </c>
      <c r="T27" s="28">
        <v>1533</v>
      </c>
      <c r="U27" s="28">
        <v>5043</v>
      </c>
      <c r="V27">
        <v>1501</v>
      </c>
      <c r="X27" s="28"/>
      <c r="Z27" s="50">
        <f t="shared" si="36"/>
        <v>823</v>
      </c>
      <c r="AA27" s="51">
        <f t="shared" si="37"/>
        <v>688.33333333333337</v>
      </c>
      <c r="AB27" s="51">
        <f t="shared" si="38"/>
        <v>899</v>
      </c>
      <c r="AC27" s="51">
        <f t="shared" si="39"/>
        <v>876.66666666666663</v>
      </c>
      <c r="AD27" s="51">
        <f t="shared" si="40"/>
        <v>890</v>
      </c>
      <c r="AE27" s="51">
        <f t="shared" si="41"/>
        <v>673.33333333333337</v>
      </c>
      <c r="AF27" s="51">
        <f t="shared" si="42"/>
        <v>316.28571428571428</v>
      </c>
      <c r="AG27" s="51">
        <f t="shared" si="43"/>
        <v>329.14285714285717</v>
      </c>
      <c r="AH27" s="51">
        <f t="shared" si="44"/>
        <v>437</v>
      </c>
      <c r="AI27" s="51">
        <f t="shared" si="45"/>
        <v>512.42857142857144</v>
      </c>
      <c r="AJ27" s="51">
        <f t="shared" si="46"/>
        <v>444.42857142857144</v>
      </c>
      <c r="AK27" s="48">
        <f t="shared" si="32"/>
        <v>391</v>
      </c>
      <c r="AL27" s="48">
        <f t="shared" si="33"/>
        <v>400.14285714285717</v>
      </c>
      <c r="AM27" s="48">
        <f t="shared" si="34"/>
        <v>483.8</v>
      </c>
      <c r="AN27" s="48">
        <f t="shared" si="47"/>
        <v>219.5</v>
      </c>
      <c r="AO27" s="51">
        <f t="shared" si="48"/>
        <v>689.57142857142856</v>
      </c>
      <c r="AP27" s="51">
        <f t="shared" si="18"/>
        <v>183.57142857142858</v>
      </c>
      <c r="AQ27" s="5">
        <f t="shared" si="19"/>
        <v>494.80952380952385</v>
      </c>
      <c r="AR27" s="5">
        <f t="shared" si="20"/>
        <v>322.71428571428572</v>
      </c>
      <c r="AS27" s="5">
        <f t="shared" si="21"/>
        <v>383.07142857142856</v>
      </c>
      <c r="AT27" s="5">
        <f t="shared" si="22"/>
        <v>474.71428571428572</v>
      </c>
      <c r="AU27" s="5">
        <f t="shared" si="23"/>
        <v>478.42857142857144</v>
      </c>
      <c r="AV27" s="5">
        <f t="shared" si="24"/>
        <v>417.71428571428572</v>
      </c>
      <c r="AW27" s="5">
        <f t="shared" si="25"/>
        <v>395.57142857142856</v>
      </c>
      <c r="AX27" s="5">
        <f t="shared" si="26"/>
        <v>441.97142857142859</v>
      </c>
      <c r="AY27" s="5">
        <f t="shared" si="27"/>
        <v>351.65</v>
      </c>
      <c r="AZ27" s="5">
        <f t="shared" si="28"/>
        <v>454.53571428571428</v>
      </c>
      <c r="BA27" s="5">
        <f t="shared" si="29"/>
        <v>436.57142857142856</v>
      </c>
    </row>
    <row r="28" spans="1:53" ht="15.6" thickBot="1" x14ac:dyDescent="0.3">
      <c r="A28">
        <v>4</v>
      </c>
      <c r="B28">
        <v>1</v>
      </c>
      <c r="C28" s="49">
        <v>7</v>
      </c>
      <c r="D28" s="49" t="s">
        <v>84</v>
      </c>
      <c r="E28" s="35">
        <v>25</v>
      </c>
      <c r="F28">
        <v>1946</v>
      </c>
      <c r="G28" s="28">
        <v>4726</v>
      </c>
      <c r="H28" s="28">
        <v>2068</v>
      </c>
      <c r="I28" s="34">
        <v>2940</v>
      </c>
      <c r="J28" s="28">
        <v>3988</v>
      </c>
      <c r="K28" s="28">
        <v>2500</v>
      </c>
      <c r="L28" s="28">
        <v>3010</v>
      </c>
      <c r="M28" s="28">
        <v>3100</v>
      </c>
      <c r="N28" s="28">
        <v>3107</v>
      </c>
      <c r="O28" s="28">
        <v>3779</v>
      </c>
      <c r="P28" s="28">
        <v>3535</v>
      </c>
      <c r="Q28" s="28">
        <v>3187</v>
      </c>
      <c r="R28" s="28">
        <v>3170</v>
      </c>
      <c r="S28" s="28">
        <v>2781</v>
      </c>
      <c r="T28" s="28">
        <v>1931</v>
      </c>
      <c r="U28" s="28">
        <v>5403</v>
      </c>
      <c r="V28">
        <v>2377</v>
      </c>
      <c r="X28" s="28"/>
      <c r="Z28" s="28">
        <f t="shared" si="36"/>
        <v>865</v>
      </c>
      <c r="AA28" s="48">
        <f t="shared" si="37"/>
        <v>751.66666666666663</v>
      </c>
      <c r="AB28" s="48">
        <f t="shared" si="38"/>
        <v>926</v>
      </c>
      <c r="AC28" s="48">
        <f t="shared" si="39"/>
        <v>908</v>
      </c>
      <c r="AD28" s="48">
        <f t="shared" si="40"/>
        <v>943</v>
      </c>
      <c r="AE28" s="48">
        <f t="shared" si="41"/>
        <v>761.33333333333337</v>
      </c>
      <c r="AF28" s="48">
        <f t="shared" si="42"/>
        <v>399.14285714285717</v>
      </c>
      <c r="AG28" s="48">
        <f t="shared" si="43"/>
        <v>412</v>
      </c>
      <c r="AH28" s="48">
        <f t="shared" si="44"/>
        <v>413</v>
      </c>
      <c r="AI28" s="48">
        <f t="shared" si="45"/>
        <v>509</v>
      </c>
      <c r="AJ28" s="48">
        <f t="shared" si="46"/>
        <v>474.14285714285717</v>
      </c>
      <c r="AK28" s="48">
        <f t="shared" si="32"/>
        <v>424.42857142857144</v>
      </c>
      <c r="AL28" s="48">
        <f t="shared" si="33"/>
        <v>422</v>
      </c>
      <c r="AM28" s="48">
        <f t="shared" si="34"/>
        <v>513</v>
      </c>
      <c r="AN28" s="48">
        <f t="shared" si="47"/>
        <v>285.83333333333331</v>
      </c>
      <c r="AO28" s="48">
        <f t="shared" si="48"/>
        <v>741</v>
      </c>
      <c r="AP28" s="51">
        <f t="shared" si="18"/>
        <v>308.71428571428572</v>
      </c>
      <c r="AQ28" s="5">
        <f t="shared" si="19"/>
        <v>580.2380952380953</v>
      </c>
      <c r="AR28" s="5">
        <f t="shared" si="20"/>
        <v>405.57142857142856</v>
      </c>
      <c r="AS28" s="5">
        <f t="shared" si="21"/>
        <v>412.5</v>
      </c>
      <c r="AT28" s="5">
        <f t="shared" si="22"/>
        <v>461</v>
      </c>
      <c r="AU28" s="5">
        <f t="shared" si="23"/>
        <v>491.57142857142856</v>
      </c>
      <c r="AV28" s="5">
        <f t="shared" si="24"/>
        <v>449.28571428571433</v>
      </c>
      <c r="AW28" s="5">
        <f t="shared" si="25"/>
        <v>423.21428571428572</v>
      </c>
      <c r="AX28" s="5">
        <f t="shared" si="26"/>
        <v>467.5</v>
      </c>
      <c r="AY28" s="5">
        <f t="shared" si="27"/>
        <v>399.41666666666663</v>
      </c>
      <c r="AZ28" s="5">
        <f t="shared" si="28"/>
        <v>513.41666666666663</v>
      </c>
      <c r="BA28" s="5">
        <f t="shared" si="29"/>
        <v>524.85714285714289</v>
      </c>
    </row>
    <row r="29" spans="1:53" ht="15.6" thickBot="1" x14ac:dyDescent="0.3">
      <c r="A29" s="28">
        <v>4</v>
      </c>
      <c r="B29" s="28">
        <v>6</v>
      </c>
      <c r="C29" s="47">
        <v>12</v>
      </c>
      <c r="D29" s="47" t="s">
        <v>84</v>
      </c>
      <c r="E29" s="31">
        <v>26</v>
      </c>
      <c r="F29">
        <v>2054</v>
      </c>
      <c r="G29" s="28">
        <v>4644</v>
      </c>
      <c r="H29" s="28">
        <v>2128</v>
      </c>
      <c r="I29" s="34">
        <v>3034</v>
      </c>
      <c r="J29" s="28">
        <v>4018</v>
      </c>
      <c r="K29" s="28">
        <v>2092</v>
      </c>
      <c r="L29" s="28">
        <v>2826</v>
      </c>
      <c r="M29" s="28">
        <v>2916</v>
      </c>
      <c r="N29" s="28">
        <v>3489</v>
      </c>
      <c r="O29" s="28">
        <v>4481</v>
      </c>
      <c r="P29" s="28">
        <v>3373</v>
      </c>
      <c r="Q29" s="28">
        <v>3417</v>
      </c>
      <c r="R29" s="28">
        <v>3414</v>
      </c>
      <c r="S29" s="28">
        <v>3121</v>
      </c>
      <c r="T29" s="28">
        <v>1681</v>
      </c>
      <c r="U29" s="28">
        <v>5477</v>
      </c>
      <c r="V29">
        <v>2463</v>
      </c>
      <c r="X29" s="28"/>
      <c r="Z29" s="50">
        <f t="shared" si="36"/>
        <v>919</v>
      </c>
      <c r="AA29" s="51">
        <f t="shared" si="37"/>
        <v>738</v>
      </c>
      <c r="AB29" s="51">
        <f t="shared" si="38"/>
        <v>956</v>
      </c>
      <c r="AC29" s="51">
        <f t="shared" si="39"/>
        <v>939.33333333333337</v>
      </c>
      <c r="AD29" s="51">
        <f t="shared" si="40"/>
        <v>950.5</v>
      </c>
      <c r="AE29" s="51">
        <f t="shared" si="41"/>
        <v>625.33333333333337</v>
      </c>
      <c r="AF29" s="51">
        <f t="shared" si="42"/>
        <v>372.85714285714283</v>
      </c>
      <c r="AG29" s="51">
        <f t="shared" si="43"/>
        <v>385.71428571428572</v>
      </c>
      <c r="AH29" s="51">
        <f t="shared" si="44"/>
        <v>467.57142857142856</v>
      </c>
      <c r="AI29" s="51">
        <f t="shared" si="45"/>
        <v>609.28571428571433</v>
      </c>
      <c r="AJ29" s="51">
        <f t="shared" si="46"/>
        <v>451</v>
      </c>
      <c r="AK29" s="48">
        <f t="shared" si="32"/>
        <v>457.28571428571428</v>
      </c>
      <c r="AL29" s="48">
        <f t="shared" si="33"/>
        <v>456.85714285714283</v>
      </c>
      <c r="AM29" s="48">
        <f t="shared" si="34"/>
        <v>581</v>
      </c>
      <c r="AN29" s="48">
        <f t="shared" si="47"/>
        <v>244.16666666666666</v>
      </c>
      <c r="AO29" s="51">
        <f t="shared" si="48"/>
        <v>751.57142857142856</v>
      </c>
      <c r="AP29" s="51">
        <f t="shared" si="18"/>
        <v>321</v>
      </c>
      <c r="AQ29" s="5">
        <f t="shared" si="19"/>
        <v>499.09523809523807</v>
      </c>
      <c r="AR29" s="5">
        <f t="shared" si="20"/>
        <v>379.28571428571428</v>
      </c>
      <c r="AS29" s="5">
        <f t="shared" si="21"/>
        <v>426.64285714285711</v>
      </c>
      <c r="AT29" s="5">
        <f t="shared" si="22"/>
        <v>538.42857142857144</v>
      </c>
      <c r="AU29" s="5">
        <f t="shared" si="23"/>
        <v>530.14285714285711</v>
      </c>
      <c r="AV29" s="5">
        <f t="shared" si="24"/>
        <v>454.14285714285711</v>
      </c>
      <c r="AW29" s="5">
        <f t="shared" si="25"/>
        <v>457.07142857142856</v>
      </c>
      <c r="AX29" s="5">
        <f t="shared" si="26"/>
        <v>518.92857142857144</v>
      </c>
      <c r="AY29" s="5">
        <f t="shared" si="27"/>
        <v>412.58333333333331</v>
      </c>
      <c r="AZ29" s="5">
        <f t="shared" si="28"/>
        <v>497.86904761904759</v>
      </c>
      <c r="BA29" s="5">
        <f t="shared" si="29"/>
        <v>536.28571428571422</v>
      </c>
    </row>
    <row r="30" spans="1:53" ht="15.6" thickBot="1" x14ac:dyDescent="0.3">
      <c r="A30">
        <v>4</v>
      </c>
      <c r="B30">
        <v>4</v>
      </c>
      <c r="C30" s="49">
        <v>10</v>
      </c>
      <c r="D30" s="49" t="s">
        <v>84</v>
      </c>
      <c r="E30" s="35">
        <v>27</v>
      </c>
      <c r="F30">
        <v>1930</v>
      </c>
      <c r="G30">
        <v>4536</v>
      </c>
      <c r="H30" s="28">
        <v>1976</v>
      </c>
      <c r="I30" s="34">
        <v>2804</v>
      </c>
      <c r="J30" s="28">
        <v>3710</v>
      </c>
      <c r="K30" s="28">
        <v>2420</v>
      </c>
      <c r="L30" s="28">
        <v>2918</v>
      </c>
      <c r="M30" s="28">
        <v>3008</v>
      </c>
      <c r="N30" s="28">
        <v>3179</v>
      </c>
      <c r="O30" s="28">
        <v>3709</v>
      </c>
      <c r="P30" s="28">
        <v>3339</v>
      </c>
      <c r="Q30" s="28">
        <v>2983</v>
      </c>
      <c r="R30" s="28">
        <v>2959</v>
      </c>
      <c r="S30" s="28">
        <v>2399</v>
      </c>
      <c r="T30" s="28">
        <v>1665</v>
      </c>
      <c r="U30" s="28">
        <v>2533</v>
      </c>
      <c r="V30">
        <v>2297</v>
      </c>
      <c r="X30" s="28"/>
      <c r="Z30" s="28">
        <f t="shared" si="36"/>
        <v>857</v>
      </c>
      <c r="AA30" s="48">
        <f t="shared" si="37"/>
        <v>720</v>
      </c>
      <c r="AB30" s="48">
        <f t="shared" si="38"/>
        <v>880</v>
      </c>
      <c r="AC30" s="48">
        <f t="shared" si="39"/>
        <v>862.66666666666663</v>
      </c>
      <c r="AD30" s="48">
        <f t="shared" si="40"/>
        <v>873.5</v>
      </c>
      <c r="AE30" s="48">
        <f t="shared" si="41"/>
        <v>734.66666666666663</v>
      </c>
      <c r="AF30" s="48">
        <f t="shared" si="42"/>
        <v>386</v>
      </c>
      <c r="AG30" s="48">
        <f t="shared" si="43"/>
        <v>398.85714285714283</v>
      </c>
      <c r="AH30" s="48">
        <f t="shared" si="44"/>
        <v>423.28571428571428</v>
      </c>
      <c r="AI30" s="48">
        <f t="shared" si="45"/>
        <v>499</v>
      </c>
      <c r="AJ30" s="48">
        <f t="shared" si="46"/>
        <v>446.14285714285717</v>
      </c>
      <c r="AK30" s="48">
        <f t="shared" si="32"/>
        <v>395.28571428571428</v>
      </c>
      <c r="AL30" s="48">
        <f t="shared" si="33"/>
        <v>391.85714285714283</v>
      </c>
      <c r="AM30" s="48">
        <f t="shared" si="34"/>
        <v>436.6</v>
      </c>
      <c r="AN30" s="48">
        <f t="shared" si="47"/>
        <v>241.5</v>
      </c>
      <c r="AO30" s="48">
        <f t="shared" si="48"/>
        <v>331</v>
      </c>
      <c r="AP30" s="51">
        <f t="shared" si="18"/>
        <v>297.28571428571428</v>
      </c>
      <c r="AQ30" s="5">
        <f t="shared" si="19"/>
        <v>560.33333333333326</v>
      </c>
      <c r="AR30" s="5">
        <f t="shared" si="20"/>
        <v>392.42857142857144</v>
      </c>
      <c r="AS30" s="5">
        <f t="shared" si="21"/>
        <v>411.07142857142856</v>
      </c>
      <c r="AT30" s="5">
        <f t="shared" si="22"/>
        <v>461.14285714285711</v>
      </c>
      <c r="AU30" s="5">
        <f t="shared" si="23"/>
        <v>472.57142857142856</v>
      </c>
      <c r="AV30" s="5">
        <f t="shared" si="24"/>
        <v>420.71428571428572</v>
      </c>
      <c r="AW30" s="5">
        <f t="shared" si="25"/>
        <v>393.57142857142856</v>
      </c>
      <c r="AX30" s="5">
        <f t="shared" si="26"/>
        <v>414.2285714285714</v>
      </c>
      <c r="AY30" s="5">
        <f t="shared" si="27"/>
        <v>339.05</v>
      </c>
      <c r="AZ30" s="5">
        <f t="shared" si="28"/>
        <v>286.25</v>
      </c>
      <c r="BA30" s="5">
        <f t="shared" si="29"/>
        <v>314.14285714285711</v>
      </c>
    </row>
    <row r="31" spans="1:53" ht="15.6" thickBot="1" x14ac:dyDescent="0.3">
      <c r="A31" s="28">
        <v>0.9</v>
      </c>
      <c r="B31" s="28">
        <v>2</v>
      </c>
      <c r="C31" s="47">
        <v>2</v>
      </c>
      <c r="D31" s="47" t="s">
        <v>84</v>
      </c>
      <c r="E31" s="31">
        <v>28</v>
      </c>
      <c r="F31">
        <v>1920</v>
      </c>
      <c r="G31" s="28">
        <v>4684</v>
      </c>
      <c r="H31" s="28">
        <v>2226</v>
      </c>
      <c r="I31" s="34">
        <v>2954</v>
      </c>
      <c r="J31" s="28">
        <v>4038</v>
      </c>
      <c r="K31" s="28">
        <v>2372</v>
      </c>
      <c r="L31" s="28">
        <v>2944</v>
      </c>
      <c r="M31" s="28">
        <v>3034</v>
      </c>
      <c r="N31" s="28">
        <v>3469</v>
      </c>
      <c r="O31" s="28">
        <v>3787</v>
      </c>
      <c r="P31" s="28">
        <v>3305</v>
      </c>
      <c r="Q31" s="28">
        <v>2613</v>
      </c>
      <c r="R31" s="28">
        <v>2577</v>
      </c>
      <c r="S31" s="28">
        <v>2261</v>
      </c>
      <c r="T31" s="28">
        <v>1379</v>
      </c>
      <c r="U31" s="28">
        <v>4051</v>
      </c>
      <c r="V31">
        <v>1169</v>
      </c>
      <c r="X31" s="28"/>
      <c r="Z31" s="50">
        <f t="shared" si="36"/>
        <v>852</v>
      </c>
      <c r="AA31" s="51">
        <f t="shared" si="37"/>
        <v>744.66666666666663</v>
      </c>
      <c r="AB31" s="51">
        <f t="shared" si="38"/>
        <v>1005</v>
      </c>
      <c r="AC31" s="51">
        <f t="shared" si="39"/>
        <v>912.66666666666663</v>
      </c>
      <c r="AD31" s="51">
        <f t="shared" si="40"/>
        <v>955.5</v>
      </c>
      <c r="AE31" s="51">
        <f t="shared" si="41"/>
        <v>718.66666666666663</v>
      </c>
      <c r="AF31" s="51">
        <f t="shared" si="42"/>
        <v>389.71428571428572</v>
      </c>
      <c r="AG31" s="51">
        <f t="shared" si="43"/>
        <v>402.57142857142856</v>
      </c>
      <c r="AH31" s="51">
        <f t="shared" si="44"/>
        <v>464.71428571428572</v>
      </c>
      <c r="AI31" s="51">
        <f t="shared" si="45"/>
        <v>510.14285714285717</v>
      </c>
      <c r="AJ31" s="51">
        <f t="shared" si="46"/>
        <v>441.28571428571428</v>
      </c>
      <c r="AK31" s="48">
        <f t="shared" si="32"/>
        <v>342.42857142857144</v>
      </c>
      <c r="AL31" s="48">
        <f t="shared" si="33"/>
        <v>337.28571428571428</v>
      </c>
      <c r="AM31" s="48">
        <f t="shared" si="34"/>
        <v>409</v>
      </c>
      <c r="AN31" s="48">
        <f t="shared" si="47"/>
        <v>193.83333333333334</v>
      </c>
      <c r="AO31" s="51">
        <f t="shared" si="48"/>
        <v>547.85714285714289</v>
      </c>
      <c r="AP31" s="51">
        <f t="shared" si="18"/>
        <v>136.14285714285714</v>
      </c>
      <c r="AQ31" s="5">
        <f t="shared" si="19"/>
        <v>554.19047619047615</v>
      </c>
      <c r="AR31" s="5">
        <f t="shared" si="20"/>
        <v>396.14285714285711</v>
      </c>
      <c r="AS31" s="5">
        <f t="shared" si="21"/>
        <v>433.64285714285711</v>
      </c>
      <c r="AT31" s="5">
        <f t="shared" si="22"/>
        <v>487.42857142857144</v>
      </c>
      <c r="AU31" s="5">
        <f t="shared" si="23"/>
        <v>475.71428571428572</v>
      </c>
      <c r="AV31" s="5">
        <f t="shared" si="24"/>
        <v>391.85714285714289</v>
      </c>
      <c r="AW31" s="5">
        <f t="shared" si="25"/>
        <v>339.85714285714289</v>
      </c>
      <c r="AX31" s="5">
        <f t="shared" si="26"/>
        <v>373.14285714285711</v>
      </c>
      <c r="AY31" s="5">
        <f t="shared" si="27"/>
        <v>301.41666666666669</v>
      </c>
      <c r="AZ31" s="5">
        <f t="shared" si="28"/>
        <v>370.84523809523813</v>
      </c>
      <c r="BA31" s="5">
        <f t="shared" si="29"/>
        <v>342</v>
      </c>
    </row>
    <row r="32" spans="1:53" ht="15.6" thickBot="1" x14ac:dyDescent="0.3">
      <c r="A32">
        <v>0.9</v>
      </c>
      <c r="B32">
        <v>6</v>
      </c>
      <c r="C32" s="49">
        <v>6</v>
      </c>
      <c r="D32" s="49" t="s">
        <v>84</v>
      </c>
      <c r="E32" s="35">
        <v>29</v>
      </c>
      <c r="F32">
        <v>2178</v>
      </c>
      <c r="G32">
        <v>4986</v>
      </c>
      <c r="H32" s="28">
        <v>2354</v>
      </c>
      <c r="I32" s="34">
        <v>3138</v>
      </c>
      <c r="J32" s="28">
        <v>4292</v>
      </c>
      <c r="K32" s="28">
        <v>2142</v>
      </c>
      <c r="L32" s="28">
        <v>2786</v>
      </c>
      <c r="M32" s="28">
        <v>2876</v>
      </c>
      <c r="N32" s="28">
        <v>3635</v>
      </c>
      <c r="O32" s="28">
        <v>4461</v>
      </c>
      <c r="P32" s="28">
        <v>3649</v>
      </c>
      <c r="Q32" s="28">
        <v>3241</v>
      </c>
      <c r="R32" s="28">
        <v>3291</v>
      </c>
      <c r="S32" s="28">
        <v>2939</v>
      </c>
      <c r="T32" s="28">
        <v>1471</v>
      </c>
      <c r="U32" s="28">
        <v>4653</v>
      </c>
      <c r="V32">
        <v>1313</v>
      </c>
      <c r="X32" s="28"/>
      <c r="Z32" s="28">
        <f t="shared" si="36"/>
        <v>981</v>
      </c>
      <c r="AA32" s="48">
        <f t="shared" si="37"/>
        <v>795</v>
      </c>
      <c r="AB32" s="48">
        <f t="shared" si="38"/>
        <v>1069</v>
      </c>
      <c r="AC32" s="48">
        <f t="shared" si="39"/>
        <v>974</v>
      </c>
      <c r="AD32" s="48">
        <f t="shared" si="40"/>
        <v>1019</v>
      </c>
      <c r="AE32" s="48">
        <f t="shared" si="41"/>
        <v>642</v>
      </c>
      <c r="AF32" s="48">
        <f t="shared" si="42"/>
        <v>367.14285714285717</v>
      </c>
      <c r="AG32" s="48">
        <f t="shared" si="43"/>
        <v>380</v>
      </c>
      <c r="AH32" s="48">
        <f t="shared" si="44"/>
        <v>488.42857142857144</v>
      </c>
      <c r="AI32" s="48">
        <f t="shared" si="45"/>
        <v>606.42857142857144</v>
      </c>
      <c r="AJ32" s="48">
        <f t="shared" si="46"/>
        <v>490.42857142857144</v>
      </c>
      <c r="AK32" s="48">
        <f t="shared" si="32"/>
        <v>432.14285714285717</v>
      </c>
      <c r="AL32" s="48">
        <f t="shared" si="33"/>
        <v>439.28571428571428</v>
      </c>
      <c r="AM32" s="48">
        <f t="shared" si="34"/>
        <v>544.6</v>
      </c>
      <c r="AN32" s="48">
        <f t="shared" si="47"/>
        <v>209.16666666666666</v>
      </c>
      <c r="AO32" s="48">
        <f t="shared" si="48"/>
        <v>633.85714285714289</v>
      </c>
      <c r="AP32" s="51">
        <f t="shared" si="18"/>
        <v>156.71428571428572</v>
      </c>
      <c r="AQ32" s="5">
        <f t="shared" si="19"/>
        <v>504.57142857142856</v>
      </c>
      <c r="AR32" s="5">
        <f t="shared" si="20"/>
        <v>373.57142857142856</v>
      </c>
      <c r="AS32" s="5">
        <f t="shared" si="21"/>
        <v>434.21428571428572</v>
      </c>
      <c r="AT32" s="5">
        <f t="shared" si="22"/>
        <v>547.42857142857144</v>
      </c>
      <c r="AU32" s="5">
        <f t="shared" si="23"/>
        <v>548.42857142857144</v>
      </c>
      <c r="AV32" s="5">
        <f t="shared" si="24"/>
        <v>461.28571428571433</v>
      </c>
      <c r="AW32" s="5">
        <f t="shared" si="25"/>
        <v>435.71428571428572</v>
      </c>
      <c r="AX32" s="5">
        <f t="shared" si="26"/>
        <v>491.94285714285718</v>
      </c>
      <c r="AY32" s="5">
        <f t="shared" si="27"/>
        <v>376.88333333333333</v>
      </c>
      <c r="AZ32" s="5">
        <f t="shared" si="28"/>
        <v>421.51190476190476</v>
      </c>
      <c r="BA32" s="5">
        <f t="shared" si="29"/>
        <v>395.28571428571433</v>
      </c>
    </row>
    <row r="33" spans="1:53" ht="15.6" thickBot="1" x14ac:dyDescent="0.3">
      <c r="A33" s="28">
        <v>4</v>
      </c>
      <c r="B33" s="28">
        <v>2</v>
      </c>
      <c r="C33" s="47">
        <v>8</v>
      </c>
      <c r="D33" s="47" t="s">
        <v>84</v>
      </c>
      <c r="E33" s="31">
        <v>30</v>
      </c>
      <c r="F33">
        <v>1910</v>
      </c>
      <c r="G33" s="28">
        <v>4436</v>
      </c>
      <c r="H33" s="28">
        <v>2154</v>
      </c>
      <c r="I33" s="34">
        <v>2836</v>
      </c>
      <c r="J33" s="28">
        <v>3690</v>
      </c>
      <c r="K33" s="28">
        <v>2052</v>
      </c>
      <c r="L33" s="28">
        <v>2556</v>
      </c>
      <c r="M33" s="28">
        <v>2646</v>
      </c>
      <c r="N33" s="28">
        <v>3717</v>
      </c>
      <c r="O33" s="28">
        <v>3903</v>
      </c>
      <c r="P33" s="28">
        <v>3415</v>
      </c>
      <c r="Q33" s="28">
        <v>3003</v>
      </c>
      <c r="R33" s="28">
        <v>3025</v>
      </c>
      <c r="S33" s="28">
        <v>2795</v>
      </c>
      <c r="T33" s="28">
        <v>1819</v>
      </c>
      <c r="U33" s="28">
        <v>4999</v>
      </c>
      <c r="V33">
        <v>2161</v>
      </c>
      <c r="X33" s="28"/>
      <c r="Z33" s="50">
        <f t="shared" si="36"/>
        <v>847</v>
      </c>
      <c r="AA33" s="51">
        <f t="shared" si="37"/>
        <v>703.33333333333337</v>
      </c>
      <c r="AB33" s="51">
        <f t="shared" si="38"/>
        <v>969</v>
      </c>
      <c r="AC33" s="51">
        <f t="shared" si="39"/>
        <v>873.33333333333337</v>
      </c>
      <c r="AD33" s="51">
        <f t="shared" si="40"/>
        <v>868.5</v>
      </c>
      <c r="AE33" s="51">
        <f t="shared" si="41"/>
        <v>612</v>
      </c>
      <c r="AF33" s="51">
        <f t="shared" si="42"/>
        <v>334.28571428571428</v>
      </c>
      <c r="AG33" s="51">
        <f t="shared" si="43"/>
        <v>347.14285714285717</v>
      </c>
      <c r="AH33" s="51">
        <f t="shared" si="44"/>
        <v>500.14285714285717</v>
      </c>
      <c r="AI33" s="51">
        <f t="shared" si="45"/>
        <v>526.71428571428567</v>
      </c>
      <c r="AJ33" s="51">
        <f t="shared" si="46"/>
        <v>457</v>
      </c>
      <c r="AK33" s="48">
        <f t="shared" si="32"/>
        <v>398.14285714285717</v>
      </c>
      <c r="AL33" s="48">
        <f t="shared" si="33"/>
        <v>401.28571428571428</v>
      </c>
      <c r="AM33" s="48">
        <f t="shared" si="34"/>
        <v>515.79999999999995</v>
      </c>
      <c r="AN33" s="48">
        <f t="shared" si="47"/>
        <v>267.16666666666669</v>
      </c>
      <c r="AO33" s="51">
        <f t="shared" si="48"/>
        <v>683.28571428571433</v>
      </c>
      <c r="AP33" s="51">
        <f t="shared" si="18"/>
        <v>277.85714285714283</v>
      </c>
      <c r="AQ33" s="5">
        <f t="shared" si="19"/>
        <v>473.14285714285711</v>
      </c>
      <c r="AR33" s="5">
        <f t="shared" si="20"/>
        <v>340.71428571428572</v>
      </c>
      <c r="AS33" s="5">
        <f t="shared" si="21"/>
        <v>423.64285714285717</v>
      </c>
      <c r="AT33" s="5">
        <f t="shared" si="22"/>
        <v>513.42857142857144</v>
      </c>
      <c r="AU33" s="5">
        <f t="shared" si="23"/>
        <v>491.85714285714283</v>
      </c>
      <c r="AV33" s="5">
        <f t="shared" si="24"/>
        <v>427.57142857142856</v>
      </c>
      <c r="AW33" s="5">
        <f t="shared" si="25"/>
        <v>399.71428571428572</v>
      </c>
      <c r="AX33" s="5">
        <f t="shared" si="26"/>
        <v>458.54285714285709</v>
      </c>
      <c r="AY33" s="5">
        <f t="shared" si="27"/>
        <v>391.48333333333335</v>
      </c>
      <c r="AZ33" s="5">
        <f t="shared" si="28"/>
        <v>475.22619047619048</v>
      </c>
      <c r="BA33" s="5">
        <f t="shared" si="29"/>
        <v>480.57142857142856</v>
      </c>
    </row>
    <row r="34" spans="1:53" ht="15.6" thickBot="1" x14ac:dyDescent="0.3">
      <c r="A34">
        <v>4</v>
      </c>
      <c r="B34">
        <v>5</v>
      </c>
      <c r="C34" s="49">
        <v>11</v>
      </c>
      <c r="D34" s="49" t="s">
        <v>84</v>
      </c>
      <c r="E34" s="35">
        <v>31</v>
      </c>
      <c r="F34">
        <v>2046</v>
      </c>
      <c r="G34">
        <v>5036</v>
      </c>
      <c r="H34" s="28">
        <v>2318</v>
      </c>
      <c r="I34" s="34">
        <v>2526</v>
      </c>
      <c r="J34" s="28">
        <v>3958</v>
      </c>
      <c r="K34" s="28">
        <v>2574</v>
      </c>
      <c r="L34" s="28">
        <v>2664</v>
      </c>
      <c r="M34" s="28">
        <v>2754</v>
      </c>
      <c r="N34" s="28">
        <v>3677</v>
      </c>
      <c r="O34" s="28">
        <v>4359</v>
      </c>
      <c r="P34" s="28">
        <v>3713</v>
      </c>
      <c r="Q34" s="28">
        <v>3189</v>
      </c>
      <c r="R34" s="28">
        <v>3147</v>
      </c>
      <c r="S34" s="28">
        <v>2809</v>
      </c>
      <c r="T34" s="28">
        <v>1059</v>
      </c>
      <c r="U34" s="28">
        <v>2039</v>
      </c>
      <c r="V34">
        <v>2177</v>
      </c>
      <c r="X34" s="28"/>
      <c r="Z34" s="28">
        <f t="shared" si="36"/>
        <v>915</v>
      </c>
      <c r="AA34" s="48">
        <f t="shared" si="37"/>
        <v>803.33333333333337</v>
      </c>
      <c r="AB34" s="48">
        <f t="shared" si="38"/>
        <v>1051</v>
      </c>
      <c r="AC34" s="48">
        <f t="shared" si="39"/>
        <v>770</v>
      </c>
      <c r="AD34" s="48">
        <f t="shared" si="40"/>
        <v>935.5</v>
      </c>
      <c r="AE34" s="48">
        <f t="shared" si="41"/>
        <v>786</v>
      </c>
      <c r="AF34" s="48">
        <f t="shared" si="42"/>
        <v>349.71428571428572</v>
      </c>
      <c r="AG34" s="48">
        <f t="shared" si="43"/>
        <v>362.57142857142856</v>
      </c>
      <c r="AH34" s="48">
        <f t="shared" si="44"/>
        <v>494.42857142857144</v>
      </c>
      <c r="AI34" s="48">
        <f t="shared" si="45"/>
        <v>591.85714285714289</v>
      </c>
      <c r="AJ34" s="48">
        <f t="shared" si="46"/>
        <v>499.57142857142856</v>
      </c>
      <c r="AK34" s="48">
        <f t="shared" si="32"/>
        <v>424.71428571428572</v>
      </c>
      <c r="AL34" s="48">
        <f t="shared" si="33"/>
        <v>418.71428571428572</v>
      </c>
      <c r="AM34" s="48">
        <f t="shared" si="34"/>
        <v>518.6</v>
      </c>
      <c r="AN34" s="48">
        <f t="shared" si="47"/>
        <v>140.5</v>
      </c>
      <c r="AO34" s="48">
        <f t="shared" si="48"/>
        <v>260.42857142857144</v>
      </c>
      <c r="AP34" s="51">
        <f t="shared" si="18"/>
        <v>280.14285714285717</v>
      </c>
      <c r="AQ34" s="5">
        <f t="shared" si="19"/>
        <v>567.85714285714289</v>
      </c>
      <c r="AR34" s="5">
        <f t="shared" si="20"/>
        <v>356.14285714285711</v>
      </c>
      <c r="AS34" s="5">
        <f t="shared" si="21"/>
        <v>428.5</v>
      </c>
      <c r="AT34" s="5">
        <f t="shared" si="22"/>
        <v>543.14285714285711</v>
      </c>
      <c r="AU34" s="5">
        <f t="shared" si="23"/>
        <v>545.71428571428578</v>
      </c>
      <c r="AV34" s="5">
        <f t="shared" si="24"/>
        <v>462.14285714285711</v>
      </c>
      <c r="AW34" s="5">
        <f t="shared" si="25"/>
        <v>421.71428571428572</v>
      </c>
      <c r="AX34" s="5">
        <f t="shared" si="26"/>
        <v>468.65714285714284</v>
      </c>
      <c r="AY34" s="5">
        <f t="shared" si="27"/>
        <v>329.55</v>
      </c>
      <c r="AZ34" s="5">
        <f t="shared" si="28"/>
        <v>200.46428571428572</v>
      </c>
      <c r="BA34" s="5">
        <f t="shared" si="29"/>
        <v>270.28571428571433</v>
      </c>
    </row>
    <row r="35" spans="1:53" ht="15.6" thickBot="1" x14ac:dyDescent="0.3">
      <c r="A35">
        <v>4</v>
      </c>
      <c r="B35">
        <v>6</v>
      </c>
      <c r="C35" s="49">
        <v>12</v>
      </c>
      <c r="D35" s="49" t="s">
        <v>84</v>
      </c>
      <c r="E35" s="35">
        <v>32</v>
      </c>
      <c r="F35">
        <v>2026</v>
      </c>
      <c r="G35" s="28">
        <v>4824</v>
      </c>
      <c r="H35" s="28">
        <v>2384</v>
      </c>
      <c r="I35" s="34">
        <v>3094</v>
      </c>
      <c r="J35" s="28">
        <v>3940</v>
      </c>
      <c r="K35" s="28">
        <v>2498</v>
      </c>
      <c r="L35" s="28">
        <v>3182</v>
      </c>
      <c r="M35" s="28">
        <v>3272</v>
      </c>
      <c r="N35" s="28">
        <v>3415</v>
      </c>
      <c r="O35" s="28">
        <v>4063</v>
      </c>
      <c r="P35" s="28">
        <v>3503</v>
      </c>
      <c r="Q35" s="28">
        <v>3153</v>
      </c>
      <c r="R35" s="28">
        <v>3225</v>
      </c>
      <c r="S35" s="28">
        <v>2759</v>
      </c>
      <c r="T35" s="28">
        <v>1741</v>
      </c>
      <c r="U35" s="28">
        <v>2969</v>
      </c>
      <c r="V35">
        <v>1989</v>
      </c>
      <c r="X35" s="28"/>
      <c r="Z35" s="50">
        <f t="shared" si="36"/>
        <v>905</v>
      </c>
      <c r="AA35" s="51">
        <f t="shared" si="37"/>
        <v>768</v>
      </c>
      <c r="AB35" s="51">
        <f t="shared" si="38"/>
        <v>1084</v>
      </c>
      <c r="AC35" s="51">
        <f t="shared" si="39"/>
        <v>959.33333333333337</v>
      </c>
      <c r="AD35" s="51">
        <f t="shared" si="40"/>
        <v>931</v>
      </c>
      <c r="AE35" s="51">
        <f t="shared" si="41"/>
        <v>760.66666666666663</v>
      </c>
      <c r="AF35" s="51">
        <f t="shared" si="42"/>
        <v>423.71428571428572</v>
      </c>
      <c r="AG35" s="51">
        <f t="shared" si="43"/>
        <v>436.57142857142856</v>
      </c>
      <c r="AH35" s="51">
        <f t="shared" si="44"/>
        <v>457</v>
      </c>
      <c r="AI35" s="51">
        <f t="shared" si="45"/>
        <v>549.57142857142856</v>
      </c>
      <c r="AJ35" s="51">
        <f t="shared" si="46"/>
        <v>469.57142857142856</v>
      </c>
      <c r="AK35" s="48">
        <f t="shared" si="32"/>
        <v>419.57142857142856</v>
      </c>
      <c r="AL35" s="48">
        <f t="shared" si="33"/>
        <v>429.85714285714283</v>
      </c>
      <c r="AM35" s="48">
        <f t="shared" si="34"/>
        <v>508.6</v>
      </c>
      <c r="AN35" s="48">
        <f t="shared" si="47"/>
        <v>254.16666666666666</v>
      </c>
      <c r="AO35" s="51">
        <f t="shared" si="48"/>
        <v>393.28571428571428</v>
      </c>
      <c r="AP35" s="51">
        <f t="shared" si="18"/>
        <v>253.28571428571428</v>
      </c>
      <c r="AQ35" s="5">
        <f t="shared" si="19"/>
        <v>592.19047619047615</v>
      </c>
      <c r="AR35" s="5">
        <f t="shared" si="20"/>
        <v>430.14285714285711</v>
      </c>
      <c r="AS35" s="5">
        <f t="shared" si="21"/>
        <v>446.78571428571428</v>
      </c>
      <c r="AT35" s="5">
        <f t="shared" si="22"/>
        <v>503.28571428571428</v>
      </c>
      <c r="AU35" s="5">
        <f t="shared" si="23"/>
        <v>509.57142857142856</v>
      </c>
      <c r="AV35" s="5">
        <f t="shared" si="24"/>
        <v>444.57142857142856</v>
      </c>
      <c r="AW35" s="5">
        <f t="shared" si="25"/>
        <v>424.71428571428567</v>
      </c>
      <c r="AX35" s="5">
        <f t="shared" si="26"/>
        <v>469.2285714285714</v>
      </c>
      <c r="AY35" s="5">
        <f t="shared" si="27"/>
        <v>381.38333333333333</v>
      </c>
      <c r="AZ35" s="5">
        <f t="shared" si="28"/>
        <v>323.72619047619048</v>
      </c>
      <c r="BA35" s="5">
        <f t="shared" si="29"/>
        <v>323.28571428571428</v>
      </c>
    </row>
    <row r="36" spans="1:53" ht="15.6" thickBot="1" x14ac:dyDescent="0.3">
      <c r="A36" s="28">
        <v>4</v>
      </c>
      <c r="B36" s="28">
        <v>1</v>
      </c>
      <c r="C36" s="47">
        <v>7</v>
      </c>
      <c r="D36" s="47" t="s">
        <v>84</v>
      </c>
      <c r="E36" s="31">
        <v>33</v>
      </c>
      <c r="F36">
        <v>1942</v>
      </c>
      <c r="G36" s="28">
        <v>4742</v>
      </c>
      <c r="H36" s="28">
        <v>2254</v>
      </c>
      <c r="I36" s="34">
        <v>3058</v>
      </c>
      <c r="J36" s="28">
        <v>3982</v>
      </c>
      <c r="K36" s="28">
        <v>2536</v>
      </c>
      <c r="L36" s="28">
        <v>3170</v>
      </c>
      <c r="M36" s="28">
        <v>3260</v>
      </c>
      <c r="N36" s="28">
        <v>3353</v>
      </c>
      <c r="O36" s="28">
        <v>3829</v>
      </c>
      <c r="P36" s="28">
        <v>3551</v>
      </c>
      <c r="Q36" s="28">
        <v>3011</v>
      </c>
      <c r="R36" s="28">
        <v>2965</v>
      </c>
      <c r="S36" s="28">
        <v>2625</v>
      </c>
      <c r="T36" s="28">
        <v>1725</v>
      </c>
      <c r="U36" s="28">
        <v>5237</v>
      </c>
      <c r="V36">
        <v>1781</v>
      </c>
      <c r="X36" s="28"/>
      <c r="Z36" s="28">
        <f t="shared" si="36"/>
        <v>863</v>
      </c>
      <c r="AA36" s="48">
        <f t="shared" si="37"/>
        <v>754.33333333333337</v>
      </c>
      <c r="AB36" s="48">
        <f t="shared" si="38"/>
        <v>1019</v>
      </c>
      <c r="AC36" s="48">
        <f t="shared" si="39"/>
        <v>947.33333333333337</v>
      </c>
      <c r="AD36" s="48">
        <f t="shared" si="40"/>
        <v>941.5</v>
      </c>
      <c r="AE36" s="48">
        <f t="shared" si="41"/>
        <v>773.33333333333337</v>
      </c>
      <c r="AF36" s="48">
        <f t="shared" si="42"/>
        <v>422</v>
      </c>
      <c r="AG36" s="48">
        <f t="shared" si="43"/>
        <v>434.85714285714283</v>
      </c>
      <c r="AH36" s="48">
        <f t="shared" si="44"/>
        <v>448.14285714285717</v>
      </c>
      <c r="AI36" s="48">
        <f t="shared" si="45"/>
        <v>516.14285714285711</v>
      </c>
      <c r="AJ36" s="48">
        <f t="shared" si="46"/>
        <v>476.42857142857144</v>
      </c>
      <c r="AK36" s="48">
        <f t="shared" si="32"/>
        <v>399.28571428571428</v>
      </c>
      <c r="AL36" s="48">
        <f t="shared" si="33"/>
        <v>392.71428571428572</v>
      </c>
      <c r="AM36" s="48">
        <f t="shared" si="34"/>
        <v>481.8</v>
      </c>
      <c r="AN36" s="48">
        <f t="shared" si="47"/>
        <v>251.5</v>
      </c>
      <c r="AO36" s="48">
        <f t="shared" si="48"/>
        <v>717.28571428571433</v>
      </c>
      <c r="AP36" s="51">
        <f t="shared" si="18"/>
        <v>223.57142857142858</v>
      </c>
      <c r="AQ36" s="5">
        <f t="shared" si="19"/>
        <v>597.66666666666674</v>
      </c>
      <c r="AR36" s="5">
        <f t="shared" si="20"/>
        <v>428.42857142857144</v>
      </c>
      <c r="AS36" s="5">
        <f t="shared" si="21"/>
        <v>441.5</v>
      </c>
      <c r="AT36" s="5">
        <f t="shared" si="22"/>
        <v>482.14285714285711</v>
      </c>
      <c r="AU36" s="5">
        <f t="shared" si="23"/>
        <v>496.28571428571428</v>
      </c>
      <c r="AV36" s="5">
        <f t="shared" si="24"/>
        <v>437.85714285714289</v>
      </c>
      <c r="AW36" s="5">
        <f t="shared" si="25"/>
        <v>396</v>
      </c>
      <c r="AX36" s="5">
        <f t="shared" si="26"/>
        <v>437.25714285714287</v>
      </c>
      <c r="AY36" s="5">
        <f t="shared" si="27"/>
        <v>366.65</v>
      </c>
      <c r="AZ36" s="5">
        <f t="shared" si="28"/>
        <v>484.39285714285717</v>
      </c>
      <c r="BA36" s="5">
        <f t="shared" si="29"/>
        <v>470.42857142857144</v>
      </c>
    </row>
    <row r="37" spans="1:53" ht="15.6" thickBot="1" x14ac:dyDescent="0.3">
      <c r="A37">
        <v>0.9</v>
      </c>
      <c r="B37">
        <v>3</v>
      </c>
      <c r="C37" s="49">
        <v>3</v>
      </c>
      <c r="D37" s="49" t="s">
        <v>84</v>
      </c>
      <c r="E37" s="35">
        <v>34</v>
      </c>
      <c r="F37">
        <v>1868</v>
      </c>
      <c r="G37" s="28">
        <v>4312</v>
      </c>
      <c r="H37" s="28">
        <v>2042</v>
      </c>
      <c r="I37" s="34">
        <v>2838</v>
      </c>
      <c r="J37" s="28">
        <v>3730</v>
      </c>
      <c r="K37" s="28">
        <v>1998</v>
      </c>
      <c r="L37" s="28">
        <v>2342</v>
      </c>
      <c r="M37" s="28">
        <v>2432</v>
      </c>
      <c r="N37" s="28">
        <v>3391</v>
      </c>
      <c r="O37" s="28">
        <v>3967</v>
      </c>
      <c r="P37" s="28">
        <v>3325</v>
      </c>
      <c r="Q37" s="28">
        <v>2753</v>
      </c>
      <c r="R37" s="28">
        <v>2763</v>
      </c>
      <c r="S37" s="28">
        <v>2745</v>
      </c>
      <c r="T37" s="28">
        <v>1115</v>
      </c>
      <c r="U37" s="28">
        <v>3613</v>
      </c>
      <c r="V37">
        <v>639</v>
      </c>
      <c r="X37" s="28"/>
      <c r="Z37" s="50">
        <f t="shared" si="36"/>
        <v>826</v>
      </c>
      <c r="AA37" s="51">
        <f t="shared" si="37"/>
        <v>682.66666666666663</v>
      </c>
      <c r="AB37" s="51">
        <f t="shared" si="38"/>
        <v>913</v>
      </c>
      <c r="AC37" s="51">
        <f t="shared" si="39"/>
        <v>874</v>
      </c>
      <c r="AD37" s="51">
        <f t="shared" si="40"/>
        <v>878.5</v>
      </c>
      <c r="AE37" s="51">
        <f t="shared" si="41"/>
        <v>594</v>
      </c>
      <c r="AF37" s="51">
        <f t="shared" si="42"/>
        <v>303.71428571428572</v>
      </c>
      <c r="AG37" s="51">
        <f t="shared" si="43"/>
        <v>316.57142857142856</v>
      </c>
      <c r="AH37" s="51">
        <f t="shared" si="44"/>
        <v>453.57142857142856</v>
      </c>
      <c r="AI37" s="51">
        <f t="shared" si="45"/>
        <v>535.85714285714289</v>
      </c>
      <c r="AJ37" s="51">
        <f t="shared" si="46"/>
        <v>444.14285714285717</v>
      </c>
      <c r="AK37" s="48">
        <f t="shared" si="32"/>
        <v>362.42857142857144</v>
      </c>
      <c r="AL37" s="48">
        <f t="shared" si="33"/>
        <v>363.85714285714283</v>
      </c>
      <c r="AM37" s="48">
        <f t="shared" si="34"/>
        <v>505.8</v>
      </c>
      <c r="AN37" s="48">
        <f t="shared" si="47"/>
        <v>149.83333333333334</v>
      </c>
      <c r="AO37" s="51">
        <f t="shared" si="48"/>
        <v>485.28571428571428</v>
      </c>
      <c r="AP37" s="51">
        <f t="shared" si="18"/>
        <v>60.428571428571431</v>
      </c>
      <c r="AQ37" s="5">
        <f t="shared" si="19"/>
        <v>448.85714285714289</v>
      </c>
      <c r="AR37" s="5">
        <f t="shared" si="20"/>
        <v>310.14285714285711</v>
      </c>
      <c r="AS37" s="5">
        <f t="shared" si="21"/>
        <v>385.07142857142856</v>
      </c>
      <c r="AT37" s="5">
        <f t="shared" si="22"/>
        <v>494.71428571428572</v>
      </c>
      <c r="AU37" s="5">
        <f t="shared" si="23"/>
        <v>490</v>
      </c>
      <c r="AV37" s="5">
        <f t="shared" si="24"/>
        <v>403.28571428571433</v>
      </c>
      <c r="AW37" s="5">
        <f t="shared" si="25"/>
        <v>363.14285714285711</v>
      </c>
      <c r="AX37" s="5">
        <f t="shared" si="26"/>
        <v>434.82857142857142</v>
      </c>
      <c r="AY37" s="5">
        <f t="shared" si="27"/>
        <v>327.81666666666666</v>
      </c>
      <c r="AZ37" s="5">
        <f t="shared" si="28"/>
        <v>317.5595238095238</v>
      </c>
      <c r="BA37" s="5">
        <f t="shared" si="29"/>
        <v>272.85714285714283</v>
      </c>
    </row>
    <row r="38" spans="1:53" ht="15.6" thickBot="1" x14ac:dyDescent="0.3">
      <c r="A38" s="28">
        <v>0.9</v>
      </c>
      <c r="B38" s="28">
        <v>4</v>
      </c>
      <c r="C38" s="47">
        <v>4</v>
      </c>
      <c r="D38" s="47" t="s">
        <v>85</v>
      </c>
      <c r="E38" s="55">
        <v>35</v>
      </c>
      <c r="F38" s="15">
        <v>2494</v>
      </c>
      <c r="G38" s="15">
        <v>5628</v>
      </c>
      <c r="H38" s="15">
        <v>1742</v>
      </c>
      <c r="I38" s="34">
        <v>2830</v>
      </c>
      <c r="J38" s="15">
        <v>4944</v>
      </c>
      <c r="K38" s="15">
        <v>2818</v>
      </c>
      <c r="L38" s="15">
        <v>3266</v>
      </c>
      <c r="M38" s="28">
        <v>5690</v>
      </c>
      <c r="N38" s="28">
        <v>4165</v>
      </c>
      <c r="O38" s="28">
        <v>6003</v>
      </c>
      <c r="P38" s="28">
        <v>3861</v>
      </c>
      <c r="Q38" s="28">
        <v>4913</v>
      </c>
      <c r="R38" s="28">
        <v>3895</v>
      </c>
      <c r="S38" s="28">
        <v>3885</v>
      </c>
      <c r="T38" s="28">
        <v>2791</v>
      </c>
      <c r="U38" s="28">
        <v>6865</v>
      </c>
      <c r="V38">
        <v>3817</v>
      </c>
      <c r="X38" s="28"/>
      <c r="Z38" s="15">
        <f t="shared" ref="Z38:AA41" si="49">(F38-$B$2)/(F$3-F$2)</f>
        <v>911.25</v>
      </c>
      <c r="AA38" s="53">
        <f t="shared" si="49"/>
        <v>826.08333333333337</v>
      </c>
      <c r="AB38" s="53">
        <f>(H38-$B$2)</f>
        <v>1070.5</v>
      </c>
      <c r="AC38" s="53">
        <f>(I38-$B$2)/2</f>
        <v>1079.25</v>
      </c>
      <c r="AD38" s="53">
        <f t="shared" ref="AD38:AJ41" si="50">(J38-$B$2)/(J$3-J$2)</f>
        <v>1068.125</v>
      </c>
      <c r="AE38" s="53">
        <f t="shared" si="50"/>
        <v>715.5</v>
      </c>
      <c r="AF38" s="53">
        <f t="shared" si="50"/>
        <v>370.64285714285717</v>
      </c>
      <c r="AG38" s="53">
        <f t="shared" si="50"/>
        <v>716.92857142857144</v>
      </c>
      <c r="AH38" s="53">
        <f t="shared" si="50"/>
        <v>499.07142857142856</v>
      </c>
      <c r="AI38" s="53">
        <f t="shared" si="50"/>
        <v>761.64285714285711</v>
      </c>
      <c r="AJ38" s="53">
        <f t="shared" si="50"/>
        <v>455.64285714285717</v>
      </c>
      <c r="AK38" s="48">
        <f t="shared" si="32"/>
        <v>671</v>
      </c>
      <c r="AL38" s="48">
        <f t="shared" si="33"/>
        <v>525.57142857142856</v>
      </c>
      <c r="AM38" s="48">
        <f t="shared" si="34"/>
        <v>733.8</v>
      </c>
      <c r="AN38" s="48">
        <f>(T38-$B$1)/(T$3-AN$2)</f>
        <v>367.85714285714283</v>
      </c>
      <c r="AO38" s="53">
        <f>(U38-$B$2)/(U$3-U$2)</f>
        <v>884.78571428571433</v>
      </c>
      <c r="AP38" s="51">
        <f t="shared" si="18"/>
        <v>514.42857142857144</v>
      </c>
      <c r="AQ38" s="5">
        <f t="shared" si="19"/>
        <v>543.07142857142856</v>
      </c>
      <c r="AR38" s="5">
        <f t="shared" si="20"/>
        <v>543.78571428571433</v>
      </c>
      <c r="AS38" s="5">
        <f t="shared" si="21"/>
        <v>608</v>
      </c>
      <c r="AT38" s="5">
        <f t="shared" si="22"/>
        <v>630.35714285714289</v>
      </c>
      <c r="AU38" s="5">
        <f t="shared" si="23"/>
        <v>608.64285714285711</v>
      </c>
      <c r="AV38" s="5">
        <f t="shared" si="24"/>
        <v>563.32142857142856</v>
      </c>
      <c r="AW38" s="5">
        <f t="shared" si="25"/>
        <v>598.28571428571422</v>
      </c>
      <c r="AX38" s="5">
        <f t="shared" si="26"/>
        <v>629.68571428571431</v>
      </c>
      <c r="AY38" s="5">
        <f t="shared" si="27"/>
        <v>550.82857142857142</v>
      </c>
      <c r="AZ38" s="5">
        <f t="shared" si="28"/>
        <v>626.32142857142856</v>
      </c>
      <c r="BA38" s="5">
        <f t="shared" si="29"/>
        <v>699.60714285714289</v>
      </c>
    </row>
    <row r="39" spans="1:53" ht="15.6" thickBot="1" x14ac:dyDescent="0.3">
      <c r="A39" s="38">
        <v>4</v>
      </c>
      <c r="B39" s="38">
        <v>4</v>
      </c>
      <c r="C39" s="54">
        <v>10</v>
      </c>
      <c r="D39" s="49" t="s">
        <v>85</v>
      </c>
      <c r="E39" s="55">
        <v>36</v>
      </c>
      <c r="F39" s="15">
        <v>2614</v>
      </c>
      <c r="G39" s="15">
        <v>5764</v>
      </c>
      <c r="H39" s="15">
        <v>1788</v>
      </c>
      <c r="I39" s="34">
        <v>2904</v>
      </c>
      <c r="J39" s="15">
        <v>5140</v>
      </c>
      <c r="K39" s="15">
        <v>2916</v>
      </c>
      <c r="L39" s="15">
        <v>3930</v>
      </c>
      <c r="M39" s="28">
        <v>5918</v>
      </c>
      <c r="N39" s="28">
        <v>4309</v>
      </c>
      <c r="O39" s="28">
        <v>6157</v>
      </c>
      <c r="P39" s="28">
        <v>3945</v>
      </c>
      <c r="Q39" s="28">
        <v>5007</v>
      </c>
      <c r="R39" s="28">
        <v>4049</v>
      </c>
      <c r="S39" s="28">
        <v>3987</v>
      </c>
      <c r="T39" s="28">
        <v>2851</v>
      </c>
      <c r="U39" s="28">
        <v>6507</v>
      </c>
      <c r="V39">
        <v>3979</v>
      </c>
      <c r="X39" s="28"/>
      <c r="Z39" s="15">
        <f t="shared" si="49"/>
        <v>971.25</v>
      </c>
      <c r="AA39" s="53">
        <f t="shared" si="49"/>
        <v>848.75</v>
      </c>
      <c r="AB39" s="53">
        <f>(H39-$B$2)</f>
        <v>1116.5</v>
      </c>
      <c r="AC39" s="53">
        <f>(I39-$B$2)/2</f>
        <v>1116.25</v>
      </c>
      <c r="AD39" s="53">
        <f t="shared" si="50"/>
        <v>1117.125</v>
      </c>
      <c r="AE39" s="53">
        <f t="shared" si="50"/>
        <v>748.16666666666663</v>
      </c>
      <c r="AF39" s="53">
        <f t="shared" si="50"/>
        <v>465.5</v>
      </c>
      <c r="AG39" s="53">
        <f t="shared" si="50"/>
        <v>749.5</v>
      </c>
      <c r="AH39" s="53">
        <f t="shared" si="50"/>
        <v>519.64285714285711</v>
      </c>
      <c r="AI39" s="53">
        <f t="shared" si="50"/>
        <v>783.64285714285711</v>
      </c>
      <c r="AJ39" s="53">
        <f t="shared" si="50"/>
        <v>467.64285714285717</v>
      </c>
      <c r="AK39" s="48">
        <f t="shared" si="32"/>
        <v>684.42857142857144</v>
      </c>
      <c r="AL39" s="48">
        <f t="shared" si="33"/>
        <v>547.57142857142856</v>
      </c>
      <c r="AM39" s="48">
        <f t="shared" si="34"/>
        <v>754.2</v>
      </c>
      <c r="AN39" s="48">
        <f t="shared" ref="AN39:AN41" si="51">(T39-$B$1)/(T$3-AN$2)</f>
        <v>376.42857142857144</v>
      </c>
      <c r="AO39" s="53">
        <f>(U39-$B$2)/(U$3-U$2)</f>
        <v>833.64285714285711</v>
      </c>
      <c r="AP39" s="51">
        <f t="shared" si="18"/>
        <v>537.57142857142856</v>
      </c>
      <c r="AQ39" s="5">
        <f t="shared" si="19"/>
        <v>606.83333333333326</v>
      </c>
      <c r="AR39" s="5">
        <f t="shared" si="20"/>
        <v>607.5</v>
      </c>
      <c r="AS39" s="5">
        <f t="shared" si="21"/>
        <v>634.57142857142856</v>
      </c>
      <c r="AT39" s="5">
        <f t="shared" si="22"/>
        <v>651.64285714285711</v>
      </c>
      <c r="AU39" s="5">
        <f t="shared" si="23"/>
        <v>625.64285714285711</v>
      </c>
      <c r="AV39" s="5">
        <f t="shared" si="24"/>
        <v>576.03571428571433</v>
      </c>
      <c r="AW39" s="5">
        <f t="shared" si="25"/>
        <v>616</v>
      </c>
      <c r="AX39" s="5">
        <f t="shared" si="26"/>
        <v>650.88571428571436</v>
      </c>
      <c r="AY39" s="5">
        <f t="shared" si="27"/>
        <v>565.31428571428569</v>
      </c>
      <c r="AZ39" s="5">
        <f t="shared" si="28"/>
        <v>605.03571428571422</v>
      </c>
      <c r="BA39" s="5">
        <f t="shared" si="29"/>
        <v>685.60714285714289</v>
      </c>
    </row>
    <row r="40" spans="1:53" ht="15.6" thickBot="1" x14ac:dyDescent="0.3">
      <c r="A40" s="28">
        <v>0.9</v>
      </c>
      <c r="B40" s="28">
        <v>6</v>
      </c>
      <c r="C40" s="47">
        <v>6</v>
      </c>
      <c r="D40" s="47" t="s">
        <v>85</v>
      </c>
      <c r="E40" s="55">
        <v>37</v>
      </c>
      <c r="F40" s="15">
        <v>2550</v>
      </c>
      <c r="G40" s="15">
        <v>5620</v>
      </c>
      <c r="H40" s="15">
        <v>1754</v>
      </c>
      <c r="I40" s="34">
        <v>2856</v>
      </c>
      <c r="J40" s="15">
        <v>5012</v>
      </c>
      <c r="K40" s="15">
        <v>2168</v>
      </c>
      <c r="L40" s="15">
        <v>3822</v>
      </c>
      <c r="M40" s="28">
        <v>5736</v>
      </c>
      <c r="N40" s="28">
        <v>4243</v>
      </c>
      <c r="O40" s="28">
        <v>6101</v>
      </c>
      <c r="P40" s="28">
        <v>3905</v>
      </c>
      <c r="Q40" s="28">
        <v>4979</v>
      </c>
      <c r="R40" s="28">
        <v>3987</v>
      </c>
      <c r="S40" s="28">
        <v>3989</v>
      </c>
      <c r="T40" s="28">
        <v>2845</v>
      </c>
      <c r="U40" s="28">
        <v>6895</v>
      </c>
      <c r="V40">
        <v>3875</v>
      </c>
      <c r="X40" s="28"/>
      <c r="Z40" s="15">
        <f t="shared" si="49"/>
        <v>939.25</v>
      </c>
      <c r="AA40" s="53">
        <f t="shared" si="49"/>
        <v>824.75</v>
      </c>
      <c r="AB40" s="53">
        <f>(H40-$B$2)</f>
        <v>1082.5</v>
      </c>
      <c r="AC40" s="53">
        <f>(I40-$B$2)/2</f>
        <v>1092.25</v>
      </c>
      <c r="AD40" s="53">
        <f t="shared" si="50"/>
        <v>1085.125</v>
      </c>
      <c r="AE40" s="53">
        <f t="shared" si="50"/>
        <v>498.83333333333331</v>
      </c>
      <c r="AF40" s="53">
        <f t="shared" si="50"/>
        <v>450.07142857142856</v>
      </c>
      <c r="AG40" s="53">
        <f t="shared" si="50"/>
        <v>723.5</v>
      </c>
      <c r="AH40" s="53">
        <f t="shared" si="50"/>
        <v>510.21428571428572</v>
      </c>
      <c r="AI40" s="53">
        <f t="shared" si="50"/>
        <v>775.64285714285711</v>
      </c>
      <c r="AJ40" s="53">
        <f t="shared" si="50"/>
        <v>461.92857142857144</v>
      </c>
      <c r="AK40" s="48">
        <f t="shared" si="32"/>
        <v>680.42857142857144</v>
      </c>
      <c r="AL40" s="48">
        <f t="shared" si="33"/>
        <v>538.71428571428567</v>
      </c>
      <c r="AM40" s="48">
        <f t="shared" si="34"/>
        <v>754.6</v>
      </c>
      <c r="AN40" s="48">
        <f t="shared" si="51"/>
        <v>375.57142857142856</v>
      </c>
      <c r="AO40" s="53">
        <f>(U40-$B$2)/(U$3-U$2)</f>
        <v>889.07142857142856</v>
      </c>
      <c r="AP40" s="51">
        <f t="shared" si="18"/>
        <v>522.71428571428567</v>
      </c>
      <c r="AQ40" s="5">
        <f t="shared" si="19"/>
        <v>474.45238095238096</v>
      </c>
      <c r="AR40" s="5">
        <f t="shared" si="20"/>
        <v>586.78571428571422</v>
      </c>
      <c r="AS40" s="5">
        <f t="shared" si="21"/>
        <v>616.85714285714289</v>
      </c>
      <c r="AT40" s="5">
        <f t="shared" si="22"/>
        <v>642.92857142857144</v>
      </c>
      <c r="AU40" s="5">
        <f t="shared" si="23"/>
        <v>618.78571428571422</v>
      </c>
      <c r="AV40" s="5">
        <f t="shared" si="24"/>
        <v>571.17857142857144</v>
      </c>
      <c r="AW40" s="5">
        <f t="shared" si="25"/>
        <v>609.57142857142856</v>
      </c>
      <c r="AX40" s="5">
        <f t="shared" si="26"/>
        <v>646.65714285714284</v>
      </c>
      <c r="AY40" s="5">
        <f t="shared" si="27"/>
        <v>565.08571428571429</v>
      </c>
      <c r="AZ40" s="5">
        <f t="shared" si="28"/>
        <v>632.32142857142856</v>
      </c>
      <c r="BA40" s="5">
        <f t="shared" si="29"/>
        <v>705.89285714285711</v>
      </c>
    </row>
    <row r="41" spans="1:53" ht="15.6" thickBot="1" x14ac:dyDescent="0.3">
      <c r="A41">
        <v>0.9</v>
      </c>
      <c r="B41">
        <v>5</v>
      </c>
      <c r="C41" s="49">
        <v>5</v>
      </c>
      <c r="D41" s="49" t="s">
        <v>85</v>
      </c>
      <c r="E41" s="55">
        <v>38</v>
      </c>
      <c r="F41" s="15">
        <v>2688</v>
      </c>
      <c r="G41" s="15">
        <v>5860</v>
      </c>
      <c r="H41" s="15">
        <v>1446</v>
      </c>
      <c r="I41" s="34">
        <v>2718</v>
      </c>
      <c r="J41" s="15">
        <v>4782</v>
      </c>
      <c r="K41" s="15">
        <v>2580</v>
      </c>
      <c r="L41" s="15">
        <v>3812</v>
      </c>
      <c r="M41" s="28">
        <v>5734</v>
      </c>
      <c r="N41" s="28">
        <v>4373</v>
      </c>
      <c r="O41" s="28">
        <v>6293</v>
      </c>
      <c r="P41" s="28">
        <v>3889</v>
      </c>
      <c r="Q41" s="28">
        <v>4995</v>
      </c>
      <c r="R41" s="28">
        <v>3829</v>
      </c>
      <c r="S41" s="28">
        <v>3169</v>
      </c>
      <c r="T41" s="28">
        <v>4359</v>
      </c>
      <c r="U41" s="28">
        <v>6427</v>
      </c>
      <c r="V41">
        <v>4027</v>
      </c>
      <c r="X41" s="28"/>
      <c r="Z41" s="15">
        <f t="shared" si="49"/>
        <v>1008.25</v>
      </c>
      <c r="AA41" s="53">
        <f t="shared" si="49"/>
        <v>864.75</v>
      </c>
      <c r="AB41" s="53">
        <f>(H41-$B$2)</f>
        <v>774.5</v>
      </c>
      <c r="AC41" s="53">
        <f>(I41-$B$2)/2</f>
        <v>1023.25</v>
      </c>
      <c r="AD41" s="53">
        <f t="shared" si="50"/>
        <v>1027.625</v>
      </c>
      <c r="AE41" s="53">
        <f t="shared" si="50"/>
        <v>636.16666666666663</v>
      </c>
      <c r="AF41" s="53">
        <f t="shared" si="50"/>
        <v>448.64285714285717</v>
      </c>
      <c r="AG41" s="53">
        <f t="shared" si="50"/>
        <v>723.21428571428567</v>
      </c>
      <c r="AH41" s="53">
        <f t="shared" si="50"/>
        <v>528.78571428571433</v>
      </c>
      <c r="AI41" s="53">
        <f t="shared" si="50"/>
        <v>803.07142857142856</v>
      </c>
      <c r="AJ41" s="53">
        <f t="shared" si="50"/>
        <v>459.64285714285717</v>
      </c>
      <c r="AK41" s="48">
        <f t="shared" si="32"/>
        <v>682.71428571428567</v>
      </c>
      <c r="AL41" s="48">
        <f t="shared" si="33"/>
        <v>516.14285714285711</v>
      </c>
      <c r="AM41" s="48">
        <f t="shared" si="34"/>
        <v>590.6</v>
      </c>
      <c r="AN41" s="48">
        <f t="shared" si="51"/>
        <v>591.85714285714289</v>
      </c>
      <c r="AO41" s="53">
        <f>(U41-$B$2)/(U$3-U$2)</f>
        <v>822.21428571428567</v>
      </c>
      <c r="AP41" s="51">
        <f t="shared" si="18"/>
        <v>544.42857142857144</v>
      </c>
      <c r="AQ41" s="5">
        <f t="shared" si="19"/>
        <v>542.40476190476193</v>
      </c>
      <c r="AR41" s="5">
        <f t="shared" si="20"/>
        <v>585.92857142857144</v>
      </c>
      <c r="AS41" s="5">
        <f t="shared" si="21"/>
        <v>626</v>
      </c>
      <c r="AT41" s="5">
        <f t="shared" si="22"/>
        <v>665.92857142857144</v>
      </c>
      <c r="AU41" s="5">
        <f t="shared" si="23"/>
        <v>631.35714285714289</v>
      </c>
      <c r="AV41" s="5">
        <f t="shared" si="24"/>
        <v>571.17857142857144</v>
      </c>
      <c r="AW41" s="5">
        <f t="shared" si="25"/>
        <v>599.42857142857133</v>
      </c>
      <c r="AX41" s="5">
        <f t="shared" si="26"/>
        <v>553.37142857142862</v>
      </c>
      <c r="AY41" s="5">
        <f t="shared" si="27"/>
        <v>591.22857142857151</v>
      </c>
      <c r="AZ41" s="5">
        <f t="shared" si="28"/>
        <v>707.03571428571422</v>
      </c>
      <c r="BA41" s="5">
        <f t="shared" si="29"/>
        <v>683.32142857142856</v>
      </c>
    </row>
    <row r="42" spans="1:53" ht="15.6" thickBot="1" x14ac:dyDescent="0.3">
      <c r="A42" s="28">
        <v>0.9</v>
      </c>
      <c r="B42" s="28">
        <v>1</v>
      </c>
      <c r="C42" s="47">
        <v>1</v>
      </c>
      <c r="D42" s="47" t="s">
        <v>84</v>
      </c>
      <c r="E42" s="31">
        <v>39</v>
      </c>
      <c r="F42">
        <v>1442</v>
      </c>
      <c r="G42" s="28">
        <v>3838</v>
      </c>
      <c r="H42" s="28">
        <v>1940</v>
      </c>
      <c r="I42" s="34">
        <v>2470</v>
      </c>
      <c r="J42" s="28">
        <v>3280</v>
      </c>
      <c r="K42" s="28">
        <v>2048</v>
      </c>
      <c r="L42" s="28">
        <v>2234</v>
      </c>
      <c r="M42" s="28">
        <v>1763</v>
      </c>
      <c r="N42" s="28">
        <v>2463</v>
      </c>
      <c r="O42" s="28">
        <v>3655</v>
      </c>
      <c r="P42" s="28">
        <v>2475</v>
      </c>
      <c r="Q42" s="28">
        <v>1877</v>
      </c>
      <c r="R42" s="28">
        <v>1889</v>
      </c>
      <c r="S42" s="28">
        <v>2495</v>
      </c>
      <c r="T42" s="28">
        <v>1259</v>
      </c>
      <c r="U42" s="28">
        <v>4091</v>
      </c>
      <c r="V42">
        <v>1281</v>
      </c>
      <c r="X42" s="28"/>
      <c r="Z42" s="28">
        <f t="shared" ref="Z42:Z50" si="52">(F42-$B$1)/(F$3-F$2)</f>
        <v>613</v>
      </c>
      <c r="AA42" s="48">
        <f t="shared" ref="AA42:AA50" si="53">(G42-$B$1)/(G$3-G$2)</f>
        <v>603.66666666666663</v>
      </c>
      <c r="AB42" s="48">
        <f t="shared" ref="AB42:AB50" si="54">(H42-$B$1)/(H$3-H$2)</f>
        <v>862</v>
      </c>
      <c r="AC42" s="48">
        <f t="shared" ref="AC42:AC50" si="55">(I42-$B$1)/(I$3-I$2)</f>
        <v>751.33333333333337</v>
      </c>
      <c r="AD42" s="48">
        <f t="shared" ref="AD42:AD50" si="56">(J42-$B$1)/(J$3-J$2)</f>
        <v>766</v>
      </c>
      <c r="AE42" s="48">
        <f t="shared" ref="AE42:AE50" si="57">(K42-$B$1)/(K$3-K$2)</f>
        <v>610.66666666666663</v>
      </c>
      <c r="AF42" s="48">
        <f t="shared" ref="AF42:AF50" si="58">(L42-$B$1)/(L$3-L$2)</f>
        <v>288.28571428571428</v>
      </c>
      <c r="AG42" s="48">
        <f t="shared" ref="AG42:AG50" si="59">(M42-$B$1)/(M$3-M$2)</f>
        <v>221</v>
      </c>
      <c r="AH42" s="48">
        <f t="shared" ref="AH42:AH50" si="60">(N42-$B$1)/(N$3-N$2)</f>
        <v>321</v>
      </c>
      <c r="AI42" s="48">
        <f t="shared" ref="AI42:AI50" si="61">(O42-$B$1)/(O$3-O$2)</f>
        <v>491.28571428571428</v>
      </c>
      <c r="AJ42" s="48">
        <f t="shared" ref="AJ42:AJ50" si="62">(P42-$B$1)/(P$3-P$2)</f>
        <v>322.71428571428572</v>
      </c>
      <c r="AK42" s="48">
        <f t="shared" si="32"/>
        <v>237.28571428571428</v>
      </c>
      <c r="AL42" s="48">
        <f t="shared" si="33"/>
        <v>239</v>
      </c>
      <c r="AM42" s="48">
        <f t="shared" si="34"/>
        <v>455.8</v>
      </c>
      <c r="AN42" s="48">
        <f t="shared" ref="AN42:AN61" si="63">(T42-$B$1)/(T$3-T$2)</f>
        <v>173.83333333333334</v>
      </c>
      <c r="AO42" s="48">
        <f t="shared" ref="AO42:AO61" si="64">(U42-$B$1)/(U$3-U$2)</f>
        <v>553.57142857142856</v>
      </c>
      <c r="AP42" s="51">
        <f t="shared" si="18"/>
        <v>152.14285714285714</v>
      </c>
      <c r="AQ42" s="5">
        <f t="shared" si="19"/>
        <v>449.47619047619048</v>
      </c>
      <c r="AR42" s="5">
        <f t="shared" si="20"/>
        <v>254.64285714285714</v>
      </c>
      <c r="AS42" s="5">
        <f t="shared" si="21"/>
        <v>271</v>
      </c>
      <c r="AT42" s="5">
        <f t="shared" si="22"/>
        <v>406.14285714285711</v>
      </c>
      <c r="AU42" s="5">
        <f t="shared" si="23"/>
        <v>407</v>
      </c>
      <c r="AV42" s="5">
        <f t="shared" si="24"/>
        <v>280</v>
      </c>
      <c r="AW42" s="5">
        <f t="shared" si="25"/>
        <v>238.14285714285714</v>
      </c>
      <c r="AX42" s="5">
        <f t="shared" si="26"/>
        <v>347.4</v>
      </c>
      <c r="AY42" s="5">
        <f t="shared" si="27"/>
        <v>314.81666666666666</v>
      </c>
      <c r="AZ42" s="5">
        <f t="shared" si="28"/>
        <v>363.70238095238096</v>
      </c>
      <c r="BA42" s="5">
        <f t="shared" si="29"/>
        <v>352.85714285714283</v>
      </c>
    </row>
    <row r="43" spans="1:53" ht="15.6" thickBot="1" x14ac:dyDescent="0.3">
      <c r="A43">
        <v>0.9</v>
      </c>
      <c r="B43">
        <v>2</v>
      </c>
      <c r="C43" s="49">
        <v>2</v>
      </c>
      <c r="D43" s="49" t="s">
        <v>84</v>
      </c>
      <c r="E43" s="35">
        <v>40</v>
      </c>
      <c r="F43">
        <v>1834</v>
      </c>
      <c r="G43">
        <v>4274</v>
      </c>
      <c r="H43" s="15">
        <v>1938</v>
      </c>
      <c r="I43" s="34">
        <v>2662</v>
      </c>
      <c r="J43" s="15">
        <v>3544</v>
      </c>
      <c r="K43" s="15">
        <v>2238</v>
      </c>
      <c r="L43" s="15">
        <v>2666</v>
      </c>
      <c r="M43" s="28">
        <v>2705</v>
      </c>
      <c r="N43" s="28">
        <v>2857</v>
      </c>
      <c r="O43" s="28">
        <v>3337</v>
      </c>
      <c r="P43" s="28">
        <v>2969</v>
      </c>
      <c r="Q43" s="28">
        <v>2225</v>
      </c>
      <c r="R43" s="28">
        <v>2023</v>
      </c>
      <c r="S43" s="28">
        <v>2833</v>
      </c>
      <c r="T43" s="28">
        <v>1063</v>
      </c>
      <c r="U43" s="28">
        <v>2097</v>
      </c>
      <c r="V43">
        <v>1655</v>
      </c>
      <c r="X43" s="28"/>
      <c r="Z43" s="50">
        <f t="shared" si="52"/>
        <v>809</v>
      </c>
      <c r="AA43" s="51">
        <f t="shared" si="53"/>
        <v>676.33333333333337</v>
      </c>
      <c r="AB43" s="51">
        <f t="shared" si="54"/>
        <v>861</v>
      </c>
      <c r="AC43" s="51">
        <f t="shared" si="55"/>
        <v>815.33333333333337</v>
      </c>
      <c r="AD43" s="51">
        <f t="shared" si="56"/>
        <v>832</v>
      </c>
      <c r="AE43" s="51">
        <f t="shared" si="57"/>
        <v>674</v>
      </c>
      <c r="AF43" s="51">
        <f t="shared" si="58"/>
        <v>350</v>
      </c>
      <c r="AG43" s="51">
        <f t="shared" si="59"/>
        <v>355.57142857142856</v>
      </c>
      <c r="AH43" s="51">
        <f t="shared" si="60"/>
        <v>377.28571428571428</v>
      </c>
      <c r="AI43" s="51">
        <f t="shared" si="61"/>
        <v>445.85714285714283</v>
      </c>
      <c r="AJ43" s="51">
        <f t="shared" si="62"/>
        <v>393.28571428571428</v>
      </c>
      <c r="AK43" s="48">
        <f t="shared" si="32"/>
        <v>287</v>
      </c>
      <c r="AL43" s="48">
        <f t="shared" si="33"/>
        <v>258.14285714285717</v>
      </c>
      <c r="AM43" s="48">
        <f t="shared" si="34"/>
        <v>523.4</v>
      </c>
      <c r="AN43" s="48">
        <f t="shared" si="63"/>
        <v>141.16666666666666</v>
      </c>
      <c r="AO43" s="51">
        <f t="shared" si="64"/>
        <v>268.71428571428572</v>
      </c>
      <c r="AP43" s="51">
        <f t="shared" si="18"/>
        <v>205.57142857142858</v>
      </c>
      <c r="AQ43" s="5">
        <f t="shared" si="19"/>
        <v>512</v>
      </c>
      <c r="AR43" s="5">
        <f t="shared" si="20"/>
        <v>352.78571428571428</v>
      </c>
      <c r="AS43" s="5">
        <f t="shared" si="21"/>
        <v>366.42857142857144</v>
      </c>
      <c r="AT43" s="5">
        <f t="shared" si="22"/>
        <v>411.57142857142856</v>
      </c>
      <c r="AU43" s="5">
        <f t="shared" si="23"/>
        <v>419.57142857142856</v>
      </c>
      <c r="AV43" s="5">
        <f t="shared" si="24"/>
        <v>340.14285714285711</v>
      </c>
      <c r="AW43" s="5">
        <f t="shared" si="25"/>
        <v>272.57142857142856</v>
      </c>
      <c r="AX43" s="5">
        <f t="shared" si="26"/>
        <v>390.7714285714286</v>
      </c>
      <c r="AY43" s="5">
        <f t="shared" si="27"/>
        <v>332.2833333333333</v>
      </c>
      <c r="AZ43" s="5">
        <f t="shared" si="28"/>
        <v>204.9404761904762</v>
      </c>
      <c r="BA43" s="5">
        <f t="shared" si="29"/>
        <v>237.14285714285717</v>
      </c>
    </row>
    <row r="44" spans="1:53" ht="15.6" thickBot="1" x14ac:dyDescent="0.3">
      <c r="A44">
        <v>4</v>
      </c>
      <c r="B44">
        <v>2</v>
      </c>
      <c r="C44" s="49">
        <v>8</v>
      </c>
      <c r="D44" s="49" t="s">
        <v>84</v>
      </c>
      <c r="E44" s="35">
        <v>41</v>
      </c>
      <c r="F44">
        <v>1976</v>
      </c>
      <c r="G44" s="15">
        <v>4782</v>
      </c>
      <c r="H44" s="15">
        <v>2094</v>
      </c>
      <c r="I44" s="34">
        <v>3018</v>
      </c>
      <c r="J44" s="15">
        <v>3972</v>
      </c>
      <c r="K44" s="15">
        <v>2468</v>
      </c>
      <c r="L44" s="15">
        <v>3183</v>
      </c>
      <c r="M44" s="28">
        <v>2985</v>
      </c>
      <c r="N44" s="28">
        <v>3149</v>
      </c>
      <c r="O44" s="28">
        <v>3747</v>
      </c>
      <c r="P44" s="28">
        <v>3545</v>
      </c>
      <c r="Q44" s="28">
        <v>3149</v>
      </c>
      <c r="R44" s="28">
        <v>3095</v>
      </c>
      <c r="S44" s="28">
        <v>3051</v>
      </c>
      <c r="T44" s="28">
        <v>1827</v>
      </c>
      <c r="U44" s="28">
        <v>5221</v>
      </c>
      <c r="V44">
        <v>2153</v>
      </c>
      <c r="X44" s="28"/>
      <c r="Z44" s="28">
        <f t="shared" si="52"/>
        <v>880</v>
      </c>
      <c r="AA44" s="48">
        <f t="shared" si="53"/>
        <v>761</v>
      </c>
      <c r="AB44" s="48">
        <f t="shared" si="54"/>
        <v>939</v>
      </c>
      <c r="AC44" s="48">
        <f t="shared" si="55"/>
        <v>934</v>
      </c>
      <c r="AD44" s="48">
        <f t="shared" si="56"/>
        <v>939</v>
      </c>
      <c r="AE44" s="48">
        <f t="shared" si="57"/>
        <v>750.66666666666663</v>
      </c>
      <c r="AF44" s="48">
        <f t="shared" si="58"/>
        <v>423.85714285714283</v>
      </c>
      <c r="AG44" s="48">
        <f t="shared" si="59"/>
        <v>395.57142857142856</v>
      </c>
      <c r="AH44" s="48">
        <f t="shared" si="60"/>
        <v>419</v>
      </c>
      <c r="AI44" s="48">
        <f t="shared" si="61"/>
        <v>504.42857142857144</v>
      </c>
      <c r="AJ44" s="48">
        <f t="shared" si="62"/>
        <v>475.57142857142856</v>
      </c>
      <c r="AK44" s="48">
        <f t="shared" si="32"/>
        <v>419</v>
      </c>
      <c r="AL44" s="48">
        <f t="shared" si="33"/>
        <v>411.28571428571428</v>
      </c>
      <c r="AM44" s="48">
        <f t="shared" si="34"/>
        <v>567</v>
      </c>
      <c r="AN44" s="48">
        <f t="shared" si="63"/>
        <v>268.5</v>
      </c>
      <c r="AO44" s="48">
        <f t="shared" si="64"/>
        <v>715</v>
      </c>
      <c r="AP44" s="51">
        <f t="shared" si="18"/>
        <v>276.71428571428572</v>
      </c>
      <c r="AQ44" s="5">
        <f t="shared" si="19"/>
        <v>587.2619047619047</v>
      </c>
      <c r="AR44" s="5">
        <f t="shared" si="20"/>
        <v>409.71428571428567</v>
      </c>
      <c r="AS44" s="5">
        <f t="shared" si="21"/>
        <v>407.28571428571428</v>
      </c>
      <c r="AT44" s="5">
        <f t="shared" si="22"/>
        <v>461.71428571428572</v>
      </c>
      <c r="AU44" s="5">
        <f t="shared" si="23"/>
        <v>490</v>
      </c>
      <c r="AV44" s="5">
        <f t="shared" si="24"/>
        <v>447.28571428571428</v>
      </c>
      <c r="AW44" s="5">
        <f t="shared" si="25"/>
        <v>415.14285714285711</v>
      </c>
      <c r="AX44" s="5">
        <f t="shared" si="26"/>
        <v>489.14285714285711</v>
      </c>
      <c r="AY44" s="5">
        <f t="shared" si="27"/>
        <v>417.75</v>
      </c>
      <c r="AZ44" s="5">
        <f t="shared" si="28"/>
        <v>491.75</v>
      </c>
      <c r="BA44" s="5">
        <f t="shared" si="29"/>
        <v>495.85714285714289</v>
      </c>
    </row>
    <row r="45" spans="1:53" ht="15.6" thickBot="1" x14ac:dyDescent="0.3">
      <c r="A45" s="28">
        <v>4</v>
      </c>
      <c r="B45" s="28">
        <v>3</v>
      </c>
      <c r="C45" s="47">
        <v>9</v>
      </c>
      <c r="D45" s="47" t="s">
        <v>84</v>
      </c>
      <c r="E45" s="31">
        <v>42</v>
      </c>
      <c r="F45">
        <v>1834</v>
      </c>
      <c r="G45" s="28">
        <v>4416</v>
      </c>
      <c r="H45" s="28">
        <v>2160</v>
      </c>
      <c r="I45" s="34">
        <v>2850</v>
      </c>
      <c r="J45" s="15">
        <v>4046</v>
      </c>
      <c r="K45" s="28">
        <v>1984</v>
      </c>
      <c r="L45" s="28">
        <v>2458</v>
      </c>
      <c r="M45" s="28">
        <v>4019</v>
      </c>
      <c r="N45" s="28">
        <v>3397</v>
      </c>
      <c r="O45" s="28">
        <v>4491</v>
      </c>
      <c r="P45" s="28">
        <v>3255</v>
      </c>
      <c r="Q45" s="28">
        <v>3349</v>
      </c>
      <c r="R45" s="28">
        <v>3383</v>
      </c>
      <c r="S45" s="28">
        <v>2611</v>
      </c>
      <c r="T45" s="28">
        <v>1807</v>
      </c>
      <c r="U45">
        <v>5159</v>
      </c>
      <c r="V45">
        <v>2995</v>
      </c>
      <c r="Z45" s="50">
        <f t="shared" si="52"/>
        <v>809</v>
      </c>
      <c r="AA45" s="51">
        <f t="shared" si="53"/>
        <v>700</v>
      </c>
      <c r="AB45" s="51">
        <f t="shared" si="54"/>
        <v>972</v>
      </c>
      <c r="AC45" s="51">
        <f t="shared" si="55"/>
        <v>878</v>
      </c>
      <c r="AD45" s="51">
        <f t="shared" si="56"/>
        <v>957.5</v>
      </c>
      <c r="AE45" s="51">
        <f t="shared" si="57"/>
        <v>589.33333333333337</v>
      </c>
      <c r="AF45" s="51">
        <f t="shared" si="58"/>
        <v>320.28571428571428</v>
      </c>
      <c r="AG45" s="51">
        <f t="shared" si="59"/>
        <v>543.28571428571433</v>
      </c>
      <c r="AH45" s="51">
        <f t="shared" si="60"/>
        <v>454.42857142857144</v>
      </c>
      <c r="AI45" s="51">
        <f t="shared" si="61"/>
        <v>610.71428571428567</v>
      </c>
      <c r="AJ45" s="51">
        <f t="shared" si="62"/>
        <v>434.14285714285717</v>
      </c>
      <c r="AK45" s="48">
        <f t="shared" si="32"/>
        <v>447.57142857142856</v>
      </c>
      <c r="AL45" s="48">
        <f t="shared" si="33"/>
        <v>452.42857142857144</v>
      </c>
      <c r="AM45" s="48">
        <f t="shared" si="34"/>
        <v>479</v>
      </c>
      <c r="AN45" s="48">
        <f t="shared" si="63"/>
        <v>265.16666666666669</v>
      </c>
      <c r="AO45" s="51">
        <f t="shared" si="64"/>
        <v>706.14285714285711</v>
      </c>
      <c r="AP45" s="51">
        <f t="shared" si="18"/>
        <v>397</v>
      </c>
      <c r="AQ45" s="5">
        <f t="shared" si="19"/>
        <v>454.80952380952385</v>
      </c>
      <c r="AR45" s="5">
        <f t="shared" si="20"/>
        <v>431.78571428571433</v>
      </c>
      <c r="AS45" s="5">
        <f t="shared" si="21"/>
        <v>498.85714285714289</v>
      </c>
      <c r="AT45" s="5">
        <f t="shared" si="22"/>
        <v>532.57142857142856</v>
      </c>
      <c r="AU45" s="5">
        <f t="shared" si="23"/>
        <v>522.42857142857144</v>
      </c>
      <c r="AV45" s="5">
        <f t="shared" si="24"/>
        <v>440.85714285714289</v>
      </c>
      <c r="AW45" s="5">
        <f t="shared" si="25"/>
        <v>450</v>
      </c>
      <c r="AX45" s="5">
        <f t="shared" si="26"/>
        <v>465.71428571428572</v>
      </c>
      <c r="AY45" s="5">
        <f t="shared" si="27"/>
        <v>372.08333333333337</v>
      </c>
      <c r="AZ45" s="5">
        <f t="shared" si="28"/>
        <v>485.65476190476193</v>
      </c>
      <c r="BA45" s="5">
        <f t="shared" si="29"/>
        <v>551.57142857142856</v>
      </c>
    </row>
    <row r="46" spans="1:53" ht="15.6" thickBot="1" x14ac:dyDescent="0.3">
      <c r="A46">
        <v>0.9</v>
      </c>
      <c r="B46">
        <v>1</v>
      </c>
      <c r="C46" s="49">
        <v>1</v>
      </c>
      <c r="D46" s="49" t="s">
        <v>84</v>
      </c>
      <c r="E46" s="35">
        <v>43</v>
      </c>
      <c r="F46">
        <v>1904</v>
      </c>
      <c r="G46">
        <v>4480</v>
      </c>
      <c r="H46" s="15">
        <v>2024</v>
      </c>
      <c r="I46" s="34">
        <v>2832</v>
      </c>
      <c r="J46" s="15">
        <v>3774</v>
      </c>
      <c r="K46" s="15">
        <v>2344</v>
      </c>
      <c r="L46" s="15">
        <v>2778</v>
      </c>
      <c r="M46" s="28">
        <v>3023</v>
      </c>
      <c r="N46" s="28">
        <v>3261</v>
      </c>
      <c r="O46" s="28">
        <v>3747</v>
      </c>
      <c r="P46" s="28">
        <v>3359</v>
      </c>
      <c r="Q46" s="28">
        <v>2897</v>
      </c>
      <c r="R46" s="28">
        <v>2769</v>
      </c>
      <c r="S46" s="28">
        <v>2483</v>
      </c>
      <c r="T46" s="28">
        <v>1649</v>
      </c>
      <c r="U46" s="28">
        <v>4673</v>
      </c>
      <c r="V46">
        <v>1851</v>
      </c>
      <c r="X46" s="28"/>
      <c r="Z46" s="28">
        <f t="shared" si="52"/>
        <v>844</v>
      </c>
      <c r="AA46" s="48">
        <f t="shared" si="53"/>
        <v>710.66666666666663</v>
      </c>
      <c r="AB46" s="48">
        <f t="shared" si="54"/>
        <v>904</v>
      </c>
      <c r="AC46" s="48">
        <f t="shared" si="55"/>
        <v>872</v>
      </c>
      <c r="AD46" s="48">
        <f t="shared" si="56"/>
        <v>889.5</v>
      </c>
      <c r="AE46" s="48">
        <f t="shared" si="57"/>
        <v>709.33333333333337</v>
      </c>
      <c r="AF46" s="48">
        <f t="shared" si="58"/>
        <v>366</v>
      </c>
      <c r="AG46" s="48">
        <f t="shared" si="59"/>
        <v>401</v>
      </c>
      <c r="AH46" s="48">
        <f t="shared" si="60"/>
        <v>435</v>
      </c>
      <c r="AI46" s="48">
        <f t="shared" si="61"/>
        <v>504.42857142857144</v>
      </c>
      <c r="AJ46" s="48">
        <f t="shared" si="62"/>
        <v>449</v>
      </c>
      <c r="AK46" s="48">
        <f t="shared" ref="AK46:AK75" si="65">(Q46-$B$1)/(Q$3-Q$2)</f>
        <v>383</v>
      </c>
      <c r="AL46" s="48">
        <f t="shared" ref="AL46:AL75" si="66">(R46-$B$1)/(R$3-R$2)</f>
        <v>364.71428571428572</v>
      </c>
      <c r="AM46" s="48">
        <f t="shared" ref="AM46:AM75" si="67">(S46-$B$1)/(S$3-S$2)</f>
        <v>453.4</v>
      </c>
      <c r="AN46" s="48">
        <f t="shared" si="63"/>
        <v>238.83333333333334</v>
      </c>
      <c r="AO46" s="48">
        <f t="shared" si="64"/>
        <v>636.71428571428567</v>
      </c>
      <c r="AP46" s="51">
        <f t="shared" si="18"/>
        <v>233.57142857142858</v>
      </c>
      <c r="AQ46" s="5">
        <f t="shared" si="19"/>
        <v>537.66666666666674</v>
      </c>
      <c r="AR46" s="5">
        <f t="shared" si="20"/>
        <v>383.5</v>
      </c>
      <c r="AS46" s="5">
        <f t="shared" si="21"/>
        <v>418</v>
      </c>
      <c r="AT46" s="5">
        <f t="shared" si="22"/>
        <v>469.71428571428572</v>
      </c>
      <c r="AU46" s="5">
        <f t="shared" si="23"/>
        <v>476.71428571428572</v>
      </c>
      <c r="AV46" s="5">
        <f t="shared" si="24"/>
        <v>416</v>
      </c>
      <c r="AW46" s="5">
        <f t="shared" si="25"/>
        <v>373.85714285714289</v>
      </c>
      <c r="AX46" s="5">
        <f t="shared" si="26"/>
        <v>409.05714285714282</v>
      </c>
      <c r="AY46" s="5">
        <f t="shared" si="27"/>
        <v>346.11666666666667</v>
      </c>
      <c r="AZ46" s="5">
        <f t="shared" si="28"/>
        <v>437.77380952380952</v>
      </c>
      <c r="BA46" s="5">
        <f t="shared" si="29"/>
        <v>435.14285714285711</v>
      </c>
    </row>
    <row r="47" spans="1:53" ht="15.6" thickBot="1" x14ac:dyDescent="0.3">
      <c r="A47" s="28">
        <v>0.9</v>
      </c>
      <c r="B47" s="28">
        <v>4</v>
      </c>
      <c r="C47" s="47">
        <v>4</v>
      </c>
      <c r="D47" s="47" t="s">
        <v>84</v>
      </c>
      <c r="E47" s="31">
        <v>44</v>
      </c>
      <c r="F47">
        <v>2016</v>
      </c>
      <c r="G47" s="28">
        <v>4694</v>
      </c>
      <c r="H47" s="28">
        <v>2160</v>
      </c>
      <c r="I47" s="34">
        <v>2946</v>
      </c>
      <c r="J47" s="28">
        <v>3918</v>
      </c>
      <c r="K47" s="28">
        <v>2164</v>
      </c>
      <c r="L47" s="28">
        <v>2776</v>
      </c>
      <c r="M47" s="28">
        <v>3097</v>
      </c>
      <c r="N47" s="28">
        <v>3321</v>
      </c>
      <c r="O47" s="28">
        <v>3745</v>
      </c>
      <c r="P47" s="28">
        <v>2643</v>
      </c>
      <c r="Q47" s="28">
        <v>1895</v>
      </c>
      <c r="R47" s="28">
        <v>1625</v>
      </c>
      <c r="S47" s="28">
        <v>1747</v>
      </c>
      <c r="T47" s="28">
        <v>551</v>
      </c>
      <c r="U47">
        <v>668</v>
      </c>
      <c r="V47">
        <v>441</v>
      </c>
      <c r="Z47" s="50">
        <f t="shared" si="52"/>
        <v>900</v>
      </c>
      <c r="AA47" s="51">
        <f t="shared" si="53"/>
        <v>746.33333333333337</v>
      </c>
      <c r="AB47" s="51">
        <f t="shared" si="54"/>
        <v>972</v>
      </c>
      <c r="AC47" s="51">
        <f t="shared" si="55"/>
        <v>910</v>
      </c>
      <c r="AD47" s="51">
        <f t="shared" si="56"/>
        <v>925.5</v>
      </c>
      <c r="AE47" s="51">
        <f t="shared" si="57"/>
        <v>649.33333333333337</v>
      </c>
      <c r="AF47" s="51">
        <f t="shared" si="58"/>
        <v>365.71428571428572</v>
      </c>
      <c r="AG47" s="51">
        <f t="shared" si="59"/>
        <v>411.57142857142856</v>
      </c>
      <c r="AH47" s="51">
        <f t="shared" si="60"/>
        <v>443.57142857142856</v>
      </c>
      <c r="AI47" s="51">
        <f t="shared" si="61"/>
        <v>504.14285714285717</v>
      </c>
      <c r="AJ47" s="51">
        <f t="shared" si="62"/>
        <v>346.71428571428572</v>
      </c>
      <c r="AK47" s="48">
        <f t="shared" si="65"/>
        <v>239.85714285714286</v>
      </c>
      <c r="AL47" s="48">
        <f t="shared" si="66"/>
        <v>201.28571428571428</v>
      </c>
      <c r="AM47" s="48">
        <f t="shared" si="67"/>
        <v>306.2</v>
      </c>
      <c r="AN47" s="48">
        <f t="shared" si="63"/>
        <v>55.833333333333336</v>
      </c>
      <c r="AO47" s="51">
        <f t="shared" si="64"/>
        <v>64.571428571428569</v>
      </c>
      <c r="AP47" s="51">
        <f t="shared" si="18"/>
        <v>32.142857142857146</v>
      </c>
      <c r="AQ47" s="5">
        <f t="shared" si="19"/>
        <v>507.52380952380952</v>
      </c>
      <c r="AR47" s="5">
        <f t="shared" si="20"/>
        <v>388.64285714285711</v>
      </c>
      <c r="AS47" s="5">
        <f t="shared" si="21"/>
        <v>427.57142857142856</v>
      </c>
      <c r="AT47" s="5">
        <f t="shared" si="22"/>
        <v>473.85714285714289</v>
      </c>
      <c r="AU47" s="5">
        <f t="shared" si="23"/>
        <v>425.42857142857144</v>
      </c>
      <c r="AV47" s="5">
        <f t="shared" si="24"/>
        <v>293.28571428571428</v>
      </c>
      <c r="AW47" s="5">
        <f t="shared" si="25"/>
        <v>220.57142857142856</v>
      </c>
      <c r="AX47" s="5">
        <f t="shared" si="26"/>
        <v>253.74285714285713</v>
      </c>
      <c r="AY47" s="5">
        <f t="shared" si="27"/>
        <v>181.01666666666665</v>
      </c>
      <c r="AZ47" s="5">
        <f t="shared" si="28"/>
        <v>60.202380952380949</v>
      </c>
      <c r="BA47" s="5">
        <f t="shared" si="29"/>
        <v>48.357142857142861</v>
      </c>
    </row>
    <row r="48" spans="1:53" ht="15.6" thickBot="1" x14ac:dyDescent="0.3">
      <c r="A48">
        <v>4</v>
      </c>
      <c r="B48">
        <v>3</v>
      </c>
      <c r="C48" s="49">
        <v>9</v>
      </c>
      <c r="D48" s="49" t="s">
        <v>84</v>
      </c>
      <c r="E48" s="35">
        <v>45</v>
      </c>
      <c r="F48">
        <v>1976</v>
      </c>
      <c r="G48">
        <v>4788</v>
      </c>
      <c r="H48" s="15">
        <v>2140</v>
      </c>
      <c r="I48" s="34">
        <v>2930</v>
      </c>
      <c r="J48" s="15">
        <v>3946</v>
      </c>
      <c r="K48" s="15">
        <v>2252</v>
      </c>
      <c r="L48" s="15">
        <v>2786</v>
      </c>
      <c r="M48" s="28">
        <v>3467</v>
      </c>
      <c r="N48" s="28">
        <v>3551</v>
      </c>
      <c r="O48" s="28">
        <v>4265</v>
      </c>
      <c r="P48" s="28">
        <v>3691</v>
      </c>
      <c r="Q48" s="28">
        <v>3397</v>
      </c>
      <c r="R48" s="28">
        <v>3251</v>
      </c>
      <c r="S48" s="28">
        <v>2721</v>
      </c>
      <c r="T48" s="28">
        <v>1803</v>
      </c>
      <c r="U48" s="28">
        <v>5259</v>
      </c>
      <c r="V48">
        <v>2463</v>
      </c>
      <c r="X48" s="28"/>
      <c r="Z48" s="28">
        <f t="shared" si="52"/>
        <v>880</v>
      </c>
      <c r="AA48" s="48">
        <f t="shared" si="53"/>
        <v>762</v>
      </c>
      <c r="AB48" s="48">
        <f t="shared" si="54"/>
        <v>962</v>
      </c>
      <c r="AC48" s="48">
        <f t="shared" si="55"/>
        <v>904.66666666666663</v>
      </c>
      <c r="AD48" s="48">
        <f t="shared" si="56"/>
        <v>932.5</v>
      </c>
      <c r="AE48" s="48">
        <f t="shared" si="57"/>
        <v>678.66666666666663</v>
      </c>
      <c r="AF48" s="48">
        <f t="shared" si="58"/>
        <v>367.14285714285717</v>
      </c>
      <c r="AG48" s="48">
        <f t="shared" si="59"/>
        <v>464.42857142857144</v>
      </c>
      <c r="AH48" s="48">
        <f t="shared" si="60"/>
        <v>476.42857142857144</v>
      </c>
      <c r="AI48" s="48">
        <f t="shared" si="61"/>
        <v>578.42857142857144</v>
      </c>
      <c r="AJ48" s="48">
        <f t="shared" si="62"/>
        <v>496.42857142857144</v>
      </c>
      <c r="AK48" s="48">
        <f t="shared" si="65"/>
        <v>454.42857142857144</v>
      </c>
      <c r="AL48" s="48">
        <f t="shared" si="66"/>
        <v>433.57142857142856</v>
      </c>
      <c r="AM48" s="48">
        <f t="shared" si="67"/>
        <v>501</v>
      </c>
      <c r="AN48" s="48">
        <f t="shared" si="63"/>
        <v>264.5</v>
      </c>
      <c r="AO48" s="48">
        <f t="shared" si="64"/>
        <v>720.42857142857144</v>
      </c>
      <c r="AP48" s="51">
        <f t="shared" si="18"/>
        <v>321</v>
      </c>
      <c r="AQ48" s="5">
        <f t="shared" si="19"/>
        <v>522.90476190476193</v>
      </c>
      <c r="AR48" s="5">
        <f t="shared" si="20"/>
        <v>415.78571428571433</v>
      </c>
      <c r="AS48" s="5">
        <f t="shared" si="21"/>
        <v>470.42857142857144</v>
      </c>
      <c r="AT48" s="5">
        <f t="shared" si="22"/>
        <v>527.42857142857144</v>
      </c>
      <c r="AU48" s="5">
        <f t="shared" si="23"/>
        <v>537.42857142857144</v>
      </c>
      <c r="AV48" s="5">
        <f t="shared" si="24"/>
        <v>475.42857142857144</v>
      </c>
      <c r="AW48" s="5">
        <f t="shared" si="25"/>
        <v>444</v>
      </c>
      <c r="AX48" s="5">
        <f t="shared" si="26"/>
        <v>467.28571428571428</v>
      </c>
      <c r="AY48" s="5">
        <f t="shared" si="27"/>
        <v>382.75</v>
      </c>
      <c r="AZ48" s="5">
        <f t="shared" si="28"/>
        <v>492.46428571428572</v>
      </c>
      <c r="BA48" s="5">
        <f t="shared" si="29"/>
        <v>520.71428571428578</v>
      </c>
    </row>
    <row r="49" spans="1:53" ht="15.6" thickBot="1" x14ac:dyDescent="0.3">
      <c r="A49" s="28">
        <v>0.9</v>
      </c>
      <c r="B49" s="28">
        <v>3</v>
      </c>
      <c r="C49" s="47">
        <v>3</v>
      </c>
      <c r="D49" s="47" t="s">
        <v>84</v>
      </c>
      <c r="E49" s="31">
        <v>46</v>
      </c>
      <c r="F49">
        <v>1770</v>
      </c>
      <c r="G49" s="28">
        <v>4148</v>
      </c>
      <c r="H49" s="28">
        <v>2076</v>
      </c>
      <c r="I49" s="34">
        <v>2794</v>
      </c>
      <c r="J49" s="28">
        <v>3742</v>
      </c>
      <c r="K49" s="28">
        <v>2080</v>
      </c>
      <c r="L49" s="28">
        <v>2850</v>
      </c>
      <c r="M49" s="28">
        <v>3011</v>
      </c>
      <c r="N49" s="28">
        <v>3231</v>
      </c>
      <c r="O49" s="28">
        <v>3659</v>
      </c>
      <c r="P49" s="28">
        <v>3039</v>
      </c>
      <c r="Q49" s="28">
        <v>2487</v>
      </c>
      <c r="R49" s="28">
        <v>2173</v>
      </c>
      <c r="S49" s="28">
        <v>1871</v>
      </c>
      <c r="T49" s="28">
        <v>919</v>
      </c>
      <c r="U49" s="28">
        <v>1871</v>
      </c>
      <c r="V49">
        <v>1055</v>
      </c>
      <c r="X49" s="28"/>
      <c r="Z49" s="50">
        <f t="shared" si="52"/>
        <v>777</v>
      </c>
      <c r="AA49" s="51">
        <f t="shared" si="53"/>
        <v>655.33333333333337</v>
      </c>
      <c r="AB49" s="51">
        <f t="shared" si="54"/>
        <v>930</v>
      </c>
      <c r="AC49" s="51">
        <f t="shared" si="55"/>
        <v>859.33333333333337</v>
      </c>
      <c r="AD49" s="51">
        <f t="shared" si="56"/>
        <v>881.5</v>
      </c>
      <c r="AE49" s="51">
        <f t="shared" si="57"/>
        <v>621.33333333333337</v>
      </c>
      <c r="AF49" s="51">
        <f t="shared" si="58"/>
        <v>376.28571428571428</v>
      </c>
      <c r="AG49" s="51">
        <f t="shared" si="59"/>
        <v>399.28571428571428</v>
      </c>
      <c r="AH49" s="51">
        <f t="shared" si="60"/>
        <v>430.71428571428572</v>
      </c>
      <c r="AI49" s="51">
        <f t="shared" si="61"/>
        <v>491.85714285714283</v>
      </c>
      <c r="AJ49" s="51">
        <f t="shared" si="62"/>
        <v>403.28571428571428</v>
      </c>
      <c r="AK49" s="48">
        <f t="shared" si="65"/>
        <v>324.42857142857144</v>
      </c>
      <c r="AL49" s="48">
        <f t="shared" si="66"/>
        <v>279.57142857142856</v>
      </c>
      <c r="AM49" s="48">
        <f t="shared" si="67"/>
        <v>331</v>
      </c>
      <c r="AN49" s="48">
        <f t="shared" si="63"/>
        <v>117.16666666666667</v>
      </c>
      <c r="AO49" s="51">
        <f t="shared" si="64"/>
        <v>236.42857142857142</v>
      </c>
      <c r="AP49" s="51">
        <f t="shared" si="18"/>
        <v>119.85714285714286</v>
      </c>
      <c r="AQ49" s="5">
        <f t="shared" si="19"/>
        <v>498.80952380952385</v>
      </c>
      <c r="AR49" s="5">
        <f t="shared" si="20"/>
        <v>387.78571428571428</v>
      </c>
      <c r="AS49" s="5">
        <f t="shared" si="21"/>
        <v>415</v>
      </c>
      <c r="AT49" s="5">
        <f t="shared" si="22"/>
        <v>461.28571428571428</v>
      </c>
      <c r="AU49" s="5">
        <f t="shared" si="23"/>
        <v>447.57142857142856</v>
      </c>
      <c r="AV49" s="5">
        <f t="shared" si="24"/>
        <v>363.85714285714289</v>
      </c>
      <c r="AW49" s="5">
        <f t="shared" si="25"/>
        <v>302</v>
      </c>
      <c r="AX49" s="5">
        <f t="shared" si="26"/>
        <v>305.28571428571428</v>
      </c>
      <c r="AY49" s="5">
        <f t="shared" si="27"/>
        <v>224.08333333333334</v>
      </c>
      <c r="AZ49" s="5">
        <f t="shared" si="28"/>
        <v>176.79761904761904</v>
      </c>
      <c r="BA49" s="5">
        <f t="shared" si="29"/>
        <v>178.14285714285714</v>
      </c>
    </row>
    <row r="50" spans="1:53" ht="15.6" thickBot="1" x14ac:dyDescent="0.3">
      <c r="A50">
        <v>0.9</v>
      </c>
      <c r="B50">
        <v>5</v>
      </c>
      <c r="C50" s="49">
        <v>5</v>
      </c>
      <c r="D50" s="49" t="s">
        <v>84</v>
      </c>
      <c r="E50" s="35">
        <v>47</v>
      </c>
      <c r="F50">
        <v>1914</v>
      </c>
      <c r="G50">
        <v>4274</v>
      </c>
      <c r="H50" s="15">
        <v>1780</v>
      </c>
      <c r="I50" s="34">
        <v>2280</v>
      </c>
      <c r="J50" s="15">
        <v>3372</v>
      </c>
      <c r="K50" s="15">
        <v>1620</v>
      </c>
      <c r="L50" s="15">
        <v>2416</v>
      </c>
      <c r="M50" s="28">
        <v>2727</v>
      </c>
      <c r="N50" s="28">
        <v>2979</v>
      </c>
      <c r="O50" s="28">
        <v>4019</v>
      </c>
      <c r="P50" s="28">
        <v>2583</v>
      </c>
      <c r="Q50" s="28">
        <v>1815</v>
      </c>
      <c r="R50" s="28">
        <v>1573</v>
      </c>
      <c r="S50" s="28">
        <v>1223</v>
      </c>
      <c r="T50" s="28">
        <v>1003</v>
      </c>
      <c r="U50" s="28">
        <v>2285</v>
      </c>
      <c r="V50">
        <v>1083</v>
      </c>
      <c r="X50" s="28"/>
      <c r="Z50" s="28">
        <f t="shared" si="52"/>
        <v>849</v>
      </c>
      <c r="AA50" s="48">
        <f t="shared" si="53"/>
        <v>676.33333333333337</v>
      </c>
      <c r="AB50" s="48">
        <f t="shared" si="54"/>
        <v>782</v>
      </c>
      <c r="AC50" s="48">
        <f t="shared" si="55"/>
        <v>688</v>
      </c>
      <c r="AD50" s="48">
        <f t="shared" si="56"/>
        <v>789</v>
      </c>
      <c r="AE50" s="48">
        <f t="shared" si="57"/>
        <v>468</v>
      </c>
      <c r="AF50" s="48">
        <f t="shared" si="58"/>
        <v>314.28571428571428</v>
      </c>
      <c r="AG50" s="48">
        <f t="shared" si="59"/>
        <v>358.71428571428572</v>
      </c>
      <c r="AH50" s="48">
        <f t="shared" si="60"/>
        <v>394.71428571428572</v>
      </c>
      <c r="AI50" s="48">
        <f t="shared" si="61"/>
        <v>543.28571428571433</v>
      </c>
      <c r="AJ50" s="48">
        <f t="shared" si="62"/>
        <v>338.14285714285717</v>
      </c>
      <c r="AK50" s="48">
        <f t="shared" si="65"/>
        <v>228.42857142857142</v>
      </c>
      <c r="AL50" s="48">
        <f t="shared" si="66"/>
        <v>193.85714285714286</v>
      </c>
      <c r="AM50" s="48">
        <f t="shared" si="67"/>
        <v>201.4</v>
      </c>
      <c r="AN50" s="48">
        <f t="shared" si="63"/>
        <v>131.16666666666666</v>
      </c>
      <c r="AO50" s="48">
        <f t="shared" si="64"/>
        <v>295.57142857142856</v>
      </c>
      <c r="AP50" s="51">
        <f t="shared" si="18"/>
        <v>123.85714285714286</v>
      </c>
      <c r="AQ50" s="5">
        <f t="shared" si="19"/>
        <v>391.14285714285711</v>
      </c>
      <c r="AR50" s="5">
        <f t="shared" si="20"/>
        <v>336.5</v>
      </c>
      <c r="AS50" s="5">
        <f t="shared" si="21"/>
        <v>376.71428571428572</v>
      </c>
      <c r="AT50" s="5">
        <f t="shared" si="22"/>
        <v>469</v>
      </c>
      <c r="AU50" s="5">
        <f t="shared" si="23"/>
        <v>440.71428571428578</v>
      </c>
      <c r="AV50" s="5">
        <f t="shared" si="24"/>
        <v>283.28571428571428</v>
      </c>
      <c r="AW50" s="5">
        <f t="shared" si="25"/>
        <v>211.14285714285714</v>
      </c>
      <c r="AX50" s="5">
        <f t="shared" si="26"/>
        <v>197.62857142857143</v>
      </c>
      <c r="AY50" s="5">
        <f t="shared" si="27"/>
        <v>166.28333333333333</v>
      </c>
      <c r="AZ50" s="5">
        <f t="shared" si="28"/>
        <v>213.36904761904759</v>
      </c>
      <c r="BA50" s="5">
        <f t="shared" si="29"/>
        <v>209.71428571428572</v>
      </c>
    </row>
    <row r="51" spans="1:53" ht="15.6" thickBot="1" x14ac:dyDescent="0.3">
      <c r="A51" s="28">
        <v>4</v>
      </c>
      <c r="B51" s="28">
        <v>5</v>
      </c>
      <c r="C51" s="47">
        <v>11</v>
      </c>
      <c r="D51" s="47" t="s">
        <v>84</v>
      </c>
      <c r="E51" s="31">
        <v>48</v>
      </c>
      <c r="F51">
        <v>2036</v>
      </c>
      <c r="G51" s="28">
        <v>4988</v>
      </c>
      <c r="H51" s="28">
        <v>2326</v>
      </c>
      <c r="I51" s="34">
        <v>2292</v>
      </c>
      <c r="J51" s="28">
        <v>4222</v>
      </c>
      <c r="K51" s="28" t="s">
        <v>86</v>
      </c>
      <c r="L51" s="28">
        <v>2568</v>
      </c>
      <c r="M51" s="28">
        <v>1929</v>
      </c>
      <c r="N51" s="28">
        <v>3385</v>
      </c>
      <c r="O51" s="28">
        <v>4415</v>
      </c>
      <c r="P51" s="28">
        <v>3803</v>
      </c>
      <c r="Q51" s="28">
        <v>3455</v>
      </c>
      <c r="R51" s="28">
        <v>3415</v>
      </c>
      <c r="S51" s="28">
        <v>4019</v>
      </c>
      <c r="T51" s="28">
        <v>1867</v>
      </c>
      <c r="U51" s="28">
        <v>4967</v>
      </c>
      <c r="V51">
        <v>2395</v>
      </c>
      <c r="X51" s="28"/>
      <c r="Z51" s="50">
        <f t="shared" ref="Z51:Z61" si="68">(F51-$B$1)/(F$3-F$2)</f>
        <v>910</v>
      </c>
      <c r="AA51" s="51">
        <f t="shared" ref="AA51:AA61" si="69">(G51-$B$1)/(G$3-G$2)</f>
        <v>795.33333333333337</v>
      </c>
      <c r="AB51" s="51">
        <f t="shared" ref="AB51:AB61" si="70">(H51-$B$1)/(H$3-H$2)</f>
        <v>1055</v>
      </c>
      <c r="AC51" s="51">
        <f t="shared" ref="AC51:AC61" si="71">(I51-$B$1)/(I$3-I$2)</f>
        <v>692</v>
      </c>
      <c r="AD51" s="51">
        <f t="shared" ref="AD51:AD61" si="72">(J51-$B$1)/(J$3-J$2)</f>
        <v>1001.5</v>
      </c>
      <c r="AE51" s="51"/>
      <c r="AF51" s="51">
        <f t="shared" ref="AF51:AF61" si="73">(L51-$B$1)/(L$3-L$2)</f>
        <v>336</v>
      </c>
      <c r="AG51" s="51">
        <f t="shared" ref="AG51:AG61" si="74">(M51-$B$1)/(M$3-M$2)</f>
        <v>244.71428571428572</v>
      </c>
      <c r="AH51" s="51">
        <f t="shared" ref="AH51:AH61" si="75">(N51-$B$1)/(N$3-N$2)</f>
        <v>452.71428571428572</v>
      </c>
      <c r="AI51" s="51">
        <f t="shared" ref="AI51:AI61" si="76">(O51-$B$1)/(O$3-O$2)</f>
        <v>599.85714285714289</v>
      </c>
      <c r="AJ51" s="51">
        <f t="shared" ref="AJ51:AJ61" si="77">(P51-$B$1)/(P$3-P$2)</f>
        <v>512.42857142857144</v>
      </c>
      <c r="AK51" s="48">
        <f t="shared" si="65"/>
        <v>462.71428571428572</v>
      </c>
      <c r="AL51" s="48">
        <f t="shared" si="66"/>
        <v>457</v>
      </c>
      <c r="AM51" s="48">
        <f t="shared" si="67"/>
        <v>760.6</v>
      </c>
      <c r="AN51" s="48">
        <f t="shared" si="63"/>
        <v>275.16666666666669</v>
      </c>
      <c r="AO51" s="51">
        <f t="shared" si="64"/>
        <v>678.71428571428567</v>
      </c>
      <c r="AP51" s="51">
        <f t="shared" si="18"/>
        <v>311.28571428571428</v>
      </c>
      <c r="AQ51" s="5">
        <f t="shared" si="19"/>
        <v>168</v>
      </c>
      <c r="AR51" s="5">
        <f t="shared" si="20"/>
        <v>290.35714285714289</v>
      </c>
      <c r="AS51" s="5">
        <f t="shared" si="21"/>
        <v>348.71428571428572</v>
      </c>
      <c r="AT51" s="5">
        <f t="shared" si="22"/>
        <v>526.28571428571433</v>
      </c>
      <c r="AU51" s="5">
        <f t="shared" si="23"/>
        <v>556.14285714285711</v>
      </c>
      <c r="AV51" s="5">
        <f t="shared" si="24"/>
        <v>487.57142857142856</v>
      </c>
      <c r="AW51" s="5">
        <f t="shared" si="25"/>
        <v>459.85714285714289</v>
      </c>
      <c r="AX51" s="5">
        <f t="shared" si="26"/>
        <v>608.79999999999995</v>
      </c>
      <c r="AY51" s="5">
        <f t="shared" si="27"/>
        <v>517.88333333333333</v>
      </c>
      <c r="AZ51" s="5">
        <f t="shared" si="28"/>
        <v>476.94047619047615</v>
      </c>
      <c r="BA51" s="5">
        <f t="shared" si="29"/>
        <v>495</v>
      </c>
    </row>
    <row r="52" spans="1:53" ht="15.6" thickBot="1" x14ac:dyDescent="0.3">
      <c r="A52">
        <v>0.9</v>
      </c>
      <c r="B52">
        <v>5</v>
      </c>
      <c r="C52" s="49">
        <v>5</v>
      </c>
      <c r="D52" s="49" t="s">
        <v>84</v>
      </c>
      <c r="E52" s="35">
        <v>49</v>
      </c>
      <c r="F52">
        <v>1928</v>
      </c>
      <c r="G52">
        <v>4508</v>
      </c>
      <c r="H52" s="15">
        <v>2098</v>
      </c>
      <c r="I52" s="34">
        <v>2210</v>
      </c>
      <c r="J52" s="15">
        <v>3114</v>
      </c>
      <c r="K52" s="15">
        <v>1790</v>
      </c>
      <c r="L52" s="15">
        <v>2616</v>
      </c>
      <c r="M52" s="28">
        <v>2085</v>
      </c>
      <c r="N52" s="28">
        <v>2819</v>
      </c>
      <c r="O52" s="28">
        <v>4111</v>
      </c>
      <c r="P52" s="28">
        <v>3301</v>
      </c>
      <c r="Q52" s="28">
        <v>2467</v>
      </c>
      <c r="R52" s="28">
        <v>2351</v>
      </c>
      <c r="S52" s="28">
        <v>1751</v>
      </c>
      <c r="T52" s="28">
        <v>1565</v>
      </c>
      <c r="U52" s="28">
        <v>4573</v>
      </c>
      <c r="V52">
        <v>1279</v>
      </c>
      <c r="X52" s="28"/>
      <c r="Z52" s="28">
        <f t="shared" si="68"/>
        <v>856</v>
      </c>
      <c r="AA52" s="48">
        <f t="shared" si="69"/>
        <v>715.33333333333337</v>
      </c>
      <c r="AB52" s="48">
        <f t="shared" si="70"/>
        <v>941</v>
      </c>
      <c r="AC52" s="48">
        <f t="shared" si="71"/>
        <v>664.66666666666663</v>
      </c>
      <c r="AD52" s="48">
        <f t="shared" si="72"/>
        <v>724.5</v>
      </c>
      <c r="AE52" s="48">
        <f t="shared" ref="AE52:AE61" si="78">(K52-$B$1)/(K$3-K$2)</f>
        <v>524.66666666666663</v>
      </c>
      <c r="AF52" s="48">
        <f t="shared" si="73"/>
        <v>342.85714285714283</v>
      </c>
      <c r="AG52" s="48">
        <f t="shared" si="74"/>
        <v>267</v>
      </c>
      <c r="AH52" s="48">
        <f t="shared" si="75"/>
        <v>371.85714285714283</v>
      </c>
      <c r="AI52" s="48">
        <f t="shared" si="76"/>
        <v>556.42857142857144</v>
      </c>
      <c r="AJ52" s="48">
        <f t="shared" si="77"/>
        <v>440.71428571428572</v>
      </c>
      <c r="AK52" s="48">
        <f t="shared" si="65"/>
        <v>321.57142857142856</v>
      </c>
      <c r="AL52" s="48">
        <f t="shared" si="66"/>
        <v>305</v>
      </c>
      <c r="AM52" s="48">
        <f t="shared" si="67"/>
        <v>307</v>
      </c>
      <c r="AN52" s="48">
        <f t="shared" si="63"/>
        <v>224.83333333333334</v>
      </c>
      <c r="AO52" s="48">
        <f t="shared" si="64"/>
        <v>622.42857142857144</v>
      </c>
      <c r="AP52" s="51">
        <f t="shared" si="18"/>
        <v>151.85714285714286</v>
      </c>
      <c r="AQ52" s="5">
        <f t="shared" si="19"/>
        <v>433.7619047619047</v>
      </c>
      <c r="AR52" s="5">
        <f t="shared" si="20"/>
        <v>304.92857142857144</v>
      </c>
      <c r="AS52" s="5">
        <f t="shared" si="21"/>
        <v>319.42857142857144</v>
      </c>
      <c r="AT52" s="5">
        <f t="shared" si="22"/>
        <v>464.14285714285711</v>
      </c>
      <c r="AU52" s="5">
        <f t="shared" si="23"/>
        <v>498.57142857142856</v>
      </c>
      <c r="AV52" s="5">
        <f t="shared" si="24"/>
        <v>381.14285714285711</v>
      </c>
      <c r="AW52" s="5">
        <f t="shared" si="25"/>
        <v>313.28571428571428</v>
      </c>
      <c r="AX52" s="5">
        <f t="shared" si="26"/>
        <v>306</v>
      </c>
      <c r="AY52" s="5">
        <f t="shared" si="27"/>
        <v>265.91666666666669</v>
      </c>
      <c r="AZ52" s="5">
        <f t="shared" si="28"/>
        <v>423.63095238095241</v>
      </c>
      <c r="BA52" s="5">
        <f t="shared" si="29"/>
        <v>387.14285714285717</v>
      </c>
    </row>
    <row r="53" spans="1:53" ht="15.6" thickBot="1" x14ac:dyDescent="0.3">
      <c r="A53">
        <v>0.9</v>
      </c>
      <c r="B53">
        <v>4</v>
      </c>
      <c r="C53" s="49">
        <v>4</v>
      </c>
      <c r="D53" s="49" t="s">
        <v>84</v>
      </c>
      <c r="E53" s="35">
        <v>50</v>
      </c>
      <c r="F53">
        <v>2014</v>
      </c>
      <c r="G53" s="28">
        <v>4712</v>
      </c>
      <c r="H53" s="28">
        <v>2278</v>
      </c>
      <c r="I53" s="34">
        <v>4058</v>
      </c>
      <c r="J53" s="28">
        <v>5278</v>
      </c>
      <c r="K53" s="28">
        <v>1828</v>
      </c>
      <c r="L53" s="28">
        <v>2250</v>
      </c>
      <c r="M53" s="28">
        <v>2683</v>
      </c>
      <c r="N53" s="28">
        <v>2127</v>
      </c>
      <c r="O53" s="28">
        <v>2385</v>
      </c>
      <c r="P53" s="28">
        <v>1277</v>
      </c>
      <c r="Q53" s="28">
        <v>651</v>
      </c>
      <c r="R53" s="28">
        <v>625</v>
      </c>
      <c r="S53" s="28">
        <v>1225</v>
      </c>
      <c r="T53" s="28">
        <v>379</v>
      </c>
      <c r="U53" s="28">
        <v>2527</v>
      </c>
      <c r="V53">
        <v>299</v>
      </c>
      <c r="X53" s="28"/>
      <c r="Z53" s="50">
        <f t="shared" si="68"/>
        <v>899</v>
      </c>
      <c r="AA53" s="51">
        <f t="shared" si="69"/>
        <v>749.33333333333337</v>
      </c>
      <c r="AB53" s="51">
        <f t="shared" si="70"/>
        <v>1031</v>
      </c>
      <c r="AC53" s="51">
        <f t="shared" si="71"/>
        <v>1280.6666666666667</v>
      </c>
      <c r="AD53" s="51">
        <f t="shared" si="72"/>
        <v>1265.5</v>
      </c>
      <c r="AE53" s="51">
        <f t="shared" si="78"/>
        <v>537.33333333333337</v>
      </c>
      <c r="AF53" s="51">
        <f t="shared" si="73"/>
        <v>290.57142857142856</v>
      </c>
      <c r="AG53" s="51">
        <f t="shared" si="74"/>
        <v>352.42857142857144</v>
      </c>
      <c r="AH53" s="51">
        <f t="shared" si="75"/>
        <v>273</v>
      </c>
      <c r="AI53" s="51">
        <f t="shared" si="76"/>
        <v>309.85714285714283</v>
      </c>
      <c r="AJ53" s="51">
        <f t="shared" si="77"/>
        <v>151.57142857142858</v>
      </c>
      <c r="AK53" s="48">
        <f t="shared" si="65"/>
        <v>62.142857142857146</v>
      </c>
      <c r="AL53" s="48">
        <f t="shared" si="66"/>
        <v>58.428571428571431</v>
      </c>
      <c r="AM53" s="48">
        <f t="shared" si="67"/>
        <v>201.8</v>
      </c>
      <c r="AN53" s="48">
        <f t="shared" si="63"/>
        <v>27.166666666666668</v>
      </c>
      <c r="AO53" s="51">
        <f t="shared" si="64"/>
        <v>330.14285714285717</v>
      </c>
      <c r="AP53" s="51">
        <f t="shared" si="18"/>
        <v>11.857142857142858</v>
      </c>
      <c r="AQ53" s="5">
        <f t="shared" si="19"/>
        <v>413.95238095238096</v>
      </c>
      <c r="AR53" s="5">
        <f t="shared" si="20"/>
        <v>321.5</v>
      </c>
      <c r="AS53" s="5">
        <f t="shared" si="21"/>
        <v>312.71428571428572</v>
      </c>
      <c r="AT53" s="5">
        <f t="shared" si="22"/>
        <v>291.42857142857144</v>
      </c>
      <c r="AU53" s="5">
        <f t="shared" si="23"/>
        <v>230.71428571428572</v>
      </c>
      <c r="AV53" s="5">
        <f t="shared" si="24"/>
        <v>106.85714285714286</v>
      </c>
      <c r="AW53" s="5">
        <f t="shared" si="25"/>
        <v>60.285714285714292</v>
      </c>
      <c r="AX53" s="5">
        <f t="shared" si="26"/>
        <v>130.11428571428573</v>
      </c>
      <c r="AY53" s="5">
        <f t="shared" si="27"/>
        <v>114.48333333333333</v>
      </c>
      <c r="AZ53" s="5">
        <f t="shared" si="28"/>
        <v>178.65476190476193</v>
      </c>
      <c r="BA53" s="5">
        <f t="shared" si="29"/>
        <v>171</v>
      </c>
    </row>
    <row r="54" spans="1:53" ht="15.6" thickBot="1" x14ac:dyDescent="0.3">
      <c r="A54" s="28">
        <v>4</v>
      </c>
      <c r="B54" s="28">
        <v>3</v>
      </c>
      <c r="C54" s="47">
        <v>9</v>
      </c>
      <c r="D54" s="47" t="s">
        <v>84</v>
      </c>
      <c r="E54" s="31">
        <v>51</v>
      </c>
      <c r="F54">
        <v>2108</v>
      </c>
      <c r="G54" s="28">
        <v>4866</v>
      </c>
      <c r="H54" s="28">
        <v>2230</v>
      </c>
      <c r="I54" s="34">
        <v>3076</v>
      </c>
      <c r="J54" s="28">
        <v>4016</v>
      </c>
      <c r="K54" s="28">
        <v>2378</v>
      </c>
      <c r="L54" s="28">
        <v>2840</v>
      </c>
      <c r="M54" s="28">
        <v>3335</v>
      </c>
      <c r="N54" s="28">
        <v>3735</v>
      </c>
      <c r="O54" s="28">
        <v>4129</v>
      </c>
      <c r="P54" s="28">
        <v>3709</v>
      </c>
      <c r="Q54" s="28">
        <v>3305</v>
      </c>
      <c r="R54" s="28">
        <v>3307</v>
      </c>
      <c r="S54" s="28">
        <v>2991</v>
      </c>
      <c r="T54" s="28">
        <v>1703</v>
      </c>
      <c r="U54" s="28">
        <v>4751</v>
      </c>
      <c r="V54">
        <v>1575</v>
      </c>
      <c r="X54" s="28"/>
      <c r="Z54" s="28">
        <f t="shared" si="68"/>
        <v>946</v>
      </c>
      <c r="AA54" s="48">
        <f t="shared" si="69"/>
        <v>775</v>
      </c>
      <c r="AB54" s="48">
        <f t="shared" si="70"/>
        <v>1007</v>
      </c>
      <c r="AC54" s="48">
        <f t="shared" si="71"/>
        <v>953.33333333333337</v>
      </c>
      <c r="AD54" s="48">
        <f t="shared" si="72"/>
        <v>950</v>
      </c>
      <c r="AE54" s="48">
        <f t="shared" si="78"/>
        <v>720.66666666666663</v>
      </c>
      <c r="AF54" s="48">
        <f t="shared" si="73"/>
        <v>374.85714285714283</v>
      </c>
      <c r="AG54" s="48">
        <f t="shared" si="74"/>
        <v>445.57142857142856</v>
      </c>
      <c r="AH54" s="48">
        <f t="shared" si="75"/>
        <v>502.71428571428572</v>
      </c>
      <c r="AI54" s="48">
        <f t="shared" si="76"/>
        <v>559</v>
      </c>
      <c r="AJ54" s="48">
        <f t="shared" si="77"/>
        <v>499</v>
      </c>
      <c r="AK54" s="48">
        <f t="shared" si="65"/>
        <v>441.28571428571428</v>
      </c>
      <c r="AL54" s="48">
        <f t="shared" si="66"/>
        <v>441.57142857142856</v>
      </c>
      <c r="AM54" s="48">
        <f t="shared" si="67"/>
        <v>555</v>
      </c>
      <c r="AN54" s="48">
        <f t="shared" si="63"/>
        <v>247.83333333333334</v>
      </c>
      <c r="AO54" s="48">
        <f t="shared" si="64"/>
        <v>647.85714285714289</v>
      </c>
      <c r="AP54" s="51">
        <f t="shared" si="18"/>
        <v>194.14285714285714</v>
      </c>
      <c r="AQ54" s="5">
        <f t="shared" si="19"/>
        <v>547.7619047619047</v>
      </c>
      <c r="AR54" s="5">
        <f t="shared" si="20"/>
        <v>410.21428571428567</v>
      </c>
      <c r="AS54" s="5">
        <f t="shared" si="21"/>
        <v>474.14285714285711</v>
      </c>
      <c r="AT54" s="5">
        <f t="shared" si="22"/>
        <v>530.85714285714289</v>
      </c>
      <c r="AU54" s="5">
        <f t="shared" si="23"/>
        <v>529</v>
      </c>
      <c r="AV54" s="5">
        <f t="shared" si="24"/>
        <v>470.14285714285711</v>
      </c>
      <c r="AW54" s="5">
        <f t="shared" si="25"/>
        <v>441.42857142857144</v>
      </c>
      <c r="AX54" s="5">
        <f t="shared" si="26"/>
        <v>498.28571428571428</v>
      </c>
      <c r="AY54" s="5">
        <f t="shared" si="27"/>
        <v>401.41666666666669</v>
      </c>
      <c r="AZ54" s="5">
        <f t="shared" si="28"/>
        <v>447.84523809523813</v>
      </c>
      <c r="BA54" s="5">
        <f t="shared" si="29"/>
        <v>421</v>
      </c>
    </row>
    <row r="55" spans="1:53" ht="15.6" thickBot="1" x14ac:dyDescent="0.3">
      <c r="A55">
        <v>4</v>
      </c>
      <c r="B55">
        <v>2</v>
      </c>
      <c r="C55" s="49">
        <v>8</v>
      </c>
      <c r="D55" s="49" t="s">
        <v>84</v>
      </c>
      <c r="E55" s="35">
        <v>52</v>
      </c>
      <c r="F55">
        <v>1978</v>
      </c>
      <c r="G55" s="28">
        <v>4718</v>
      </c>
      <c r="H55" s="28">
        <v>2134</v>
      </c>
      <c r="I55" s="34">
        <v>2812</v>
      </c>
      <c r="J55" s="28">
        <v>4062</v>
      </c>
      <c r="K55" s="28">
        <v>2142</v>
      </c>
      <c r="L55" s="28">
        <v>2426</v>
      </c>
      <c r="M55" s="28">
        <v>3775</v>
      </c>
      <c r="N55" s="28">
        <v>3412</v>
      </c>
      <c r="O55" s="28">
        <v>4341</v>
      </c>
      <c r="P55" s="28">
        <v>2917</v>
      </c>
      <c r="Q55" s="28">
        <v>3213</v>
      </c>
      <c r="R55" s="28">
        <v>3061</v>
      </c>
      <c r="S55" s="28">
        <v>2795</v>
      </c>
      <c r="T55" s="28">
        <v>1409</v>
      </c>
      <c r="U55" s="28">
        <v>4247</v>
      </c>
      <c r="V55">
        <v>1751</v>
      </c>
      <c r="X55" s="28"/>
      <c r="Z55" s="50">
        <f t="shared" si="68"/>
        <v>881</v>
      </c>
      <c r="AA55" s="51">
        <f t="shared" si="69"/>
        <v>750.33333333333337</v>
      </c>
      <c r="AB55" s="51">
        <f t="shared" si="70"/>
        <v>959</v>
      </c>
      <c r="AC55" s="51">
        <f t="shared" si="71"/>
        <v>865.33333333333337</v>
      </c>
      <c r="AD55" s="51">
        <f t="shared" si="72"/>
        <v>961.5</v>
      </c>
      <c r="AE55" s="51">
        <f t="shared" si="78"/>
        <v>642</v>
      </c>
      <c r="AF55" s="51">
        <f t="shared" si="73"/>
        <v>315.71428571428572</v>
      </c>
      <c r="AG55" s="51">
        <f t="shared" si="74"/>
        <v>508.42857142857144</v>
      </c>
      <c r="AH55" s="51">
        <f t="shared" si="75"/>
        <v>456.57142857142856</v>
      </c>
      <c r="AI55" s="51">
        <f t="shared" si="76"/>
        <v>589.28571428571433</v>
      </c>
      <c r="AJ55" s="51">
        <f t="shared" si="77"/>
        <v>385.85714285714283</v>
      </c>
      <c r="AK55" s="48">
        <f t="shared" si="65"/>
        <v>428.14285714285717</v>
      </c>
      <c r="AL55" s="48">
        <f t="shared" si="66"/>
        <v>406.42857142857144</v>
      </c>
      <c r="AM55" s="48">
        <f t="shared" si="67"/>
        <v>515.79999999999995</v>
      </c>
      <c r="AN55" s="48">
        <f t="shared" si="63"/>
        <v>198.83333333333334</v>
      </c>
      <c r="AO55" s="51">
        <f t="shared" si="64"/>
        <v>575.85714285714289</v>
      </c>
      <c r="AP55" s="51">
        <f t="shared" si="18"/>
        <v>219.28571428571428</v>
      </c>
      <c r="AQ55" s="5">
        <f t="shared" si="19"/>
        <v>478.85714285714289</v>
      </c>
      <c r="AR55" s="5">
        <f t="shared" si="20"/>
        <v>412.07142857142856</v>
      </c>
      <c r="AS55" s="5">
        <f t="shared" si="21"/>
        <v>482.5</v>
      </c>
      <c r="AT55" s="5">
        <f t="shared" si="22"/>
        <v>522.92857142857144</v>
      </c>
      <c r="AU55" s="5">
        <f t="shared" si="23"/>
        <v>487.57142857142856</v>
      </c>
      <c r="AV55" s="5">
        <f t="shared" si="24"/>
        <v>407</v>
      </c>
      <c r="AW55" s="5">
        <f t="shared" si="25"/>
        <v>417.28571428571433</v>
      </c>
      <c r="AX55" s="5">
        <f t="shared" si="26"/>
        <v>461.1142857142857</v>
      </c>
      <c r="AY55" s="5">
        <f t="shared" si="27"/>
        <v>357.31666666666666</v>
      </c>
      <c r="AZ55" s="5">
        <f t="shared" si="28"/>
        <v>387.34523809523813</v>
      </c>
      <c r="BA55" s="5">
        <f t="shared" si="29"/>
        <v>397.57142857142856</v>
      </c>
    </row>
    <row r="56" spans="1:53" ht="15.6" thickBot="1" x14ac:dyDescent="0.3">
      <c r="A56" s="28">
        <v>0.9</v>
      </c>
      <c r="B56" s="28">
        <v>1</v>
      </c>
      <c r="C56" s="47">
        <v>1</v>
      </c>
      <c r="D56" s="47" t="s">
        <v>84</v>
      </c>
      <c r="E56" s="31">
        <v>53</v>
      </c>
      <c r="F56">
        <v>1938</v>
      </c>
      <c r="G56" s="28">
        <v>4532</v>
      </c>
      <c r="H56" s="28">
        <v>2110</v>
      </c>
      <c r="I56" s="34">
        <v>2954</v>
      </c>
      <c r="J56" s="28">
        <v>3940</v>
      </c>
      <c r="K56" s="28">
        <v>2332</v>
      </c>
      <c r="L56" s="28">
        <v>2846</v>
      </c>
      <c r="M56" s="28">
        <v>3305</v>
      </c>
      <c r="N56" s="28">
        <v>3535</v>
      </c>
      <c r="O56" s="28">
        <v>4029</v>
      </c>
      <c r="P56" s="28">
        <v>3385</v>
      </c>
      <c r="Q56" s="28">
        <v>2901</v>
      </c>
      <c r="R56" s="28">
        <v>3119</v>
      </c>
      <c r="S56" s="28">
        <v>3407</v>
      </c>
      <c r="T56" s="28">
        <v>1409</v>
      </c>
      <c r="U56" s="28">
        <v>4331</v>
      </c>
      <c r="V56">
        <v>1753</v>
      </c>
      <c r="X56" s="28"/>
      <c r="Z56" s="28">
        <f t="shared" si="68"/>
        <v>861</v>
      </c>
      <c r="AA56" s="48">
        <f t="shared" si="69"/>
        <v>719.33333333333337</v>
      </c>
      <c r="AB56" s="48">
        <f t="shared" si="70"/>
        <v>947</v>
      </c>
      <c r="AC56" s="48">
        <f t="shared" si="71"/>
        <v>912.66666666666663</v>
      </c>
      <c r="AD56" s="48">
        <f t="shared" si="72"/>
        <v>931</v>
      </c>
      <c r="AE56" s="48">
        <f t="shared" si="78"/>
        <v>705.33333333333337</v>
      </c>
      <c r="AF56" s="48">
        <f t="shared" si="73"/>
        <v>375.71428571428572</v>
      </c>
      <c r="AG56" s="48">
        <f t="shared" si="74"/>
        <v>441.28571428571428</v>
      </c>
      <c r="AH56" s="48">
        <f t="shared" si="75"/>
        <v>474.14285714285717</v>
      </c>
      <c r="AI56" s="48">
        <f t="shared" si="76"/>
        <v>544.71428571428567</v>
      </c>
      <c r="AJ56" s="48">
        <f t="shared" si="77"/>
        <v>452.71428571428572</v>
      </c>
      <c r="AK56" s="48">
        <f t="shared" si="65"/>
        <v>383.57142857142856</v>
      </c>
      <c r="AL56" s="48">
        <f t="shared" si="66"/>
        <v>414.71428571428572</v>
      </c>
      <c r="AM56" s="48">
        <f t="shared" si="67"/>
        <v>638.20000000000005</v>
      </c>
      <c r="AN56" s="48">
        <f t="shared" si="63"/>
        <v>198.83333333333334</v>
      </c>
      <c r="AO56" s="48">
        <f t="shared" si="64"/>
        <v>587.85714285714289</v>
      </c>
      <c r="AP56" s="51">
        <f t="shared" si="18"/>
        <v>219.57142857142858</v>
      </c>
      <c r="AQ56" s="5">
        <f t="shared" si="19"/>
        <v>540.52380952380952</v>
      </c>
      <c r="AR56" s="5">
        <f t="shared" si="20"/>
        <v>408.5</v>
      </c>
      <c r="AS56" s="5">
        <f t="shared" si="21"/>
        <v>457.71428571428572</v>
      </c>
      <c r="AT56" s="5">
        <f t="shared" si="22"/>
        <v>509.42857142857144</v>
      </c>
      <c r="AU56" s="5">
        <f t="shared" si="23"/>
        <v>498.71428571428567</v>
      </c>
      <c r="AV56" s="5">
        <f t="shared" si="24"/>
        <v>418.14285714285711</v>
      </c>
      <c r="AW56" s="5">
        <f t="shared" si="25"/>
        <v>399.14285714285711</v>
      </c>
      <c r="AX56" s="5">
        <f t="shared" si="26"/>
        <v>526.45714285714291</v>
      </c>
      <c r="AY56" s="5">
        <f t="shared" si="27"/>
        <v>418.51666666666671</v>
      </c>
      <c r="AZ56" s="5">
        <f t="shared" si="28"/>
        <v>393.34523809523813</v>
      </c>
      <c r="BA56" s="5">
        <f t="shared" si="29"/>
        <v>403.71428571428572</v>
      </c>
    </row>
    <row r="57" spans="1:53" ht="15.6" thickBot="1" x14ac:dyDescent="0.3">
      <c r="A57" s="38">
        <v>4</v>
      </c>
      <c r="B57" s="38">
        <v>1</v>
      </c>
      <c r="C57" s="54">
        <v>7</v>
      </c>
      <c r="D57" s="49" t="s">
        <v>84</v>
      </c>
      <c r="E57" s="35">
        <v>54</v>
      </c>
      <c r="F57">
        <v>2034</v>
      </c>
      <c r="G57">
        <v>4968</v>
      </c>
      <c r="H57" s="28">
        <v>2548</v>
      </c>
      <c r="I57" s="34">
        <v>3056</v>
      </c>
      <c r="J57" s="28">
        <v>4128</v>
      </c>
      <c r="K57" s="28">
        <v>2436</v>
      </c>
      <c r="L57" s="28">
        <v>3180</v>
      </c>
      <c r="M57" s="28">
        <v>3147</v>
      </c>
      <c r="N57" s="28">
        <v>3771</v>
      </c>
      <c r="O57" s="28">
        <v>4191</v>
      </c>
      <c r="P57" s="28">
        <v>3545</v>
      </c>
      <c r="Q57" s="28">
        <v>2895</v>
      </c>
      <c r="R57" s="28">
        <v>2823</v>
      </c>
      <c r="S57" s="28">
        <v>3599</v>
      </c>
      <c r="T57" s="28">
        <v>1775</v>
      </c>
      <c r="U57" s="28">
        <v>5025</v>
      </c>
      <c r="V57">
        <v>1725</v>
      </c>
      <c r="X57" s="28"/>
      <c r="Z57" s="50">
        <f t="shared" si="68"/>
        <v>909</v>
      </c>
      <c r="AA57" s="51">
        <f t="shared" si="69"/>
        <v>792</v>
      </c>
      <c r="AB57" s="51">
        <f t="shared" si="70"/>
        <v>1166</v>
      </c>
      <c r="AC57" s="51">
        <f t="shared" si="71"/>
        <v>946.66666666666663</v>
      </c>
      <c r="AD57" s="51">
        <f t="shared" si="72"/>
        <v>978</v>
      </c>
      <c r="AE57" s="51">
        <f t="shared" si="78"/>
        <v>740</v>
      </c>
      <c r="AF57" s="51">
        <f t="shared" si="73"/>
        <v>423.42857142857144</v>
      </c>
      <c r="AG57" s="51">
        <f t="shared" si="74"/>
        <v>418.71428571428572</v>
      </c>
      <c r="AH57" s="51">
        <f t="shared" si="75"/>
        <v>507.85714285714283</v>
      </c>
      <c r="AI57" s="51">
        <f t="shared" si="76"/>
        <v>567.85714285714289</v>
      </c>
      <c r="AJ57" s="51">
        <f t="shared" si="77"/>
        <v>475.57142857142856</v>
      </c>
      <c r="AK57" s="48">
        <f t="shared" si="65"/>
        <v>382.71428571428572</v>
      </c>
      <c r="AL57" s="48">
        <f t="shared" si="66"/>
        <v>372.42857142857144</v>
      </c>
      <c r="AM57" s="48">
        <f t="shared" si="67"/>
        <v>676.6</v>
      </c>
      <c r="AN57" s="48">
        <f t="shared" si="63"/>
        <v>259.83333333333331</v>
      </c>
      <c r="AO57" s="51">
        <f t="shared" si="64"/>
        <v>687</v>
      </c>
      <c r="AP57" s="51">
        <f t="shared" si="18"/>
        <v>215.57142857142858</v>
      </c>
      <c r="AQ57" s="5">
        <f t="shared" si="19"/>
        <v>581.71428571428578</v>
      </c>
      <c r="AR57" s="5">
        <f t="shared" si="20"/>
        <v>421.07142857142856</v>
      </c>
      <c r="AS57" s="5">
        <f t="shared" si="21"/>
        <v>463.28571428571428</v>
      </c>
      <c r="AT57" s="5">
        <f t="shared" si="22"/>
        <v>537.85714285714289</v>
      </c>
      <c r="AU57" s="5">
        <f t="shared" si="23"/>
        <v>521.71428571428578</v>
      </c>
      <c r="AV57" s="5">
        <f t="shared" si="24"/>
        <v>429.14285714285711</v>
      </c>
      <c r="AW57" s="5">
        <f t="shared" si="25"/>
        <v>377.57142857142856</v>
      </c>
      <c r="AX57" s="5">
        <f t="shared" si="26"/>
        <v>524.51428571428573</v>
      </c>
      <c r="AY57" s="5">
        <f t="shared" si="27"/>
        <v>468.2166666666667</v>
      </c>
      <c r="AZ57" s="5">
        <f t="shared" si="28"/>
        <v>473.41666666666663</v>
      </c>
      <c r="BA57" s="5">
        <f t="shared" si="29"/>
        <v>451.28571428571428</v>
      </c>
    </row>
    <row r="58" spans="1:53" ht="15.6" thickBot="1" x14ac:dyDescent="0.3">
      <c r="A58" s="28">
        <v>0.9</v>
      </c>
      <c r="B58" s="28">
        <v>5</v>
      </c>
      <c r="C58" s="47">
        <v>5</v>
      </c>
      <c r="D58" s="47" t="s">
        <v>84</v>
      </c>
      <c r="E58" s="31">
        <v>55</v>
      </c>
      <c r="F58">
        <v>1964</v>
      </c>
      <c r="G58" s="28">
        <v>4536</v>
      </c>
      <c r="H58" s="28">
        <v>1898</v>
      </c>
      <c r="I58" s="34">
        <v>2472</v>
      </c>
      <c r="J58" s="28">
        <v>3584</v>
      </c>
      <c r="K58" s="28">
        <v>1684</v>
      </c>
      <c r="L58" s="28">
        <v>2326</v>
      </c>
      <c r="M58" s="28">
        <v>3689</v>
      </c>
      <c r="N58" s="28">
        <v>3235</v>
      </c>
      <c r="O58" s="28">
        <v>4239</v>
      </c>
      <c r="P58" s="28">
        <v>2919</v>
      </c>
      <c r="Q58" s="28">
        <v>2871</v>
      </c>
      <c r="R58" s="28">
        <v>2473</v>
      </c>
      <c r="S58" s="28">
        <v>1681</v>
      </c>
      <c r="T58" s="28">
        <v>2021</v>
      </c>
      <c r="U58" s="28">
        <v>3567</v>
      </c>
      <c r="V58">
        <v>1479</v>
      </c>
      <c r="X58" s="28"/>
      <c r="Z58" s="28">
        <f t="shared" si="68"/>
        <v>874</v>
      </c>
      <c r="AA58" s="48">
        <f t="shared" si="69"/>
        <v>720</v>
      </c>
      <c r="AB58" s="48">
        <f t="shared" si="70"/>
        <v>841</v>
      </c>
      <c r="AC58" s="48">
        <f t="shared" si="71"/>
        <v>752</v>
      </c>
      <c r="AD58" s="48">
        <f t="shared" si="72"/>
        <v>842</v>
      </c>
      <c r="AE58" s="48">
        <f t="shared" si="78"/>
        <v>489.33333333333331</v>
      </c>
      <c r="AF58" s="48">
        <f t="shared" si="73"/>
        <v>301.42857142857144</v>
      </c>
      <c r="AG58" s="48">
        <f t="shared" si="74"/>
        <v>496.14285714285717</v>
      </c>
      <c r="AH58" s="48">
        <f t="shared" si="75"/>
        <v>431.28571428571428</v>
      </c>
      <c r="AI58" s="48">
        <f t="shared" si="76"/>
        <v>574.71428571428567</v>
      </c>
      <c r="AJ58" s="48">
        <f t="shared" si="77"/>
        <v>386.14285714285717</v>
      </c>
      <c r="AK58" s="48">
        <f t="shared" si="65"/>
        <v>379.28571428571428</v>
      </c>
      <c r="AL58" s="48">
        <f t="shared" si="66"/>
        <v>322.42857142857144</v>
      </c>
      <c r="AM58" s="48">
        <f t="shared" si="67"/>
        <v>293</v>
      </c>
      <c r="AN58" s="48">
        <f t="shared" si="63"/>
        <v>300.83333333333331</v>
      </c>
      <c r="AO58" s="48">
        <f t="shared" si="64"/>
        <v>478.71428571428572</v>
      </c>
      <c r="AP58" s="51">
        <f t="shared" si="18"/>
        <v>180.42857142857142</v>
      </c>
      <c r="AQ58" s="5">
        <f t="shared" si="19"/>
        <v>395.38095238095241</v>
      </c>
      <c r="AR58" s="5">
        <f t="shared" si="20"/>
        <v>398.78571428571433</v>
      </c>
      <c r="AS58" s="5">
        <f t="shared" si="21"/>
        <v>463.71428571428572</v>
      </c>
      <c r="AT58" s="5">
        <f t="shared" si="22"/>
        <v>503</v>
      </c>
      <c r="AU58" s="5">
        <f t="shared" si="23"/>
        <v>480.42857142857144</v>
      </c>
      <c r="AV58" s="5">
        <f t="shared" si="24"/>
        <v>382.71428571428572</v>
      </c>
      <c r="AW58" s="5">
        <f t="shared" si="25"/>
        <v>350.85714285714289</v>
      </c>
      <c r="AX58" s="5">
        <f t="shared" si="26"/>
        <v>307.71428571428572</v>
      </c>
      <c r="AY58" s="5">
        <f t="shared" si="27"/>
        <v>296.91666666666663</v>
      </c>
      <c r="AZ58" s="5">
        <f t="shared" si="28"/>
        <v>389.77380952380952</v>
      </c>
      <c r="BA58" s="5">
        <f t="shared" si="29"/>
        <v>329.57142857142856</v>
      </c>
    </row>
    <row r="59" spans="1:53" ht="15.6" thickBot="1" x14ac:dyDescent="0.3">
      <c r="A59">
        <v>0.9</v>
      </c>
      <c r="B59">
        <v>6</v>
      </c>
      <c r="C59" s="49">
        <v>6</v>
      </c>
      <c r="D59" s="49" t="s">
        <v>84</v>
      </c>
      <c r="E59" s="35">
        <v>56</v>
      </c>
      <c r="F59">
        <v>1930</v>
      </c>
      <c r="G59">
        <v>4556</v>
      </c>
      <c r="H59" s="28">
        <v>2040</v>
      </c>
      <c r="I59" s="34">
        <v>2560</v>
      </c>
      <c r="J59" s="28">
        <v>4078</v>
      </c>
      <c r="K59" s="28">
        <v>2016</v>
      </c>
      <c r="L59" s="28">
        <v>2256</v>
      </c>
      <c r="M59" s="28">
        <v>3395</v>
      </c>
      <c r="N59" s="28">
        <v>2765</v>
      </c>
      <c r="O59" s="28">
        <v>3917</v>
      </c>
      <c r="P59" s="28">
        <v>1715</v>
      </c>
      <c r="Q59" s="28">
        <v>1247</v>
      </c>
      <c r="R59" s="28">
        <v>669</v>
      </c>
      <c r="S59" s="28">
        <v>997</v>
      </c>
      <c r="T59" s="28">
        <v>271</v>
      </c>
      <c r="U59" s="28">
        <v>1403</v>
      </c>
      <c r="V59">
        <v>167</v>
      </c>
      <c r="X59" s="28"/>
      <c r="Z59" s="50">
        <f t="shared" si="68"/>
        <v>857</v>
      </c>
      <c r="AA59" s="51">
        <f t="shared" si="69"/>
        <v>723.33333333333337</v>
      </c>
      <c r="AB59" s="51">
        <f t="shared" si="70"/>
        <v>912</v>
      </c>
      <c r="AC59" s="51">
        <f t="shared" si="71"/>
        <v>781.33333333333337</v>
      </c>
      <c r="AD59" s="51">
        <f t="shared" si="72"/>
        <v>965.5</v>
      </c>
      <c r="AE59" s="51">
        <f t="shared" si="78"/>
        <v>600</v>
      </c>
      <c r="AF59" s="51">
        <f t="shared" si="73"/>
        <v>291.42857142857144</v>
      </c>
      <c r="AG59" s="51">
        <f t="shared" si="74"/>
        <v>454.14285714285717</v>
      </c>
      <c r="AH59" s="51">
        <f t="shared" si="75"/>
        <v>364.14285714285717</v>
      </c>
      <c r="AI59" s="51">
        <f t="shared" si="76"/>
        <v>528.71428571428567</v>
      </c>
      <c r="AJ59" s="51">
        <f t="shared" si="77"/>
        <v>214.14285714285714</v>
      </c>
      <c r="AK59" s="48">
        <f t="shared" si="65"/>
        <v>147.28571428571428</v>
      </c>
      <c r="AL59" s="48">
        <f t="shared" si="66"/>
        <v>64.714285714285708</v>
      </c>
      <c r="AM59" s="48">
        <f t="shared" si="67"/>
        <v>156.19999999999999</v>
      </c>
      <c r="AN59" s="48">
        <f t="shared" si="63"/>
        <v>9.1666666666666661</v>
      </c>
      <c r="AO59" s="51">
        <f t="shared" si="64"/>
        <v>169.57142857142858</v>
      </c>
      <c r="AP59" s="51">
        <f t="shared" si="18"/>
        <v>-7</v>
      </c>
      <c r="AQ59" s="5">
        <f t="shared" si="19"/>
        <v>445.71428571428572</v>
      </c>
      <c r="AR59" s="5">
        <f t="shared" si="20"/>
        <v>372.78571428571433</v>
      </c>
      <c r="AS59" s="5">
        <f t="shared" si="21"/>
        <v>409.14285714285717</v>
      </c>
      <c r="AT59" s="5">
        <f t="shared" si="22"/>
        <v>446.42857142857144</v>
      </c>
      <c r="AU59" s="5">
        <f t="shared" si="23"/>
        <v>371.42857142857139</v>
      </c>
      <c r="AV59" s="5">
        <f t="shared" si="24"/>
        <v>180.71428571428572</v>
      </c>
      <c r="AW59" s="5">
        <f t="shared" si="25"/>
        <v>106</v>
      </c>
      <c r="AX59" s="5">
        <f t="shared" si="26"/>
        <v>110.45714285714286</v>
      </c>
      <c r="AY59" s="5">
        <f t="shared" si="27"/>
        <v>82.683333333333323</v>
      </c>
      <c r="AZ59" s="5">
        <f t="shared" si="28"/>
        <v>89.36904761904762</v>
      </c>
      <c r="BA59" s="5">
        <f t="shared" si="29"/>
        <v>81.285714285714292</v>
      </c>
    </row>
    <row r="60" spans="1:53" ht="15.6" thickBot="1" x14ac:dyDescent="0.3">
      <c r="A60" s="28">
        <v>4</v>
      </c>
      <c r="B60" s="28">
        <v>2</v>
      </c>
      <c r="C60" s="47">
        <v>8</v>
      </c>
      <c r="D60" s="47" t="s">
        <v>84</v>
      </c>
      <c r="E60" s="31">
        <v>57</v>
      </c>
      <c r="F60">
        <v>1900</v>
      </c>
      <c r="G60" s="28">
        <v>4748</v>
      </c>
      <c r="H60" s="28">
        <v>2188</v>
      </c>
      <c r="I60" s="34">
        <v>2954</v>
      </c>
      <c r="J60" s="28">
        <v>3984</v>
      </c>
      <c r="K60" s="28">
        <v>2504</v>
      </c>
      <c r="L60" s="28">
        <v>2706</v>
      </c>
      <c r="M60" s="28">
        <v>2629</v>
      </c>
      <c r="N60" s="28">
        <v>2789</v>
      </c>
      <c r="O60" s="28">
        <v>4083</v>
      </c>
      <c r="P60" s="28">
        <v>3823</v>
      </c>
      <c r="Q60" s="28">
        <v>3225</v>
      </c>
      <c r="R60" s="28">
        <v>3243</v>
      </c>
      <c r="S60" s="28">
        <v>2843</v>
      </c>
      <c r="T60" s="28">
        <v>1913</v>
      </c>
      <c r="U60">
        <v>5613</v>
      </c>
      <c r="V60">
        <v>2377</v>
      </c>
      <c r="Z60" s="28">
        <f t="shared" si="68"/>
        <v>842</v>
      </c>
      <c r="AA60" s="48">
        <f t="shared" si="69"/>
        <v>755.33333333333337</v>
      </c>
      <c r="AB60" s="48">
        <f t="shared" si="70"/>
        <v>986</v>
      </c>
      <c r="AC60" s="48">
        <f t="shared" si="71"/>
        <v>912.66666666666663</v>
      </c>
      <c r="AD60" s="48">
        <f t="shared" si="72"/>
        <v>942</v>
      </c>
      <c r="AE60" s="48">
        <f t="shared" si="78"/>
        <v>762.66666666666663</v>
      </c>
      <c r="AF60" s="48">
        <f t="shared" si="73"/>
        <v>355.71428571428572</v>
      </c>
      <c r="AG60" s="48">
        <f t="shared" si="74"/>
        <v>344.71428571428572</v>
      </c>
      <c r="AH60" s="48">
        <f t="shared" si="75"/>
        <v>367.57142857142856</v>
      </c>
      <c r="AI60" s="48">
        <f t="shared" si="76"/>
        <v>552.42857142857144</v>
      </c>
      <c r="AJ60" s="48">
        <f t="shared" si="77"/>
        <v>515.28571428571433</v>
      </c>
      <c r="AK60" s="48">
        <f t="shared" si="65"/>
        <v>429.85714285714283</v>
      </c>
      <c r="AL60" s="48">
        <f t="shared" si="66"/>
        <v>432.42857142857144</v>
      </c>
      <c r="AM60" s="48">
        <f t="shared" si="67"/>
        <v>525.4</v>
      </c>
      <c r="AN60" s="48">
        <f t="shared" si="63"/>
        <v>282.83333333333331</v>
      </c>
      <c r="AO60" s="48">
        <f t="shared" si="64"/>
        <v>771</v>
      </c>
      <c r="AP60" s="51">
        <f t="shared" si="18"/>
        <v>308.71428571428572</v>
      </c>
      <c r="AQ60" s="5">
        <f t="shared" si="19"/>
        <v>559.19047619047615</v>
      </c>
      <c r="AR60" s="5">
        <f t="shared" si="20"/>
        <v>350.21428571428572</v>
      </c>
      <c r="AS60" s="5">
        <f t="shared" si="21"/>
        <v>356.14285714285711</v>
      </c>
      <c r="AT60" s="5">
        <f t="shared" si="22"/>
        <v>460</v>
      </c>
      <c r="AU60" s="5">
        <f t="shared" si="23"/>
        <v>533.85714285714289</v>
      </c>
      <c r="AV60" s="5">
        <f t="shared" si="24"/>
        <v>472.57142857142856</v>
      </c>
      <c r="AW60" s="5">
        <f t="shared" si="25"/>
        <v>431.14285714285711</v>
      </c>
      <c r="AX60" s="5">
        <f t="shared" si="26"/>
        <v>478.91428571428571</v>
      </c>
      <c r="AY60" s="5">
        <f t="shared" si="27"/>
        <v>404.11666666666667</v>
      </c>
      <c r="AZ60" s="5">
        <f t="shared" si="28"/>
        <v>526.91666666666663</v>
      </c>
      <c r="BA60" s="5">
        <f t="shared" si="29"/>
        <v>539.85714285714289</v>
      </c>
    </row>
    <row r="61" spans="1:53" ht="15.6" thickBot="1" x14ac:dyDescent="0.3">
      <c r="A61">
        <v>0.9</v>
      </c>
      <c r="B61">
        <v>2</v>
      </c>
      <c r="C61" s="49">
        <v>2</v>
      </c>
      <c r="D61" s="49" t="s">
        <v>84</v>
      </c>
      <c r="E61" s="35">
        <v>58</v>
      </c>
      <c r="F61">
        <v>1736</v>
      </c>
      <c r="G61">
        <v>4048</v>
      </c>
      <c r="H61" s="28">
        <v>1920</v>
      </c>
      <c r="I61" s="34">
        <v>2678</v>
      </c>
      <c r="J61" s="28">
        <v>3560</v>
      </c>
      <c r="K61" s="28">
        <v>2008</v>
      </c>
      <c r="L61" s="28">
        <v>2494</v>
      </c>
      <c r="M61" s="28">
        <v>2831</v>
      </c>
      <c r="N61" s="28">
        <v>3175</v>
      </c>
      <c r="O61" s="28">
        <v>3691</v>
      </c>
      <c r="P61" s="28">
        <v>3085</v>
      </c>
      <c r="Q61" s="28">
        <v>2567</v>
      </c>
      <c r="R61" s="28">
        <v>2555</v>
      </c>
      <c r="S61" s="28">
        <v>2663</v>
      </c>
      <c r="T61" s="28">
        <v>1255</v>
      </c>
      <c r="U61" s="28">
        <v>2545</v>
      </c>
      <c r="V61">
        <v>1791</v>
      </c>
      <c r="X61" s="28"/>
      <c r="Z61" s="50">
        <f t="shared" si="68"/>
        <v>760</v>
      </c>
      <c r="AA61" s="51">
        <f t="shared" si="69"/>
        <v>638.66666666666663</v>
      </c>
      <c r="AB61" s="51">
        <f t="shared" si="70"/>
        <v>852</v>
      </c>
      <c r="AC61" s="51">
        <f t="shared" si="71"/>
        <v>820.66666666666663</v>
      </c>
      <c r="AD61" s="51">
        <f t="shared" si="72"/>
        <v>836</v>
      </c>
      <c r="AE61" s="51">
        <f t="shared" si="78"/>
        <v>597.33333333333337</v>
      </c>
      <c r="AF61" s="51">
        <f t="shared" si="73"/>
        <v>325.42857142857144</v>
      </c>
      <c r="AG61" s="51">
        <f t="shared" si="74"/>
        <v>373.57142857142856</v>
      </c>
      <c r="AH61" s="51">
        <f t="shared" si="75"/>
        <v>422.71428571428572</v>
      </c>
      <c r="AI61" s="51">
        <f t="shared" si="76"/>
        <v>496.42857142857144</v>
      </c>
      <c r="AJ61" s="51">
        <f t="shared" si="77"/>
        <v>409.85714285714283</v>
      </c>
      <c r="AK61" s="48">
        <f t="shared" si="65"/>
        <v>335.85714285714283</v>
      </c>
      <c r="AL61" s="48">
        <f t="shared" si="66"/>
        <v>334.14285714285717</v>
      </c>
      <c r="AM61" s="48">
        <f t="shared" si="67"/>
        <v>489.4</v>
      </c>
      <c r="AN61" s="48">
        <f t="shared" si="63"/>
        <v>173.16666666666666</v>
      </c>
      <c r="AO61" s="51">
        <f t="shared" si="64"/>
        <v>332.71428571428572</v>
      </c>
      <c r="AP61" s="51">
        <f t="shared" si="18"/>
        <v>225</v>
      </c>
      <c r="AQ61" s="5">
        <f t="shared" si="19"/>
        <v>461.38095238095241</v>
      </c>
      <c r="AR61" s="5">
        <f t="shared" si="20"/>
        <v>349.5</v>
      </c>
      <c r="AS61" s="5">
        <f t="shared" si="21"/>
        <v>398.14285714285711</v>
      </c>
      <c r="AT61" s="5">
        <f t="shared" si="22"/>
        <v>459.57142857142856</v>
      </c>
      <c r="AU61" s="5">
        <f t="shared" si="23"/>
        <v>453.14285714285711</v>
      </c>
      <c r="AV61" s="5">
        <f t="shared" si="24"/>
        <v>372.85714285714283</v>
      </c>
      <c r="AW61" s="5">
        <f t="shared" si="25"/>
        <v>335</v>
      </c>
      <c r="AX61" s="5">
        <f t="shared" si="26"/>
        <v>411.7714285714286</v>
      </c>
      <c r="AY61" s="5">
        <f t="shared" si="27"/>
        <v>331.2833333333333</v>
      </c>
      <c r="AZ61" s="5">
        <f t="shared" si="28"/>
        <v>252.9404761904762</v>
      </c>
      <c r="BA61" s="5">
        <f t="shared" si="29"/>
        <v>278.85714285714289</v>
      </c>
    </row>
    <row r="62" spans="1:53" ht="15.6" thickBot="1" x14ac:dyDescent="0.3">
      <c r="A62">
        <v>0.9</v>
      </c>
      <c r="B62">
        <v>1</v>
      </c>
      <c r="C62" s="49">
        <v>1</v>
      </c>
      <c r="D62" s="49" t="s">
        <v>85</v>
      </c>
      <c r="E62" s="55">
        <v>59</v>
      </c>
      <c r="F62" s="15">
        <v>2442</v>
      </c>
      <c r="G62" s="15">
        <v>5428</v>
      </c>
      <c r="H62" s="15">
        <v>1722</v>
      </c>
      <c r="I62" s="34">
        <v>2796</v>
      </c>
      <c r="J62" s="15">
        <v>4872</v>
      </c>
      <c r="K62" s="15">
        <v>2826</v>
      </c>
      <c r="L62" s="15">
        <v>3806</v>
      </c>
      <c r="M62" s="28">
        <v>5680</v>
      </c>
      <c r="N62" s="28">
        <v>4123</v>
      </c>
      <c r="O62" s="28">
        <v>5883</v>
      </c>
      <c r="P62" s="28">
        <v>3815</v>
      </c>
      <c r="Q62" s="28">
        <v>5285</v>
      </c>
      <c r="R62" s="28">
        <v>3947</v>
      </c>
      <c r="S62" s="28">
        <v>3867</v>
      </c>
      <c r="T62" s="28">
        <v>2789</v>
      </c>
      <c r="U62" s="28">
        <v>6643</v>
      </c>
      <c r="V62">
        <v>3819</v>
      </c>
      <c r="X62" s="28"/>
      <c r="Z62" s="15">
        <f t="shared" ref="Z62:AA65" si="79">(F62-$B$2)/(F$3-F$2)</f>
        <v>885.25</v>
      </c>
      <c r="AA62" s="53">
        <f t="shared" si="79"/>
        <v>792.75</v>
      </c>
      <c r="AB62" s="53">
        <f>(H62-$B$2)</f>
        <v>1050.5</v>
      </c>
      <c r="AC62" s="53">
        <f>(I62-$B$2)/2</f>
        <v>1062.25</v>
      </c>
      <c r="AD62" s="53">
        <f t="shared" ref="AD62:AJ65" si="80">(J62-$B$2)/(J$3-J$2)</f>
        <v>1050.125</v>
      </c>
      <c r="AE62" s="53">
        <f t="shared" si="80"/>
        <v>718.16666666666663</v>
      </c>
      <c r="AF62" s="53">
        <f t="shared" si="80"/>
        <v>447.78571428571428</v>
      </c>
      <c r="AG62" s="53">
        <f t="shared" si="80"/>
        <v>715.5</v>
      </c>
      <c r="AH62" s="53">
        <f t="shared" si="80"/>
        <v>493.07142857142856</v>
      </c>
      <c r="AI62" s="53">
        <f t="shared" si="80"/>
        <v>744.5</v>
      </c>
      <c r="AJ62" s="53">
        <f t="shared" si="80"/>
        <v>449.07142857142856</v>
      </c>
      <c r="AK62" s="48">
        <f t="shared" si="65"/>
        <v>724.14285714285711</v>
      </c>
      <c r="AL62" s="48">
        <f t="shared" si="66"/>
        <v>533</v>
      </c>
      <c r="AM62" s="48">
        <f t="shared" si="67"/>
        <v>730.2</v>
      </c>
      <c r="AN62" s="48">
        <f>(T62-$B$1)/(T$3-AN$2)</f>
        <v>367.57142857142856</v>
      </c>
      <c r="AO62" s="53">
        <f>(U62-$B$2)/(U$3-U$2)</f>
        <v>853.07142857142856</v>
      </c>
      <c r="AP62" s="51">
        <f t="shared" si="18"/>
        <v>514.71428571428567</v>
      </c>
      <c r="AQ62" s="5">
        <f t="shared" si="19"/>
        <v>582.97619047619048</v>
      </c>
      <c r="AR62" s="5">
        <f t="shared" si="20"/>
        <v>581.64285714285711</v>
      </c>
      <c r="AS62" s="5">
        <f t="shared" si="21"/>
        <v>604.28571428571422</v>
      </c>
      <c r="AT62" s="5">
        <f t="shared" si="22"/>
        <v>618.78571428571422</v>
      </c>
      <c r="AU62" s="5">
        <f t="shared" si="23"/>
        <v>596.78571428571422</v>
      </c>
      <c r="AV62" s="5">
        <f t="shared" si="24"/>
        <v>586.60714285714289</v>
      </c>
      <c r="AW62" s="5">
        <f t="shared" si="25"/>
        <v>628.57142857142856</v>
      </c>
      <c r="AX62" s="5">
        <f t="shared" si="26"/>
        <v>631.6</v>
      </c>
      <c r="AY62" s="5">
        <f t="shared" si="27"/>
        <v>548.88571428571436</v>
      </c>
      <c r="AZ62" s="5">
        <f t="shared" si="28"/>
        <v>610.32142857142856</v>
      </c>
      <c r="BA62" s="5">
        <f t="shared" si="29"/>
        <v>683.89285714285711</v>
      </c>
    </row>
    <row r="63" spans="1:53" ht="15.6" thickBot="1" x14ac:dyDescent="0.3">
      <c r="A63" s="28">
        <v>4</v>
      </c>
      <c r="B63" s="28">
        <v>5</v>
      </c>
      <c r="C63" s="47">
        <v>11</v>
      </c>
      <c r="D63" s="47" t="s">
        <v>85</v>
      </c>
      <c r="E63" s="55">
        <v>60</v>
      </c>
      <c r="F63" s="15">
        <v>2706</v>
      </c>
      <c r="G63" s="15">
        <v>6046</v>
      </c>
      <c r="H63" s="15">
        <v>1836</v>
      </c>
      <c r="I63" s="34">
        <v>3002</v>
      </c>
      <c r="J63" s="15">
        <v>5302</v>
      </c>
      <c r="K63" s="15">
        <v>2996</v>
      </c>
      <c r="L63" s="15">
        <v>3594</v>
      </c>
      <c r="M63" s="28">
        <v>5020</v>
      </c>
      <c r="N63" s="28">
        <v>4483</v>
      </c>
      <c r="O63" s="28">
        <v>6369</v>
      </c>
      <c r="P63" s="28">
        <v>4173</v>
      </c>
      <c r="Q63" s="28">
        <v>4986</v>
      </c>
      <c r="R63" s="28">
        <v>4255</v>
      </c>
      <c r="S63" s="28">
        <v>4177</v>
      </c>
      <c r="T63" s="28">
        <v>2983</v>
      </c>
      <c r="U63" s="28">
        <v>6625</v>
      </c>
      <c r="V63">
        <v>4185</v>
      </c>
      <c r="X63" s="28"/>
      <c r="Z63" s="15">
        <f t="shared" si="79"/>
        <v>1017.25</v>
      </c>
      <c r="AA63" s="53">
        <f t="shared" si="79"/>
        <v>895.75</v>
      </c>
      <c r="AB63" s="53">
        <f>(H63-$B$2)</f>
        <v>1164.5</v>
      </c>
      <c r="AC63" s="53">
        <f>(I63-$B$2)/2</f>
        <v>1165.25</v>
      </c>
      <c r="AD63" s="53">
        <f t="shared" si="80"/>
        <v>1157.625</v>
      </c>
      <c r="AE63" s="53">
        <f t="shared" si="80"/>
        <v>774.83333333333337</v>
      </c>
      <c r="AF63" s="53">
        <f t="shared" si="80"/>
        <v>417.5</v>
      </c>
      <c r="AG63" s="53">
        <f t="shared" si="80"/>
        <v>621.21428571428567</v>
      </c>
      <c r="AH63" s="53">
        <f t="shared" si="80"/>
        <v>544.5</v>
      </c>
      <c r="AI63" s="53">
        <f t="shared" si="80"/>
        <v>813.92857142857144</v>
      </c>
      <c r="AJ63" s="53">
        <f t="shared" si="80"/>
        <v>500.21428571428572</v>
      </c>
      <c r="AK63" s="48">
        <f t="shared" si="65"/>
        <v>681.42857142857144</v>
      </c>
      <c r="AL63" s="48">
        <f t="shared" si="66"/>
        <v>577</v>
      </c>
      <c r="AM63" s="48">
        <f t="shared" si="67"/>
        <v>792.2</v>
      </c>
      <c r="AN63" s="48">
        <f t="shared" ref="AN63:AN65" si="81">(T63-$B$1)/(T$3-AN$2)</f>
        <v>395.28571428571428</v>
      </c>
      <c r="AO63" s="53">
        <f>(U63-$B$2)/(U$3-U$2)</f>
        <v>850.5</v>
      </c>
      <c r="AP63" s="51">
        <f t="shared" si="18"/>
        <v>567</v>
      </c>
      <c r="AQ63" s="5">
        <f t="shared" si="19"/>
        <v>596.16666666666674</v>
      </c>
      <c r="AR63" s="5">
        <f t="shared" si="20"/>
        <v>519.35714285714289</v>
      </c>
      <c r="AS63" s="5">
        <f t="shared" si="21"/>
        <v>582.85714285714289</v>
      </c>
      <c r="AT63" s="5">
        <f t="shared" si="22"/>
        <v>679.21428571428578</v>
      </c>
      <c r="AU63" s="5">
        <f t="shared" si="23"/>
        <v>657.07142857142856</v>
      </c>
      <c r="AV63" s="5">
        <f t="shared" si="24"/>
        <v>590.82142857142856</v>
      </c>
      <c r="AW63" s="5">
        <f t="shared" si="25"/>
        <v>629.21428571428578</v>
      </c>
      <c r="AX63" s="5">
        <f t="shared" si="26"/>
        <v>684.6</v>
      </c>
      <c r="AY63" s="5">
        <f t="shared" si="27"/>
        <v>593.74285714285713</v>
      </c>
      <c r="AZ63" s="5">
        <f t="shared" si="28"/>
        <v>622.89285714285711</v>
      </c>
      <c r="BA63" s="5">
        <f t="shared" si="29"/>
        <v>708.75</v>
      </c>
    </row>
    <row r="64" spans="1:53" ht="15.6" thickBot="1" x14ac:dyDescent="0.3">
      <c r="A64">
        <v>4</v>
      </c>
      <c r="B64">
        <v>6</v>
      </c>
      <c r="C64" s="49">
        <v>12</v>
      </c>
      <c r="D64" s="49" t="s">
        <v>85</v>
      </c>
      <c r="E64" s="55">
        <v>61</v>
      </c>
      <c r="F64" s="15">
        <v>2632</v>
      </c>
      <c r="G64" s="15">
        <v>5882</v>
      </c>
      <c r="H64" s="15">
        <v>1820</v>
      </c>
      <c r="I64" s="34">
        <v>2958</v>
      </c>
      <c r="J64" s="15">
        <v>5180</v>
      </c>
      <c r="K64" s="15">
        <v>2832</v>
      </c>
      <c r="L64" s="15">
        <v>3950</v>
      </c>
      <c r="M64" s="28">
        <v>6016</v>
      </c>
      <c r="N64" s="28">
        <v>4425</v>
      </c>
      <c r="O64" s="28">
        <v>6393</v>
      </c>
      <c r="P64" s="28">
        <v>4093</v>
      </c>
      <c r="Q64" s="28">
        <v>4823</v>
      </c>
      <c r="R64" s="28">
        <v>4247</v>
      </c>
      <c r="S64" s="28">
        <v>4183</v>
      </c>
      <c r="T64" s="28">
        <v>2977</v>
      </c>
      <c r="U64" s="28">
        <v>7209</v>
      </c>
      <c r="V64">
        <v>3703</v>
      </c>
      <c r="X64" s="28"/>
      <c r="Z64" s="15">
        <f t="shared" si="79"/>
        <v>980.25</v>
      </c>
      <c r="AA64" s="53">
        <f t="shared" si="79"/>
        <v>868.41666666666663</v>
      </c>
      <c r="AB64" s="53">
        <f>(H64-$B$2)</f>
        <v>1148.5</v>
      </c>
      <c r="AC64" s="53">
        <f>(I64-$B$2)/2</f>
        <v>1143.25</v>
      </c>
      <c r="AD64" s="53">
        <f t="shared" si="80"/>
        <v>1127.125</v>
      </c>
      <c r="AE64" s="53">
        <f t="shared" si="80"/>
        <v>720.16666666666663</v>
      </c>
      <c r="AF64" s="53">
        <f t="shared" si="80"/>
        <v>468.35714285714283</v>
      </c>
      <c r="AG64" s="53">
        <f t="shared" si="80"/>
        <v>763.5</v>
      </c>
      <c r="AH64" s="53">
        <f t="shared" si="80"/>
        <v>536.21428571428567</v>
      </c>
      <c r="AI64" s="53">
        <f t="shared" si="80"/>
        <v>817.35714285714289</v>
      </c>
      <c r="AJ64" s="53">
        <f t="shared" si="80"/>
        <v>488.78571428571428</v>
      </c>
      <c r="AK64" s="48">
        <f t="shared" si="65"/>
        <v>658.14285714285711</v>
      </c>
      <c r="AL64" s="48">
        <f t="shared" si="66"/>
        <v>575.85714285714289</v>
      </c>
      <c r="AM64" s="48">
        <f t="shared" si="67"/>
        <v>793.4</v>
      </c>
      <c r="AN64" s="48">
        <f t="shared" si="81"/>
        <v>394.42857142857144</v>
      </c>
      <c r="AO64" s="53">
        <f>(U64-$B$2)/(U$3-U$2)</f>
        <v>933.92857142857144</v>
      </c>
      <c r="AP64" s="51">
        <f t="shared" si="18"/>
        <v>498.14285714285717</v>
      </c>
      <c r="AQ64" s="5">
        <f t="shared" si="19"/>
        <v>594.2619047619047</v>
      </c>
      <c r="AR64" s="5">
        <f t="shared" si="20"/>
        <v>615.92857142857144</v>
      </c>
      <c r="AS64" s="5">
        <f t="shared" si="21"/>
        <v>649.85714285714289</v>
      </c>
      <c r="AT64" s="5">
        <f t="shared" si="22"/>
        <v>676.78571428571422</v>
      </c>
      <c r="AU64" s="5">
        <f t="shared" si="23"/>
        <v>653.07142857142856</v>
      </c>
      <c r="AV64" s="5">
        <f t="shared" si="24"/>
        <v>573.46428571428567</v>
      </c>
      <c r="AW64" s="5">
        <f t="shared" si="25"/>
        <v>617</v>
      </c>
      <c r="AX64" s="5">
        <f t="shared" si="26"/>
        <v>684.62857142857138</v>
      </c>
      <c r="AY64" s="5">
        <f t="shared" si="27"/>
        <v>593.91428571428571</v>
      </c>
      <c r="AZ64" s="5">
        <f t="shared" si="28"/>
        <v>664.17857142857144</v>
      </c>
      <c r="BA64" s="5">
        <f t="shared" si="29"/>
        <v>716.03571428571433</v>
      </c>
    </row>
    <row r="65" spans="1:53" ht="15.6" thickBot="1" x14ac:dyDescent="0.3">
      <c r="A65" s="28">
        <v>0.9</v>
      </c>
      <c r="B65" s="28">
        <v>3</v>
      </c>
      <c r="C65" s="47">
        <v>3</v>
      </c>
      <c r="D65" s="47" t="s">
        <v>85</v>
      </c>
      <c r="E65" s="55">
        <v>62</v>
      </c>
      <c r="F65" s="15">
        <v>2490</v>
      </c>
      <c r="G65" s="15">
        <v>5492</v>
      </c>
      <c r="H65" s="15">
        <v>1744</v>
      </c>
      <c r="I65" s="34">
        <v>2792</v>
      </c>
      <c r="J65" s="15">
        <v>4912</v>
      </c>
      <c r="K65" s="15">
        <v>2928</v>
      </c>
      <c r="L65" s="15">
        <v>3806</v>
      </c>
      <c r="M65" s="28">
        <v>5766</v>
      </c>
      <c r="N65" s="28">
        <v>4253</v>
      </c>
      <c r="O65" s="28">
        <v>6103</v>
      </c>
      <c r="P65" s="28">
        <v>3891</v>
      </c>
      <c r="Q65" s="28">
        <v>4864</v>
      </c>
      <c r="R65" s="28">
        <v>4053</v>
      </c>
      <c r="S65" s="28">
        <v>3959</v>
      </c>
      <c r="T65" s="28">
        <v>2843</v>
      </c>
      <c r="U65" s="28">
        <v>6983</v>
      </c>
      <c r="V65">
        <v>3879</v>
      </c>
      <c r="X65" s="28"/>
      <c r="Z65" s="15">
        <f t="shared" si="79"/>
        <v>909.25</v>
      </c>
      <c r="AA65" s="53">
        <f t="shared" si="79"/>
        <v>803.41666666666663</v>
      </c>
      <c r="AB65" s="53">
        <f>(H65-$B$2)</f>
        <v>1072.5</v>
      </c>
      <c r="AC65" s="53">
        <f>(I65-$B$2)/2</f>
        <v>1060.25</v>
      </c>
      <c r="AD65" s="53">
        <f t="shared" si="80"/>
        <v>1060.125</v>
      </c>
      <c r="AE65" s="53">
        <f t="shared" si="80"/>
        <v>752.16666666666663</v>
      </c>
      <c r="AF65" s="53">
        <f t="shared" si="80"/>
        <v>447.78571428571428</v>
      </c>
      <c r="AG65" s="53">
        <f t="shared" si="80"/>
        <v>727.78571428571433</v>
      </c>
      <c r="AH65" s="53">
        <f t="shared" si="80"/>
        <v>511.64285714285717</v>
      </c>
      <c r="AI65" s="53">
        <f t="shared" si="80"/>
        <v>775.92857142857144</v>
      </c>
      <c r="AJ65" s="53">
        <f t="shared" si="80"/>
        <v>459.92857142857144</v>
      </c>
      <c r="AK65" s="48">
        <f t="shared" si="65"/>
        <v>664</v>
      </c>
      <c r="AL65" s="48">
        <f t="shared" si="66"/>
        <v>548.14285714285711</v>
      </c>
      <c r="AM65" s="48">
        <f t="shared" si="67"/>
        <v>748.6</v>
      </c>
      <c r="AN65" s="48">
        <f t="shared" si="81"/>
        <v>375.28571428571428</v>
      </c>
      <c r="AO65" s="53">
        <f>(U65-$B$2)/(U$3-U$2)</f>
        <v>901.64285714285711</v>
      </c>
      <c r="AP65" s="51">
        <f t="shared" si="18"/>
        <v>523.28571428571433</v>
      </c>
      <c r="AQ65" s="5">
        <f t="shared" si="19"/>
        <v>599.97619047619048</v>
      </c>
      <c r="AR65" s="5">
        <f t="shared" si="20"/>
        <v>587.78571428571433</v>
      </c>
      <c r="AS65" s="5">
        <f t="shared" si="21"/>
        <v>619.71428571428578</v>
      </c>
      <c r="AT65" s="5">
        <f t="shared" si="22"/>
        <v>643.78571428571433</v>
      </c>
      <c r="AU65" s="5">
        <f t="shared" si="23"/>
        <v>617.92857142857144</v>
      </c>
      <c r="AV65" s="5">
        <f t="shared" si="24"/>
        <v>561.96428571428578</v>
      </c>
      <c r="AW65" s="5">
        <f t="shared" si="25"/>
        <v>606.07142857142856</v>
      </c>
      <c r="AX65" s="5">
        <f t="shared" si="26"/>
        <v>648.37142857142862</v>
      </c>
      <c r="AY65" s="5">
        <f t="shared" si="27"/>
        <v>561.94285714285718</v>
      </c>
      <c r="AZ65" s="5">
        <f t="shared" si="28"/>
        <v>638.46428571428567</v>
      </c>
      <c r="BA65" s="5">
        <f t="shared" si="29"/>
        <v>712.46428571428578</v>
      </c>
    </row>
    <row r="66" spans="1:53" ht="15.6" thickBot="1" x14ac:dyDescent="0.3">
      <c r="A66">
        <v>4</v>
      </c>
      <c r="B66">
        <v>1</v>
      </c>
      <c r="C66" s="49">
        <v>7</v>
      </c>
      <c r="D66" s="49" t="s">
        <v>84</v>
      </c>
      <c r="E66" s="35">
        <v>63</v>
      </c>
      <c r="F66">
        <v>1976</v>
      </c>
      <c r="G66">
        <v>4548</v>
      </c>
      <c r="H66" s="15">
        <v>2252</v>
      </c>
      <c r="I66" s="34">
        <v>2996</v>
      </c>
      <c r="J66" s="15">
        <v>4016</v>
      </c>
      <c r="K66" s="15">
        <v>2544</v>
      </c>
      <c r="L66" s="15">
        <v>3116</v>
      </c>
      <c r="M66" s="28">
        <v>2623</v>
      </c>
      <c r="N66" s="28">
        <v>3721</v>
      </c>
      <c r="O66" s="28">
        <v>4099</v>
      </c>
      <c r="P66" s="28">
        <v>3649</v>
      </c>
      <c r="Q66" s="28">
        <v>3273</v>
      </c>
      <c r="R66" s="28">
        <v>3377</v>
      </c>
      <c r="S66" s="28">
        <v>3395</v>
      </c>
      <c r="T66" s="28">
        <v>1991</v>
      </c>
      <c r="U66" s="28">
        <v>5291</v>
      </c>
      <c r="V66">
        <v>2339</v>
      </c>
      <c r="X66" s="28"/>
      <c r="Z66" s="28">
        <f t="shared" ref="Z66:Z75" si="82">(F66-$B$1)/(F$3-F$2)</f>
        <v>880</v>
      </c>
      <c r="AA66" s="48">
        <f t="shared" ref="AA66:AA75" si="83">(G66-$B$1)/(G$3-G$2)</f>
        <v>722</v>
      </c>
      <c r="AB66" s="48">
        <f t="shared" ref="AB66:AB75" si="84">(H66-$B$1)/(H$3-H$2)</f>
        <v>1018</v>
      </c>
      <c r="AC66" s="48">
        <f t="shared" ref="AC66:AC75" si="85">(I66-$B$1)/(I$3-I$2)</f>
        <v>926.66666666666663</v>
      </c>
      <c r="AD66" s="48">
        <f t="shared" ref="AD66:AD75" si="86">(J66-$B$1)/(J$3-J$2)</f>
        <v>950</v>
      </c>
      <c r="AE66" s="48">
        <f t="shared" ref="AE66:AE75" si="87">(K66-$B$1)/(K$3-K$2)</f>
        <v>776</v>
      </c>
      <c r="AF66" s="48">
        <f t="shared" ref="AF66:AF75" si="88">(L66-$B$1)/(L$3-L$2)</f>
        <v>414.28571428571428</v>
      </c>
      <c r="AG66" s="48">
        <f t="shared" ref="AG66:AG75" si="89">(M66-$B$1)/(M$3-M$2)</f>
        <v>343.85714285714283</v>
      </c>
      <c r="AH66" s="48">
        <f t="shared" ref="AH66:AH75" si="90">(N66-$B$1)/(N$3-N$2)</f>
        <v>500.71428571428572</v>
      </c>
      <c r="AI66" s="48">
        <f t="shared" ref="AI66:AI75" si="91">(O66-$B$1)/(O$3-O$2)</f>
        <v>554.71428571428567</v>
      </c>
      <c r="AJ66" s="48">
        <f t="shared" ref="AJ66:AJ75" si="92">(P66-$B$1)/(P$3-P$2)</f>
        <v>490.42857142857144</v>
      </c>
      <c r="AK66" s="48">
        <f t="shared" si="65"/>
        <v>436.71428571428572</v>
      </c>
      <c r="AL66" s="48">
        <f t="shared" si="66"/>
        <v>451.57142857142856</v>
      </c>
      <c r="AM66" s="48">
        <f t="shared" si="67"/>
        <v>635.79999999999995</v>
      </c>
      <c r="AN66" s="48">
        <f t="shared" ref="AN66:AN75" si="93">(T66-$B$1)/(T$3-T$2)</f>
        <v>295.83333333333331</v>
      </c>
      <c r="AO66" s="48">
        <f t="shared" ref="AO66:AP75" si="94">(U66-$B$1)/(U$3-U$2)</f>
        <v>725</v>
      </c>
      <c r="AP66" s="51">
        <f t="shared" si="18"/>
        <v>303.28571428571428</v>
      </c>
      <c r="AQ66" s="5">
        <f t="shared" si="19"/>
        <v>595.14285714285711</v>
      </c>
      <c r="AR66" s="5">
        <f t="shared" si="20"/>
        <v>379.07142857142856</v>
      </c>
      <c r="AS66" s="5">
        <f t="shared" si="21"/>
        <v>422.28571428571428</v>
      </c>
      <c r="AT66" s="5">
        <f t="shared" si="22"/>
        <v>527.71428571428567</v>
      </c>
      <c r="AU66" s="5">
        <f t="shared" si="23"/>
        <v>522.57142857142856</v>
      </c>
      <c r="AV66" s="5">
        <f t="shared" si="24"/>
        <v>463.57142857142856</v>
      </c>
      <c r="AW66" s="5">
        <f t="shared" si="25"/>
        <v>444.14285714285711</v>
      </c>
      <c r="AX66" s="5">
        <f t="shared" si="26"/>
        <v>543.68571428571431</v>
      </c>
      <c r="AY66" s="5">
        <f t="shared" si="27"/>
        <v>465.81666666666661</v>
      </c>
      <c r="AZ66" s="5">
        <f t="shared" si="28"/>
        <v>510.41666666666663</v>
      </c>
      <c r="BA66" s="5">
        <f t="shared" si="29"/>
        <v>514.14285714285711</v>
      </c>
    </row>
    <row r="67" spans="1:53" ht="15.6" thickBot="1" x14ac:dyDescent="0.3">
      <c r="A67" s="28">
        <v>4</v>
      </c>
      <c r="B67" s="28">
        <v>4</v>
      </c>
      <c r="C67" s="47">
        <v>10</v>
      </c>
      <c r="D67" s="47" t="s">
        <v>84</v>
      </c>
      <c r="E67" s="31">
        <v>64</v>
      </c>
      <c r="F67">
        <v>2004</v>
      </c>
      <c r="G67" s="28">
        <v>4668</v>
      </c>
      <c r="H67" s="28">
        <v>2222</v>
      </c>
      <c r="I67" s="34">
        <v>2954</v>
      </c>
      <c r="J67" s="28">
        <v>4034</v>
      </c>
      <c r="K67" s="28">
        <v>2240</v>
      </c>
      <c r="L67" s="28">
        <v>2830</v>
      </c>
      <c r="M67" s="28">
        <v>3307</v>
      </c>
      <c r="N67" s="28">
        <v>3661</v>
      </c>
      <c r="O67" s="28">
        <v>4285</v>
      </c>
      <c r="P67" s="28">
        <v>3625</v>
      </c>
      <c r="Q67" s="28">
        <v>3275</v>
      </c>
      <c r="R67" s="28">
        <v>3417</v>
      </c>
      <c r="S67" s="28">
        <v>3013</v>
      </c>
      <c r="T67" s="28">
        <v>1871</v>
      </c>
      <c r="U67" s="28">
        <v>4327</v>
      </c>
      <c r="V67">
        <v>2971</v>
      </c>
      <c r="X67" s="28"/>
      <c r="Z67" s="50">
        <f t="shared" si="82"/>
        <v>894</v>
      </c>
      <c r="AA67" s="51">
        <f t="shared" si="83"/>
        <v>742</v>
      </c>
      <c r="AB67" s="51">
        <f t="shared" si="84"/>
        <v>1003</v>
      </c>
      <c r="AC67" s="51">
        <f t="shared" si="85"/>
        <v>912.66666666666663</v>
      </c>
      <c r="AD67" s="51">
        <f t="shared" si="86"/>
        <v>954.5</v>
      </c>
      <c r="AE67" s="51">
        <f t="shared" si="87"/>
        <v>674.66666666666663</v>
      </c>
      <c r="AF67" s="51">
        <f t="shared" si="88"/>
        <v>373.42857142857144</v>
      </c>
      <c r="AG67" s="51">
        <f t="shared" si="89"/>
        <v>441.57142857142856</v>
      </c>
      <c r="AH67" s="51">
        <f t="shared" si="90"/>
        <v>492.14285714285717</v>
      </c>
      <c r="AI67" s="51">
        <f t="shared" si="91"/>
        <v>581.28571428571433</v>
      </c>
      <c r="AJ67" s="51">
        <f t="shared" si="92"/>
        <v>487</v>
      </c>
      <c r="AK67" s="48">
        <f t="shared" si="65"/>
        <v>437</v>
      </c>
      <c r="AL67" s="48">
        <f t="shared" si="66"/>
        <v>457.28571428571428</v>
      </c>
      <c r="AM67" s="48">
        <f t="shared" si="67"/>
        <v>559.4</v>
      </c>
      <c r="AN67" s="48">
        <f t="shared" si="93"/>
        <v>275.83333333333331</v>
      </c>
      <c r="AO67" s="51">
        <f t="shared" si="94"/>
        <v>587.28571428571433</v>
      </c>
      <c r="AP67" s="51">
        <f t="shared" si="18"/>
        <v>393.57142857142856</v>
      </c>
      <c r="AQ67" s="5">
        <f t="shared" si="19"/>
        <v>524.04761904761904</v>
      </c>
      <c r="AR67" s="5">
        <f t="shared" si="20"/>
        <v>407.5</v>
      </c>
      <c r="AS67" s="5">
        <f t="shared" si="21"/>
        <v>466.85714285714289</v>
      </c>
      <c r="AT67" s="5">
        <f t="shared" si="22"/>
        <v>536.71428571428578</v>
      </c>
      <c r="AU67" s="5">
        <f t="shared" si="23"/>
        <v>534.14285714285711</v>
      </c>
      <c r="AV67" s="5">
        <f t="shared" si="24"/>
        <v>462</v>
      </c>
      <c r="AW67" s="5">
        <f t="shared" si="25"/>
        <v>447.14285714285711</v>
      </c>
      <c r="AX67" s="5">
        <f t="shared" si="26"/>
        <v>508.34285714285716</v>
      </c>
      <c r="AY67" s="5">
        <f t="shared" si="27"/>
        <v>417.61666666666667</v>
      </c>
      <c r="AZ67" s="5">
        <f t="shared" si="28"/>
        <v>431.55952380952385</v>
      </c>
      <c r="BA67" s="5">
        <f t="shared" si="29"/>
        <v>490.42857142857144</v>
      </c>
    </row>
    <row r="68" spans="1:53" ht="15.6" thickBot="1" x14ac:dyDescent="0.3">
      <c r="A68">
        <v>0.9</v>
      </c>
      <c r="B68">
        <v>4</v>
      </c>
      <c r="C68" s="49">
        <v>4</v>
      </c>
      <c r="D68" s="49" t="s">
        <v>84</v>
      </c>
      <c r="E68" s="35">
        <v>65</v>
      </c>
      <c r="F68">
        <v>1802</v>
      </c>
      <c r="G68">
        <v>4314</v>
      </c>
      <c r="H68" s="15">
        <v>2152</v>
      </c>
      <c r="I68" s="34">
        <v>3068</v>
      </c>
      <c r="J68" s="15">
        <v>3776</v>
      </c>
      <c r="K68" s="15">
        <v>2236</v>
      </c>
      <c r="L68" s="15">
        <v>2908</v>
      </c>
      <c r="M68" s="28">
        <v>2451</v>
      </c>
      <c r="N68" s="28">
        <v>3491</v>
      </c>
      <c r="O68" s="28">
        <v>3785</v>
      </c>
      <c r="P68" s="28">
        <v>2927</v>
      </c>
      <c r="Q68" s="28">
        <v>2169</v>
      </c>
      <c r="R68" s="28">
        <v>2219</v>
      </c>
      <c r="S68" s="28">
        <v>3161</v>
      </c>
      <c r="T68" s="28">
        <v>1079</v>
      </c>
      <c r="U68" s="28">
        <v>1757</v>
      </c>
      <c r="V68">
        <v>1397</v>
      </c>
      <c r="X68" s="28"/>
      <c r="Z68" s="28">
        <f t="shared" si="82"/>
        <v>793</v>
      </c>
      <c r="AA68" s="48">
        <f t="shared" si="83"/>
        <v>683</v>
      </c>
      <c r="AB68" s="48">
        <f t="shared" si="84"/>
        <v>968</v>
      </c>
      <c r="AC68" s="48">
        <f t="shared" si="85"/>
        <v>950.66666666666663</v>
      </c>
      <c r="AD68" s="48">
        <f t="shared" si="86"/>
        <v>890</v>
      </c>
      <c r="AE68" s="48">
        <f t="shared" si="87"/>
        <v>673.33333333333337</v>
      </c>
      <c r="AF68" s="48">
        <f t="shared" si="88"/>
        <v>384.57142857142856</v>
      </c>
      <c r="AG68" s="48">
        <f t="shared" si="89"/>
        <v>319.28571428571428</v>
      </c>
      <c r="AH68" s="48">
        <f t="shared" si="90"/>
        <v>467.85714285714283</v>
      </c>
      <c r="AI68" s="48">
        <f t="shared" si="91"/>
        <v>509.85714285714283</v>
      </c>
      <c r="AJ68" s="48">
        <f t="shared" si="92"/>
        <v>387.28571428571428</v>
      </c>
      <c r="AK68" s="48">
        <f t="shared" si="65"/>
        <v>279</v>
      </c>
      <c r="AL68" s="48">
        <f t="shared" si="66"/>
        <v>286.14285714285717</v>
      </c>
      <c r="AM68" s="48">
        <f t="shared" si="67"/>
        <v>589</v>
      </c>
      <c r="AN68" s="48">
        <f t="shared" si="93"/>
        <v>143.83333333333334</v>
      </c>
      <c r="AO68" s="48">
        <f t="shared" si="94"/>
        <v>220.14285714285714</v>
      </c>
      <c r="AP68" s="51">
        <f t="shared" si="18"/>
        <v>168.71428571428572</v>
      </c>
      <c r="AQ68" s="5">
        <f t="shared" si="19"/>
        <v>528.95238095238096</v>
      </c>
      <c r="AR68" s="5">
        <f t="shared" si="20"/>
        <v>351.92857142857144</v>
      </c>
      <c r="AS68" s="5">
        <f t="shared" si="21"/>
        <v>393.57142857142856</v>
      </c>
      <c r="AT68" s="5">
        <f t="shared" si="22"/>
        <v>488.85714285714283</v>
      </c>
      <c r="AU68" s="5">
        <f t="shared" si="23"/>
        <v>448.57142857142856</v>
      </c>
      <c r="AV68" s="5">
        <f t="shared" si="24"/>
        <v>333.14285714285711</v>
      </c>
      <c r="AW68" s="5">
        <f t="shared" si="25"/>
        <v>282.57142857142856</v>
      </c>
      <c r="AX68" s="5">
        <f t="shared" si="26"/>
        <v>437.57142857142856</v>
      </c>
      <c r="AY68" s="5">
        <f t="shared" si="27"/>
        <v>366.41666666666669</v>
      </c>
      <c r="AZ68" s="5">
        <f t="shared" si="28"/>
        <v>181.98809523809524</v>
      </c>
      <c r="BA68" s="5">
        <f t="shared" si="29"/>
        <v>194.42857142857144</v>
      </c>
    </row>
    <row r="69" spans="1:53" ht="15.6" thickBot="1" x14ac:dyDescent="0.3">
      <c r="A69" s="28">
        <v>4</v>
      </c>
      <c r="B69" s="28">
        <v>3</v>
      </c>
      <c r="C69" s="47">
        <v>9</v>
      </c>
      <c r="D69" s="47" t="s">
        <v>84</v>
      </c>
      <c r="E69" s="31">
        <v>66</v>
      </c>
      <c r="F69">
        <v>1940</v>
      </c>
      <c r="G69" s="28">
        <v>4720</v>
      </c>
      <c r="H69" s="28">
        <v>2132</v>
      </c>
      <c r="I69" s="34">
        <v>2814</v>
      </c>
      <c r="J69" s="28">
        <v>4024</v>
      </c>
      <c r="K69" s="28">
        <v>2242</v>
      </c>
      <c r="L69" s="28">
        <v>2750</v>
      </c>
      <c r="M69" s="28">
        <v>3739</v>
      </c>
      <c r="N69" s="28">
        <v>3415</v>
      </c>
      <c r="O69" s="28">
        <v>4317</v>
      </c>
      <c r="P69" s="28">
        <v>3067</v>
      </c>
      <c r="Q69" s="28">
        <v>3033</v>
      </c>
      <c r="R69" s="28">
        <v>2923</v>
      </c>
      <c r="S69" s="28">
        <v>2633</v>
      </c>
      <c r="T69" s="28">
        <v>1339</v>
      </c>
      <c r="U69" s="28">
        <v>3967</v>
      </c>
      <c r="V69">
        <v>2193</v>
      </c>
      <c r="X69" s="28"/>
      <c r="Z69" s="50">
        <f t="shared" si="82"/>
        <v>862</v>
      </c>
      <c r="AA69" s="51">
        <f t="shared" si="83"/>
        <v>750.66666666666663</v>
      </c>
      <c r="AB69" s="51">
        <f t="shared" si="84"/>
        <v>958</v>
      </c>
      <c r="AC69" s="51">
        <f t="shared" si="85"/>
        <v>866</v>
      </c>
      <c r="AD69" s="51">
        <f t="shared" si="86"/>
        <v>952</v>
      </c>
      <c r="AE69" s="51">
        <f t="shared" si="87"/>
        <v>675.33333333333337</v>
      </c>
      <c r="AF69" s="51">
        <f t="shared" si="88"/>
        <v>362</v>
      </c>
      <c r="AG69" s="51">
        <f t="shared" si="89"/>
        <v>503.28571428571428</v>
      </c>
      <c r="AH69" s="51">
        <f t="shared" si="90"/>
        <v>457</v>
      </c>
      <c r="AI69" s="51">
        <f t="shared" si="91"/>
        <v>585.85714285714289</v>
      </c>
      <c r="AJ69" s="51">
        <f t="shared" si="92"/>
        <v>407.28571428571428</v>
      </c>
      <c r="AK69" s="48">
        <f t="shared" si="65"/>
        <v>402.42857142857144</v>
      </c>
      <c r="AL69" s="48">
        <f t="shared" si="66"/>
        <v>386.71428571428572</v>
      </c>
      <c r="AM69" s="48">
        <f t="shared" si="67"/>
        <v>483.4</v>
      </c>
      <c r="AN69" s="48">
        <f t="shared" si="93"/>
        <v>187.16666666666666</v>
      </c>
      <c r="AO69" s="51">
        <f t="shared" si="94"/>
        <v>535.85714285714289</v>
      </c>
      <c r="AP69" s="51">
        <f t="shared" si="94"/>
        <v>282.42857142857144</v>
      </c>
      <c r="AQ69" s="5">
        <f t="shared" ref="AQ69:AQ75" si="95">(AE69+AF69)/2</f>
        <v>518.66666666666674</v>
      </c>
      <c r="AR69" s="5">
        <f t="shared" ref="AR69:AR75" si="96">(AF69+AG69)/2</f>
        <v>432.64285714285711</v>
      </c>
      <c r="AS69" s="5">
        <f t="shared" ref="AS69:AS75" si="97">(AG69+AH69)/2</f>
        <v>480.14285714285711</v>
      </c>
      <c r="AT69" s="5">
        <f t="shared" ref="AT69:AT75" si="98">(AH69+AI69)/2</f>
        <v>521.42857142857144</v>
      </c>
      <c r="AU69" s="5">
        <f t="shared" ref="AU69:AU75" si="99">(AI69+AJ69)/2</f>
        <v>496.57142857142856</v>
      </c>
      <c r="AV69" s="5">
        <f t="shared" ref="AV69:AV75" si="100">(AJ69+AK69)/2</f>
        <v>404.85714285714289</v>
      </c>
      <c r="AW69" s="5">
        <f t="shared" ref="AW69:AW75" si="101">(AK69+AL69)/2</f>
        <v>394.57142857142856</v>
      </c>
      <c r="AX69" s="5">
        <f t="shared" ref="AX69:AX75" si="102">(AL69+AM69)/2</f>
        <v>435.05714285714282</v>
      </c>
      <c r="AY69" s="5">
        <f t="shared" ref="AY69:AY75" si="103">(AM69+AN69)/2</f>
        <v>335.2833333333333</v>
      </c>
      <c r="AZ69" s="5">
        <f t="shared" ref="AZ69:AZ75" si="104">(AN69+AO69)/2</f>
        <v>361.51190476190476</v>
      </c>
      <c r="BA69" s="5">
        <f t="shared" ref="BA69:BA75" si="105">(AO69+AP69)/2</f>
        <v>409.14285714285717</v>
      </c>
    </row>
    <row r="70" spans="1:53" ht="15.6" thickBot="1" x14ac:dyDescent="0.3">
      <c r="A70">
        <v>4</v>
      </c>
      <c r="B70">
        <v>5</v>
      </c>
      <c r="C70" s="49">
        <v>11</v>
      </c>
      <c r="D70" s="49" t="s">
        <v>84</v>
      </c>
      <c r="E70" s="35">
        <v>67</v>
      </c>
      <c r="F70">
        <v>2012</v>
      </c>
      <c r="G70">
        <v>4780</v>
      </c>
      <c r="H70" s="15">
        <v>2232</v>
      </c>
      <c r="I70" s="34">
        <v>2244</v>
      </c>
      <c r="J70" s="15">
        <v>4106</v>
      </c>
      <c r="K70" s="15">
        <v>2226</v>
      </c>
      <c r="L70" s="15">
        <v>2958</v>
      </c>
      <c r="M70" s="28">
        <v>2093</v>
      </c>
      <c r="N70" s="28">
        <v>3257</v>
      </c>
      <c r="O70" s="28">
        <v>4319</v>
      </c>
      <c r="P70" s="28">
        <v>3477</v>
      </c>
      <c r="Q70" s="28">
        <v>2905</v>
      </c>
      <c r="R70" s="28">
        <v>2921</v>
      </c>
      <c r="S70" s="28">
        <v>2457</v>
      </c>
      <c r="T70" s="28">
        <v>1603</v>
      </c>
      <c r="U70" s="28">
        <v>3049</v>
      </c>
      <c r="X70" s="28"/>
      <c r="Z70" s="28">
        <f t="shared" si="82"/>
        <v>898</v>
      </c>
      <c r="AA70" s="48">
        <f t="shared" si="83"/>
        <v>760.66666666666663</v>
      </c>
      <c r="AB70" s="48">
        <f t="shared" si="84"/>
        <v>1008</v>
      </c>
      <c r="AC70" s="48">
        <f t="shared" si="85"/>
        <v>676</v>
      </c>
      <c r="AD70" s="48">
        <f t="shared" si="86"/>
        <v>972.5</v>
      </c>
      <c r="AE70" s="48">
        <f t="shared" si="87"/>
        <v>670</v>
      </c>
      <c r="AF70" s="48">
        <f t="shared" si="88"/>
        <v>391.71428571428572</v>
      </c>
      <c r="AG70" s="48">
        <f t="shared" si="89"/>
        <v>268.14285714285717</v>
      </c>
      <c r="AH70" s="48">
        <f t="shared" si="90"/>
        <v>434.42857142857144</v>
      </c>
      <c r="AI70" s="48">
        <f t="shared" si="91"/>
        <v>586.14285714285711</v>
      </c>
      <c r="AJ70" s="48">
        <f t="shared" si="92"/>
        <v>465.85714285714283</v>
      </c>
      <c r="AK70" s="48">
        <f t="shared" si="65"/>
        <v>384.14285714285717</v>
      </c>
      <c r="AL70" s="48">
        <f t="shared" si="66"/>
        <v>386.42857142857144</v>
      </c>
      <c r="AM70" s="48">
        <f t="shared" si="67"/>
        <v>448.2</v>
      </c>
      <c r="AN70" s="48">
        <f t="shared" si="93"/>
        <v>231.16666666666666</v>
      </c>
      <c r="AO70" s="48">
        <f t="shared" si="94"/>
        <v>404.71428571428572</v>
      </c>
      <c r="AP70" s="51">
        <f t="shared" si="94"/>
        <v>-30.857142857142858</v>
      </c>
      <c r="AQ70" s="5">
        <f t="shared" si="95"/>
        <v>530.85714285714289</v>
      </c>
      <c r="AR70" s="5">
        <f t="shared" si="96"/>
        <v>329.92857142857144</v>
      </c>
      <c r="AS70" s="5">
        <f t="shared" si="97"/>
        <v>351.28571428571433</v>
      </c>
      <c r="AT70" s="5">
        <f t="shared" si="98"/>
        <v>510.28571428571428</v>
      </c>
      <c r="AU70" s="5">
        <f t="shared" si="99"/>
        <v>526</v>
      </c>
      <c r="AV70" s="5">
        <f t="shared" si="100"/>
        <v>425</v>
      </c>
      <c r="AW70" s="5">
        <f t="shared" si="101"/>
        <v>385.28571428571433</v>
      </c>
      <c r="AX70" s="5">
        <f t="shared" si="102"/>
        <v>417.31428571428569</v>
      </c>
      <c r="AY70" s="5">
        <f t="shared" si="103"/>
        <v>339.68333333333334</v>
      </c>
      <c r="AZ70" s="5">
        <f t="shared" si="104"/>
        <v>317.9404761904762</v>
      </c>
      <c r="BA70" s="5">
        <f t="shared" si="105"/>
        <v>186.92857142857144</v>
      </c>
    </row>
    <row r="71" spans="1:53" ht="15.6" thickBot="1" x14ac:dyDescent="0.3">
      <c r="A71">
        <v>0.9</v>
      </c>
      <c r="B71">
        <v>6</v>
      </c>
      <c r="C71" s="49">
        <v>6</v>
      </c>
      <c r="D71" s="49" t="s">
        <v>84</v>
      </c>
      <c r="E71" s="35">
        <v>68</v>
      </c>
      <c r="F71">
        <v>1964</v>
      </c>
      <c r="G71" s="28">
        <v>4604</v>
      </c>
      <c r="H71" s="28">
        <v>2112</v>
      </c>
      <c r="I71" s="34">
        <v>2884</v>
      </c>
      <c r="J71" s="28">
        <v>3964</v>
      </c>
      <c r="K71" s="28">
        <v>2442</v>
      </c>
      <c r="L71" s="28">
        <v>2870</v>
      </c>
      <c r="M71" s="28">
        <v>3227</v>
      </c>
      <c r="N71" s="28">
        <v>3627</v>
      </c>
      <c r="O71" s="28">
        <v>4007</v>
      </c>
      <c r="P71" s="28">
        <v>3249</v>
      </c>
      <c r="Q71" s="28">
        <v>2629</v>
      </c>
      <c r="R71" s="28">
        <v>2469</v>
      </c>
      <c r="S71" s="28">
        <v>2373</v>
      </c>
      <c r="T71" s="28">
        <v>1047</v>
      </c>
      <c r="U71" s="28">
        <v>1403</v>
      </c>
      <c r="V71">
        <v>1301</v>
      </c>
      <c r="W71">
        <f t="shared" ref="W71:W75" si="106">V71-45</f>
        <v>1256</v>
      </c>
      <c r="X71" s="28"/>
      <c r="Z71" s="50">
        <f t="shared" si="82"/>
        <v>874</v>
      </c>
      <c r="AA71" s="51">
        <f t="shared" si="83"/>
        <v>731.33333333333337</v>
      </c>
      <c r="AB71" s="51">
        <f t="shared" si="84"/>
        <v>948</v>
      </c>
      <c r="AC71" s="51">
        <f t="shared" si="85"/>
        <v>889.33333333333337</v>
      </c>
      <c r="AD71" s="51">
        <f t="shared" si="86"/>
        <v>937</v>
      </c>
      <c r="AE71" s="51">
        <f t="shared" si="87"/>
        <v>742</v>
      </c>
      <c r="AF71" s="51">
        <f t="shared" si="88"/>
        <v>379.14285714285717</v>
      </c>
      <c r="AG71" s="51">
        <f t="shared" si="89"/>
        <v>430.14285714285717</v>
      </c>
      <c r="AH71" s="51">
        <f t="shared" si="90"/>
        <v>487.28571428571428</v>
      </c>
      <c r="AI71" s="51">
        <f t="shared" si="91"/>
        <v>541.57142857142856</v>
      </c>
      <c r="AJ71" s="51">
        <f t="shared" si="92"/>
        <v>433.28571428571428</v>
      </c>
      <c r="AK71" s="48">
        <f t="shared" si="65"/>
        <v>344.71428571428572</v>
      </c>
      <c r="AL71" s="48">
        <f t="shared" si="66"/>
        <v>321.85714285714283</v>
      </c>
      <c r="AM71" s="48">
        <f t="shared" si="67"/>
        <v>431.4</v>
      </c>
      <c r="AN71" s="48">
        <f t="shared" si="93"/>
        <v>138.5</v>
      </c>
      <c r="AO71" s="51">
        <f t="shared" si="94"/>
        <v>169.57142857142858</v>
      </c>
      <c r="AP71" s="51">
        <f t="shared" si="94"/>
        <v>155</v>
      </c>
      <c r="AQ71" s="5">
        <f t="shared" si="95"/>
        <v>560.57142857142856</v>
      </c>
      <c r="AR71" s="5">
        <f t="shared" si="96"/>
        <v>404.64285714285717</v>
      </c>
      <c r="AS71" s="5">
        <f t="shared" si="97"/>
        <v>458.71428571428572</v>
      </c>
      <c r="AT71" s="5">
        <f t="shared" si="98"/>
        <v>514.42857142857144</v>
      </c>
      <c r="AU71" s="5">
        <f t="shared" si="99"/>
        <v>487.42857142857144</v>
      </c>
      <c r="AV71" s="5">
        <f t="shared" si="100"/>
        <v>389</v>
      </c>
      <c r="AW71" s="5">
        <f t="shared" si="101"/>
        <v>333.28571428571428</v>
      </c>
      <c r="AX71" s="5">
        <f t="shared" si="102"/>
        <v>376.62857142857138</v>
      </c>
      <c r="AY71" s="5">
        <f t="shared" si="103"/>
        <v>284.95</v>
      </c>
      <c r="AZ71" s="5">
        <f t="shared" si="104"/>
        <v>154.03571428571428</v>
      </c>
      <c r="BA71" s="5">
        <f t="shared" si="105"/>
        <v>162.28571428571428</v>
      </c>
    </row>
    <row r="72" spans="1:53" ht="15.6" thickBot="1" x14ac:dyDescent="0.3">
      <c r="A72" s="28">
        <v>0.9</v>
      </c>
      <c r="B72" s="28">
        <v>2</v>
      </c>
      <c r="C72" s="47">
        <v>2</v>
      </c>
      <c r="D72" s="47" t="s">
        <v>84</v>
      </c>
      <c r="E72" s="31">
        <v>69</v>
      </c>
      <c r="F72">
        <v>1830</v>
      </c>
      <c r="G72" s="28">
        <v>4402</v>
      </c>
      <c r="H72" s="28">
        <v>2086</v>
      </c>
      <c r="I72" s="34">
        <v>2940</v>
      </c>
      <c r="J72" s="28">
        <v>3864</v>
      </c>
      <c r="K72" s="28">
        <v>2104</v>
      </c>
      <c r="L72" s="28">
        <v>4790</v>
      </c>
      <c r="M72" s="28">
        <v>3275</v>
      </c>
      <c r="N72" s="1">
        <v>1861</v>
      </c>
      <c r="O72" s="28">
        <v>3745</v>
      </c>
      <c r="P72" s="28">
        <v>2973</v>
      </c>
      <c r="Q72" s="28">
        <v>2143</v>
      </c>
      <c r="R72" s="28">
        <v>2243</v>
      </c>
      <c r="S72" s="28">
        <v>2239</v>
      </c>
      <c r="T72" s="28">
        <v>1201</v>
      </c>
      <c r="U72" s="28">
        <v>3311</v>
      </c>
      <c r="V72">
        <v>1137</v>
      </c>
      <c r="W72">
        <f t="shared" si="106"/>
        <v>1092</v>
      </c>
      <c r="X72" s="28"/>
      <c r="Z72" s="28">
        <f t="shared" si="82"/>
        <v>807</v>
      </c>
      <c r="AA72" s="48">
        <f t="shared" si="83"/>
        <v>697.66666666666663</v>
      </c>
      <c r="AB72" s="48">
        <f t="shared" si="84"/>
        <v>935</v>
      </c>
      <c r="AC72" s="48">
        <f t="shared" si="85"/>
        <v>908</v>
      </c>
      <c r="AD72" s="48">
        <f t="shared" si="86"/>
        <v>912</v>
      </c>
      <c r="AE72" s="48">
        <f t="shared" si="87"/>
        <v>629.33333333333337</v>
      </c>
      <c r="AF72" s="48">
        <f t="shared" si="88"/>
        <v>653.42857142857144</v>
      </c>
      <c r="AG72" s="48">
        <f t="shared" si="89"/>
        <v>437</v>
      </c>
      <c r="AH72" s="48">
        <f t="shared" si="90"/>
        <v>235</v>
      </c>
      <c r="AI72" s="48">
        <f t="shared" si="91"/>
        <v>504.14285714285717</v>
      </c>
      <c r="AJ72" s="48">
        <f t="shared" si="92"/>
        <v>393.85714285714283</v>
      </c>
      <c r="AK72" s="48">
        <f t="shared" si="65"/>
        <v>275.28571428571428</v>
      </c>
      <c r="AL72" s="48">
        <f t="shared" si="66"/>
        <v>289.57142857142856</v>
      </c>
      <c r="AM72" s="48">
        <f t="shared" si="67"/>
        <v>404.6</v>
      </c>
      <c r="AN72" s="48">
        <f t="shared" si="93"/>
        <v>164.16666666666666</v>
      </c>
      <c r="AO72" s="48">
        <f t="shared" si="94"/>
        <v>442.14285714285717</v>
      </c>
      <c r="AP72" s="51">
        <f t="shared" si="94"/>
        <v>131.57142857142858</v>
      </c>
      <c r="AQ72" s="5">
        <f t="shared" si="95"/>
        <v>641.38095238095241</v>
      </c>
      <c r="AR72" s="5">
        <f t="shared" si="96"/>
        <v>545.21428571428578</v>
      </c>
      <c r="AS72" s="5">
        <f t="shared" si="97"/>
        <v>336</v>
      </c>
      <c r="AT72" s="5">
        <f t="shared" si="98"/>
        <v>369.57142857142856</v>
      </c>
      <c r="AU72" s="5">
        <f t="shared" si="99"/>
        <v>449</v>
      </c>
      <c r="AV72" s="5">
        <f t="shared" si="100"/>
        <v>334.57142857142856</v>
      </c>
      <c r="AW72" s="5">
        <f t="shared" si="101"/>
        <v>282.42857142857144</v>
      </c>
      <c r="AX72" s="5">
        <f t="shared" si="102"/>
        <v>347.08571428571429</v>
      </c>
      <c r="AY72" s="5">
        <f t="shared" si="103"/>
        <v>284.38333333333333</v>
      </c>
      <c r="AZ72" s="5">
        <f t="shared" si="104"/>
        <v>303.15476190476193</v>
      </c>
      <c r="BA72" s="5">
        <f t="shared" si="105"/>
        <v>286.85714285714289</v>
      </c>
    </row>
    <row r="73" spans="1:53" ht="15.6" thickBot="1" x14ac:dyDescent="0.3">
      <c r="A73">
        <v>4</v>
      </c>
      <c r="B73">
        <v>4</v>
      </c>
      <c r="C73" s="49">
        <v>10</v>
      </c>
      <c r="D73" s="49" t="s">
        <v>84</v>
      </c>
      <c r="E73" s="35">
        <v>70</v>
      </c>
      <c r="F73">
        <v>2014</v>
      </c>
      <c r="G73" s="28">
        <v>4786</v>
      </c>
      <c r="H73" s="28">
        <v>2326</v>
      </c>
      <c r="I73" s="34">
        <v>3032</v>
      </c>
      <c r="J73" s="28">
        <v>4092</v>
      </c>
      <c r="K73" s="28">
        <v>2480</v>
      </c>
      <c r="L73" s="28">
        <v>3094</v>
      </c>
      <c r="M73" s="28">
        <v>2901</v>
      </c>
      <c r="N73" s="28">
        <v>3621</v>
      </c>
      <c r="O73" s="28">
        <v>3945</v>
      </c>
      <c r="P73" s="28">
        <v>3465</v>
      </c>
      <c r="Q73" s="28">
        <v>2921</v>
      </c>
      <c r="R73" s="28">
        <v>2945</v>
      </c>
      <c r="S73" s="28">
        <v>2411</v>
      </c>
      <c r="T73" s="28">
        <v>1639</v>
      </c>
      <c r="U73" s="28">
        <v>3675</v>
      </c>
      <c r="V73">
        <v>1619</v>
      </c>
      <c r="W73">
        <f t="shared" si="106"/>
        <v>1574</v>
      </c>
      <c r="X73" s="28"/>
      <c r="Z73" s="50">
        <f t="shared" si="82"/>
        <v>899</v>
      </c>
      <c r="AA73" s="51">
        <f t="shared" si="83"/>
        <v>761.66666666666663</v>
      </c>
      <c r="AB73" s="51">
        <f t="shared" si="84"/>
        <v>1055</v>
      </c>
      <c r="AC73" s="51">
        <f t="shared" si="85"/>
        <v>938.66666666666663</v>
      </c>
      <c r="AD73" s="51">
        <f t="shared" si="86"/>
        <v>969</v>
      </c>
      <c r="AE73" s="51">
        <f t="shared" si="87"/>
        <v>754.66666666666663</v>
      </c>
      <c r="AF73" s="51">
        <f t="shared" si="88"/>
        <v>411.14285714285717</v>
      </c>
      <c r="AG73" s="51">
        <f t="shared" si="89"/>
        <v>383.57142857142856</v>
      </c>
      <c r="AH73" s="51">
        <f t="shared" si="90"/>
        <v>486.42857142857144</v>
      </c>
      <c r="AI73" s="51">
        <f t="shared" si="91"/>
        <v>532.71428571428567</v>
      </c>
      <c r="AJ73" s="51">
        <f t="shared" si="92"/>
        <v>464.14285714285717</v>
      </c>
      <c r="AK73" s="48">
        <f t="shared" si="65"/>
        <v>386.42857142857144</v>
      </c>
      <c r="AL73" s="48">
        <f t="shared" si="66"/>
        <v>389.85714285714283</v>
      </c>
      <c r="AM73" s="48">
        <f t="shared" si="67"/>
        <v>439</v>
      </c>
      <c r="AN73" s="48">
        <f t="shared" si="93"/>
        <v>237.16666666666666</v>
      </c>
      <c r="AO73" s="51">
        <f t="shared" si="94"/>
        <v>494.14285714285717</v>
      </c>
      <c r="AP73" s="51">
        <f t="shared" si="94"/>
        <v>200.42857142857142</v>
      </c>
      <c r="AQ73" s="5">
        <f t="shared" si="95"/>
        <v>582.90476190476193</v>
      </c>
      <c r="AR73" s="5">
        <f t="shared" si="96"/>
        <v>397.35714285714289</v>
      </c>
      <c r="AS73" s="5">
        <f t="shared" si="97"/>
        <v>435</v>
      </c>
      <c r="AT73" s="5">
        <f t="shared" si="98"/>
        <v>509.57142857142856</v>
      </c>
      <c r="AU73" s="5">
        <f t="shared" si="99"/>
        <v>498.42857142857144</v>
      </c>
      <c r="AV73" s="5">
        <f t="shared" si="100"/>
        <v>425.28571428571433</v>
      </c>
      <c r="AW73" s="5">
        <f t="shared" si="101"/>
        <v>388.14285714285711</v>
      </c>
      <c r="AX73" s="5">
        <f t="shared" si="102"/>
        <v>414.42857142857144</v>
      </c>
      <c r="AY73" s="5">
        <f t="shared" si="103"/>
        <v>338.08333333333331</v>
      </c>
      <c r="AZ73" s="5">
        <f t="shared" si="104"/>
        <v>365.65476190476193</v>
      </c>
      <c r="BA73" s="5">
        <f t="shared" si="105"/>
        <v>347.28571428571428</v>
      </c>
    </row>
    <row r="74" spans="1:53" ht="15.6" thickBot="1" x14ac:dyDescent="0.3">
      <c r="A74" s="28">
        <v>4</v>
      </c>
      <c r="B74" s="28">
        <v>6</v>
      </c>
      <c r="C74" s="47">
        <v>12</v>
      </c>
      <c r="D74" s="47" t="s">
        <v>84</v>
      </c>
      <c r="E74" s="31">
        <v>71</v>
      </c>
      <c r="F74">
        <v>2086</v>
      </c>
      <c r="G74" s="28">
        <v>4944</v>
      </c>
      <c r="H74" s="28">
        <v>2280</v>
      </c>
      <c r="I74" s="34">
        <v>3044</v>
      </c>
      <c r="J74" s="28">
        <v>4122</v>
      </c>
      <c r="K74" s="28">
        <v>2504</v>
      </c>
      <c r="L74" s="28"/>
      <c r="M74" s="28">
        <v>2933</v>
      </c>
      <c r="N74" s="28">
        <v>3565</v>
      </c>
      <c r="O74" s="28">
        <v>4253</v>
      </c>
      <c r="P74" s="28">
        <v>3903</v>
      </c>
      <c r="Q74" s="28">
        <v>3143</v>
      </c>
      <c r="R74" s="28">
        <v>3041</v>
      </c>
      <c r="S74" s="28">
        <v>2593</v>
      </c>
      <c r="T74" s="28">
        <v>1611</v>
      </c>
      <c r="U74" s="28">
        <v>4353</v>
      </c>
      <c r="V74">
        <v>1435</v>
      </c>
      <c r="W74">
        <f t="shared" si="106"/>
        <v>1390</v>
      </c>
      <c r="X74" s="28"/>
      <c r="Z74" s="28">
        <f t="shared" si="82"/>
        <v>935</v>
      </c>
      <c r="AA74" s="48">
        <f t="shared" si="83"/>
        <v>788</v>
      </c>
      <c r="AB74" s="48">
        <f t="shared" si="84"/>
        <v>1032</v>
      </c>
      <c r="AC74" s="48">
        <f t="shared" si="85"/>
        <v>942.66666666666663</v>
      </c>
      <c r="AD74" s="48">
        <f t="shared" si="86"/>
        <v>976.5</v>
      </c>
      <c r="AE74" s="48">
        <f t="shared" si="87"/>
        <v>762.66666666666663</v>
      </c>
      <c r="AF74" s="48">
        <f t="shared" si="88"/>
        <v>-30.857142857142858</v>
      </c>
      <c r="AG74" s="48">
        <f t="shared" si="89"/>
        <v>388.14285714285717</v>
      </c>
      <c r="AH74" s="48">
        <f t="shared" si="90"/>
        <v>478.42857142857144</v>
      </c>
      <c r="AI74" s="48">
        <f t="shared" si="91"/>
        <v>576.71428571428567</v>
      </c>
      <c r="AJ74" s="48">
        <f t="shared" si="92"/>
        <v>526.71428571428567</v>
      </c>
      <c r="AK74" s="48">
        <f t="shared" si="65"/>
        <v>418.14285714285717</v>
      </c>
      <c r="AL74" s="48">
        <f t="shared" si="66"/>
        <v>403.57142857142856</v>
      </c>
      <c r="AM74" s="48">
        <f t="shared" si="67"/>
        <v>475.4</v>
      </c>
      <c r="AN74" s="48">
        <f t="shared" si="93"/>
        <v>232.5</v>
      </c>
      <c r="AO74" s="48">
        <f t="shared" si="94"/>
        <v>591</v>
      </c>
      <c r="AP74" s="51">
        <f t="shared" si="94"/>
        <v>174.14285714285714</v>
      </c>
      <c r="AQ74" s="5">
        <f t="shared" si="95"/>
        <v>365.90476190476187</v>
      </c>
      <c r="AR74" s="5">
        <f t="shared" si="96"/>
        <v>178.64285714285717</v>
      </c>
      <c r="AS74" s="5">
        <f t="shared" si="97"/>
        <v>433.28571428571433</v>
      </c>
      <c r="AT74" s="5">
        <f t="shared" si="98"/>
        <v>527.57142857142856</v>
      </c>
      <c r="AU74" s="5">
        <f t="shared" si="99"/>
        <v>551.71428571428567</v>
      </c>
      <c r="AV74" s="5">
        <f t="shared" si="100"/>
        <v>472.42857142857144</v>
      </c>
      <c r="AW74" s="5">
        <f t="shared" si="101"/>
        <v>410.85714285714289</v>
      </c>
      <c r="AX74" s="5">
        <f t="shared" si="102"/>
        <v>439.48571428571427</v>
      </c>
      <c r="AY74" s="5">
        <f t="shared" si="103"/>
        <v>353.95</v>
      </c>
      <c r="AZ74" s="5">
        <f t="shared" si="104"/>
        <v>411.75</v>
      </c>
      <c r="BA74" s="5">
        <f t="shared" si="105"/>
        <v>382.57142857142856</v>
      </c>
    </row>
    <row r="75" spans="1:53" ht="15.6" thickBot="1" x14ac:dyDescent="0.3">
      <c r="A75" s="38">
        <v>0.9</v>
      </c>
      <c r="B75" s="38">
        <v>3</v>
      </c>
      <c r="C75" s="54">
        <v>3</v>
      </c>
      <c r="D75" s="49" t="s">
        <v>84</v>
      </c>
      <c r="E75" s="35">
        <v>72</v>
      </c>
      <c r="F75">
        <v>1828</v>
      </c>
      <c r="G75" s="28">
        <v>4414</v>
      </c>
      <c r="H75" s="28">
        <v>2006</v>
      </c>
      <c r="I75" s="34">
        <v>2804</v>
      </c>
      <c r="J75" s="28">
        <v>3844</v>
      </c>
      <c r="K75" s="28">
        <v>2278</v>
      </c>
      <c r="L75" s="28">
        <v>2670</v>
      </c>
      <c r="M75" s="28">
        <v>2633</v>
      </c>
      <c r="N75" s="28">
        <v>3023</v>
      </c>
      <c r="O75" s="28">
        <v>3161</v>
      </c>
      <c r="P75" s="28">
        <v>2485</v>
      </c>
      <c r="Q75" s="28">
        <v>1759</v>
      </c>
      <c r="R75" s="28">
        <v>1659</v>
      </c>
      <c r="S75" s="28">
        <v>1641</v>
      </c>
      <c r="T75" s="28">
        <v>805</v>
      </c>
      <c r="U75" s="28">
        <v>2643</v>
      </c>
      <c r="V75">
        <v>879</v>
      </c>
      <c r="W75">
        <f t="shared" si="106"/>
        <v>834</v>
      </c>
      <c r="X75" s="28"/>
      <c r="Z75" s="50">
        <f t="shared" si="82"/>
        <v>806</v>
      </c>
      <c r="AA75" s="51">
        <f t="shared" si="83"/>
        <v>699.66666666666663</v>
      </c>
      <c r="AB75" s="51">
        <f t="shared" si="84"/>
        <v>895</v>
      </c>
      <c r="AC75" s="51">
        <f t="shared" si="85"/>
        <v>862.66666666666663</v>
      </c>
      <c r="AD75" s="51">
        <f t="shared" si="86"/>
        <v>907</v>
      </c>
      <c r="AE75" s="51">
        <f t="shared" si="87"/>
        <v>687.33333333333337</v>
      </c>
      <c r="AF75" s="51">
        <f t="shared" si="88"/>
        <v>350.57142857142856</v>
      </c>
      <c r="AG75" s="51">
        <f t="shared" si="89"/>
        <v>345.28571428571428</v>
      </c>
      <c r="AH75" s="51">
        <f t="shared" si="90"/>
        <v>401</v>
      </c>
      <c r="AI75" s="51">
        <f t="shared" si="91"/>
        <v>420.71428571428572</v>
      </c>
      <c r="AJ75" s="51">
        <f t="shared" si="92"/>
        <v>324.14285714285717</v>
      </c>
      <c r="AK75" s="48">
        <f t="shared" si="65"/>
        <v>220.42857142857142</v>
      </c>
      <c r="AL75" s="48">
        <f t="shared" si="66"/>
        <v>206.14285714285714</v>
      </c>
      <c r="AM75" s="48">
        <f t="shared" si="67"/>
        <v>285</v>
      </c>
      <c r="AN75" s="48">
        <f t="shared" si="93"/>
        <v>98.166666666666671</v>
      </c>
      <c r="AO75" s="51">
        <f t="shared" si="94"/>
        <v>346.71428571428572</v>
      </c>
      <c r="AP75" s="51">
        <f t="shared" si="94"/>
        <v>94.714285714285708</v>
      </c>
      <c r="AQ75" s="5">
        <f t="shared" si="95"/>
        <v>518.95238095238096</v>
      </c>
      <c r="AR75" s="5">
        <f t="shared" si="96"/>
        <v>347.92857142857144</v>
      </c>
      <c r="AS75" s="5">
        <f t="shared" si="97"/>
        <v>373.14285714285711</v>
      </c>
      <c r="AT75" s="5">
        <f t="shared" si="98"/>
        <v>410.85714285714289</v>
      </c>
      <c r="AU75" s="5">
        <f t="shared" si="99"/>
        <v>372.42857142857144</v>
      </c>
      <c r="AV75" s="5">
        <f t="shared" si="100"/>
        <v>272.28571428571428</v>
      </c>
      <c r="AW75" s="5">
        <f t="shared" si="101"/>
        <v>213.28571428571428</v>
      </c>
      <c r="AX75" s="5">
        <f t="shared" si="102"/>
        <v>245.57142857142856</v>
      </c>
      <c r="AY75" s="5">
        <f t="shared" si="103"/>
        <v>191.58333333333334</v>
      </c>
      <c r="AZ75" s="5">
        <f t="shared" si="104"/>
        <v>222.4404761904762</v>
      </c>
      <c r="BA75" s="5">
        <f t="shared" si="105"/>
        <v>220.71428571428572</v>
      </c>
    </row>
    <row r="76" spans="1:53" ht="15" x14ac:dyDescent="0.25">
      <c r="D76" s="47"/>
      <c r="M76" s="28"/>
      <c r="N76" s="28"/>
      <c r="O76" s="28"/>
      <c r="P76" s="28"/>
      <c r="Q76" s="28"/>
      <c r="R76" s="28"/>
      <c r="S76" s="28"/>
      <c r="T76" s="28"/>
      <c r="U76" t="s">
        <v>87</v>
      </c>
      <c r="Z76" s="48">
        <f t="shared" ref="Z76:AE76" si="107">AVERAGE(Z66:Z75,Z42:Z61,Z18:Z37,Z4:Z13)</f>
        <v>851.2166666666667</v>
      </c>
      <c r="AA76" s="48">
        <f t="shared" si="107"/>
        <v>721.81666666666649</v>
      </c>
      <c r="AB76" s="48">
        <f t="shared" si="107"/>
        <v>944.05</v>
      </c>
      <c r="AC76" s="48">
        <f t="shared" si="107"/>
        <v>877.54444444444459</v>
      </c>
      <c r="AD76" s="48">
        <f t="shared" si="107"/>
        <v>903.85833333333335</v>
      </c>
      <c r="AE76" s="48">
        <f t="shared" si="107"/>
        <v>671.05084745762724</v>
      </c>
      <c r="AF76" s="48">
        <f t="shared" ref="AF76:AG76" si="108">AVERAGE(AF66:AF75,AF42:AF61,AF18:AF37,AF4:AF13)</f>
        <v>365.76428571428573</v>
      </c>
      <c r="AG76" s="48">
        <f t="shared" si="108"/>
        <v>395.29047619047611</v>
      </c>
      <c r="AH76" s="48">
        <f t="shared" ref="AH76:AI76" si="109">AVERAGE(AH66:AH75,AH42:AH61,AH18:AH37,AH4:AH13)</f>
        <v>429.20238095238102</v>
      </c>
      <c r="AI76" s="48">
        <f t="shared" si="109"/>
        <v>537.30952380952397</v>
      </c>
      <c r="AJ76" s="48">
        <f t="shared" ref="AJ76:AN76" si="110">AVERAGE(AJ66:AJ75,AJ42:AJ61,AJ18:AJ37,AJ4:AJ13)</f>
        <v>439.44285714285724</v>
      </c>
      <c r="AK76" s="48">
        <f t="shared" si="110"/>
        <v>371.06190476190471</v>
      </c>
      <c r="AL76" s="48">
        <f t="shared" si="110"/>
        <v>367.24285714285696</v>
      </c>
      <c r="AM76" s="48">
        <f t="shared" si="110"/>
        <v>475.37999999999988</v>
      </c>
      <c r="AN76" s="48">
        <f t="shared" si="110"/>
        <v>212.32777777777775</v>
      </c>
      <c r="AO76" s="48">
        <f t="shared" ref="AO76:AP76" si="111">AVERAGE(AO66:AO75,AO42:AO61,AO18:AO37,AO4:AO13)</f>
        <v>526.10238095238094</v>
      </c>
      <c r="AP76" s="48">
        <f t="shared" si="111"/>
        <v>217.72619047619042</v>
      </c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</row>
    <row r="77" spans="1:53" x14ac:dyDescent="0.25">
      <c r="G77" s="5"/>
      <c r="M77" s="28"/>
      <c r="N77" s="28"/>
      <c r="O77" s="28"/>
      <c r="P77" s="28"/>
      <c r="Q77" s="28"/>
      <c r="R77" s="28"/>
      <c r="S77" s="28"/>
      <c r="T77" s="28"/>
      <c r="U77" t="s">
        <v>88</v>
      </c>
      <c r="Z77" s="51">
        <f t="shared" ref="Z77:AE77" si="112">STDEV(Z66:Z75,Z42:Z61,Z18:Z37,Z4:Z13)</f>
        <v>59.320757411609357</v>
      </c>
      <c r="AA77" s="51">
        <f t="shared" si="112"/>
        <v>45.489901820165393</v>
      </c>
      <c r="AB77" s="51">
        <f t="shared" si="112"/>
        <v>76.070980457705474</v>
      </c>
      <c r="AC77" s="51">
        <f t="shared" si="112"/>
        <v>108.72148571635329</v>
      </c>
      <c r="AD77" s="51">
        <f t="shared" si="112"/>
        <v>108.78454415964897</v>
      </c>
      <c r="AE77" s="51">
        <f t="shared" si="112"/>
        <v>82.15751653510155</v>
      </c>
      <c r="AF77" s="51">
        <f t="shared" ref="AF77:AG77" si="113">STDEV(AF66:AF75,AF42:AF61,AF18:AF37,AF4:AF13)</f>
        <v>87.47484423687159</v>
      </c>
      <c r="AG77" s="51">
        <f t="shared" si="113"/>
        <v>78.282055581012827</v>
      </c>
      <c r="AH77" s="51">
        <f t="shared" ref="AH77:AI77" si="114">STDEV(AH66:AH75,AH42:AH61,AH18:AH37,AH4:AH13)</f>
        <v>57.067530810036601</v>
      </c>
      <c r="AI77" s="51">
        <f t="shared" si="114"/>
        <v>52.362182050351372</v>
      </c>
      <c r="AJ77" s="51">
        <f t="shared" ref="AJ77:AN77" si="115">STDEV(AJ66:AJ75,AJ42:AJ61,AJ18:AJ37,AJ4:AJ13)</f>
        <v>68.159627582887367</v>
      </c>
      <c r="AK77" s="51">
        <f t="shared" si="115"/>
        <v>79.06842754406081</v>
      </c>
      <c r="AL77" s="51">
        <f t="shared" si="115"/>
        <v>90.769912212080058</v>
      </c>
      <c r="AM77" s="51">
        <f t="shared" si="115"/>
        <v>116.62355897705574</v>
      </c>
      <c r="AN77" s="51">
        <f t="shared" si="115"/>
        <v>66.500343135675678</v>
      </c>
      <c r="AO77" s="51">
        <f t="shared" ref="AO77:AP77" si="116">STDEV(AO66:AO75,AO42:AO61,AO18:AO37,AO4:AO13)</f>
        <v>171.84737601874804</v>
      </c>
      <c r="AP77" s="51">
        <f t="shared" si="116"/>
        <v>101.83684597079258</v>
      </c>
      <c r="AQ77" s="51"/>
      <c r="AR77" s="51"/>
      <c r="AS77" s="51"/>
      <c r="AT77" s="51"/>
      <c r="AU77" s="51"/>
      <c r="AV77" s="51"/>
      <c r="AW77" s="51"/>
      <c r="AX77" s="51"/>
      <c r="AY77" s="51"/>
      <c r="AZ77" s="5"/>
      <c r="BA77" s="5"/>
    </row>
    <row r="78" spans="1:53" x14ac:dyDescent="0.25">
      <c r="M78" s="28"/>
      <c r="N78" s="28"/>
      <c r="O78" s="28"/>
      <c r="P78" s="28"/>
      <c r="Q78" s="28"/>
      <c r="R78" s="28"/>
      <c r="S78" s="28"/>
      <c r="T78" s="28"/>
      <c r="U78" t="s">
        <v>89</v>
      </c>
      <c r="Z78" s="5">
        <f t="shared" ref="Z78:AE78" si="117">Z77/Z76*100</f>
        <v>6.9689374908397026</v>
      </c>
      <c r="AA78" s="5">
        <f t="shared" si="117"/>
        <v>6.3021406848690207</v>
      </c>
      <c r="AB78" s="5">
        <f t="shared" si="117"/>
        <v>8.0579397762518372</v>
      </c>
      <c r="AC78" s="5">
        <f t="shared" si="117"/>
        <v>12.389285397981482</v>
      </c>
      <c r="AD78" s="5">
        <f t="shared" si="117"/>
        <v>12.035574619140053</v>
      </c>
      <c r="AE78" s="5">
        <f t="shared" si="117"/>
        <v>12.243113446077466</v>
      </c>
      <c r="AF78" s="5">
        <f t="shared" ref="AF78:AG78" si="118">AF77/AF76*100</f>
        <v>23.915633005569596</v>
      </c>
      <c r="AG78" s="5">
        <f t="shared" si="118"/>
        <v>19.803678635376873</v>
      </c>
      <c r="AH78" s="5">
        <f t="shared" ref="AH78:AI78" si="119">AH77/AH76*100</f>
        <v>13.296182254023448</v>
      </c>
      <c r="AI78" s="5">
        <f t="shared" si="119"/>
        <v>9.7452547796107467</v>
      </c>
      <c r="AJ78" s="5">
        <f t="shared" ref="AJ78:AN78" si="120">AJ77/AJ76*100</f>
        <v>15.510464324313627</v>
      </c>
      <c r="AK78" s="5">
        <f t="shared" si="120"/>
        <v>21.308689070303728</v>
      </c>
      <c r="AL78" s="5">
        <f t="shared" si="120"/>
        <v>24.716590247191846</v>
      </c>
      <c r="AM78" s="5">
        <f t="shared" si="120"/>
        <v>24.532702044060702</v>
      </c>
      <c r="AN78" s="5">
        <f t="shared" si="120"/>
        <v>31.319662378454755</v>
      </c>
      <c r="AO78" s="5">
        <f t="shared" ref="AO78:AP78" si="121">AO77/AO76*100</f>
        <v>32.664246017602125</v>
      </c>
      <c r="AP78" s="5">
        <f t="shared" si="121"/>
        <v>46.772896612972708</v>
      </c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  <row r="79" spans="1:53" x14ac:dyDescent="0.25">
      <c r="M79" s="28"/>
      <c r="N79" s="28"/>
      <c r="O79" s="28"/>
      <c r="P79" s="28"/>
      <c r="Q79" s="28"/>
      <c r="R79" s="28"/>
      <c r="S79" s="28"/>
      <c r="T79" s="28"/>
      <c r="U79" t="s">
        <v>90</v>
      </c>
      <c r="Z79" s="5">
        <f t="shared" ref="Z79:AE79" si="122">AVERAGE(Z62:Z65,Z14:Z17)</f>
        <v>955.625</v>
      </c>
      <c r="AA79" s="5">
        <f t="shared" si="122"/>
        <v>855.45833333333337</v>
      </c>
      <c r="AB79" s="5">
        <f t="shared" si="122"/>
        <v>1127.5</v>
      </c>
      <c r="AC79" s="5">
        <f t="shared" si="122"/>
        <v>1128.625</v>
      </c>
      <c r="AD79" s="5">
        <f t="shared" si="122"/>
        <v>1117.375</v>
      </c>
      <c r="AE79" s="5">
        <f t="shared" si="122"/>
        <v>751.33333333333326</v>
      </c>
      <c r="AF79" s="5">
        <f t="shared" ref="AF79:AG79" si="123">AVERAGE(AF62:AF65,AF14:AF17)</f>
        <v>458.21428571428567</v>
      </c>
      <c r="AG79" s="5">
        <f t="shared" si="123"/>
        <v>715.14285714285711</v>
      </c>
      <c r="AH79" s="5">
        <f t="shared" ref="AH79:AI79" si="124">AVERAGE(AH62:AH65,AH14:AH17)</f>
        <v>523.21428571428578</v>
      </c>
      <c r="AI79" s="5">
        <f t="shared" si="124"/>
        <v>794.71428571428578</v>
      </c>
      <c r="AJ79" s="5">
        <f t="shared" ref="AJ79:AN79" si="125">AVERAGE(AJ62:AJ65,AJ14:AJ17)</f>
        <v>476.50000000000006</v>
      </c>
      <c r="AK79" s="5">
        <f t="shared" si="125"/>
        <v>693.60714285714278</v>
      </c>
      <c r="AL79" s="5">
        <f t="shared" si="125"/>
        <v>559.46428571428578</v>
      </c>
      <c r="AM79" s="5">
        <f t="shared" si="125"/>
        <v>766.65000000000009</v>
      </c>
      <c r="AN79" s="5">
        <f t="shared" si="125"/>
        <v>384.71428571428572</v>
      </c>
      <c r="AO79" s="5">
        <f t="shared" ref="AO79:AP79" si="126">AVERAGE(AO62:AO65,AO14:AO17)</f>
        <v>902.57142857142844</v>
      </c>
      <c r="AP79" s="5">
        <f t="shared" si="126"/>
        <v>534.28571428571433</v>
      </c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</row>
    <row r="80" spans="1:53" x14ac:dyDescent="0.25">
      <c r="M80" s="28"/>
      <c r="N80" s="28"/>
      <c r="O80" s="28"/>
      <c r="P80" s="28"/>
      <c r="Q80" s="28"/>
      <c r="R80" s="28"/>
      <c r="S80" s="28"/>
      <c r="T80" s="28"/>
      <c r="U80" t="s">
        <v>88</v>
      </c>
      <c r="Z80" s="5">
        <f t="shared" ref="Z80:AE80" si="127">STDEV(Z62:Z65,Z14:Z17)</f>
        <v>51.533449608690361</v>
      </c>
      <c r="AA80" s="5">
        <f t="shared" si="127"/>
        <v>45.29915991372124</v>
      </c>
      <c r="AB80" s="5">
        <f t="shared" si="127"/>
        <v>58.368288846403082</v>
      </c>
      <c r="AC80" s="5">
        <f t="shared" si="127"/>
        <v>65.397548009954363</v>
      </c>
      <c r="AD80" s="5">
        <f t="shared" si="127"/>
        <v>56.50726881182127</v>
      </c>
      <c r="AE80" s="5">
        <f t="shared" si="127"/>
        <v>32.669096119572117</v>
      </c>
      <c r="AF80" s="5">
        <f t="shared" ref="AF80:AG80" si="128">STDEV(AF62:AF65,AF14:AF17)</f>
        <v>22.946763080226766</v>
      </c>
      <c r="AG80" s="5">
        <f t="shared" si="128"/>
        <v>46.853098381946296</v>
      </c>
      <c r="AH80" s="5">
        <f t="shared" ref="AH80:AI80" si="129">STDEV(AH62:AH65,AH14:AH17)</f>
        <v>21.674507066131092</v>
      </c>
      <c r="AI80" s="5">
        <f t="shared" si="129"/>
        <v>29.738510533420399</v>
      </c>
      <c r="AJ80" s="5">
        <f t="shared" ref="AJ80:AN80" si="130">STDEV(AJ62:AJ65,AJ14:AJ17)</f>
        <v>21.174824151396528</v>
      </c>
      <c r="AK80" s="5">
        <f t="shared" si="130"/>
        <v>36.000870575803333</v>
      </c>
      <c r="AL80" s="5">
        <f t="shared" si="130"/>
        <v>25.051754010622627</v>
      </c>
      <c r="AM80" s="5">
        <f t="shared" si="130"/>
        <v>37.881280714508961</v>
      </c>
      <c r="AN80" s="5">
        <f t="shared" si="130"/>
        <v>18.645065941557153</v>
      </c>
      <c r="AO80" s="5">
        <f t="shared" ref="AO80:AP80" si="131">STDEV(AO62:AO65,AO14:AO17)</f>
        <v>41.529574273746171</v>
      </c>
      <c r="AP80" s="5">
        <f t="shared" si="131"/>
        <v>28.833492025605761</v>
      </c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</row>
    <row r="81" spans="13:53" x14ac:dyDescent="0.25">
      <c r="M81" s="28"/>
      <c r="N81" s="28"/>
      <c r="O81" s="28"/>
      <c r="P81" s="28"/>
      <c r="Q81" s="28"/>
      <c r="R81" s="28"/>
      <c r="S81" s="28"/>
      <c r="T81" s="28"/>
      <c r="U81" t="s">
        <v>89</v>
      </c>
      <c r="Z81" s="5">
        <f t="shared" ref="Z81:AE81" si="132">Z80/Z79*100</f>
        <v>5.3926435169329352</v>
      </c>
      <c r="AA81" s="5">
        <f t="shared" si="132"/>
        <v>5.2953087425323151</v>
      </c>
      <c r="AB81" s="5">
        <f t="shared" si="132"/>
        <v>5.1767883677519357</v>
      </c>
      <c r="AC81" s="5">
        <f t="shared" si="132"/>
        <v>5.7944443911799191</v>
      </c>
      <c r="AD81" s="5">
        <f t="shared" si="132"/>
        <v>5.0571445407156297</v>
      </c>
      <c r="AE81" s="5">
        <f t="shared" si="132"/>
        <v>4.3481494391622171</v>
      </c>
      <c r="AF81" s="5">
        <f t="shared" ref="AF81:AG81" si="133">AF80/AF79*100</f>
        <v>5.0078672349676498</v>
      </c>
      <c r="AG81" s="5">
        <f t="shared" si="133"/>
        <v>6.5515718872078326</v>
      </c>
      <c r="AH81" s="5">
        <f t="shared" ref="AH81:AI81" si="134">AH80/AH79*100</f>
        <v>4.1425679034243723</v>
      </c>
      <c r="AI81" s="5">
        <f t="shared" si="134"/>
        <v>3.7420379962959336</v>
      </c>
      <c r="AJ81" s="5">
        <f t="shared" ref="AJ81:AN81" si="135">AJ80/AJ79*100</f>
        <v>4.4438245858124921</v>
      </c>
      <c r="AK81" s="5">
        <f t="shared" si="135"/>
        <v>5.1903834824287802</v>
      </c>
      <c r="AL81" s="5">
        <f t="shared" si="135"/>
        <v>4.4778111222306638</v>
      </c>
      <c r="AM81" s="5">
        <f t="shared" si="135"/>
        <v>4.9411440311105403</v>
      </c>
      <c r="AN81" s="5">
        <f t="shared" si="135"/>
        <v>4.8464709094281497</v>
      </c>
      <c r="AO81" s="5">
        <f t="shared" ref="AO81:AP81" si="136">AO80/AO79*100</f>
        <v>4.6012507109247114</v>
      </c>
      <c r="AP81" s="5">
        <f t="shared" si="136"/>
        <v>5.3966428924930563</v>
      </c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</row>
    <row r="82" spans="13:53" x14ac:dyDescent="0.25">
      <c r="M82" s="28"/>
      <c r="N82" s="28"/>
      <c r="O82" s="28"/>
      <c r="P82" s="28"/>
      <c r="Q82" s="28"/>
      <c r="R82" s="28"/>
      <c r="S82" s="28"/>
      <c r="T82" s="28"/>
      <c r="U82" t="s">
        <v>91</v>
      </c>
      <c r="Z82" s="5">
        <f t="shared" ref="Z82:AE82" si="137">Z79-Z76</f>
        <v>104.4083333333333</v>
      </c>
      <c r="AA82" s="5">
        <f t="shared" si="137"/>
        <v>133.64166666666688</v>
      </c>
      <c r="AB82" s="5">
        <f t="shared" si="137"/>
        <v>183.45000000000005</v>
      </c>
      <c r="AC82" s="5">
        <f t="shared" si="137"/>
        <v>251.08055555555541</v>
      </c>
      <c r="AD82" s="5">
        <f t="shared" si="137"/>
        <v>213.51666666666665</v>
      </c>
      <c r="AE82" s="5">
        <f t="shared" si="137"/>
        <v>80.282485875706016</v>
      </c>
      <c r="AF82" s="5">
        <f t="shared" ref="AF82:AG82" si="138">AF79-AF76</f>
        <v>92.449999999999932</v>
      </c>
      <c r="AG82" s="5">
        <f t="shared" si="138"/>
        <v>319.852380952381</v>
      </c>
      <c r="AH82" s="5">
        <f t="shared" ref="AH82:AI82" si="139">AH79-AH76</f>
        <v>94.011904761904759</v>
      </c>
      <c r="AI82" s="5">
        <f t="shared" si="139"/>
        <v>257.40476190476181</v>
      </c>
      <c r="AJ82" s="5">
        <f t="shared" ref="AJ82:AN82" si="140">AJ79-AJ76</f>
        <v>37.057142857142821</v>
      </c>
      <c r="AK82" s="5">
        <f t="shared" si="140"/>
        <v>322.54523809523806</v>
      </c>
      <c r="AL82" s="5">
        <f t="shared" si="140"/>
        <v>192.22142857142882</v>
      </c>
      <c r="AM82" s="5">
        <f t="shared" si="140"/>
        <v>291.27000000000021</v>
      </c>
      <c r="AN82" s="5">
        <f t="shared" si="140"/>
        <v>172.38650793650797</v>
      </c>
      <c r="AO82" s="5">
        <f t="shared" ref="AO82:AP82" si="141">AO79-AO76</f>
        <v>376.4690476190475</v>
      </c>
      <c r="AP82" s="5">
        <f t="shared" si="141"/>
        <v>316.55952380952391</v>
      </c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</row>
    <row r="89" spans="13:53" x14ac:dyDescent="0.25">
      <c r="P89" t="s">
        <v>92</v>
      </c>
    </row>
    <row r="90" spans="13:53" x14ac:dyDescent="0.25">
      <c r="N90" s="28"/>
      <c r="O90" s="28"/>
      <c r="P90" s="28">
        <v>822</v>
      </c>
      <c r="Q90" s="28"/>
      <c r="R90" s="28"/>
      <c r="S90" s="28"/>
      <c r="T90" s="28"/>
      <c r="U90" s="50">
        <v>796</v>
      </c>
      <c r="V90" s="50"/>
      <c r="W90" s="50"/>
      <c r="X90" s="50"/>
      <c r="Y90" s="50"/>
      <c r="Z90" s="28">
        <v>790</v>
      </c>
      <c r="AA90" s="50">
        <v>743</v>
      </c>
      <c r="AB90" s="28">
        <v>812</v>
      </c>
      <c r="AC90" s="50">
        <v>903</v>
      </c>
      <c r="AD90" s="28">
        <v>766</v>
      </c>
      <c r="AE90" s="50">
        <v>810</v>
      </c>
      <c r="AF90" s="28">
        <v>838</v>
      </c>
    </row>
    <row r="91" spans="13:53" x14ac:dyDescent="0.25">
      <c r="N91" s="50"/>
      <c r="O91" s="50"/>
      <c r="P91" s="50">
        <v>823</v>
      </c>
      <c r="Q91" s="50"/>
      <c r="R91" s="50"/>
      <c r="S91" s="50"/>
      <c r="T91" s="50"/>
      <c r="U91" s="28">
        <v>824</v>
      </c>
      <c r="V91" s="28"/>
      <c r="W91" s="28"/>
      <c r="X91" s="28"/>
      <c r="Y91" s="28"/>
      <c r="Z91" s="50">
        <v>804</v>
      </c>
      <c r="AA91" s="28">
        <v>808</v>
      </c>
      <c r="AB91" s="50">
        <v>836</v>
      </c>
      <c r="AC91" s="28">
        <v>954</v>
      </c>
      <c r="AD91" s="50">
        <v>908</v>
      </c>
      <c r="AE91" s="28">
        <v>832</v>
      </c>
      <c r="AF91" s="50">
        <v>902</v>
      </c>
    </row>
    <row r="92" spans="13:53" x14ac:dyDescent="0.25">
      <c r="N92" s="28"/>
      <c r="O92" s="28"/>
      <c r="P92" s="28">
        <v>865</v>
      </c>
      <c r="Q92" s="28"/>
      <c r="R92" s="28"/>
      <c r="S92" s="28"/>
      <c r="T92" s="28"/>
      <c r="U92" s="50">
        <v>919</v>
      </c>
      <c r="V92" s="50"/>
      <c r="W92" s="50"/>
      <c r="X92" s="50"/>
      <c r="Y92" s="50"/>
      <c r="Z92" s="28">
        <v>857</v>
      </c>
      <c r="AA92" s="50">
        <v>852</v>
      </c>
      <c r="AB92" s="28">
        <v>981</v>
      </c>
      <c r="AC92" s="50">
        <v>847</v>
      </c>
      <c r="AD92" s="28">
        <v>915</v>
      </c>
      <c r="AE92" s="50">
        <v>905</v>
      </c>
      <c r="AF92" s="28">
        <v>863</v>
      </c>
    </row>
    <row r="93" spans="13:53" x14ac:dyDescent="0.25">
      <c r="N93" s="50"/>
      <c r="O93" s="50"/>
      <c r="P93" s="50">
        <v>910</v>
      </c>
      <c r="Q93" s="50"/>
      <c r="R93" s="50"/>
      <c r="S93" s="50"/>
      <c r="T93" s="50"/>
      <c r="U93" s="28">
        <v>849</v>
      </c>
      <c r="V93" s="28"/>
      <c r="W93" s="28"/>
      <c r="X93" s="28"/>
      <c r="Y93" s="28"/>
      <c r="Z93" s="50">
        <v>777</v>
      </c>
      <c r="AA93" s="28">
        <v>880</v>
      </c>
      <c r="AB93" s="50">
        <v>900</v>
      </c>
      <c r="AC93" s="28">
        <v>844</v>
      </c>
      <c r="AD93" s="50">
        <v>809</v>
      </c>
      <c r="AE93" s="28">
        <v>880</v>
      </c>
      <c r="AF93" s="50">
        <v>809</v>
      </c>
    </row>
    <row r="94" spans="13:53" x14ac:dyDescent="0.25">
      <c r="N94" s="28"/>
      <c r="O94" s="28"/>
      <c r="P94" s="28">
        <v>856</v>
      </c>
      <c r="Q94" s="28"/>
      <c r="R94" s="28"/>
      <c r="S94" s="28"/>
      <c r="T94" s="28"/>
      <c r="U94" s="50">
        <v>899</v>
      </c>
      <c r="V94" s="50"/>
      <c r="W94" s="50"/>
      <c r="X94" s="50"/>
      <c r="Y94" s="50"/>
      <c r="Z94" s="28">
        <v>946</v>
      </c>
      <c r="AA94" s="50">
        <v>881</v>
      </c>
      <c r="AB94" s="28">
        <v>861</v>
      </c>
      <c r="AC94" s="50">
        <v>909</v>
      </c>
      <c r="AD94" s="28">
        <v>874</v>
      </c>
      <c r="AE94" s="50">
        <v>857</v>
      </c>
      <c r="AF94" s="28">
        <v>842</v>
      </c>
    </row>
    <row r="95" spans="13:53" x14ac:dyDescent="0.25">
      <c r="N95" s="50"/>
      <c r="O95" s="50"/>
      <c r="P95" s="50">
        <v>806</v>
      </c>
      <c r="Q95" s="50"/>
      <c r="R95" s="50"/>
      <c r="S95" s="50"/>
      <c r="T95" s="50"/>
      <c r="U95" s="28">
        <v>935</v>
      </c>
      <c r="V95" s="28"/>
      <c r="W95" s="28"/>
      <c r="X95" s="28"/>
      <c r="Y95" s="28"/>
      <c r="Z95" s="50">
        <v>899</v>
      </c>
      <c r="AA95" s="28">
        <v>807</v>
      </c>
      <c r="AB95" s="50">
        <v>874</v>
      </c>
      <c r="AC95" s="28">
        <v>898</v>
      </c>
      <c r="AD95" s="50">
        <v>862</v>
      </c>
      <c r="AE95" s="28">
        <v>793</v>
      </c>
      <c r="AF95" s="50">
        <v>894</v>
      </c>
    </row>
    <row r="97" spans="13:32" ht="14.4" thickBot="1" x14ac:dyDescent="0.3">
      <c r="M97" s="261" t="s">
        <v>93</v>
      </c>
      <c r="N97" s="261"/>
      <c r="O97" s="261"/>
      <c r="P97" s="261"/>
      <c r="Q97" s="261"/>
      <c r="R97" s="261"/>
      <c r="S97" s="261"/>
      <c r="T97" s="261"/>
      <c r="U97" s="261"/>
      <c r="V97" s="261"/>
      <c r="W97" s="261"/>
      <c r="X97" s="261"/>
      <c r="Y97" s="261"/>
      <c r="Z97" s="261"/>
      <c r="AA97" s="261"/>
      <c r="AB97" s="261"/>
      <c r="AC97" s="261"/>
      <c r="AD97" s="261"/>
      <c r="AE97" s="261"/>
      <c r="AF97" s="261"/>
    </row>
    <row r="98" spans="13:32" x14ac:dyDescent="0.25">
      <c r="N98" s="57"/>
      <c r="O98" s="57"/>
      <c r="P98" s="56">
        <v>72</v>
      </c>
      <c r="Q98" s="57"/>
      <c r="R98" s="57"/>
      <c r="S98" s="57"/>
      <c r="T98" s="57"/>
      <c r="U98" s="57">
        <v>71</v>
      </c>
      <c r="V98" s="57"/>
      <c r="W98" s="57"/>
      <c r="X98" s="57"/>
      <c r="Y98" s="57"/>
      <c r="Z98" s="57">
        <v>70</v>
      </c>
      <c r="AA98" s="57">
        <v>69</v>
      </c>
      <c r="AB98" s="57">
        <v>68</v>
      </c>
      <c r="AC98" s="57">
        <v>67</v>
      </c>
      <c r="AD98" s="56">
        <v>66</v>
      </c>
      <c r="AE98" s="57">
        <v>65</v>
      </c>
      <c r="AF98" s="57">
        <v>64</v>
      </c>
    </row>
    <row r="99" spans="13:32" ht="14.4" thickBot="1" x14ac:dyDescent="0.3">
      <c r="N99" s="38"/>
      <c r="O99" s="38"/>
      <c r="P99" s="60">
        <v>49</v>
      </c>
      <c r="Q99" s="38"/>
      <c r="R99" s="38"/>
      <c r="S99" s="38"/>
      <c r="T99" s="38"/>
      <c r="U99" s="38">
        <v>50</v>
      </c>
      <c r="V99" s="38"/>
      <c r="W99" s="38"/>
      <c r="X99" s="38"/>
      <c r="Y99" s="38"/>
      <c r="Z99" s="38">
        <v>51</v>
      </c>
      <c r="AA99" s="38">
        <v>52</v>
      </c>
      <c r="AB99" s="38">
        <v>53</v>
      </c>
      <c r="AC99" s="38">
        <v>54</v>
      </c>
      <c r="AD99" s="60">
        <v>55</v>
      </c>
      <c r="AE99" s="38">
        <v>56</v>
      </c>
      <c r="AF99" s="38">
        <v>57</v>
      </c>
    </row>
    <row r="100" spans="13:32" x14ac:dyDescent="0.25">
      <c r="P100" s="63">
        <v>48</v>
      </c>
      <c r="U100">
        <v>47</v>
      </c>
      <c r="Z100">
        <v>46</v>
      </c>
      <c r="AA100">
        <v>45</v>
      </c>
      <c r="AB100">
        <v>44</v>
      </c>
      <c r="AC100">
        <v>43</v>
      </c>
      <c r="AD100" s="63">
        <v>42</v>
      </c>
      <c r="AE100">
        <v>41</v>
      </c>
      <c r="AF100">
        <v>40</v>
      </c>
    </row>
    <row r="101" spans="13:32" ht="14.4" thickBot="1" x14ac:dyDescent="0.3">
      <c r="N101" s="38"/>
      <c r="O101" s="38"/>
      <c r="P101" s="60">
        <v>25</v>
      </c>
      <c r="Q101" s="38"/>
      <c r="R101" s="38"/>
      <c r="S101" s="38"/>
      <c r="T101" s="38"/>
      <c r="U101" s="38">
        <v>26</v>
      </c>
      <c r="V101" s="38"/>
      <c r="W101" s="38"/>
      <c r="X101" s="38"/>
      <c r="Y101" s="38"/>
      <c r="Z101" s="38">
        <v>27</v>
      </c>
      <c r="AA101" s="38">
        <v>28</v>
      </c>
      <c r="AB101" s="38">
        <v>29</v>
      </c>
      <c r="AC101" s="38">
        <v>30</v>
      </c>
      <c r="AD101" s="60">
        <v>31</v>
      </c>
      <c r="AE101" s="38">
        <v>32</v>
      </c>
      <c r="AF101" s="38">
        <v>33</v>
      </c>
    </row>
    <row r="102" spans="13:32" x14ac:dyDescent="0.25">
      <c r="N102" s="57"/>
      <c r="O102" s="57"/>
      <c r="P102" s="56">
        <v>24</v>
      </c>
      <c r="Q102" s="57"/>
      <c r="R102" s="57"/>
      <c r="S102" s="57"/>
      <c r="T102" s="57"/>
      <c r="U102" s="57">
        <v>23</v>
      </c>
      <c r="V102" s="57"/>
      <c r="W102" s="57"/>
      <c r="X102" s="57"/>
      <c r="Y102" s="57"/>
      <c r="Z102" s="57">
        <v>22</v>
      </c>
      <c r="AA102" s="57">
        <v>21</v>
      </c>
      <c r="AB102" s="57">
        <v>20</v>
      </c>
      <c r="AC102" s="65">
        <v>19</v>
      </c>
      <c r="AD102">
        <v>18</v>
      </c>
      <c r="AE102">
        <v>17</v>
      </c>
      <c r="AF102">
        <v>16</v>
      </c>
    </row>
    <row r="103" spans="13:32" ht="14.4" thickBot="1" x14ac:dyDescent="0.3">
      <c r="N103" s="38"/>
      <c r="O103" s="38"/>
      <c r="P103" s="60">
        <v>1</v>
      </c>
      <c r="Q103" s="38"/>
      <c r="R103" s="38"/>
      <c r="S103" s="38"/>
      <c r="T103" s="38"/>
      <c r="U103" s="38">
        <v>2</v>
      </c>
      <c r="V103" s="38"/>
      <c r="W103" s="38"/>
      <c r="X103" s="38"/>
      <c r="Y103" s="38"/>
      <c r="Z103" s="38">
        <v>3</v>
      </c>
      <c r="AA103" s="38">
        <v>4</v>
      </c>
      <c r="AB103" s="38">
        <v>5</v>
      </c>
      <c r="AC103" s="66">
        <v>6</v>
      </c>
      <c r="AD103" s="38">
        <v>7</v>
      </c>
      <c r="AE103" s="38">
        <v>8</v>
      </c>
      <c r="AF103" s="38">
        <v>9</v>
      </c>
    </row>
  </sheetData>
  <mergeCells count="3">
    <mergeCell ref="F1:U1"/>
    <mergeCell ref="Z1:AH1"/>
    <mergeCell ref="M97:AF97"/>
  </mergeCells>
  <conditionalFormatting sqref="N90:N95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90:AF95">
    <cfRule type="colorScale" priority="5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4:Z75">
    <cfRule type="colorScale" priority="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A4:AA75">
    <cfRule type="colorScale" priority="4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B4:AB75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C4:AC75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D4:AD13 AD18:AD37 AD42:AD61 AD66:AD75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D14:AD17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D38:AD41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D62:AD65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4:AE13 AE18:AE37 AE42:AE61 AE66:AE75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4:AE75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14:AE17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38:AE41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62:AE65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:AF13 AF18:AF37 AF42:AF61 AF66:AF75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:AF75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4:AF17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38:AF41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62:AF65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G4:AG13 AG18:AG37 AG42:AG61 AG66:AG75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G4:AG75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G14:AG17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G38:AG41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G62:AG65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:AH13 AH18:AH37 AH42:AH61 AH66:AH75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:AH75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:AH17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8:AH41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2:AH65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I4:AI13 AI18:AI37 AI42:AI61 AI66:AI75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I4:AI75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I14:AI17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I38:AI41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I62:AI65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J4:AJ13 AJ18:AJ37 AJ42:AJ61 AJ66:AJ75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J4:AJ75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J14:AJ17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J38:AJ41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J62:AJ65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K4:AN75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5:AO13 AO18:AO37 AO42:AO61 AO66:AO75 AO4:AP4 AP5:AP75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14:AO17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38:AO41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62:AO65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4:AP7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8FCF-0A2D-4644-BAA1-AEB19188FC8F}">
  <dimension ref="A1:BY76"/>
  <sheetViews>
    <sheetView zoomScale="80" zoomScaleNormal="98" workbookViewId="0">
      <pane xSplit="4" ySplit="2" topLeftCell="P24" activePane="bottomRight" state="frozen"/>
      <selection pane="topRight" activeCell="E1" sqref="E1"/>
      <selection pane="bottomLeft" activeCell="A3" sqref="A3"/>
      <selection pane="bottomRight" activeCell="AA25" sqref="AA25"/>
    </sheetView>
  </sheetViews>
  <sheetFormatPr defaultColWidth="8.8984375" defaultRowHeight="13.8" x14ac:dyDescent="0.25"/>
  <cols>
    <col min="5" max="7" width="10.69921875" bestFit="1" customWidth="1"/>
    <col min="8" max="8" width="10.296875" bestFit="1" customWidth="1"/>
    <col min="9" max="11" width="11.09765625" bestFit="1" customWidth="1"/>
    <col min="12" max="12" width="10.8984375" bestFit="1" customWidth="1"/>
    <col min="13" max="21" width="10.8984375" customWidth="1"/>
    <col min="22" max="22" width="10.09765625" customWidth="1"/>
    <col min="23" max="23" width="10.8984375" style="238" customWidth="1"/>
    <col min="24" max="24" width="10.8984375" customWidth="1"/>
    <col min="25" max="26" width="10.296875" customWidth="1"/>
    <col min="27" max="29" width="11" customWidth="1"/>
    <col min="30" max="31" width="11.09765625" customWidth="1"/>
    <col min="32" max="34" width="10.8984375" customWidth="1"/>
    <col min="35" max="37" width="11.09765625" customWidth="1"/>
    <col min="38" max="38" width="10.69921875" bestFit="1" customWidth="1"/>
    <col min="39" max="40" width="10.69921875" customWidth="1"/>
    <col min="41" max="41" width="11.09765625" customWidth="1"/>
    <col min="42" max="62" width="8.8984375" customWidth="1"/>
    <col min="63" max="63" width="10.69921875" bestFit="1" customWidth="1"/>
    <col min="64" max="64" width="8.8984375" customWidth="1"/>
    <col min="65" max="65" width="10.8984375" customWidth="1"/>
    <col min="66" max="66" width="10.8984375" bestFit="1" customWidth="1"/>
    <col min="73" max="73" width="11.3984375" customWidth="1"/>
    <col min="76" max="76" width="10.59765625" bestFit="1" customWidth="1"/>
  </cols>
  <sheetData>
    <row r="1" spans="1:77" x14ac:dyDescent="0.25">
      <c r="E1" s="254" t="s">
        <v>94</v>
      </c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4"/>
      <c r="V1" s="254"/>
      <c r="W1" s="262" t="s">
        <v>95</v>
      </c>
      <c r="X1" s="256"/>
      <c r="Y1" s="256"/>
      <c r="Z1" s="256"/>
      <c r="AA1" s="256"/>
      <c r="AB1" s="256"/>
      <c r="AC1" s="256"/>
      <c r="AD1" s="256"/>
      <c r="AE1" s="256"/>
      <c r="AF1" s="256"/>
      <c r="AG1" s="256"/>
      <c r="AH1" s="256"/>
      <c r="AI1" s="256"/>
      <c r="AJ1" s="256"/>
      <c r="AK1" s="256"/>
      <c r="AL1" s="256"/>
      <c r="AM1" s="256"/>
      <c r="AN1" s="256"/>
      <c r="AO1" s="256"/>
      <c r="AP1" s="256"/>
      <c r="AQ1" s="263" t="s">
        <v>96</v>
      </c>
      <c r="AR1" s="254"/>
      <c r="AS1" s="254"/>
      <c r="AT1" s="254"/>
      <c r="AU1" s="254"/>
      <c r="AV1" s="254"/>
      <c r="AW1" s="254"/>
      <c r="AX1" s="254"/>
      <c r="AY1" s="254"/>
      <c r="AZ1" s="263" t="s">
        <v>97</v>
      </c>
      <c r="BA1" s="254"/>
      <c r="BB1" s="254"/>
      <c r="BC1" s="254"/>
      <c r="BD1" s="254"/>
      <c r="BE1" s="254"/>
      <c r="BF1" s="254"/>
      <c r="BG1" s="254"/>
      <c r="BH1" s="254"/>
      <c r="BI1" s="263" t="s">
        <v>98</v>
      </c>
      <c r="BJ1" s="254"/>
      <c r="BK1" s="254"/>
      <c r="BL1" s="254"/>
      <c r="BM1" s="254"/>
      <c r="BN1" s="254"/>
      <c r="BO1" s="254"/>
      <c r="BP1" s="254"/>
      <c r="BQ1" s="254"/>
      <c r="BR1" s="254"/>
    </row>
    <row r="2" spans="1:77" ht="14.4" thickBot="1" x14ac:dyDescent="0.3">
      <c r="A2" t="s">
        <v>59</v>
      </c>
      <c r="B2" t="s">
        <v>81</v>
      </c>
      <c r="C2" t="s">
        <v>44</v>
      </c>
      <c r="D2" t="s">
        <v>83</v>
      </c>
      <c r="E2" s="16">
        <v>45188</v>
      </c>
      <c r="F2" s="16">
        <v>45189</v>
      </c>
      <c r="G2" s="16">
        <v>45196</v>
      </c>
      <c r="H2" s="16">
        <v>45203</v>
      </c>
      <c r="I2" s="16">
        <v>45214</v>
      </c>
      <c r="J2" s="16">
        <v>45221</v>
      </c>
      <c r="K2" s="16">
        <v>45230</v>
      </c>
      <c r="L2" s="16">
        <v>45237</v>
      </c>
      <c r="M2" s="16">
        <v>45244</v>
      </c>
      <c r="N2" s="16">
        <v>45251</v>
      </c>
      <c r="O2" s="16">
        <v>45258</v>
      </c>
      <c r="P2" s="16">
        <v>45265</v>
      </c>
      <c r="Q2" s="16">
        <v>45274</v>
      </c>
      <c r="R2" s="11">
        <v>45279</v>
      </c>
      <c r="S2" s="16">
        <v>45286</v>
      </c>
      <c r="T2" s="16">
        <v>45263</v>
      </c>
      <c r="W2" s="235">
        <f>E2</f>
        <v>45188</v>
      </c>
      <c r="X2" s="16">
        <v>45189</v>
      </c>
      <c r="Y2" s="16">
        <v>45195</v>
      </c>
      <c r="Z2" s="16">
        <v>45203</v>
      </c>
      <c r="AA2" s="16">
        <f>I2</f>
        <v>45214</v>
      </c>
      <c r="AB2" s="16">
        <v>45218</v>
      </c>
      <c r="AC2" s="16">
        <f>J2</f>
        <v>45221</v>
      </c>
      <c r="AD2" s="16">
        <v>45230</v>
      </c>
      <c r="AE2" s="16">
        <v>45237</v>
      </c>
      <c r="AF2" s="16">
        <v>45244</v>
      </c>
      <c r="AG2" s="16">
        <v>45251</v>
      </c>
      <c r="AH2" s="16">
        <v>45258</v>
      </c>
      <c r="AI2" s="16">
        <v>45265</v>
      </c>
      <c r="AJ2" s="16">
        <v>45274</v>
      </c>
      <c r="AK2" s="16">
        <v>45279</v>
      </c>
      <c r="AL2" s="16">
        <v>45286</v>
      </c>
      <c r="AM2" s="16">
        <v>45629</v>
      </c>
      <c r="AP2" s="11"/>
      <c r="AQ2" s="241">
        <v>45188</v>
      </c>
      <c r="AR2" s="11">
        <v>45189</v>
      </c>
      <c r="AS2" s="11">
        <f>G2</f>
        <v>45196</v>
      </c>
      <c r="AT2" s="11">
        <f>H2</f>
        <v>45203</v>
      </c>
      <c r="AU2" s="11">
        <f>I2</f>
        <v>45214</v>
      </c>
      <c r="AV2" s="11">
        <f>J2</f>
        <v>45221</v>
      </c>
      <c r="AW2" s="11">
        <f>K2</f>
        <v>45230</v>
      </c>
      <c r="AZ2" s="241">
        <v>45189</v>
      </c>
      <c r="BA2" s="11" t="s">
        <v>99</v>
      </c>
      <c r="BE2" s="11"/>
      <c r="BF2" s="11"/>
      <c r="BI2" s="241">
        <v>45196</v>
      </c>
      <c r="BK2" s="16">
        <v>45223</v>
      </c>
      <c r="BL2" s="11">
        <v>45230</v>
      </c>
      <c r="BM2" s="16">
        <v>45237</v>
      </c>
      <c r="BN2" s="16">
        <v>45244</v>
      </c>
      <c r="BO2" s="11">
        <v>45251</v>
      </c>
      <c r="BP2" s="11">
        <v>45258</v>
      </c>
      <c r="BQ2" s="11">
        <v>45265</v>
      </c>
      <c r="BR2" s="11">
        <v>45274</v>
      </c>
      <c r="BS2" t="s">
        <v>100</v>
      </c>
      <c r="BT2" s="11">
        <v>45279</v>
      </c>
      <c r="BU2" t="s">
        <v>101</v>
      </c>
      <c r="BV2" s="11">
        <v>45286</v>
      </c>
      <c r="BW2" t="s">
        <v>102</v>
      </c>
      <c r="BX2" s="16">
        <v>45629</v>
      </c>
      <c r="BY2" t="s">
        <v>158</v>
      </c>
    </row>
    <row r="3" spans="1:77" s="12" customFormat="1" ht="16.2" thickBot="1" x14ac:dyDescent="0.35">
      <c r="A3" s="12">
        <v>0.9</v>
      </c>
      <c r="B3" s="12">
        <v>5</v>
      </c>
      <c r="C3" s="12">
        <v>5</v>
      </c>
      <c r="D3" s="218">
        <v>1</v>
      </c>
      <c r="E3" s="12">
        <v>211</v>
      </c>
      <c r="F3" s="12">
        <v>208</v>
      </c>
      <c r="G3" s="12">
        <v>199</v>
      </c>
      <c r="I3" s="12" t="s">
        <v>103</v>
      </c>
      <c r="J3" s="12">
        <f t="shared" ref="J3:L4" si="0">BK3*2</f>
        <v>220</v>
      </c>
      <c r="K3" s="12">
        <f t="shared" si="0"/>
        <v>204</v>
      </c>
      <c r="L3" s="12">
        <f t="shared" si="0"/>
        <v>192</v>
      </c>
      <c r="M3" s="12">
        <f t="shared" ref="M3:P4" si="1">2*BN3</f>
        <v>236</v>
      </c>
      <c r="N3" s="12">
        <f t="shared" si="1"/>
        <v>366</v>
      </c>
      <c r="O3" s="12">
        <f t="shared" si="1"/>
        <v>366</v>
      </c>
      <c r="P3" s="12">
        <f t="shared" si="1"/>
        <v>414</v>
      </c>
      <c r="Q3" s="12">
        <f t="shared" ref="Q3:Q12" si="2">BR3*BS3</f>
        <v>612</v>
      </c>
      <c r="R3" s="12">
        <f>BU3*BT3</f>
        <v>900</v>
      </c>
      <c r="S3" s="12">
        <f>BV3*BW3</f>
        <v>640</v>
      </c>
      <c r="T3" s="12">
        <f>BX3*BY3</f>
        <v>567</v>
      </c>
      <c r="W3" s="236">
        <v>1.57</v>
      </c>
      <c r="X3" s="12">
        <v>1.63</v>
      </c>
      <c r="Y3" s="12">
        <v>1.64</v>
      </c>
      <c r="Z3" s="12">
        <v>1.54</v>
      </c>
      <c r="AA3" s="12">
        <v>1.52</v>
      </c>
      <c r="AB3" s="12">
        <v>1.54</v>
      </c>
      <c r="AC3" s="12">
        <v>1.63</v>
      </c>
      <c r="AD3" s="12">
        <v>1.58</v>
      </c>
      <c r="AE3" s="12">
        <v>1.39</v>
      </c>
      <c r="AF3" s="12">
        <v>1.42</v>
      </c>
      <c r="AG3" s="12">
        <v>1.53</v>
      </c>
      <c r="AH3" s="12">
        <v>1.8</v>
      </c>
      <c r="AI3" s="12">
        <v>1.7</v>
      </c>
      <c r="AJ3" s="12">
        <v>3.3</v>
      </c>
      <c r="AK3" s="12">
        <v>3.8</v>
      </c>
      <c r="AL3" s="12">
        <v>2.9</v>
      </c>
      <c r="AM3" s="12">
        <v>2.5</v>
      </c>
      <c r="AQ3" s="242">
        <f t="shared" ref="AQ3:AQ14" si="3">E3*0.2259</f>
        <v>47.664899999999996</v>
      </c>
      <c r="AR3" s="219">
        <f t="shared" ref="AR3:AR14" si="4">F3*0.2259</f>
        <v>46.987200000000001</v>
      </c>
      <c r="AS3" s="219">
        <f t="shared" ref="AS3:AS14" si="5">G3*0.2259</f>
        <v>44.954099999999997</v>
      </c>
      <c r="AT3" s="219">
        <f t="shared" ref="AT3:AT14" si="6">H3*0.2259</f>
        <v>0</v>
      </c>
      <c r="AU3" s="219" t="e" cm="1">
        <f t="array" ref="AU3">IF</f>
        <v>#NAME?</v>
      </c>
      <c r="AV3" s="219">
        <f t="shared" ref="AV3:AV34" si="7">J3*0.2259</f>
        <v>49.698</v>
      </c>
      <c r="AZ3" s="236"/>
      <c r="BD3" s="218"/>
      <c r="BE3" s="220"/>
      <c r="BI3" s="236"/>
      <c r="BK3" s="12">
        <v>110</v>
      </c>
      <c r="BL3" s="12">
        <v>102</v>
      </c>
      <c r="BM3" s="12">
        <v>96</v>
      </c>
      <c r="BN3" s="12">
        <v>118</v>
      </c>
      <c r="BO3" s="12">
        <v>183</v>
      </c>
      <c r="BP3" s="12">
        <v>183</v>
      </c>
      <c r="BQ3" s="12">
        <v>207</v>
      </c>
      <c r="BR3" s="12">
        <v>204</v>
      </c>
      <c r="BS3" s="12">
        <v>3</v>
      </c>
      <c r="BT3" s="12">
        <v>225</v>
      </c>
      <c r="BU3" s="12">
        <v>4</v>
      </c>
      <c r="BV3" s="12">
        <v>128</v>
      </c>
      <c r="BW3" s="12">
        <v>5</v>
      </c>
      <c r="BX3" s="12">
        <v>189</v>
      </c>
      <c r="BY3" s="12">
        <v>3</v>
      </c>
    </row>
    <row r="4" spans="1:77" s="12" customFormat="1" ht="16.2" thickBot="1" x14ac:dyDescent="0.35">
      <c r="A4" s="12">
        <v>4</v>
      </c>
      <c r="B4" s="12">
        <v>4</v>
      </c>
      <c r="C4" s="12">
        <v>10</v>
      </c>
      <c r="D4" s="218">
        <v>2</v>
      </c>
      <c r="E4" s="12">
        <v>219</v>
      </c>
      <c r="F4" s="12">
        <v>226</v>
      </c>
      <c r="G4" s="12">
        <v>214</v>
      </c>
      <c r="I4" s="12" t="s">
        <v>103</v>
      </c>
      <c r="J4" s="12">
        <f t="shared" si="0"/>
        <v>252</v>
      </c>
      <c r="K4" s="12">
        <f t="shared" si="0"/>
        <v>258</v>
      </c>
      <c r="L4" s="12">
        <f t="shared" si="0"/>
        <v>198</v>
      </c>
      <c r="M4" s="12">
        <f t="shared" si="1"/>
        <v>272</v>
      </c>
      <c r="N4" s="12">
        <f t="shared" si="1"/>
        <v>304</v>
      </c>
      <c r="O4" s="12">
        <f t="shared" si="1"/>
        <v>292</v>
      </c>
      <c r="P4" s="12">
        <f t="shared" si="1"/>
        <v>252</v>
      </c>
      <c r="Q4" s="12">
        <f t="shared" si="2"/>
        <v>591</v>
      </c>
      <c r="R4" s="12">
        <f t="shared" ref="R4:R67" si="8">BU4*BT4</f>
        <v>573</v>
      </c>
      <c r="S4" s="12">
        <f>BV4*BW4</f>
        <v>480</v>
      </c>
      <c r="T4" s="12">
        <f t="shared" ref="T4:T67" si="9">BX4*BY4</f>
        <v>423</v>
      </c>
      <c r="W4" s="236">
        <v>4.0999999999999996</v>
      </c>
      <c r="X4" s="12">
        <v>4.2</v>
      </c>
      <c r="Y4" s="12">
        <v>4.5</v>
      </c>
      <c r="Z4" s="12">
        <v>4.5999999999999996</v>
      </c>
      <c r="AA4" s="12">
        <v>4.0999999999999996</v>
      </c>
      <c r="AB4" s="12">
        <v>4.3</v>
      </c>
      <c r="AC4" s="12">
        <v>4.4000000000000004</v>
      </c>
      <c r="AD4" s="12">
        <v>4.7</v>
      </c>
      <c r="AE4" s="12">
        <v>4</v>
      </c>
      <c r="AF4" s="12">
        <v>4.2</v>
      </c>
      <c r="AG4" s="12">
        <v>4.5999999999999996</v>
      </c>
      <c r="AH4" s="12">
        <v>4.8</v>
      </c>
      <c r="AI4" s="12">
        <v>4.7</v>
      </c>
      <c r="AJ4" s="12">
        <v>6.1</v>
      </c>
      <c r="AK4" s="12">
        <v>6.1</v>
      </c>
      <c r="AL4" s="12">
        <v>5.0999999999999996</v>
      </c>
      <c r="AM4" s="12">
        <v>5.0999999999999996</v>
      </c>
      <c r="AQ4" s="242">
        <f t="shared" si="3"/>
        <v>49.472099999999998</v>
      </c>
      <c r="AR4" s="219">
        <f t="shared" si="4"/>
        <v>51.053399999999996</v>
      </c>
      <c r="AS4" s="219">
        <f t="shared" si="5"/>
        <v>48.342599999999997</v>
      </c>
      <c r="AT4" s="219">
        <f t="shared" si="6"/>
        <v>0</v>
      </c>
      <c r="AU4" s="219" t="e">
        <f t="shared" ref="AU4:AU48" si="10">I4*0.2259</f>
        <v>#VALUE!</v>
      </c>
      <c r="AV4" s="219">
        <f t="shared" si="7"/>
        <v>56.9268</v>
      </c>
      <c r="AZ4" s="236"/>
      <c r="BD4" s="218"/>
      <c r="BE4" s="220"/>
      <c r="BI4" s="236"/>
      <c r="BK4" s="12">
        <v>126</v>
      </c>
      <c r="BL4" s="12">
        <v>129</v>
      </c>
      <c r="BM4" s="12">
        <v>99</v>
      </c>
      <c r="BN4" s="12">
        <v>136</v>
      </c>
      <c r="BO4" s="12">
        <v>152</v>
      </c>
      <c r="BP4" s="12">
        <v>146</v>
      </c>
      <c r="BQ4" s="12">
        <v>126</v>
      </c>
      <c r="BR4" s="12">
        <v>197</v>
      </c>
      <c r="BS4" s="12">
        <v>3</v>
      </c>
      <c r="BT4" s="12">
        <v>191</v>
      </c>
      <c r="BU4" s="12">
        <v>3</v>
      </c>
      <c r="BV4" s="12">
        <v>96</v>
      </c>
      <c r="BW4" s="12">
        <v>5</v>
      </c>
      <c r="BX4" s="12">
        <v>141</v>
      </c>
      <c r="BY4" s="12">
        <v>3</v>
      </c>
    </row>
    <row r="5" spans="1:77" s="28" customFormat="1" ht="16.2" thickBot="1" x14ac:dyDescent="0.35">
      <c r="A5" s="28">
        <v>4</v>
      </c>
      <c r="B5" s="28">
        <v>2</v>
      </c>
      <c r="C5" s="28">
        <v>8</v>
      </c>
      <c r="D5" s="31">
        <v>3</v>
      </c>
      <c r="E5" s="28">
        <v>45</v>
      </c>
      <c r="F5" s="28">
        <v>37</v>
      </c>
      <c r="G5" s="28">
        <v>42</v>
      </c>
      <c r="H5" s="28">
        <v>47</v>
      </c>
      <c r="I5" s="28">
        <v>46</v>
      </c>
      <c r="J5" s="28">
        <v>43</v>
      </c>
      <c r="K5" s="28">
        <v>52</v>
      </c>
      <c r="L5" s="28">
        <v>53</v>
      </c>
      <c r="M5" s="28">
        <v>64</v>
      </c>
      <c r="N5" s="28">
        <v>58</v>
      </c>
      <c r="O5" s="28">
        <v>67</v>
      </c>
      <c r="P5" s="28">
        <v>62</v>
      </c>
      <c r="Q5" s="12">
        <f t="shared" si="2"/>
        <v>0</v>
      </c>
      <c r="R5" s="12">
        <f t="shared" si="8"/>
        <v>111</v>
      </c>
      <c r="S5" s="28">
        <v>92</v>
      </c>
      <c r="T5" s="12">
        <f t="shared" si="9"/>
        <v>60</v>
      </c>
      <c r="W5" s="237">
        <v>3.8</v>
      </c>
      <c r="X5" s="28">
        <v>3.8</v>
      </c>
      <c r="Y5" s="28">
        <v>4.0999999999999996</v>
      </c>
      <c r="Z5" s="28">
        <v>4.2</v>
      </c>
      <c r="AA5" s="28">
        <v>3.8</v>
      </c>
      <c r="AB5" s="28">
        <v>4</v>
      </c>
      <c r="AC5" s="28">
        <v>4.0999999999999996</v>
      </c>
      <c r="AD5" s="28">
        <v>4.4000000000000004</v>
      </c>
      <c r="AE5" s="28">
        <v>4.4000000000000004</v>
      </c>
      <c r="AF5" s="28">
        <v>4.5</v>
      </c>
      <c r="AG5" s="28">
        <v>4.2</v>
      </c>
      <c r="AH5" s="28">
        <v>4.3</v>
      </c>
      <c r="AI5" s="28">
        <v>4.2</v>
      </c>
      <c r="AJ5" s="28">
        <v>5.3</v>
      </c>
      <c r="AK5" s="28">
        <v>6.2</v>
      </c>
      <c r="AL5" s="28">
        <v>4.5</v>
      </c>
      <c r="AM5" s="28">
        <v>4.7</v>
      </c>
      <c r="AQ5" s="243">
        <f t="shared" si="3"/>
        <v>10.1655</v>
      </c>
      <c r="AR5" s="48">
        <f t="shared" si="4"/>
        <v>8.3582999999999998</v>
      </c>
      <c r="AS5" s="48">
        <f t="shared" si="5"/>
        <v>9.4878</v>
      </c>
      <c r="AT5" s="48">
        <f t="shared" si="6"/>
        <v>10.6173</v>
      </c>
      <c r="AU5" s="48">
        <f t="shared" si="10"/>
        <v>10.391399999999999</v>
      </c>
      <c r="AV5" s="48">
        <f t="shared" si="7"/>
        <v>9.7136999999999993</v>
      </c>
      <c r="AW5" s="48">
        <f>K5*0.2259</f>
        <v>11.7468</v>
      </c>
      <c r="AZ5" s="237"/>
      <c r="BD5" s="31"/>
      <c r="BE5" s="30"/>
      <c r="BI5" s="237"/>
      <c r="BN5" s="28">
        <v>33</v>
      </c>
      <c r="BR5" s="28">
        <v>80</v>
      </c>
      <c r="BT5" s="28">
        <v>111</v>
      </c>
      <c r="BU5" s="28">
        <v>1</v>
      </c>
      <c r="BV5" s="28">
        <v>75</v>
      </c>
      <c r="BW5" s="28">
        <v>1</v>
      </c>
      <c r="BX5" s="28">
        <v>60</v>
      </c>
      <c r="BY5" s="28">
        <v>1</v>
      </c>
    </row>
    <row r="6" spans="1:77" s="28" customFormat="1" ht="16.2" thickBot="1" x14ac:dyDescent="0.35">
      <c r="A6" s="28">
        <v>0.9</v>
      </c>
      <c r="B6" s="28">
        <v>2</v>
      </c>
      <c r="C6" s="28">
        <v>2</v>
      </c>
      <c r="D6" s="31">
        <v>4</v>
      </c>
      <c r="E6" s="28">
        <v>47</v>
      </c>
      <c r="F6" s="28">
        <v>46</v>
      </c>
      <c r="G6" s="28">
        <v>45</v>
      </c>
      <c r="H6" s="28">
        <v>48</v>
      </c>
      <c r="I6" s="28">
        <v>44</v>
      </c>
      <c r="J6" s="28">
        <v>46</v>
      </c>
      <c r="K6" s="28">
        <v>50</v>
      </c>
      <c r="L6" s="28">
        <v>47</v>
      </c>
      <c r="M6" s="28">
        <v>46</v>
      </c>
      <c r="N6" s="28">
        <v>43</v>
      </c>
      <c r="O6" s="28">
        <v>28</v>
      </c>
      <c r="P6" s="28">
        <v>18</v>
      </c>
      <c r="Q6" s="28">
        <f t="shared" si="2"/>
        <v>0</v>
      </c>
      <c r="R6" s="12">
        <f t="shared" si="8"/>
        <v>0</v>
      </c>
      <c r="S6" s="28">
        <v>0</v>
      </c>
      <c r="T6" s="12">
        <f t="shared" si="9"/>
        <v>0</v>
      </c>
      <c r="W6" s="237">
        <v>1.38</v>
      </c>
      <c r="X6" s="28">
        <v>1.37</v>
      </c>
      <c r="Y6" s="28">
        <v>1.42</v>
      </c>
      <c r="Z6" s="28">
        <v>1.43</v>
      </c>
      <c r="AA6" s="28">
        <v>1.38</v>
      </c>
      <c r="AB6" s="28">
        <v>1.46</v>
      </c>
      <c r="AC6" s="28">
        <v>1.63</v>
      </c>
      <c r="AD6" s="28">
        <v>1.49</v>
      </c>
      <c r="AE6" s="28">
        <v>1.4</v>
      </c>
      <c r="AF6" s="28">
        <v>1.23</v>
      </c>
      <c r="AG6" s="28">
        <v>1.1299999999999999</v>
      </c>
      <c r="AH6" s="28">
        <v>1.1499999999999999</v>
      </c>
      <c r="AI6" s="28">
        <v>1.22</v>
      </c>
      <c r="AJ6" s="28">
        <v>1.32</v>
      </c>
      <c r="AK6" s="28">
        <v>1.85</v>
      </c>
      <c r="AL6" s="28">
        <v>2.9</v>
      </c>
      <c r="AM6" s="28">
        <v>2.5</v>
      </c>
      <c r="AQ6" s="243">
        <f t="shared" si="3"/>
        <v>10.6173</v>
      </c>
      <c r="AR6" s="48">
        <f t="shared" si="4"/>
        <v>10.391399999999999</v>
      </c>
      <c r="AS6" s="48">
        <f t="shared" si="5"/>
        <v>10.1655</v>
      </c>
      <c r="AT6" s="48">
        <f t="shared" si="6"/>
        <v>10.8432</v>
      </c>
      <c r="AU6" s="48">
        <f t="shared" si="10"/>
        <v>9.9395999999999987</v>
      </c>
      <c r="AV6" s="48">
        <f t="shared" si="7"/>
        <v>10.391399999999999</v>
      </c>
      <c r="AZ6" s="237"/>
      <c r="BD6" s="31"/>
      <c r="BE6" s="250"/>
      <c r="BI6" s="237"/>
      <c r="BR6" s="28">
        <v>7</v>
      </c>
      <c r="BT6" s="28">
        <v>0</v>
      </c>
      <c r="BV6" s="28">
        <v>0</v>
      </c>
      <c r="BX6" s="28">
        <v>0</v>
      </c>
    </row>
    <row r="7" spans="1:77" s="12" customFormat="1" ht="18.600000000000001" customHeight="1" thickBot="1" x14ac:dyDescent="0.35">
      <c r="A7" s="12">
        <v>4</v>
      </c>
      <c r="B7" s="12">
        <v>6</v>
      </c>
      <c r="C7" s="12">
        <v>12</v>
      </c>
      <c r="D7" s="218">
        <v>5</v>
      </c>
      <c r="E7" s="12" t="s">
        <v>103</v>
      </c>
      <c r="G7" s="12">
        <f>BI7*2</f>
        <v>286</v>
      </c>
      <c r="H7" s="221"/>
      <c r="I7" s="12" t="s">
        <v>103</v>
      </c>
      <c r="J7" s="12">
        <f t="shared" ref="J7:L8" si="11">BK7*2</f>
        <v>350</v>
      </c>
      <c r="K7" s="12">
        <f t="shared" si="11"/>
        <v>398</v>
      </c>
      <c r="L7" s="12">
        <f t="shared" si="11"/>
        <v>338</v>
      </c>
      <c r="M7" s="12">
        <f t="shared" ref="M7:P8" si="12">2*BN7</f>
        <v>386</v>
      </c>
      <c r="N7" s="12">
        <f t="shared" si="12"/>
        <v>398</v>
      </c>
      <c r="O7" s="12">
        <f t="shared" si="12"/>
        <v>400</v>
      </c>
      <c r="P7" s="12">
        <f t="shared" si="12"/>
        <v>386</v>
      </c>
      <c r="Q7" s="12">
        <f t="shared" si="2"/>
        <v>985</v>
      </c>
      <c r="R7" s="12">
        <f t="shared" si="8"/>
        <v>740</v>
      </c>
      <c r="S7" s="12">
        <f>BV7*BW7</f>
        <v>648</v>
      </c>
      <c r="T7" s="12">
        <f t="shared" si="9"/>
        <v>456</v>
      </c>
      <c r="W7" s="236">
        <v>4.0999999999999996</v>
      </c>
      <c r="X7" s="12">
        <v>4.0999999999999996</v>
      </c>
      <c r="Y7" s="12">
        <v>5.0999999999999996</v>
      </c>
      <c r="Z7" s="12">
        <v>4.5</v>
      </c>
      <c r="AA7" s="12">
        <v>4.0999999999999996</v>
      </c>
      <c r="AB7" s="12">
        <v>4.4000000000000004</v>
      </c>
      <c r="AC7" s="12">
        <v>4.5</v>
      </c>
      <c r="AD7" s="12">
        <v>4.7</v>
      </c>
      <c r="AE7" s="12">
        <v>4.3</v>
      </c>
      <c r="AF7" s="12">
        <v>5</v>
      </c>
      <c r="AG7" s="12">
        <v>4.8</v>
      </c>
      <c r="AH7" s="12">
        <v>5.3</v>
      </c>
      <c r="AI7" s="12">
        <v>5</v>
      </c>
      <c r="AJ7" s="12">
        <v>7.8</v>
      </c>
      <c r="AK7" s="12">
        <v>5.3</v>
      </c>
      <c r="AL7" s="12">
        <v>5.3</v>
      </c>
      <c r="AM7" s="12">
        <v>5.0999999999999996</v>
      </c>
      <c r="AQ7" s="242" t="e">
        <f t="shared" si="3"/>
        <v>#VALUE!</v>
      </c>
      <c r="AR7" s="219">
        <f t="shared" si="4"/>
        <v>0</v>
      </c>
      <c r="AS7" s="219">
        <f t="shared" si="5"/>
        <v>64.607399999999998</v>
      </c>
      <c r="AT7" s="219">
        <f t="shared" si="6"/>
        <v>0</v>
      </c>
      <c r="AU7" s="219" t="e">
        <f t="shared" si="10"/>
        <v>#VALUE!</v>
      </c>
      <c r="AV7" s="219">
        <f t="shared" si="7"/>
        <v>79.064999999999998</v>
      </c>
      <c r="AY7" s="245"/>
      <c r="AZ7" s="247">
        <v>1.62</v>
      </c>
      <c r="BA7" s="12">
        <f>AS7*100/(AZ7+AS7)</f>
        <v>97.553882532003357</v>
      </c>
      <c r="BD7" s="218"/>
      <c r="BE7" s="220"/>
      <c r="BI7" s="236">
        <v>143</v>
      </c>
      <c r="BJ7" s="221" t="s">
        <v>104</v>
      </c>
      <c r="BK7" s="12">
        <v>175</v>
      </c>
      <c r="BL7" s="12">
        <v>199</v>
      </c>
      <c r="BM7" s="12">
        <v>169</v>
      </c>
      <c r="BN7" s="12">
        <v>193</v>
      </c>
      <c r="BO7" s="12">
        <v>199</v>
      </c>
      <c r="BP7" s="12">
        <v>200</v>
      </c>
      <c r="BQ7" s="12">
        <v>193</v>
      </c>
      <c r="BR7" s="12">
        <v>197</v>
      </c>
      <c r="BS7" s="12">
        <v>5</v>
      </c>
      <c r="BT7" s="12">
        <v>148</v>
      </c>
      <c r="BU7" s="12">
        <v>5</v>
      </c>
      <c r="BV7" s="12">
        <v>162</v>
      </c>
      <c r="BW7" s="12">
        <v>4</v>
      </c>
      <c r="BX7" s="12">
        <v>228</v>
      </c>
      <c r="BY7" s="12">
        <v>2</v>
      </c>
    </row>
    <row r="8" spans="1:77" s="12" customFormat="1" ht="18.600000000000001" customHeight="1" thickBot="1" x14ac:dyDescent="0.35">
      <c r="A8" s="12">
        <v>0.9</v>
      </c>
      <c r="B8" s="12">
        <v>6</v>
      </c>
      <c r="C8" s="12">
        <v>6</v>
      </c>
      <c r="D8" s="218">
        <v>6</v>
      </c>
      <c r="E8" s="12" t="s">
        <v>103</v>
      </c>
      <c r="G8" s="12">
        <f>BI8*2</f>
        <v>276</v>
      </c>
      <c r="H8" s="221"/>
      <c r="I8" s="12" t="s">
        <v>103</v>
      </c>
      <c r="J8" s="12">
        <f t="shared" si="11"/>
        <v>292</v>
      </c>
      <c r="K8" s="12">
        <f t="shared" si="11"/>
        <v>308</v>
      </c>
      <c r="L8" s="12">
        <f t="shared" si="11"/>
        <v>266</v>
      </c>
      <c r="M8" s="12">
        <f t="shared" si="12"/>
        <v>342</v>
      </c>
      <c r="N8" s="12">
        <f t="shared" si="12"/>
        <v>430</v>
      </c>
      <c r="O8" s="12">
        <f t="shared" si="12"/>
        <v>456</v>
      </c>
      <c r="P8" s="12">
        <f t="shared" si="12"/>
        <v>446</v>
      </c>
      <c r="Q8" s="12" t="e">
        <f t="shared" si="2"/>
        <v>#VALUE!</v>
      </c>
      <c r="R8" s="12">
        <f t="shared" si="8"/>
        <v>1055</v>
      </c>
      <c r="S8" s="12">
        <f>BV8*BW8</f>
        <v>732</v>
      </c>
      <c r="T8" s="12">
        <f t="shared" si="9"/>
        <v>633</v>
      </c>
      <c r="W8" s="236">
        <v>1.75</v>
      </c>
      <c r="X8" s="12">
        <v>1.73</v>
      </c>
      <c r="Y8" s="12">
        <v>1.82</v>
      </c>
      <c r="Z8" s="12">
        <v>1.62</v>
      </c>
      <c r="AA8" s="12">
        <v>1.61</v>
      </c>
      <c r="AB8" s="12">
        <v>1.66</v>
      </c>
      <c r="AC8" s="12">
        <v>1.67</v>
      </c>
      <c r="AD8" s="12">
        <v>1.61</v>
      </c>
      <c r="AE8" s="12">
        <v>1.53</v>
      </c>
      <c r="AF8" s="12">
        <v>1.51</v>
      </c>
      <c r="AG8" s="12">
        <v>1.67</v>
      </c>
      <c r="AH8" s="12">
        <v>1.71</v>
      </c>
      <c r="AI8" s="12">
        <v>1.67</v>
      </c>
      <c r="AJ8" s="12">
        <v>3.2</v>
      </c>
      <c r="AK8" s="12">
        <v>3.7</v>
      </c>
      <c r="AL8" s="12">
        <v>2.9</v>
      </c>
      <c r="AM8" s="12">
        <v>2.6</v>
      </c>
      <c r="AQ8" s="242" t="e">
        <f t="shared" si="3"/>
        <v>#VALUE!</v>
      </c>
      <c r="AR8" s="219">
        <f t="shared" si="4"/>
        <v>0</v>
      </c>
      <c r="AS8" s="219">
        <f t="shared" si="5"/>
        <v>62.348399999999998</v>
      </c>
      <c r="AT8" s="219">
        <f t="shared" si="6"/>
        <v>0</v>
      </c>
      <c r="AU8" s="219" t="e">
        <f t="shared" si="10"/>
        <v>#VALUE!</v>
      </c>
      <c r="AV8" s="219">
        <f t="shared" si="7"/>
        <v>65.962800000000001</v>
      </c>
      <c r="AY8" s="245"/>
      <c r="AZ8" s="247">
        <v>0.92</v>
      </c>
      <c r="BA8" s="12">
        <f>AS8*100/(AZ8+AS8)</f>
        <v>98.545877562890794</v>
      </c>
      <c r="BD8" s="218"/>
      <c r="BE8" s="220"/>
      <c r="BI8" s="236">
        <v>138</v>
      </c>
      <c r="BJ8" s="221" t="s">
        <v>104</v>
      </c>
      <c r="BK8" s="12">
        <v>146</v>
      </c>
      <c r="BL8" s="12">
        <v>154</v>
      </c>
      <c r="BM8" s="12">
        <v>133</v>
      </c>
      <c r="BN8" s="12">
        <v>171</v>
      </c>
      <c r="BO8" s="12">
        <v>215</v>
      </c>
      <c r="BP8" s="12">
        <v>228</v>
      </c>
      <c r="BQ8" s="12">
        <v>223</v>
      </c>
      <c r="BR8" s="12">
        <v>208</v>
      </c>
      <c r="BS8" s="12" t="s">
        <v>86</v>
      </c>
      <c r="BT8" s="12">
        <v>211</v>
      </c>
      <c r="BU8" s="12">
        <v>5</v>
      </c>
      <c r="BV8" s="12">
        <v>183</v>
      </c>
      <c r="BW8" s="12">
        <v>4</v>
      </c>
      <c r="BX8" s="12">
        <v>211</v>
      </c>
      <c r="BY8" s="12">
        <v>3</v>
      </c>
    </row>
    <row r="9" spans="1:77" s="28" customFormat="1" ht="16.2" thickBot="1" x14ac:dyDescent="0.35">
      <c r="A9" s="28">
        <v>0.9</v>
      </c>
      <c r="B9" s="28">
        <v>1</v>
      </c>
      <c r="C9" s="28">
        <v>1</v>
      </c>
      <c r="D9" s="31">
        <v>7</v>
      </c>
      <c r="E9" s="28">
        <v>19</v>
      </c>
      <c r="F9" s="28">
        <v>19</v>
      </c>
      <c r="G9" s="28">
        <v>19</v>
      </c>
      <c r="H9" s="28">
        <v>20</v>
      </c>
      <c r="I9" s="28">
        <v>17</v>
      </c>
      <c r="J9" s="28">
        <v>17</v>
      </c>
      <c r="K9" s="28">
        <v>32</v>
      </c>
      <c r="L9" s="28">
        <v>37</v>
      </c>
      <c r="M9" s="28">
        <v>27</v>
      </c>
      <c r="N9" s="28">
        <v>25</v>
      </c>
      <c r="O9" s="28">
        <v>21</v>
      </c>
      <c r="P9" s="28">
        <v>19</v>
      </c>
      <c r="Q9" s="12">
        <f t="shared" si="2"/>
        <v>0</v>
      </c>
      <c r="R9" s="12">
        <f t="shared" si="8"/>
        <v>21</v>
      </c>
      <c r="S9" s="28">
        <v>13</v>
      </c>
      <c r="T9" s="12">
        <f t="shared" si="9"/>
        <v>11</v>
      </c>
      <c r="W9" s="237">
        <v>1.36</v>
      </c>
      <c r="X9" s="28">
        <v>1.33</v>
      </c>
      <c r="Y9" s="28">
        <v>1.41</v>
      </c>
      <c r="Z9" s="28">
        <v>1.27</v>
      </c>
      <c r="AA9" s="28">
        <v>1.2</v>
      </c>
      <c r="AB9" s="28">
        <v>1.67</v>
      </c>
      <c r="AC9" s="28">
        <v>1.32</v>
      </c>
      <c r="AD9" s="28">
        <v>1.34</v>
      </c>
      <c r="AE9" s="28">
        <v>1.61</v>
      </c>
      <c r="AF9" s="28">
        <v>1.3</v>
      </c>
      <c r="AG9" s="28">
        <v>1.41</v>
      </c>
      <c r="AH9" s="28">
        <v>1.4</v>
      </c>
      <c r="AI9" s="28">
        <v>1.3</v>
      </c>
      <c r="AJ9" s="28">
        <v>1.93</v>
      </c>
      <c r="AK9" s="28">
        <v>2.2999999999999998</v>
      </c>
      <c r="AL9" s="28">
        <v>1.86</v>
      </c>
      <c r="AM9" s="28">
        <v>0.1</v>
      </c>
      <c r="AQ9" s="243">
        <f t="shared" si="3"/>
        <v>4.2920999999999996</v>
      </c>
      <c r="AR9" s="48">
        <f t="shared" si="4"/>
        <v>4.2920999999999996</v>
      </c>
      <c r="AS9" s="48">
        <f t="shared" si="5"/>
        <v>4.2920999999999996</v>
      </c>
      <c r="AT9" s="48">
        <f t="shared" si="6"/>
        <v>4.5179999999999998</v>
      </c>
      <c r="AU9" s="48">
        <f t="shared" si="10"/>
        <v>3.8403</v>
      </c>
      <c r="AV9" s="48">
        <f t="shared" si="7"/>
        <v>3.8403</v>
      </c>
      <c r="AZ9" s="237"/>
      <c r="BC9"/>
      <c r="BD9" s="35"/>
      <c r="BE9" s="30"/>
      <c r="BI9" s="237"/>
      <c r="BR9" s="28">
        <v>24</v>
      </c>
      <c r="BT9" s="28">
        <v>21</v>
      </c>
      <c r="BU9" s="28">
        <v>1</v>
      </c>
      <c r="BV9" s="28">
        <v>12</v>
      </c>
      <c r="BW9" s="28">
        <v>1</v>
      </c>
      <c r="BX9" s="28">
        <v>11</v>
      </c>
      <c r="BY9" s="28">
        <v>1</v>
      </c>
    </row>
    <row r="10" spans="1:77" s="12" customFormat="1" ht="16.2" thickBot="1" x14ac:dyDescent="0.35">
      <c r="A10" s="12">
        <v>4</v>
      </c>
      <c r="B10" s="12">
        <v>5</v>
      </c>
      <c r="C10" s="12">
        <v>11</v>
      </c>
      <c r="D10" s="218">
        <v>8</v>
      </c>
      <c r="E10" s="12">
        <v>203</v>
      </c>
      <c r="F10" s="12">
        <v>215</v>
      </c>
      <c r="G10" s="12">
        <v>215</v>
      </c>
      <c r="I10" s="12" t="s">
        <v>103</v>
      </c>
      <c r="J10" s="12">
        <v>198</v>
      </c>
      <c r="K10" s="12">
        <f>BL10*2</f>
        <v>346</v>
      </c>
      <c r="L10" s="12">
        <f>2*BM10</f>
        <v>344</v>
      </c>
      <c r="M10" s="12">
        <f>2*BN10</f>
        <v>296</v>
      </c>
      <c r="N10" s="12">
        <f>2*BO10</f>
        <v>330</v>
      </c>
      <c r="O10" s="12">
        <f>2*BP10</f>
        <v>318</v>
      </c>
      <c r="P10" s="12">
        <f>2*BQ10</f>
        <v>308</v>
      </c>
      <c r="Q10" s="12">
        <f t="shared" si="2"/>
        <v>495</v>
      </c>
      <c r="R10" s="12">
        <f t="shared" si="8"/>
        <v>775</v>
      </c>
      <c r="S10" s="12">
        <f>BV10*BW10</f>
        <v>484</v>
      </c>
      <c r="T10" s="12">
        <f t="shared" si="9"/>
        <v>420</v>
      </c>
      <c r="W10" s="236">
        <v>4.0999999999999996</v>
      </c>
      <c r="X10" s="12">
        <v>4</v>
      </c>
      <c r="Y10" s="12">
        <v>4.5</v>
      </c>
      <c r="Z10" s="12">
        <v>4.5</v>
      </c>
      <c r="AA10" s="12">
        <v>3.8</v>
      </c>
      <c r="AB10" s="12">
        <v>4</v>
      </c>
      <c r="AC10" s="12">
        <v>3.9</v>
      </c>
      <c r="AD10" s="12">
        <v>4.7</v>
      </c>
      <c r="AE10" s="12">
        <v>3.8</v>
      </c>
      <c r="AF10" s="12">
        <v>3.7</v>
      </c>
      <c r="AG10" s="12">
        <v>4</v>
      </c>
      <c r="AH10" s="12">
        <v>4.3</v>
      </c>
      <c r="AI10" s="12">
        <v>4.3</v>
      </c>
      <c r="AJ10" s="12">
        <v>5.2</v>
      </c>
      <c r="AK10" s="12">
        <v>6.8</v>
      </c>
      <c r="AL10" s="12">
        <v>5.8</v>
      </c>
      <c r="AM10" s="12">
        <v>5.7</v>
      </c>
      <c r="AQ10" s="242">
        <f t="shared" si="3"/>
        <v>45.857700000000001</v>
      </c>
      <c r="AR10" s="219">
        <f t="shared" si="4"/>
        <v>48.5685</v>
      </c>
      <c r="AS10" s="219">
        <f t="shared" si="5"/>
        <v>48.5685</v>
      </c>
      <c r="AT10" s="219">
        <f t="shared" si="6"/>
        <v>0</v>
      </c>
      <c r="AU10" s="219" t="e">
        <f t="shared" si="10"/>
        <v>#VALUE!</v>
      </c>
      <c r="AV10" s="219">
        <f t="shared" si="7"/>
        <v>44.728200000000001</v>
      </c>
      <c r="AZ10" s="236"/>
      <c r="BD10" s="218"/>
      <c r="BE10" s="220"/>
      <c r="BI10" s="236"/>
      <c r="BK10" s="12">
        <v>135</v>
      </c>
      <c r="BL10" s="12">
        <v>173</v>
      </c>
      <c r="BM10" s="12">
        <v>172</v>
      </c>
      <c r="BN10" s="12">
        <v>148</v>
      </c>
      <c r="BO10" s="12">
        <v>165</v>
      </c>
      <c r="BP10" s="12">
        <v>159</v>
      </c>
      <c r="BQ10" s="12">
        <v>154</v>
      </c>
      <c r="BR10" s="12">
        <v>165</v>
      </c>
      <c r="BS10" s="12">
        <v>3</v>
      </c>
      <c r="BT10" s="12">
        <v>155</v>
      </c>
      <c r="BU10" s="12">
        <v>5</v>
      </c>
      <c r="BV10" s="12">
        <v>121</v>
      </c>
      <c r="BW10" s="12">
        <v>4</v>
      </c>
      <c r="BX10" s="12">
        <v>140</v>
      </c>
      <c r="BY10" s="12">
        <v>3</v>
      </c>
    </row>
    <row r="11" spans="1:77" s="12" customFormat="1" ht="18.600000000000001" customHeight="1" thickBot="1" x14ac:dyDescent="0.35">
      <c r="A11" s="12">
        <v>4</v>
      </c>
      <c r="B11" s="12">
        <v>4</v>
      </c>
      <c r="C11" s="12">
        <v>10</v>
      </c>
      <c r="D11" s="218">
        <v>9</v>
      </c>
      <c r="E11" s="12" t="s">
        <v>103</v>
      </c>
      <c r="G11" s="12">
        <f>BI11*2</f>
        <v>222</v>
      </c>
      <c r="I11" s="12">
        <v>203</v>
      </c>
      <c r="J11" s="12">
        <v>194</v>
      </c>
      <c r="K11" s="12">
        <v>196</v>
      </c>
      <c r="L11" s="12">
        <v>210</v>
      </c>
      <c r="M11" s="12">
        <f t="shared" ref="M11:P12" si="13">2*BN11</f>
        <v>278</v>
      </c>
      <c r="N11" s="12">
        <f t="shared" si="13"/>
        <v>376</v>
      </c>
      <c r="O11" s="12">
        <f t="shared" si="13"/>
        <v>296</v>
      </c>
      <c r="P11" s="12">
        <f t="shared" si="13"/>
        <v>300</v>
      </c>
      <c r="Q11" s="12" t="e">
        <f t="shared" si="2"/>
        <v>#VALUE!</v>
      </c>
      <c r="R11" s="12">
        <f t="shared" si="8"/>
        <v>594</v>
      </c>
      <c r="S11" s="12">
        <f>BV11*BW11</f>
        <v>352</v>
      </c>
      <c r="T11" s="12">
        <f t="shared" si="9"/>
        <v>435</v>
      </c>
      <c r="W11" s="236">
        <v>4.2</v>
      </c>
      <c r="X11" s="12">
        <v>4.2</v>
      </c>
      <c r="Y11" s="12">
        <v>4.9000000000000004</v>
      </c>
      <c r="Z11" s="12">
        <v>4.7</v>
      </c>
      <c r="AA11" s="12">
        <v>4</v>
      </c>
      <c r="AB11" s="12">
        <v>4.3</v>
      </c>
      <c r="AC11" s="12">
        <v>4.3</v>
      </c>
      <c r="AD11" s="12">
        <v>4.3</v>
      </c>
      <c r="AE11" s="12">
        <v>4.0999999999999996</v>
      </c>
      <c r="AF11" s="12">
        <v>4.3</v>
      </c>
      <c r="AG11" s="12">
        <v>4.7</v>
      </c>
      <c r="AH11" s="12">
        <v>4.9000000000000004</v>
      </c>
      <c r="AI11" s="12">
        <v>4.7</v>
      </c>
      <c r="AJ11" s="12">
        <v>6.1</v>
      </c>
      <c r="AK11" s="12">
        <v>5.7</v>
      </c>
      <c r="AL11" s="12">
        <v>5</v>
      </c>
      <c r="AM11" s="12">
        <v>5.2</v>
      </c>
      <c r="AQ11" s="242" t="e">
        <f t="shared" si="3"/>
        <v>#VALUE!</v>
      </c>
      <c r="AR11" s="219">
        <f t="shared" si="4"/>
        <v>0</v>
      </c>
      <c r="AS11" s="219">
        <f t="shared" si="5"/>
        <v>50.149799999999999</v>
      </c>
      <c r="AT11" s="219">
        <f t="shared" si="6"/>
        <v>0</v>
      </c>
      <c r="AU11" s="219">
        <f t="shared" si="10"/>
        <v>45.857700000000001</v>
      </c>
      <c r="AV11" s="219">
        <f t="shared" si="7"/>
        <v>43.824599999999997</v>
      </c>
      <c r="AY11" s="245"/>
      <c r="AZ11" s="247">
        <v>2.38</v>
      </c>
      <c r="BA11" s="12">
        <f>AS11*100/(AZ11+AS11)</f>
        <v>95.469238413243517</v>
      </c>
      <c r="BD11" s="218"/>
      <c r="BE11" s="220"/>
      <c r="BI11" s="236">
        <v>111</v>
      </c>
      <c r="BJ11" s="12" t="s">
        <v>104</v>
      </c>
      <c r="BN11" s="12">
        <v>139</v>
      </c>
      <c r="BO11" s="12">
        <v>188</v>
      </c>
      <c r="BP11" s="12">
        <v>148</v>
      </c>
      <c r="BQ11" s="12">
        <v>150</v>
      </c>
      <c r="BR11" s="12">
        <v>202</v>
      </c>
      <c r="BS11" s="12" t="s">
        <v>105</v>
      </c>
      <c r="BT11" s="12">
        <v>198</v>
      </c>
      <c r="BU11" s="12">
        <v>3</v>
      </c>
      <c r="BV11" s="12">
        <v>88</v>
      </c>
      <c r="BW11" s="12">
        <v>4</v>
      </c>
      <c r="BX11" s="12">
        <v>145</v>
      </c>
      <c r="BY11" s="12">
        <v>3</v>
      </c>
    </row>
    <row r="12" spans="1:77" s="12" customFormat="1" ht="18.600000000000001" customHeight="1" thickBot="1" x14ac:dyDescent="0.35">
      <c r="A12" s="12">
        <v>0.9</v>
      </c>
      <c r="B12" s="12">
        <v>5</v>
      </c>
      <c r="C12" s="12">
        <v>5</v>
      </c>
      <c r="D12" s="218">
        <v>10</v>
      </c>
      <c r="E12" s="12" t="s">
        <v>103</v>
      </c>
      <c r="G12" s="12">
        <f>BI12*2</f>
        <v>218</v>
      </c>
      <c r="I12" s="12">
        <v>227</v>
      </c>
      <c r="J12" s="12">
        <v>229</v>
      </c>
      <c r="K12" s="12" t="s">
        <v>103</v>
      </c>
      <c r="L12" s="12">
        <v>177</v>
      </c>
      <c r="M12" s="12">
        <f t="shared" si="13"/>
        <v>228</v>
      </c>
      <c r="N12" s="12">
        <f t="shared" si="13"/>
        <v>348</v>
      </c>
      <c r="O12" s="12">
        <f t="shared" si="13"/>
        <v>344</v>
      </c>
      <c r="P12" s="12">
        <f t="shared" si="13"/>
        <v>384</v>
      </c>
      <c r="Q12" s="12">
        <f t="shared" si="2"/>
        <v>716</v>
      </c>
      <c r="R12" s="12">
        <f t="shared" si="8"/>
        <v>1266</v>
      </c>
      <c r="S12" s="12">
        <f>BV12*BW12</f>
        <v>495</v>
      </c>
      <c r="T12" s="12">
        <f t="shared" si="9"/>
        <v>422</v>
      </c>
      <c r="W12" s="236">
        <v>1.67</v>
      </c>
      <c r="X12" s="12">
        <v>1.68</v>
      </c>
      <c r="Y12" s="12">
        <v>1.85</v>
      </c>
      <c r="Z12" s="12">
        <v>1.62</v>
      </c>
      <c r="AA12" s="12">
        <v>1.57</v>
      </c>
      <c r="AB12" s="12">
        <v>1.61</v>
      </c>
      <c r="AC12" s="12">
        <v>1.69</v>
      </c>
      <c r="AD12" s="12">
        <v>1.56</v>
      </c>
      <c r="AE12" s="12">
        <v>1.38</v>
      </c>
      <c r="AF12" s="12">
        <v>1.44</v>
      </c>
      <c r="AG12" s="12">
        <v>1.64</v>
      </c>
      <c r="AH12" s="12">
        <v>1.7</v>
      </c>
      <c r="AI12" s="12">
        <v>1.82</v>
      </c>
      <c r="AJ12" s="12">
        <v>3.1</v>
      </c>
      <c r="AK12" s="12">
        <v>4.5999999999999996</v>
      </c>
      <c r="AL12" s="12">
        <v>3</v>
      </c>
      <c r="AM12" s="12">
        <v>2.7</v>
      </c>
      <c r="AQ12" s="242" t="e">
        <f t="shared" si="3"/>
        <v>#VALUE!</v>
      </c>
      <c r="AR12" s="219">
        <f t="shared" si="4"/>
        <v>0</v>
      </c>
      <c r="AS12" s="219">
        <f t="shared" si="5"/>
        <v>49.246199999999995</v>
      </c>
      <c r="AT12" s="219">
        <f t="shared" si="6"/>
        <v>0</v>
      </c>
      <c r="AU12" s="219">
        <f t="shared" si="10"/>
        <v>51.279299999999999</v>
      </c>
      <c r="AV12" s="219">
        <f t="shared" si="7"/>
        <v>51.731099999999998</v>
      </c>
      <c r="AY12" s="245"/>
      <c r="AZ12" s="247">
        <v>2.86</v>
      </c>
      <c r="BA12" s="12">
        <f>AS12*100/(AZ12+AS12)</f>
        <v>94.511209798450096</v>
      </c>
      <c r="BD12" s="218"/>
      <c r="BE12" s="220"/>
      <c r="BI12" s="236">
        <v>109</v>
      </c>
      <c r="BJ12" s="12" t="s">
        <v>104</v>
      </c>
      <c r="BN12" s="12">
        <v>114</v>
      </c>
      <c r="BO12" s="12">
        <v>174</v>
      </c>
      <c r="BP12" s="12">
        <v>172</v>
      </c>
      <c r="BQ12" s="12">
        <v>192</v>
      </c>
      <c r="BR12" s="12">
        <v>179</v>
      </c>
      <c r="BS12" s="12">
        <v>4</v>
      </c>
      <c r="BT12" s="12">
        <v>211</v>
      </c>
      <c r="BU12" s="12">
        <v>6</v>
      </c>
      <c r="BV12" s="12">
        <v>165</v>
      </c>
      <c r="BW12" s="12">
        <v>3</v>
      </c>
      <c r="BX12" s="12">
        <v>211</v>
      </c>
      <c r="BY12" s="12">
        <v>2</v>
      </c>
    </row>
    <row r="13" spans="1:77" s="15" customFormat="1" ht="16.2" thickBot="1" x14ac:dyDescent="0.35">
      <c r="A13" s="15">
        <v>4</v>
      </c>
      <c r="B13" s="15">
        <v>2</v>
      </c>
      <c r="C13" s="15">
        <v>8</v>
      </c>
      <c r="D13" s="55">
        <v>11</v>
      </c>
      <c r="E13" s="15">
        <v>53</v>
      </c>
      <c r="F13" s="15">
        <v>54</v>
      </c>
      <c r="P13" s="15">
        <v>0</v>
      </c>
      <c r="Q13" s="12"/>
      <c r="R13" s="12">
        <f t="shared" si="8"/>
        <v>0</v>
      </c>
      <c r="T13" s="12">
        <f t="shared" si="9"/>
        <v>0</v>
      </c>
      <c r="W13" s="239">
        <v>4</v>
      </c>
      <c r="X13" s="15">
        <v>3.9</v>
      </c>
      <c r="Y13" s="15">
        <v>4.2</v>
      </c>
      <c r="Z13" s="15">
        <v>4</v>
      </c>
      <c r="AA13" s="28">
        <v>0</v>
      </c>
      <c r="AB13" s="15">
        <v>0</v>
      </c>
      <c r="AC13" s="15">
        <v>0</v>
      </c>
      <c r="AQ13" s="244">
        <f t="shared" si="3"/>
        <v>11.9727</v>
      </c>
      <c r="AR13" s="53">
        <f t="shared" si="4"/>
        <v>12.198599999999999</v>
      </c>
      <c r="AS13" s="48">
        <f t="shared" si="5"/>
        <v>0</v>
      </c>
      <c r="AT13" s="48">
        <f t="shared" si="6"/>
        <v>0</v>
      </c>
      <c r="AU13" s="48">
        <f t="shared" si="10"/>
        <v>0</v>
      </c>
      <c r="AV13" s="48">
        <f t="shared" si="7"/>
        <v>0</v>
      </c>
      <c r="AZ13" s="239"/>
      <c r="BA13" s="28"/>
      <c r="BC13"/>
      <c r="BD13" s="35"/>
      <c r="BE13" s="30"/>
      <c r="BF13" s="28"/>
      <c r="BI13" s="239"/>
    </row>
    <row r="14" spans="1:77" s="15" customFormat="1" ht="16.2" thickBot="1" x14ac:dyDescent="0.35">
      <c r="A14" s="15">
        <v>0.9</v>
      </c>
      <c r="B14" s="15">
        <v>2</v>
      </c>
      <c r="C14" s="15">
        <v>2</v>
      </c>
      <c r="D14" s="55">
        <v>12</v>
      </c>
      <c r="E14" s="15">
        <v>57</v>
      </c>
      <c r="F14" s="15">
        <v>59</v>
      </c>
      <c r="P14" s="15">
        <v>0</v>
      </c>
      <c r="Q14" s="12"/>
      <c r="R14" s="12">
        <f t="shared" si="8"/>
        <v>0</v>
      </c>
      <c r="T14" s="12">
        <f t="shared" si="9"/>
        <v>0</v>
      </c>
      <c r="W14" s="239">
        <v>1.36</v>
      </c>
      <c r="X14" s="15">
        <v>1.32</v>
      </c>
      <c r="Y14" s="15">
        <v>1.36</v>
      </c>
      <c r="Z14" s="15">
        <v>1.46</v>
      </c>
      <c r="AA14">
        <v>0</v>
      </c>
      <c r="AB14" s="15">
        <v>0</v>
      </c>
      <c r="AC14" s="15">
        <v>1.55</v>
      </c>
      <c r="AQ14" s="244">
        <f t="shared" si="3"/>
        <v>12.876299999999999</v>
      </c>
      <c r="AR14" s="53">
        <f t="shared" si="4"/>
        <v>13.328099999999999</v>
      </c>
      <c r="AS14" s="48">
        <f t="shared" si="5"/>
        <v>0</v>
      </c>
      <c r="AT14" s="48">
        <f t="shared" si="6"/>
        <v>0</v>
      </c>
      <c r="AU14" s="48">
        <f t="shared" si="10"/>
        <v>0</v>
      </c>
      <c r="AV14" s="48">
        <f t="shared" si="7"/>
        <v>0</v>
      </c>
      <c r="AZ14" s="239"/>
      <c r="BA14" s="28"/>
      <c r="BC14"/>
      <c r="BD14" s="35"/>
      <c r="BE14" s="30"/>
      <c r="BF14" s="28"/>
      <c r="BI14" s="239"/>
    </row>
    <row r="15" spans="1:77" s="15" customFormat="1" ht="16.2" thickBot="1" x14ac:dyDescent="0.35">
      <c r="A15" s="15">
        <v>4</v>
      </c>
      <c r="B15" s="15">
        <v>3</v>
      </c>
      <c r="C15" s="15">
        <v>9</v>
      </c>
      <c r="D15" s="55">
        <v>13</v>
      </c>
      <c r="F15" s="15">
        <v>74</v>
      </c>
      <c r="I15" s="15">
        <v>183</v>
      </c>
      <c r="P15" s="15">
        <v>0</v>
      </c>
      <c r="Q15" s="12"/>
      <c r="R15" s="12">
        <f t="shared" si="8"/>
        <v>0</v>
      </c>
      <c r="T15" s="12">
        <f t="shared" si="9"/>
        <v>0</v>
      </c>
      <c r="W15" s="239"/>
      <c r="X15" s="15">
        <v>4.2</v>
      </c>
      <c r="Y15" s="15">
        <v>4.3</v>
      </c>
      <c r="Z15" s="15">
        <v>4.2</v>
      </c>
      <c r="AA15" s="28">
        <v>3.8</v>
      </c>
      <c r="AB15" s="15">
        <v>0</v>
      </c>
      <c r="AC15" s="15">
        <v>0</v>
      </c>
      <c r="AQ15" s="239"/>
      <c r="AR15" s="53">
        <f t="shared" ref="AR15:AR56" si="14">F15*0.2259</f>
        <v>16.7166</v>
      </c>
      <c r="AS15" s="48">
        <f t="shared" ref="AS15:AS56" si="15">G15*0.2259</f>
        <v>0</v>
      </c>
      <c r="AT15" s="48">
        <f t="shared" ref="AT15:AT56" si="16">H15*0.2259</f>
        <v>0</v>
      </c>
      <c r="AU15" s="48">
        <f t="shared" si="10"/>
        <v>41.339700000000001</v>
      </c>
      <c r="AV15" s="48">
        <f t="shared" si="7"/>
        <v>0</v>
      </c>
      <c r="AZ15" s="239"/>
      <c r="BA15" s="28"/>
      <c r="BC15"/>
      <c r="BD15" s="35"/>
      <c r="BE15" s="30"/>
      <c r="BF15" s="28"/>
      <c r="BI15" s="239"/>
    </row>
    <row r="16" spans="1:77" s="15" customFormat="1" ht="16.2" thickBot="1" x14ac:dyDescent="0.35">
      <c r="A16" s="15">
        <v>4</v>
      </c>
      <c r="B16" s="15">
        <v>1</v>
      </c>
      <c r="C16" s="15">
        <v>7</v>
      </c>
      <c r="D16" s="55">
        <v>14</v>
      </c>
      <c r="F16" s="15">
        <v>29</v>
      </c>
      <c r="I16" s="15">
        <v>30</v>
      </c>
      <c r="P16" s="15">
        <v>0</v>
      </c>
      <c r="Q16" s="12"/>
      <c r="R16" s="12">
        <f t="shared" si="8"/>
        <v>0</v>
      </c>
      <c r="T16" s="12">
        <f t="shared" si="9"/>
        <v>0</v>
      </c>
      <c r="W16" s="239"/>
      <c r="X16" s="15">
        <v>3.9</v>
      </c>
      <c r="Y16" s="15">
        <v>4.0999999999999996</v>
      </c>
      <c r="Z16" s="15">
        <v>4</v>
      </c>
      <c r="AA16">
        <v>3.7</v>
      </c>
      <c r="AB16" s="15">
        <v>0</v>
      </c>
      <c r="AC16" s="15">
        <v>0</v>
      </c>
      <c r="AQ16" s="239"/>
      <c r="AR16" s="53">
        <f t="shared" si="14"/>
        <v>6.5510999999999999</v>
      </c>
      <c r="AS16" s="48">
        <f t="shared" si="15"/>
        <v>0</v>
      </c>
      <c r="AT16" s="48">
        <f t="shared" si="16"/>
        <v>0</v>
      </c>
      <c r="AU16" s="48">
        <f t="shared" si="10"/>
        <v>6.7769999999999992</v>
      </c>
      <c r="AV16" s="48">
        <f t="shared" si="7"/>
        <v>0</v>
      </c>
      <c r="AZ16" s="239"/>
      <c r="BA16" s="28"/>
      <c r="BC16" s="28"/>
      <c r="BD16" s="31"/>
      <c r="BE16" s="30"/>
      <c r="BF16" s="28"/>
      <c r="BI16" s="239"/>
    </row>
    <row r="17" spans="1:77" s="12" customFormat="1" ht="15" customHeight="1" thickBot="1" x14ac:dyDescent="0.3">
      <c r="A17" s="12">
        <v>0.9</v>
      </c>
      <c r="B17" s="12">
        <v>3</v>
      </c>
      <c r="C17" s="12">
        <v>3</v>
      </c>
      <c r="D17" s="218">
        <v>15</v>
      </c>
      <c r="F17" s="12">
        <v>103</v>
      </c>
      <c r="H17" s="12">
        <v>119</v>
      </c>
      <c r="I17" s="12">
        <v>107</v>
      </c>
      <c r="J17" s="12">
        <v>116</v>
      </c>
      <c r="K17" s="12">
        <v>120</v>
      </c>
      <c r="L17" s="12">
        <v>94</v>
      </c>
      <c r="M17" s="12">
        <v>103</v>
      </c>
      <c r="N17" s="12">
        <v>154</v>
      </c>
      <c r="O17" s="12">
        <v>150</v>
      </c>
      <c r="P17" s="12">
        <v>176</v>
      </c>
      <c r="Q17" s="12">
        <f>BR17*BS17</f>
        <v>394</v>
      </c>
      <c r="R17" s="12">
        <f t="shared" si="8"/>
        <v>474</v>
      </c>
      <c r="S17" s="12">
        <f>BV17*BW17</f>
        <v>294</v>
      </c>
      <c r="T17" s="12">
        <f t="shared" si="9"/>
        <v>224</v>
      </c>
      <c r="W17" s="236"/>
      <c r="X17" s="12">
        <v>1.43</v>
      </c>
      <c r="Y17" s="12">
        <v>1.56</v>
      </c>
      <c r="Z17" s="12">
        <v>1.42</v>
      </c>
      <c r="AA17" s="12">
        <v>1.46</v>
      </c>
      <c r="AB17" s="12">
        <v>1.5</v>
      </c>
      <c r="AC17" s="12">
        <v>1.5</v>
      </c>
      <c r="AD17" s="12">
        <v>2.1</v>
      </c>
      <c r="AE17" s="12">
        <v>1.71</v>
      </c>
      <c r="AF17" s="12">
        <v>1.35</v>
      </c>
      <c r="AG17" s="12">
        <v>1.27</v>
      </c>
      <c r="AH17" s="12">
        <v>1.32</v>
      </c>
      <c r="AI17" s="12">
        <v>1.33</v>
      </c>
      <c r="AJ17" s="12">
        <v>2.2000000000000002</v>
      </c>
      <c r="AK17" s="12">
        <v>3.5</v>
      </c>
      <c r="AL17" s="12">
        <v>2.2999999999999998</v>
      </c>
      <c r="AM17" s="12">
        <v>0.18</v>
      </c>
      <c r="AQ17" s="236"/>
      <c r="AR17" s="219">
        <f t="shared" si="14"/>
        <v>23.267699999999998</v>
      </c>
      <c r="AS17" s="219">
        <f t="shared" si="15"/>
        <v>0</v>
      </c>
      <c r="AT17" s="219">
        <f t="shared" si="16"/>
        <v>26.882099999999998</v>
      </c>
      <c r="AU17" s="219">
        <f t="shared" si="10"/>
        <v>24.171299999999999</v>
      </c>
      <c r="AV17" s="219">
        <f t="shared" si="7"/>
        <v>26.2044</v>
      </c>
      <c r="AZ17" s="236"/>
      <c r="BC17" s="222"/>
      <c r="BD17" s="218"/>
      <c r="BI17" s="236"/>
      <c r="BR17" s="12">
        <v>197</v>
      </c>
      <c r="BS17" s="12">
        <v>2</v>
      </c>
      <c r="BT17" s="12">
        <v>158</v>
      </c>
      <c r="BU17" s="12">
        <v>3</v>
      </c>
      <c r="BV17" s="12">
        <v>147</v>
      </c>
      <c r="BW17" s="12">
        <v>2</v>
      </c>
      <c r="BX17" s="12">
        <v>224</v>
      </c>
      <c r="BY17" s="12">
        <v>1</v>
      </c>
    </row>
    <row r="18" spans="1:77" s="12" customFormat="1" ht="18.600000000000001" customHeight="1" thickBot="1" x14ac:dyDescent="0.35">
      <c r="A18" s="12">
        <v>0.9</v>
      </c>
      <c r="B18" s="12">
        <v>6</v>
      </c>
      <c r="C18" s="12">
        <v>6</v>
      </c>
      <c r="D18" s="218">
        <v>16</v>
      </c>
      <c r="F18" s="12" t="s">
        <v>103</v>
      </c>
      <c r="G18" s="12">
        <f>BI18*2</f>
        <v>318</v>
      </c>
      <c r="I18" s="12" t="s">
        <v>103</v>
      </c>
      <c r="J18" s="12">
        <f>BK18*2</f>
        <v>312</v>
      </c>
      <c r="K18" s="12">
        <f>BL18*2</f>
        <v>306</v>
      </c>
      <c r="L18" s="12">
        <f>BM18*2</f>
        <v>284</v>
      </c>
      <c r="M18" s="12">
        <f t="shared" ref="M18:P20" si="17">2*BN18</f>
        <v>322</v>
      </c>
      <c r="N18" s="12">
        <f t="shared" si="17"/>
        <v>410</v>
      </c>
      <c r="O18" s="12">
        <f t="shared" si="17"/>
        <v>412</v>
      </c>
      <c r="P18" s="12">
        <f t="shared" si="17"/>
        <v>418</v>
      </c>
      <c r="Q18" s="12">
        <f>BR18*BS18</f>
        <v>1005</v>
      </c>
      <c r="R18" s="12">
        <f t="shared" si="8"/>
        <v>1110</v>
      </c>
      <c r="S18" s="12">
        <f>BV18*BW18</f>
        <v>580</v>
      </c>
      <c r="T18" s="12">
        <f t="shared" si="9"/>
        <v>615</v>
      </c>
      <c r="W18" s="236"/>
      <c r="X18" s="12">
        <v>1.74</v>
      </c>
      <c r="Y18" s="12">
        <v>1.94</v>
      </c>
      <c r="Z18" s="12">
        <v>1.76</v>
      </c>
      <c r="AA18" s="12">
        <v>1.6</v>
      </c>
      <c r="AB18" s="12">
        <v>1.7</v>
      </c>
      <c r="AC18" s="12">
        <v>1.7</v>
      </c>
      <c r="AD18" s="12">
        <v>1.64</v>
      </c>
      <c r="AE18" s="12">
        <v>1.58</v>
      </c>
      <c r="AF18" s="12">
        <v>1.59</v>
      </c>
      <c r="AG18" s="12">
        <v>1.66</v>
      </c>
      <c r="AH18" s="12">
        <v>1.61</v>
      </c>
      <c r="AI18" s="12">
        <v>1.7</v>
      </c>
      <c r="AJ18" s="12">
        <v>3.4</v>
      </c>
      <c r="AK18" s="12">
        <v>3.9</v>
      </c>
      <c r="AL18" s="12">
        <v>2.5</v>
      </c>
      <c r="AM18" s="12">
        <v>2.7</v>
      </c>
      <c r="AQ18" s="236"/>
      <c r="AR18" s="219" t="e">
        <f t="shared" si="14"/>
        <v>#VALUE!</v>
      </c>
      <c r="AS18" s="219">
        <f t="shared" si="15"/>
        <v>71.836199999999991</v>
      </c>
      <c r="AT18" s="219">
        <f t="shared" si="16"/>
        <v>0</v>
      </c>
      <c r="AU18" s="219" t="e">
        <f t="shared" si="10"/>
        <v>#VALUE!</v>
      </c>
      <c r="AV18" s="219">
        <f t="shared" si="7"/>
        <v>70.480800000000002</v>
      </c>
      <c r="AY18" s="245"/>
      <c r="AZ18" s="247">
        <v>4.1900000000000004</v>
      </c>
      <c r="BA18" s="12">
        <f>52*100/(AZ18+52)</f>
        <v>92.543157145399547</v>
      </c>
      <c r="BI18" s="236">
        <v>159</v>
      </c>
      <c r="BJ18" s="12" t="s">
        <v>104</v>
      </c>
      <c r="BK18" s="12">
        <v>156</v>
      </c>
      <c r="BL18" s="12">
        <v>153</v>
      </c>
      <c r="BM18" s="12">
        <v>142</v>
      </c>
      <c r="BN18" s="12">
        <v>161</v>
      </c>
      <c r="BO18" s="12">
        <v>205</v>
      </c>
      <c r="BP18" s="12">
        <v>206</v>
      </c>
      <c r="BQ18" s="12">
        <v>209</v>
      </c>
      <c r="BR18" s="12">
        <v>201</v>
      </c>
      <c r="BS18" s="12">
        <v>5</v>
      </c>
      <c r="BT18" s="12">
        <v>222</v>
      </c>
      <c r="BU18" s="12">
        <v>5</v>
      </c>
      <c r="BV18" s="12">
        <v>145</v>
      </c>
      <c r="BW18" s="12">
        <v>4</v>
      </c>
      <c r="BX18" s="12">
        <v>205</v>
      </c>
      <c r="BY18" s="12">
        <v>3</v>
      </c>
    </row>
    <row r="19" spans="1:77" s="12" customFormat="1" x14ac:dyDescent="0.25">
      <c r="A19" s="12">
        <v>0.9</v>
      </c>
      <c r="B19" s="12">
        <v>4</v>
      </c>
      <c r="C19" s="12">
        <v>4</v>
      </c>
      <c r="D19" s="218">
        <v>17</v>
      </c>
      <c r="F19" s="12">
        <v>200</v>
      </c>
      <c r="I19" s="12">
        <v>173</v>
      </c>
      <c r="J19" s="12">
        <v>161</v>
      </c>
      <c r="K19" s="12">
        <v>199</v>
      </c>
      <c r="L19" s="12">
        <v>189</v>
      </c>
      <c r="M19" s="12">
        <f t="shared" si="17"/>
        <v>188</v>
      </c>
      <c r="N19" s="12">
        <f t="shared" si="17"/>
        <v>312</v>
      </c>
      <c r="O19" s="12">
        <f t="shared" si="17"/>
        <v>312</v>
      </c>
      <c r="P19" s="12">
        <f t="shared" si="17"/>
        <v>344</v>
      </c>
      <c r="Q19" s="12">
        <f>BR19*BS19</f>
        <v>561</v>
      </c>
      <c r="R19" s="12">
        <f t="shared" si="8"/>
        <v>868</v>
      </c>
      <c r="S19" s="12">
        <f>BV19*BW19</f>
        <v>568</v>
      </c>
      <c r="T19" s="12">
        <f t="shared" si="9"/>
        <v>444</v>
      </c>
      <c r="W19" s="236"/>
      <c r="X19" s="12">
        <v>1.6</v>
      </c>
      <c r="Y19" s="12">
        <v>1.71</v>
      </c>
      <c r="Z19" s="12">
        <v>1.58</v>
      </c>
      <c r="AA19" s="12">
        <v>1.62</v>
      </c>
      <c r="AB19" s="12">
        <v>1.8</v>
      </c>
      <c r="AC19" s="12">
        <v>1.85</v>
      </c>
      <c r="AD19" s="12">
        <v>1.89</v>
      </c>
      <c r="AE19" s="12">
        <v>1.82</v>
      </c>
      <c r="AF19" s="12">
        <v>1.68</v>
      </c>
      <c r="AG19" s="12">
        <v>1.57</v>
      </c>
      <c r="AH19" s="12">
        <v>1.62</v>
      </c>
      <c r="AI19" s="12">
        <v>1.64</v>
      </c>
      <c r="AJ19" s="12">
        <v>2.5</v>
      </c>
      <c r="AK19" s="12">
        <v>3.8</v>
      </c>
      <c r="AL19" s="12">
        <v>3.5</v>
      </c>
      <c r="AM19" s="12">
        <v>2.7</v>
      </c>
      <c r="AQ19" s="236"/>
      <c r="AR19" s="219">
        <f t="shared" si="14"/>
        <v>45.18</v>
      </c>
      <c r="AS19" s="219">
        <f t="shared" si="15"/>
        <v>0</v>
      </c>
      <c r="AT19" s="219">
        <f t="shared" si="16"/>
        <v>0</v>
      </c>
      <c r="AU19" s="219">
        <f t="shared" si="10"/>
        <v>39.0807</v>
      </c>
      <c r="AV19" s="219">
        <f t="shared" si="7"/>
        <v>36.369900000000001</v>
      </c>
      <c r="AZ19" s="236"/>
      <c r="BI19" s="236"/>
      <c r="BN19" s="12">
        <v>94</v>
      </c>
      <c r="BO19" s="12">
        <v>156</v>
      </c>
      <c r="BP19" s="12">
        <v>156</v>
      </c>
      <c r="BQ19" s="12">
        <v>172</v>
      </c>
      <c r="BR19" s="12">
        <v>187</v>
      </c>
      <c r="BS19" s="12">
        <v>3</v>
      </c>
      <c r="BT19" s="12">
        <v>217</v>
      </c>
      <c r="BU19" s="12">
        <v>4</v>
      </c>
      <c r="BV19" s="12">
        <v>142</v>
      </c>
      <c r="BW19" s="12">
        <v>4</v>
      </c>
      <c r="BX19" s="12">
        <v>148</v>
      </c>
      <c r="BY19" s="12">
        <v>3</v>
      </c>
    </row>
    <row r="20" spans="1:77" s="12" customFormat="1" ht="14.4" thickBot="1" x14ac:dyDescent="0.3">
      <c r="A20" s="222">
        <v>4</v>
      </c>
      <c r="B20" s="222">
        <v>6</v>
      </c>
      <c r="C20" s="222">
        <v>12</v>
      </c>
      <c r="D20" s="218">
        <v>18</v>
      </c>
      <c r="F20" s="12" t="s">
        <v>103</v>
      </c>
      <c r="G20" s="12">
        <f>BI20*2</f>
        <v>306</v>
      </c>
      <c r="I20" s="12" t="s">
        <v>103</v>
      </c>
      <c r="J20" s="12">
        <f>BK20*2</f>
        <v>378</v>
      </c>
      <c r="K20" s="12">
        <f>BL20*2</f>
        <v>368</v>
      </c>
      <c r="L20" s="12">
        <f>BM20*2</f>
        <v>364</v>
      </c>
      <c r="M20" s="12">
        <f t="shared" si="17"/>
        <v>356</v>
      </c>
      <c r="N20" s="12">
        <f t="shared" si="17"/>
        <v>392</v>
      </c>
      <c r="O20" s="12">
        <f t="shared" si="17"/>
        <v>386</v>
      </c>
      <c r="P20" s="12">
        <f t="shared" si="17"/>
        <v>336</v>
      </c>
      <c r="Q20" s="12">
        <f>BR20*BS20</f>
        <v>675</v>
      </c>
      <c r="R20" s="12">
        <f t="shared" si="8"/>
        <v>912</v>
      </c>
      <c r="S20" s="12">
        <f>BV20*BW20</f>
        <v>606</v>
      </c>
      <c r="T20" s="12">
        <f t="shared" si="9"/>
        <v>540</v>
      </c>
      <c r="W20" s="236"/>
      <c r="X20" s="12">
        <v>4.3</v>
      </c>
      <c r="Y20" s="12">
        <v>4.7</v>
      </c>
      <c r="Z20" s="12">
        <v>4.9000000000000004</v>
      </c>
      <c r="AA20" s="12">
        <v>4.0999999999999996</v>
      </c>
      <c r="AB20" s="12">
        <v>4.3</v>
      </c>
      <c r="AC20" s="12">
        <v>4.4000000000000004</v>
      </c>
      <c r="AD20" s="12">
        <v>4.2</v>
      </c>
      <c r="AE20" s="12">
        <v>4.3</v>
      </c>
      <c r="AF20" s="12">
        <v>4.5999999999999996</v>
      </c>
      <c r="AG20" s="12">
        <v>5.0999999999999996</v>
      </c>
      <c r="AH20" s="12">
        <v>5.3</v>
      </c>
      <c r="AI20" s="12">
        <v>5.2</v>
      </c>
      <c r="AJ20" s="12">
        <v>7.2</v>
      </c>
      <c r="AK20" s="12">
        <v>7.4</v>
      </c>
      <c r="AL20" s="12">
        <v>6.6</v>
      </c>
      <c r="AM20" s="12">
        <v>5</v>
      </c>
      <c r="AQ20" s="236"/>
      <c r="AR20" s="219" t="e">
        <f t="shared" si="14"/>
        <v>#VALUE!</v>
      </c>
      <c r="AS20" s="219">
        <f t="shared" si="15"/>
        <v>69.125399999999999</v>
      </c>
      <c r="AT20" s="219">
        <f t="shared" si="16"/>
        <v>0</v>
      </c>
      <c r="AU20" s="219" t="e">
        <f t="shared" si="10"/>
        <v>#VALUE!</v>
      </c>
      <c r="AV20" s="219">
        <f t="shared" si="7"/>
        <v>85.390199999999993</v>
      </c>
      <c r="AZ20" s="236"/>
      <c r="BI20" s="236">
        <v>153</v>
      </c>
      <c r="BJ20" s="12" t="s">
        <v>104</v>
      </c>
      <c r="BK20" s="12">
        <v>189</v>
      </c>
      <c r="BL20" s="12">
        <v>184</v>
      </c>
      <c r="BM20" s="12">
        <v>182</v>
      </c>
      <c r="BN20" s="12">
        <v>178</v>
      </c>
      <c r="BO20" s="12">
        <v>196</v>
      </c>
      <c r="BP20" s="12">
        <v>193</v>
      </c>
      <c r="BQ20" s="12">
        <v>168</v>
      </c>
      <c r="BR20" s="12">
        <v>225</v>
      </c>
      <c r="BS20" s="12">
        <v>3</v>
      </c>
      <c r="BT20" s="12">
        <v>228</v>
      </c>
      <c r="BU20" s="12">
        <v>4</v>
      </c>
      <c r="BV20" s="12">
        <v>202</v>
      </c>
      <c r="BW20" s="12">
        <v>3</v>
      </c>
      <c r="BX20" s="12">
        <v>180</v>
      </c>
      <c r="BY20" s="12">
        <v>3</v>
      </c>
    </row>
    <row r="21" spans="1:77" x14ac:dyDescent="0.25">
      <c r="A21" s="28">
        <v>4</v>
      </c>
      <c r="B21" s="28">
        <v>1</v>
      </c>
      <c r="C21" s="28">
        <v>7</v>
      </c>
      <c r="D21" s="31">
        <v>19</v>
      </c>
      <c r="E21" s="28"/>
      <c r="F21" s="28">
        <v>21</v>
      </c>
      <c r="G21" s="28"/>
      <c r="H21" s="28">
        <v>19</v>
      </c>
      <c r="I21" s="28">
        <v>17</v>
      </c>
      <c r="J21" s="28">
        <v>19</v>
      </c>
      <c r="K21" s="28">
        <v>32</v>
      </c>
      <c r="L21" s="28">
        <v>32</v>
      </c>
      <c r="M21" s="28">
        <v>35</v>
      </c>
      <c r="N21" s="28">
        <v>30</v>
      </c>
      <c r="O21" s="28">
        <v>33</v>
      </c>
      <c r="P21" s="28">
        <v>35</v>
      </c>
      <c r="Q21" s="12"/>
      <c r="R21" s="12">
        <f t="shared" si="8"/>
        <v>48</v>
      </c>
      <c r="S21" s="28">
        <v>33</v>
      </c>
      <c r="T21" s="12">
        <f t="shared" si="9"/>
        <v>31</v>
      </c>
      <c r="W21" s="237"/>
      <c r="X21" s="28">
        <v>3.9</v>
      </c>
      <c r="Y21" s="28">
        <v>4.0999999999999996</v>
      </c>
      <c r="Z21" s="28">
        <v>4.0999999999999996</v>
      </c>
      <c r="AA21" s="28">
        <v>4</v>
      </c>
      <c r="AB21" s="28">
        <v>4</v>
      </c>
      <c r="AC21" s="28">
        <v>3.9</v>
      </c>
      <c r="AD21" s="28">
        <v>3.7</v>
      </c>
      <c r="AE21" s="28">
        <v>3.5</v>
      </c>
      <c r="AF21" s="28">
        <v>3.8</v>
      </c>
      <c r="AG21" s="28">
        <v>4</v>
      </c>
      <c r="AH21" s="28">
        <v>4.2</v>
      </c>
      <c r="AI21" s="28">
        <v>4</v>
      </c>
      <c r="AJ21" s="28">
        <v>5.2</v>
      </c>
      <c r="AK21" s="28">
        <v>5</v>
      </c>
      <c r="AL21" s="28">
        <v>4.0999999999999996</v>
      </c>
      <c r="AM21" s="12">
        <v>4.5999999999999996</v>
      </c>
      <c r="AP21" s="28"/>
      <c r="AQ21" s="237"/>
      <c r="AR21" s="48">
        <f t="shared" si="14"/>
        <v>4.7439</v>
      </c>
      <c r="AS21" s="48">
        <f t="shared" si="15"/>
        <v>0</v>
      </c>
      <c r="AT21" s="48">
        <f t="shared" si="16"/>
        <v>4.2920999999999996</v>
      </c>
      <c r="AU21" s="48">
        <f t="shared" si="10"/>
        <v>3.8403</v>
      </c>
      <c r="AV21" s="48">
        <f t="shared" si="7"/>
        <v>4.2920999999999996</v>
      </c>
      <c r="AW21" s="28"/>
      <c r="AX21" s="28"/>
      <c r="AZ21" s="238"/>
      <c r="BA21" s="28"/>
      <c r="BI21" s="237"/>
      <c r="BJ21" s="28"/>
      <c r="BR21" s="12">
        <v>45</v>
      </c>
      <c r="BT21" s="12">
        <v>48</v>
      </c>
      <c r="BU21" s="12">
        <v>1</v>
      </c>
      <c r="BV21" s="12">
        <v>33</v>
      </c>
      <c r="BW21" s="12">
        <v>1</v>
      </c>
      <c r="BX21" s="12">
        <v>31</v>
      </c>
      <c r="BY21" s="12">
        <v>1</v>
      </c>
    </row>
    <row r="22" spans="1:77" s="12" customFormat="1" ht="14.4" customHeight="1" x14ac:dyDescent="0.25">
      <c r="A22" s="12">
        <v>4</v>
      </c>
      <c r="B22" s="12">
        <v>5</v>
      </c>
      <c r="C22" s="12">
        <v>11</v>
      </c>
      <c r="D22" s="218">
        <v>20</v>
      </c>
      <c r="F22" s="12">
        <v>217</v>
      </c>
      <c r="I22" s="12" t="s">
        <v>106</v>
      </c>
      <c r="J22" s="12">
        <f>BK22*2</f>
        <v>276</v>
      </c>
      <c r="K22" s="12">
        <f>BL22*2</f>
        <v>322</v>
      </c>
      <c r="L22" s="12">
        <f>BM22*2</f>
        <v>240</v>
      </c>
      <c r="M22" s="12">
        <f>2*BN22</f>
        <v>276</v>
      </c>
      <c r="N22" s="12">
        <f>2*BO22</f>
        <v>360</v>
      </c>
      <c r="O22" s="12">
        <f>2*BP22</f>
        <v>328</v>
      </c>
      <c r="P22" s="12">
        <f>2*BQ22</f>
        <v>318</v>
      </c>
      <c r="Q22" s="12">
        <f>BR22*BS22</f>
        <v>597</v>
      </c>
      <c r="R22" s="12">
        <f t="shared" si="8"/>
        <v>505</v>
      </c>
      <c r="S22" s="12">
        <f>BV22*BW22</f>
        <v>528</v>
      </c>
      <c r="T22" s="12">
        <f t="shared" si="9"/>
        <v>456</v>
      </c>
      <c r="W22" s="236"/>
      <c r="X22" s="12">
        <v>4.2</v>
      </c>
      <c r="Y22" s="12">
        <v>5</v>
      </c>
      <c r="Z22" s="12">
        <v>4.5</v>
      </c>
      <c r="AA22" s="12">
        <v>4.0999999999999996</v>
      </c>
      <c r="AB22" s="12">
        <v>4.0999999999999996</v>
      </c>
      <c r="AC22" s="12">
        <v>4.2</v>
      </c>
      <c r="AD22" s="12">
        <v>4.5</v>
      </c>
      <c r="AE22" s="12">
        <v>4</v>
      </c>
      <c r="AF22" s="12">
        <v>4.4000000000000004</v>
      </c>
      <c r="AG22" s="12">
        <v>4.5999999999999996</v>
      </c>
      <c r="AH22" s="12">
        <v>4.5</v>
      </c>
      <c r="AI22" s="12">
        <v>4.7</v>
      </c>
      <c r="AJ22" s="12">
        <v>7.1</v>
      </c>
      <c r="AK22" s="12">
        <v>5.5</v>
      </c>
      <c r="AL22" s="12">
        <v>5.5</v>
      </c>
      <c r="AM22" s="12">
        <v>5.8</v>
      </c>
      <c r="AQ22" s="236"/>
      <c r="AR22" s="219">
        <f t="shared" si="14"/>
        <v>49.020299999999999</v>
      </c>
      <c r="AS22" s="219">
        <f t="shared" si="15"/>
        <v>0</v>
      </c>
      <c r="AT22" s="219">
        <f t="shared" si="16"/>
        <v>0</v>
      </c>
      <c r="AU22" s="219" t="e">
        <f t="shared" si="10"/>
        <v>#VALUE!</v>
      </c>
      <c r="AV22" s="219">
        <f t="shared" si="7"/>
        <v>62.348399999999998</v>
      </c>
      <c r="AZ22" s="236"/>
      <c r="BI22" s="236"/>
      <c r="BK22" s="12">
        <v>138</v>
      </c>
      <c r="BL22" s="12">
        <v>161</v>
      </c>
      <c r="BM22" s="12">
        <v>120</v>
      </c>
      <c r="BN22" s="12">
        <v>138</v>
      </c>
      <c r="BO22" s="12">
        <v>180</v>
      </c>
      <c r="BP22" s="12">
        <v>164</v>
      </c>
      <c r="BQ22" s="12">
        <v>159</v>
      </c>
      <c r="BR22" s="12">
        <v>199</v>
      </c>
      <c r="BS22" s="12">
        <v>3</v>
      </c>
      <c r="BT22" s="12">
        <v>101</v>
      </c>
      <c r="BU22" s="12">
        <v>5</v>
      </c>
      <c r="BV22" s="12">
        <v>132</v>
      </c>
      <c r="BW22" s="12">
        <v>4</v>
      </c>
      <c r="BX22" s="12">
        <v>152</v>
      </c>
      <c r="BY22" s="12">
        <v>3</v>
      </c>
    </row>
    <row r="23" spans="1:77" ht="14.4" customHeight="1" x14ac:dyDescent="0.25">
      <c r="A23" s="28">
        <v>0.9</v>
      </c>
      <c r="B23" s="28">
        <v>1</v>
      </c>
      <c r="C23" s="28">
        <v>1</v>
      </c>
      <c r="D23" s="31">
        <v>21</v>
      </c>
      <c r="E23" s="28"/>
      <c r="F23" s="28">
        <v>18</v>
      </c>
      <c r="G23" s="28"/>
      <c r="H23" s="28">
        <v>20</v>
      </c>
      <c r="I23" s="28">
        <v>16</v>
      </c>
      <c r="J23" s="28">
        <v>17</v>
      </c>
      <c r="K23" s="28">
        <v>28</v>
      </c>
      <c r="L23" s="28">
        <v>24</v>
      </c>
      <c r="M23" s="28">
        <v>23</v>
      </c>
      <c r="N23" s="28">
        <v>18</v>
      </c>
      <c r="O23" s="28">
        <v>14</v>
      </c>
      <c r="P23" s="28">
        <v>10</v>
      </c>
      <c r="Q23" s="12"/>
      <c r="R23" s="12">
        <f t="shared" si="8"/>
        <v>23</v>
      </c>
      <c r="S23" s="28">
        <v>0</v>
      </c>
      <c r="T23" s="12">
        <f t="shared" si="9"/>
        <v>10</v>
      </c>
      <c r="W23" s="237"/>
      <c r="X23" s="28">
        <v>1.36</v>
      </c>
      <c r="Y23" s="28">
        <v>1.38</v>
      </c>
      <c r="Z23" s="28">
        <v>1.26</v>
      </c>
      <c r="AA23" s="28">
        <v>1.23</v>
      </c>
      <c r="AB23" s="28">
        <v>1.3</v>
      </c>
      <c r="AC23" s="28">
        <v>1.3</v>
      </c>
      <c r="AD23" s="28">
        <v>1.33</v>
      </c>
      <c r="AE23" s="28">
        <v>1.21</v>
      </c>
      <c r="AF23" s="28">
        <v>1.25</v>
      </c>
      <c r="AG23" s="28">
        <v>1.34</v>
      </c>
      <c r="AH23" s="28">
        <v>1.32</v>
      </c>
      <c r="AI23" s="28">
        <v>1.34</v>
      </c>
      <c r="AJ23" s="28">
        <v>1.45</v>
      </c>
      <c r="AK23" s="28">
        <v>2.5</v>
      </c>
      <c r="AL23" s="12">
        <v>2.2999999999999998</v>
      </c>
      <c r="AM23" s="12">
        <v>0.17</v>
      </c>
      <c r="AP23" s="28"/>
      <c r="AQ23" s="237"/>
      <c r="AR23" s="48">
        <f t="shared" si="14"/>
        <v>4.0662000000000003</v>
      </c>
      <c r="AS23" s="48">
        <f t="shared" si="15"/>
        <v>0</v>
      </c>
      <c r="AT23" s="48">
        <f t="shared" si="16"/>
        <v>4.5179999999999998</v>
      </c>
      <c r="AU23" s="48">
        <f t="shared" si="10"/>
        <v>3.6143999999999998</v>
      </c>
      <c r="AV23" s="48">
        <f t="shared" si="7"/>
        <v>3.8403</v>
      </c>
      <c r="AW23" s="28"/>
      <c r="AX23" s="28"/>
      <c r="AZ23" s="238"/>
      <c r="BA23" s="28"/>
      <c r="BI23" s="237"/>
      <c r="BJ23" s="28"/>
      <c r="BR23" s="12">
        <v>7</v>
      </c>
      <c r="BT23" s="12">
        <v>23</v>
      </c>
      <c r="BU23" s="12">
        <v>1</v>
      </c>
      <c r="BV23">
        <v>0</v>
      </c>
      <c r="BW23" s="12">
        <v>1</v>
      </c>
      <c r="BX23" s="12">
        <v>10</v>
      </c>
      <c r="BY23" s="12">
        <v>1</v>
      </c>
    </row>
    <row r="24" spans="1:77" s="12" customFormat="1" x14ac:dyDescent="0.25">
      <c r="A24" s="12">
        <v>0.9</v>
      </c>
      <c r="B24" s="12">
        <v>4</v>
      </c>
      <c r="C24" s="12">
        <v>4</v>
      </c>
      <c r="D24" s="218">
        <v>22</v>
      </c>
      <c r="F24" s="12">
        <v>211</v>
      </c>
      <c r="I24" s="12">
        <v>185</v>
      </c>
      <c r="J24" s="12">
        <v>167</v>
      </c>
      <c r="K24" s="12">
        <v>192</v>
      </c>
      <c r="L24" s="12">
        <v>198</v>
      </c>
      <c r="M24" s="12">
        <f>2*BN24</f>
        <v>154</v>
      </c>
      <c r="N24" s="12">
        <f>2*BO24</f>
        <v>264</v>
      </c>
      <c r="O24" s="12">
        <f>2*BP24</f>
        <v>270</v>
      </c>
      <c r="P24" s="12">
        <f>2*BQ24</f>
        <v>282</v>
      </c>
      <c r="Q24" s="12">
        <f>BR24*BS24</f>
        <v>456</v>
      </c>
      <c r="R24" s="12">
        <f t="shared" si="8"/>
        <v>736</v>
      </c>
      <c r="S24" s="12">
        <f>BV24*BW24</f>
        <v>520</v>
      </c>
      <c r="T24" s="12">
        <f t="shared" si="9"/>
        <v>363</v>
      </c>
      <c r="W24" s="236"/>
      <c r="X24" s="12">
        <v>1.6</v>
      </c>
      <c r="Y24" s="12">
        <v>1.73</v>
      </c>
      <c r="Z24" s="12">
        <v>1.67</v>
      </c>
      <c r="AA24" s="12">
        <v>1.66</v>
      </c>
      <c r="AB24" s="12">
        <v>1.88</v>
      </c>
      <c r="AC24" s="12">
        <v>1.91</v>
      </c>
      <c r="AD24" s="12">
        <v>2.1</v>
      </c>
      <c r="AE24" s="12">
        <v>1.88</v>
      </c>
      <c r="AF24" s="12">
        <v>1.8</v>
      </c>
      <c r="AG24" s="12">
        <v>1.66</v>
      </c>
      <c r="AH24" s="12">
        <v>1.63</v>
      </c>
      <c r="AI24" s="12">
        <v>1.58</v>
      </c>
      <c r="AJ24" s="12">
        <v>2.5</v>
      </c>
      <c r="AK24" s="12">
        <v>3.1</v>
      </c>
      <c r="AL24" s="12">
        <v>2.9</v>
      </c>
      <c r="AM24" s="12">
        <v>2.4</v>
      </c>
      <c r="AQ24" s="236"/>
      <c r="AR24" s="219">
        <f t="shared" si="14"/>
        <v>47.664899999999996</v>
      </c>
      <c r="AS24" s="219">
        <f t="shared" si="15"/>
        <v>0</v>
      </c>
      <c r="AT24" s="219">
        <f t="shared" si="16"/>
        <v>0</v>
      </c>
      <c r="AU24" s="219">
        <f t="shared" si="10"/>
        <v>41.791499999999999</v>
      </c>
      <c r="AV24" s="219">
        <f t="shared" si="7"/>
        <v>37.725299999999997</v>
      </c>
      <c r="AZ24" s="236"/>
      <c r="BI24" s="236"/>
      <c r="BN24" s="12">
        <v>77</v>
      </c>
      <c r="BO24" s="12">
        <v>132</v>
      </c>
      <c r="BP24" s="12">
        <v>135</v>
      </c>
      <c r="BQ24" s="12">
        <v>141</v>
      </c>
      <c r="BR24" s="12">
        <v>152</v>
      </c>
      <c r="BS24" s="12">
        <v>3</v>
      </c>
      <c r="BT24" s="12">
        <v>184</v>
      </c>
      <c r="BU24" s="12">
        <v>4</v>
      </c>
      <c r="BV24" s="12">
        <v>130</v>
      </c>
      <c r="BW24" s="12">
        <v>4</v>
      </c>
      <c r="BX24" s="12">
        <v>121</v>
      </c>
      <c r="BY24" s="12">
        <v>3</v>
      </c>
    </row>
    <row r="25" spans="1:77" s="28" customFormat="1" x14ac:dyDescent="0.25">
      <c r="A25" s="28">
        <v>0.9</v>
      </c>
      <c r="B25" s="28">
        <v>3</v>
      </c>
      <c r="C25" s="28">
        <v>3</v>
      </c>
      <c r="D25" s="31">
        <v>23</v>
      </c>
      <c r="F25" s="28">
        <v>115</v>
      </c>
      <c r="H25" s="28">
        <v>120</v>
      </c>
      <c r="I25" s="28">
        <v>112</v>
      </c>
      <c r="J25" s="28">
        <v>141</v>
      </c>
      <c r="K25" s="28">
        <v>135</v>
      </c>
      <c r="L25" s="28">
        <v>101</v>
      </c>
      <c r="M25" s="28">
        <f>2*BN25</f>
        <v>110</v>
      </c>
      <c r="N25" s="28">
        <f>2*BO25</f>
        <v>142</v>
      </c>
      <c r="O25" s="28">
        <f>2*BP25</f>
        <v>162</v>
      </c>
      <c r="P25" s="28">
        <v>174</v>
      </c>
      <c r="Q25" s="28">
        <f>BR25*BS25</f>
        <v>334</v>
      </c>
      <c r="R25" s="12">
        <f t="shared" si="8"/>
        <v>357</v>
      </c>
      <c r="S25" s="28">
        <v>193</v>
      </c>
      <c r="T25" s="12">
        <f t="shared" si="9"/>
        <v>104</v>
      </c>
      <c r="W25" s="237"/>
      <c r="X25" s="28">
        <v>1.51</v>
      </c>
      <c r="Y25" s="28">
        <v>1.51</v>
      </c>
      <c r="Z25" s="28">
        <v>1.39</v>
      </c>
      <c r="AA25" s="28">
        <v>1.47</v>
      </c>
      <c r="AB25" s="28">
        <v>1.58</v>
      </c>
      <c r="AC25" s="28">
        <v>1.62</v>
      </c>
      <c r="AD25" s="28">
        <v>2.2999999999999998</v>
      </c>
      <c r="AE25" s="28">
        <v>1.86</v>
      </c>
      <c r="AF25" s="28">
        <v>1.7</v>
      </c>
      <c r="AG25" s="28">
        <v>1.49</v>
      </c>
      <c r="AH25" s="28">
        <v>1.63</v>
      </c>
      <c r="AI25" s="28">
        <v>1.44</v>
      </c>
      <c r="AJ25" s="28">
        <v>2.6</v>
      </c>
      <c r="AK25" s="28">
        <v>2.9</v>
      </c>
      <c r="AL25" s="28">
        <v>2.2000000000000002</v>
      </c>
      <c r="AM25" s="28">
        <v>2.2000000000000002</v>
      </c>
      <c r="AQ25" s="237"/>
      <c r="AR25" s="48">
        <f t="shared" si="14"/>
        <v>25.9785</v>
      </c>
      <c r="AS25" s="48">
        <f t="shared" si="15"/>
        <v>0</v>
      </c>
      <c r="AT25" s="48">
        <f t="shared" si="16"/>
        <v>27.107999999999997</v>
      </c>
      <c r="AU25" s="48">
        <f t="shared" si="10"/>
        <v>25.300799999999999</v>
      </c>
      <c r="AV25" s="48">
        <f t="shared" si="7"/>
        <v>31.851899999999997</v>
      </c>
      <c r="AZ25" s="237"/>
      <c r="BI25" s="237"/>
      <c r="BN25" s="28">
        <v>55</v>
      </c>
      <c r="BO25" s="28">
        <v>71</v>
      </c>
      <c r="BP25" s="28">
        <v>81</v>
      </c>
      <c r="BR25" s="28">
        <v>167</v>
      </c>
      <c r="BS25" s="28">
        <v>2</v>
      </c>
      <c r="BT25" s="28">
        <v>119</v>
      </c>
      <c r="BU25" s="28">
        <v>3</v>
      </c>
      <c r="BV25" s="28">
        <v>64</v>
      </c>
      <c r="BW25" s="28">
        <v>3</v>
      </c>
      <c r="BX25" s="28">
        <v>104</v>
      </c>
      <c r="BY25" s="28">
        <v>1</v>
      </c>
    </row>
    <row r="26" spans="1:77" ht="14.4" customHeight="1" x14ac:dyDescent="0.25">
      <c r="A26" s="28">
        <v>4</v>
      </c>
      <c r="B26" s="28">
        <v>3</v>
      </c>
      <c r="C26" s="28">
        <v>9</v>
      </c>
      <c r="D26" s="31">
        <v>24</v>
      </c>
      <c r="E26" s="28"/>
      <c r="F26" s="28">
        <v>103</v>
      </c>
      <c r="G26" s="28"/>
      <c r="H26" s="28">
        <v>153</v>
      </c>
      <c r="I26" s="28">
        <v>154</v>
      </c>
      <c r="J26" s="28">
        <v>110</v>
      </c>
      <c r="K26" s="28">
        <v>140</v>
      </c>
      <c r="L26" s="28">
        <v>126</v>
      </c>
      <c r="M26" s="28">
        <v>138</v>
      </c>
      <c r="N26" s="28">
        <v>156</v>
      </c>
      <c r="O26" s="28">
        <v>143</v>
      </c>
      <c r="P26" s="28">
        <v>149</v>
      </c>
      <c r="Q26" s="12"/>
      <c r="R26" s="12">
        <f t="shared" si="8"/>
        <v>740</v>
      </c>
      <c r="S26" s="28">
        <v>180</v>
      </c>
      <c r="T26" s="12">
        <f t="shared" si="9"/>
        <v>217</v>
      </c>
      <c r="W26" s="237"/>
      <c r="X26">
        <v>4.4000000000000004</v>
      </c>
      <c r="Y26" s="28">
        <v>4.8</v>
      </c>
      <c r="Z26" s="28">
        <v>4.5</v>
      </c>
      <c r="AA26">
        <v>4.2</v>
      </c>
      <c r="AB26">
        <v>4.4000000000000004</v>
      </c>
      <c r="AC26" s="28">
        <v>4.4000000000000004</v>
      </c>
      <c r="AD26">
        <v>4.4000000000000004</v>
      </c>
      <c r="AE26" s="28">
        <v>4</v>
      </c>
      <c r="AF26" s="28">
        <v>4.2</v>
      </c>
      <c r="AG26" s="28">
        <v>4.9000000000000004</v>
      </c>
      <c r="AH26" s="28">
        <v>5.2</v>
      </c>
      <c r="AI26" s="28">
        <v>5.0999999999999996</v>
      </c>
      <c r="AJ26" s="28">
        <v>6.2</v>
      </c>
      <c r="AK26" s="28">
        <v>7.3</v>
      </c>
      <c r="AL26" s="28">
        <v>5.7</v>
      </c>
      <c r="AM26" s="12">
        <v>5.5</v>
      </c>
      <c r="AQ26" s="237"/>
      <c r="AR26" s="5">
        <f t="shared" si="14"/>
        <v>23.267699999999998</v>
      </c>
      <c r="AS26" s="48">
        <f t="shared" si="15"/>
        <v>0</v>
      </c>
      <c r="AT26" s="48">
        <f t="shared" si="16"/>
        <v>34.5627</v>
      </c>
      <c r="AU26" s="48">
        <f t="shared" si="10"/>
        <v>34.788599999999995</v>
      </c>
      <c r="AV26" s="48">
        <f t="shared" si="7"/>
        <v>24.849</v>
      </c>
      <c r="AW26" s="28"/>
      <c r="AX26" s="28"/>
      <c r="AZ26" s="238"/>
      <c r="BA26" s="28"/>
      <c r="BI26" s="237"/>
      <c r="BJ26" s="28"/>
      <c r="BR26" s="12">
        <v>223</v>
      </c>
      <c r="BT26" s="12">
        <v>185</v>
      </c>
      <c r="BU26" s="12">
        <v>4</v>
      </c>
      <c r="BV26" s="12">
        <v>53</v>
      </c>
      <c r="BW26" s="12">
        <v>4</v>
      </c>
      <c r="BX26" s="12">
        <v>217</v>
      </c>
      <c r="BY26" s="12">
        <v>1</v>
      </c>
    </row>
    <row r="27" spans="1:77" s="28" customFormat="1" ht="15" customHeight="1" thickBot="1" x14ac:dyDescent="0.3">
      <c r="A27" s="28">
        <v>4</v>
      </c>
      <c r="B27" s="28">
        <v>1</v>
      </c>
      <c r="C27" s="28">
        <v>7</v>
      </c>
      <c r="D27" s="31">
        <v>25</v>
      </c>
      <c r="F27" s="28">
        <v>23</v>
      </c>
      <c r="H27" s="28">
        <v>23</v>
      </c>
      <c r="I27" s="28">
        <v>19</v>
      </c>
      <c r="J27" s="28">
        <v>18</v>
      </c>
      <c r="K27" s="28">
        <v>35</v>
      </c>
      <c r="L27" s="28">
        <v>35</v>
      </c>
      <c r="M27" s="28">
        <v>35</v>
      </c>
      <c r="N27" s="28">
        <v>32</v>
      </c>
      <c r="O27" s="28">
        <v>35</v>
      </c>
      <c r="P27" s="28">
        <v>38</v>
      </c>
      <c r="R27" s="12">
        <f t="shared" si="8"/>
        <v>56</v>
      </c>
      <c r="S27" s="28">
        <v>36</v>
      </c>
      <c r="T27" s="12">
        <f t="shared" si="9"/>
        <v>38</v>
      </c>
      <c r="W27" s="237"/>
      <c r="X27" s="28">
        <v>3.8</v>
      </c>
      <c r="Y27" s="28">
        <v>4.3</v>
      </c>
      <c r="Z27" s="28">
        <v>4.2</v>
      </c>
      <c r="AA27" s="28">
        <v>3.9</v>
      </c>
      <c r="AB27" s="28">
        <v>4</v>
      </c>
      <c r="AC27" s="28">
        <v>4</v>
      </c>
      <c r="AD27" s="28">
        <v>3.9</v>
      </c>
      <c r="AE27" s="28">
        <v>3.6</v>
      </c>
      <c r="AF27" s="28">
        <v>4</v>
      </c>
      <c r="AG27" s="28">
        <v>4.0999999999999996</v>
      </c>
      <c r="AH27" s="28">
        <v>4.3</v>
      </c>
      <c r="AI27" s="28">
        <v>4.2</v>
      </c>
      <c r="AJ27" s="28">
        <v>5</v>
      </c>
      <c r="AK27" s="28">
        <v>5.9</v>
      </c>
      <c r="AL27" s="28">
        <v>4.5</v>
      </c>
      <c r="AM27" s="28">
        <v>4.5</v>
      </c>
      <c r="AQ27" s="237"/>
      <c r="AR27" s="48">
        <f t="shared" si="14"/>
        <v>5.1956999999999995</v>
      </c>
      <c r="AS27" s="48">
        <f t="shared" si="15"/>
        <v>0</v>
      </c>
      <c r="AT27" s="48">
        <f t="shared" si="16"/>
        <v>5.1956999999999995</v>
      </c>
      <c r="AU27" s="48">
        <f t="shared" si="10"/>
        <v>4.2920999999999996</v>
      </c>
      <c r="AV27" s="48">
        <f t="shared" si="7"/>
        <v>4.0662000000000003</v>
      </c>
      <c r="AZ27" s="237"/>
      <c r="BI27" s="237"/>
      <c r="BR27" s="28">
        <v>36</v>
      </c>
      <c r="BS27" s="28" t="s">
        <v>86</v>
      </c>
      <c r="BT27" s="28">
        <v>56</v>
      </c>
      <c r="BU27" s="28">
        <v>1</v>
      </c>
      <c r="BV27" s="28">
        <v>35</v>
      </c>
      <c r="BW27" s="28">
        <v>1</v>
      </c>
      <c r="BX27" s="28">
        <v>38</v>
      </c>
      <c r="BY27" s="28">
        <v>1</v>
      </c>
    </row>
    <row r="28" spans="1:77" s="12" customFormat="1" ht="18.600000000000001" customHeight="1" thickBot="1" x14ac:dyDescent="0.35">
      <c r="A28" s="12">
        <v>4</v>
      </c>
      <c r="B28" s="12">
        <v>6</v>
      </c>
      <c r="C28" s="12">
        <v>12</v>
      </c>
      <c r="D28" s="218">
        <v>26</v>
      </c>
      <c r="F28" s="12" t="s">
        <v>103</v>
      </c>
      <c r="G28" s="12">
        <f>BI28*2</f>
        <v>380</v>
      </c>
      <c r="I28" s="12" t="s">
        <v>107</v>
      </c>
      <c r="J28" s="12">
        <f>BK28*2</f>
        <v>320</v>
      </c>
      <c r="K28" s="12">
        <f>BL28*2</f>
        <v>360</v>
      </c>
      <c r="L28" s="12">
        <f>BM28*2</f>
        <v>262</v>
      </c>
      <c r="M28" s="12">
        <f>2*BN28</f>
        <v>380</v>
      </c>
      <c r="N28" s="12">
        <v>223</v>
      </c>
      <c r="O28" s="12">
        <f>2*BP28</f>
        <v>374</v>
      </c>
      <c r="P28" s="12">
        <f>2*BQ28</f>
        <v>378</v>
      </c>
      <c r="Q28" s="12">
        <f>BR28*BS28</f>
        <v>663</v>
      </c>
      <c r="R28" s="12">
        <f t="shared" si="8"/>
        <v>864</v>
      </c>
      <c r="S28" s="12">
        <f>BV28*BW28</f>
        <v>78</v>
      </c>
      <c r="T28" s="12">
        <f t="shared" si="9"/>
        <v>573</v>
      </c>
      <c r="W28" s="236"/>
      <c r="X28" s="12">
        <v>4.2</v>
      </c>
      <c r="Y28" s="12">
        <v>4.9000000000000004</v>
      </c>
      <c r="Z28" s="12">
        <v>4.4000000000000004</v>
      </c>
      <c r="AA28" s="12">
        <v>4.0999999999999996</v>
      </c>
      <c r="AB28" s="12">
        <v>4.3</v>
      </c>
      <c r="AC28" s="12">
        <v>4.3</v>
      </c>
      <c r="AD28" s="12">
        <v>4.2</v>
      </c>
      <c r="AE28" s="12">
        <v>3.8</v>
      </c>
      <c r="AF28" s="12">
        <v>4.2</v>
      </c>
      <c r="AG28" s="12">
        <v>4.7</v>
      </c>
      <c r="AH28" s="12">
        <v>4.7</v>
      </c>
      <c r="AI28" s="12">
        <v>4.8</v>
      </c>
      <c r="AJ28" s="12">
        <v>6.4</v>
      </c>
      <c r="AK28" s="12">
        <v>6.7</v>
      </c>
      <c r="AL28" s="12">
        <v>5.2</v>
      </c>
      <c r="AM28" s="12">
        <v>5</v>
      </c>
      <c r="AQ28" s="236"/>
      <c r="AR28" s="219" t="e">
        <f t="shared" si="14"/>
        <v>#VALUE!</v>
      </c>
      <c r="AS28" s="219">
        <f t="shared" si="15"/>
        <v>85.841999999999999</v>
      </c>
      <c r="AT28" s="219">
        <f t="shared" si="16"/>
        <v>0</v>
      </c>
      <c r="AU28" s="219" t="e">
        <f t="shared" si="10"/>
        <v>#VALUE!</v>
      </c>
      <c r="AV28" s="219">
        <f t="shared" si="7"/>
        <v>72.287999999999997</v>
      </c>
      <c r="AY28" s="245"/>
      <c r="AZ28" s="247">
        <v>1.53</v>
      </c>
      <c r="BA28" s="12">
        <f>AS28*100/(AZ28+AS28)</f>
        <v>98.248866913885465</v>
      </c>
      <c r="BI28" s="236">
        <v>190</v>
      </c>
      <c r="BJ28" s="12" t="s">
        <v>108</v>
      </c>
      <c r="BK28" s="12">
        <v>160</v>
      </c>
      <c r="BL28" s="12">
        <v>180</v>
      </c>
      <c r="BM28" s="12">
        <v>131</v>
      </c>
      <c r="BN28" s="12">
        <v>190</v>
      </c>
      <c r="BO28" s="12">
        <v>190</v>
      </c>
      <c r="BP28" s="12">
        <v>187</v>
      </c>
      <c r="BQ28" s="12">
        <v>189</v>
      </c>
      <c r="BR28" s="12">
        <v>221</v>
      </c>
      <c r="BS28" s="12">
        <v>3</v>
      </c>
      <c r="BT28" s="12">
        <v>216</v>
      </c>
      <c r="BU28" s="12">
        <v>4</v>
      </c>
      <c r="BV28" s="12">
        <v>26</v>
      </c>
      <c r="BW28" s="12">
        <v>3</v>
      </c>
      <c r="BX28" s="12">
        <v>191</v>
      </c>
      <c r="BY28" s="12">
        <v>3</v>
      </c>
    </row>
    <row r="29" spans="1:77" s="12" customFormat="1" x14ac:dyDescent="0.25">
      <c r="A29" s="12">
        <v>4</v>
      </c>
      <c r="B29" s="12">
        <v>4</v>
      </c>
      <c r="C29" s="12">
        <v>10</v>
      </c>
      <c r="D29" s="218">
        <v>27</v>
      </c>
      <c r="F29" s="12">
        <v>228</v>
      </c>
      <c r="I29" s="12">
        <v>201</v>
      </c>
      <c r="J29" s="12">
        <v>199</v>
      </c>
      <c r="K29" s="12">
        <f>BL29*2</f>
        <v>254</v>
      </c>
      <c r="L29" s="12">
        <v>200</v>
      </c>
      <c r="M29" s="12">
        <v>194</v>
      </c>
      <c r="N29" s="12">
        <v>223</v>
      </c>
      <c r="O29" s="12">
        <f>2*BP29</f>
        <v>224</v>
      </c>
      <c r="P29" s="12">
        <f>2*BQ29</f>
        <v>232</v>
      </c>
      <c r="Q29" s="12">
        <f>BR29*BS29</f>
        <v>360</v>
      </c>
      <c r="R29" s="12">
        <f t="shared" si="8"/>
        <v>594</v>
      </c>
      <c r="S29" s="12">
        <f>BV29*BW29</f>
        <v>61</v>
      </c>
      <c r="T29" s="12">
        <f t="shared" si="9"/>
        <v>294</v>
      </c>
      <c r="W29" s="236"/>
      <c r="X29" s="12">
        <v>4.2</v>
      </c>
      <c r="Y29" s="12">
        <v>4.5999999999999996</v>
      </c>
      <c r="Z29" s="12">
        <v>4.5</v>
      </c>
      <c r="AA29" s="12">
        <v>4.0999999999999996</v>
      </c>
      <c r="AB29" s="12">
        <v>4.3</v>
      </c>
      <c r="AC29" s="12">
        <v>4.2</v>
      </c>
      <c r="AD29" s="12">
        <v>4.3</v>
      </c>
      <c r="AE29" s="12">
        <v>3.9</v>
      </c>
      <c r="AF29" s="12">
        <v>3.9</v>
      </c>
      <c r="AG29" s="12">
        <v>4.8</v>
      </c>
      <c r="AH29" s="12">
        <v>5.2</v>
      </c>
      <c r="AI29" s="12">
        <v>4.9000000000000004</v>
      </c>
      <c r="AJ29" s="12">
        <v>5.6</v>
      </c>
      <c r="AK29" s="12">
        <v>7.4</v>
      </c>
      <c r="AL29" s="12">
        <v>6.2</v>
      </c>
      <c r="AM29" s="12">
        <v>5.9</v>
      </c>
      <c r="AQ29" s="236"/>
      <c r="AR29" s="219">
        <f t="shared" si="14"/>
        <v>51.505199999999995</v>
      </c>
      <c r="AS29" s="219">
        <f t="shared" si="15"/>
        <v>0</v>
      </c>
      <c r="AT29" s="219">
        <f t="shared" si="16"/>
        <v>0</v>
      </c>
      <c r="AU29" s="219">
        <f t="shared" si="10"/>
        <v>45.405899999999995</v>
      </c>
      <c r="AV29" s="219">
        <f t="shared" si="7"/>
        <v>44.954099999999997</v>
      </c>
      <c r="AZ29" s="236"/>
      <c r="BI29" s="236"/>
      <c r="BL29" s="12">
        <v>127</v>
      </c>
      <c r="BP29" s="12">
        <v>112</v>
      </c>
      <c r="BQ29" s="12">
        <v>116</v>
      </c>
      <c r="BR29" s="12">
        <v>180</v>
      </c>
      <c r="BS29" s="12">
        <v>2</v>
      </c>
      <c r="BT29" s="12">
        <v>198</v>
      </c>
      <c r="BU29" s="12">
        <v>3</v>
      </c>
      <c r="BV29" s="12">
        <v>61</v>
      </c>
      <c r="BW29" s="12">
        <v>1</v>
      </c>
      <c r="BX29" s="12">
        <v>147</v>
      </c>
      <c r="BY29" s="12">
        <v>2</v>
      </c>
    </row>
    <row r="30" spans="1:77" ht="14.4" thickBot="1" x14ac:dyDescent="0.3">
      <c r="A30" s="28">
        <v>0.9</v>
      </c>
      <c r="B30" s="28">
        <v>2</v>
      </c>
      <c r="C30" s="28">
        <v>2</v>
      </c>
      <c r="D30" s="31">
        <v>28</v>
      </c>
      <c r="E30" s="28"/>
      <c r="F30" s="28">
        <v>49</v>
      </c>
      <c r="G30" s="28"/>
      <c r="H30" s="28">
        <v>50</v>
      </c>
      <c r="I30" s="28">
        <v>48</v>
      </c>
      <c r="J30" s="28">
        <v>45</v>
      </c>
      <c r="K30" s="28">
        <v>17</v>
      </c>
      <c r="L30" s="28">
        <v>51</v>
      </c>
      <c r="M30" s="28">
        <v>43</v>
      </c>
      <c r="N30" s="28">
        <v>46</v>
      </c>
      <c r="O30" s="28">
        <v>35</v>
      </c>
      <c r="P30" s="28">
        <v>32</v>
      </c>
      <c r="Q30" s="12">
        <f>BR30*BS30</f>
        <v>0</v>
      </c>
      <c r="R30" s="12">
        <f t="shared" si="8"/>
        <v>57</v>
      </c>
      <c r="S30" s="28">
        <v>15</v>
      </c>
      <c r="T30" s="12">
        <f t="shared" si="9"/>
        <v>22</v>
      </c>
      <c r="W30" s="237"/>
      <c r="X30">
        <v>1.35</v>
      </c>
      <c r="Y30" s="28">
        <v>1.45</v>
      </c>
      <c r="Z30" s="28">
        <v>1.58</v>
      </c>
      <c r="AA30">
        <v>1.5</v>
      </c>
      <c r="AB30">
        <v>1.5</v>
      </c>
      <c r="AC30" s="28">
        <v>1.63</v>
      </c>
      <c r="AD30">
        <v>1.53</v>
      </c>
      <c r="AE30" s="28">
        <v>1.44</v>
      </c>
      <c r="AF30" s="28">
        <v>1.42</v>
      </c>
      <c r="AG30" s="28">
        <v>1.17</v>
      </c>
      <c r="AH30" s="28">
        <v>1.25</v>
      </c>
      <c r="AI30" s="28">
        <v>1.24</v>
      </c>
      <c r="AJ30" s="28">
        <v>1.42</v>
      </c>
      <c r="AK30" s="28">
        <v>3.1</v>
      </c>
      <c r="AL30" s="28">
        <v>2.6</v>
      </c>
      <c r="AM30" s="12">
        <v>0.18</v>
      </c>
      <c r="AQ30" s="237"/>
      <c r="AR30" s="5">
        <f t="shared" si="14"/>
        <v>11.069099999999999</v>
      </c>
      <c r="AS30" s="48">
        <f t="shared" si="15"/>
        <v>0</v>
      </c>
      <c r="AT30" s="48">
        <f t="shared" si="16"/>
        <v>11.295</v>
      </c>
      <c r="AU30" s="48">
        <f t="shared" si="10"/>
        <v>10.8432</v>
      </c>
      <c r="AV30" s="48">
        <f t="shared" si="7"/>
        <v>10.1655</v>
      </c>
      <c r="AW30" s="28"/>
      <c r="AX30" s="28"/>
      <c r="AZ30" s="238"/>
      <c r="BA30" s="28"/>
      <c r="BI30" s="237"/>
      <c r="BJ30" s="28"/>
      <c r="BR30" s="12">
        <v>31</v>
      </c>
      <c r="BT30" s="12">
        <v>57</v>
      </c>
      <c r="BU30" s="12">
        <v>1</v>
      </c>
      <c r="BV30" s="12">
        <v>15</v>
      </c>
      <c r="BW30" s="12">
        <v>1</v>
      </c>
      <c r="BX30" s="12">
        <v>22</v>
      </c>
      <c r="BY30" s="12">
        <v>1</v>
      </c>
    </row>
    <row r="31" spans="1:77" s="12" customFormat="1" ht="18.600000000000001" customHeight="1" thickBot="1" x14ac:dyDescent="0.35">
      <c r="A31" s="12">
        <v>0.9</v>
      </c>
      <c r="B31" s="12">
        <v>6</v>
      </c>
      <c r="C31" s="12">
        <v>6</v>
      </c>
      <c r="D31" s="218">
        <v>29</v>
      </c>
      <c r="F31" s="12" t="s">
        <v>103</v>
      </c>
      <c r="G31" s="12">
        <f>BI31*2</f>
        <v>340</v>
      </c>
      <c r="I31" s="12" t="s">
        <v>107</v>
      </c>
      <c r="J31" s="12">
        <f>BK31*2</f>
        <v>310</v>
      </c>
      <c r="K31" s="12">
        <f>BL31*2</f>
        <v>390</v>
      </c>
      <c r="L31" s="12">
        <f>BM31*2</f>
        <v>330</v>
      </c>
      <c r="M31" s="12">
        <f>2*BN31</f>
        <v>332</v>
      </c>
      <c r="N31" s="12">
        <v>223</v>
      </c>
      <c r="O31" s="12">
        <f>2*BP31</f>
        <v>394</v>
      </c>
      <c r="P31" s="12">
        <f>3*BQ31</f>
        <v>531</v>
      </c>
      <c r="Q31" s="12" t="e">
        <f>BR31*BS31</f>
        <v>#VALUE!</v>
      </c>
      <c r="R31" s="12">
        <f t="shared" si="8"/>
        <v>945</v>
      </c>
      <c r="S31" s="12">
        <f>BV31*BW31</f>
        <v>621</v>
      </c>
      <c r="T31" s="12">
        <f t="shared" si="9"/>
        <v>522</v>
      </c>
      <c r="W31" s="236"/>
      <c r="X31" s="12">
        <v>1.71</v>
      </c>
      <c r="Y31" s="12">
        <v>1.89</v>
      </c>
      <c r="Z31" s="12">
        <v>1.61</v>
      </c>
      <c r="AA31" s="12">
        <v>1.74</v>
      </c>
      <c r="AB31" s="12">
        <v>1.75</v>
      </c>
      <c r="AC31" s="12">
        <v>1.77</v>
      </c>
      <c r="AD31" s="12">
        <v>1.83</v>
      </c>
      <c r="AE31" s="12">
        <v>1.66</v>
      </c>
      <c r="AF31" s="12">
        <v>1.59</v>
      </c>
      <c r="AG31" s="12">
        <v>1.66</v>
      </c>
      <c r="AH31" s="12">
        <v>1.67</v>
      </c>
      <c r="AI31" s="12">
        <v>1.92</v>
      </c>
      <c r="AJ31" s="12">
        <v>3.4</v>
      </c>
      <c r="AK31" s="12">
        <v>3.1</v>
      </c>
      <c r="AL31" s="12">
        <v>2.6</v>
      </c>
      <c r="AM31" s="12">
        <v>2.6</v>
      </c>
      <c r="AQ31" s="236"/>
      <c r="AR31" s="219" t="e">
        <f t="shared" si="14"/>
        <v>#VALUE!</v>
      </c>
      <c r="AS31" s="219">
        <f t="shared" si="15"/>
        <v>76.805999999999997</v>
      </c>
      <c r="AT31" s="219">
        <f t="shared" si="16"/>
        <v>0</v>
      </c>
      <c r="AU31" s="219" t="e">
        <f t="shared" si="10"/>
        <v>#VALUE!</v>
      </c>
      <c r="AV31" s="219">
        <f t="shared" si="7"/>
        <v>70.028999999999996</v>
      </c>
      <c r="AY31" s="245"/>
      <c r="AZ31" s="247">
        <v>0.68</v>
      </c>
      <c r="BA31" s="12">
        <f>AS31*100/(AZ31+AS31)</f>
        <v>99.122422114962689</v>
      </c>
      <c r="BI31" s="236">
        <v>170</v>
      </c>
      <c r="BJ31" s="12" t="s">
        <v>108</v>
      </c>
      <c r="BK31" s="12">
        <v>155</v>
      </c>
      <c r="BL31" s="12">
        <v>195</v>
      </c>
      <c r="BM31" s="12">
        <v>165</v>
      </c>
      <c r="BN31" s="12">
        <v>166</v>
      </c>
      <c r="BO31" s="12">
        <v>205</v>
      </c>
      <c r="BP31" s="12">
        <v>197</v>
      </c>
      <c r="BQ31" s="249">
        <v>177</v>
      </c>
      <c r="BR31" s="12">
        <v>222</v>
      </c>
      <c r="BS31" s="12" t="s">
        <v>109</v>
      </c>
      <c r="BT31" s="12">
        <v>189</v>
      </c>
      <c r="BU31" s="12">
        <v>5</v>
      </c>
      <c r="BV31" s="12">
        <v>207</v>
      </c>
      <c r="BW31" s="12">
        <v>3</v>
      </c>
      <c r="BX31" s="12">
        <v>174</v>
      </c>
      <c r="BY31" s="12">
        <v>3</v>
      </c>
    </row>
    <row r="32" spans="1:77" x14ac:dyDescent="0.25">
      <c r="A32" s="28">
        <v>4</v>
      </c>
      <c r="B32" s="28">
        <v>2</v>
      </c>
      <c r="C32" s="28">
        <v>8</v>
      </c>
      <c r="D32" s="31">
        <v>30</v>
      </c>
      <c r="E32" s="28"/>
      <c r="F32" s="28">
        <v>47</v>
      </c>
      <c r="G32" s="28"/>
      <c r="H32" s="28">
        <v>49</v>
      </c>
      <c r="I32" s="28">
        <v>50</v>
      </c>
      <c r="J32" s="28">
        <v>49</v>
      </c>
      <c r="K32" s="28">
        <v>56</v>
      </c>
      <c r="L32" s="28">
        <v>49</v>
      </c>
      <c r="M32" s="28">
        <v>60</v>
      </c>
      <c r="N32" s="28">
        <v>61</v>
      </c>
      <c r="O32" s="28">
        <v>68</v>
      </c>
      <c r="P32" s="28">
        <v>60</v>
      </c>
      <c r="Q32" s="12"/>
      <c r="R32" s="12">
        <f t="shared" si="8"/>
        <v>130</v>
      </c>
      <c r="S32" s="28">
        <v>101</v>
      </c>
      <c r="T32" s="12">
        <f t="shared" si="9"/>
        <v>75</v>
      </c>
      <c r="W32" s="237"/>
      <c r="X32">
        <v>3.8</v>
      </c>
      <c r="Y32" s="28">
        <v>4.2</v>
      </c>
      <c r="Z32" s="28">
        <v>4.0999999999999996</v>
      </c>
      <c r="AA32">
        <v>3.9</v>
      </c>
      <c r="AB32">
        <v>4.0999999999999996</v>
      </c>
      <c r="AC32" s="28">
        <v>4.0999999999999996</v>
      </c>
      <c r="AD32" s="28">
        <v>4.0999999999999996</v>
      </c>
      <c r="AE32" s="28">
        <v>3.9</v>
      </c>
      <c r="AF32" s="28">
        <v>4.3</v>
      </c>
      <c r="AG32" s="28">
        <v>4.5999999999999996</v>
      </c>
      <c r="AH32" s="28">
        <v>4.5999999999999996</v>
      </c>
      <c r="AI32" s="28">
        <v>4.4000000000000004</v>
      </c>
      <c r="AJ32" s="28">
        <v>5.8</v>
      </c>
      <c r="AK32" s="28">
        <v>5</v>
      </c>
      <c r="AL32" s="28">
        <v>4.4000000000000004</v>
      </c>
      <c r="AM32" s="12">
        <v>4.5999999999999996</v>
      </c>
      <c r="AQ32" s="237"/>
      <c r="AR32" s="5">
        <f t="shared" si="14"/>
        <v>10.6173</v>
      </c>
      <c r="AS32" s="48">
        <f t="shared" si="15"/>
        <v>0</v>
      </c>
      <c r="AT32" s="48">
        <f t="shared" si="16"/>
        <v>11.069099999999999</v>
      </c>
      <c r="AU32" s="48">
        <f t="shared" si="10"/>
        <v>11.295</v>
      </c>
      <c r="AV32" s="48">
        <f t="shared" si="7"/>
        <v>11.069099999999999</v>
      </c>
      <c r="AW32" s="28"/>
      <c r="AX32" s="28"/>
      <c r="AZ32" s="238"/>
      <c r="BA32" s="28"/>
      <c r="BI32" s="237"/>
      <c r="BJ32" s="28"/>
      <c r="BR32" s="12">
        <v>108</v>
      </c>
      <c r="BT32" s="12">
        <v>130</v>
      </c>
      <c r="BU32" s="12">
        <v>1</v>
      </c>
      <c r="BV32" s="12">
        <v>79</v>
      </c>
      <c r="BW32" s="12">
        <v>1</v>
      </c>
      <c r="BX32" s="12">
        <v>75</v>
      </c>
      <c r="BY32" s="12">
        <v>1</v>
      </c>
    </row>
    <row r="33" spans="1:77" s="12" customFormat="1" ht="15" customHeight="1" thickBot="1" x14ac:dyDescent="0.3">
      <c r="A33" s="12">
        <v>4</v>
      </c>
      <c r="B33" s="12">
        <v>5</v>
      </c>
      <c r="C33" s="12">
        <v>11</v>
      </c>
      <c r="D33" s="218">
        <v>31</v>
      </c>
      <c r="F33" s="12">
        <v>224</v>
      </c>
      <c r="I33" s="12" t="s">
        <v>107</v>
      </c>
      <c r="J33" s="12">
        <f t="shared" ref="J33:L34" si="18">BK33*2</f>
        <v>268</v>
      </c>
      <c r="K33" s="12">
        <f t="shared" si="18"/>
        <v>326</v>
      </c>
      <c r="L33" s="12">
        <f t="shared" si="18"/>
        <v>228</v>
      </c>
      <c r="M33" s="12">
        <f>2*BN33</f>
        <v>268</v>
      </c>
      <c r="N33" s="12">
        <v>223</v>
      </c>
      <c r="O33" s="12">
        <f>2*BP33</f>
        <v>310</v>
      </c>
      <c r="P33" s="12">
        <f>2*BQ33</f>
        <v>314</v>
      </c>
      <c r="R33" s="12">
        <f t="shared" si="8"/>
        <v>760</v>
      </c>
      <c r="S33" s="12">
        <f>BV33*BW33</f>
        <v>1030</v>
      </c>
      <c r="T33" s="12">
        <f t="shared" si="9"/>
        <v>327</v>
      </c>
      <c r="W33" s="236"/>
      <c r="X33" s="12">
        <v>4.0999999999999996</v>
      </c>
      <c r="Y33" s="12">
        <v>4.5</v>
      </c>
      <c r="Z33" s="12">
        <v>4.5999999999999996</v>
      </c>
      <c r="AA33" s="12">
        <v>3.9</v>
      </c>
      <c r="AB33" s="12">
        <v>4</v>
      </c>
      <c r="AC33" s="12">
        <v>4</v>
      </c>
      <c r="AD33" s="12">
        <v>4.2</v>
      </c>
      <c r="AE33" s="12">
        <v>3.7</v>
      </c>
      <c r="AF33" s="12">
        <v>4</v>
      </c>
      <c r="AG33" s="12">
        <v>4.5999999999999996</v>
      </c>
      <c r="AH33" s="12">
        <v>5.0999999999999996</v>
      </c>
      <c r="AI33" s="12">
        <v>4.8</v>
      </c>
      <c r="AJ33" s="12">
        <v>6.9</v>
      </c>
      <c r="AK33" s="12">
        <v>6.8</v>
      </c>
      <c r="AL33" s="12">
        <v>10.5</v>
      </c>
      <c r="AM33" s="12">
        <v>5.7</v>
      </c>
      <c r="AQ33" s="236"/>
      <c r="AR33" s="219">
        <f t="shared" si="14"/>
        <v>50.601599999999998</v>
      </c>
      <c r="AS33" s="219">
        <f t="shared" si="15"/>
        <v>0</v>
      </c>
      <c r="AT33" s="219">
        <f t="shared" si="16"/>
        <v>0</v>
      </c>
      <c r="AU33" s="219" t="e">
        <f t="shared" si="10"/>
        <v>#VALUE!</v>
      </c>
      <c r="AV33" s="219">
        <f t="shared" si="7"/>
        <v>60.541199999999996</v>
      </c>
      <c r="AZ33" s="236"/>
      <c r="BI33" s="236"/>
      <c r="BK33" s="12">
        <v>134</v>
      </c>
      <c r="BL33" s="12">
        <v>163</v>
      </c>
      <c r="BM33" s="12">
        <v>114</v>
      </c>
      <c r="BN33" s="12">
        <v>134</v>
      </c>
      <c r="BO33" s="12">
        <v>136</v>
      </c>
      <c r="BP33" s="12">
        <v>155</v>
      </c>
      <c r="BQ33" s="12">
        <v>157</v>
      </c>
      <c r="BR33" s="12">
        <v>198</v>
      </c>
      <c r="BS33" s="12" t="s">
        <v>86</v>
      </c>
      <c r="BT33" s="12">
        <v>190</v>
      </c>
      <c r="BU33" s="12">
        <v>4</v>
      </c>
      <c r="BV33" s="12">
        <v>206</v>
      </c>
      <c r="BW33" s="12">
        <v>5</v>
      </c>
      <c r="BX33" s="12">
        <v>109</v>
      </c>
      <c r="BY33" s="12">
        <v>3</v>
      </c>
    </row>
    <row r="34" spans="1:77" s="12" customFormat="1" ht="18.600000000000001" customHeight="1" thickBot="1" x14ac:dyDescent="0.35">
      <c r="A34" s="12">
        <v>4</v>
      </c>
      <c r="B34" s="12">
        <v>6</v>
      </c>
      <c r="C34" s="12">
        <v>12</v>
      </c>
      <c r="D34" s="218">
        <v>32</v>
      </c>
      <c r="G34" s="12">
        <f>BI34*2</f>
        <v>432</v>
      </c>
      <c r="I34" s="12" t="s">
        <v>110</v>
      </c>
      <c r="J34" s="12">
        <f t="shared" si="18"/>
        <v>322</v>
      </c>
      <c r="K34" s="12">
        <f t="shared" si="18"/>
        <v>330</v>
      </c>
      <c r="L34" s="12">
        <f t="shared" si="18"/>
        <v>284</v>
      </c>
      <c r="M34" s="12">
        <f>2*BN34</f>
        <v>356</v>
      </c>
      <c r="N34" s="12">
        <v>223</v>
      </c>
      <c r="O34" s="12">
        <f>2*BP34</f>
        <v>388</v>
      </c>
      <c r="P34" s="12">
        <f>2*BQ34</f>
        <v>392</v>
      </c>
      <c r="R34" s="12">
        <f t="shared" si="8"/>
        <v>844</v>
      </c>
      <c r="S34" s="12">
        <f>BV34*BW34</f>
        <v>594</v>
      </c>
      <c r="T34" s="12">
        <f t="shared" si="9"/>
        <v>555</v>
      </c>
      <c r="W34" s="236"/>
      <c r="X34" s="12">
        <v>4.2</v>
      </c>
      <c r="Y34" s="12">
        <v>4.5999999999999996</v>
      </c>
      <c r="Z34" s="12">
        <v>4.8</v>
      </c>
      <c r="AA34" s="12">
        <v>4</v>
      </c>
      <c r="AB34" s="12">
        <v>4.2</v>
      </c>
      <c r="AC34" s="12">
        <v>4.2</v>
      </c>
      <c r="AD34" s="12">
        <v>4.2</v>
      </c>
      <c r="AE34" s="12">
        <v>3.9</v>
      </c>
      <c r="AF34" s="12">
        <v>4.3</v>
      </c>
      <c r="AG34" s="12">
        <v>4.7</v>
      </c>
      <c r="AH34" s="12">
        <v>5.0999999999999996</v>
      </c>
      <c r="AI34" s="12">
        <v>5</v>
      </c>
      <c r="AJ34" s="12">
        <v>6.3</v>
      </c>
      <c r="AK34" s="12">
        <v>7</v>
      </c>
      <c r="AL34" s="12">
        <v>5.6</v>
      </c>
      <c r="AM34" s="12">
        <v>5.9</v>
      </c>
      <c r="AQ34" s="236"/>
      <c r="AR34" s="219">
        <f t="shared" si="14"/>
        <v>0</v>
      </c>
      <c r="AS34" s="219">
        <f t="shared" si="15"/>
        <v>97.588799999999992</v>
      </c>
      <c r="AT34" s="219">
        <f t="shared" si="16"/>
        <v>0</v>
      </c>
      <c r="AU34" s="219" t="e">
        <f t="shared" si="10"/>
        <v>#VALUE!</v>
      </c>
      <c r="AV34" s="219">
        <f t="shared" si="7"/>
        <v>72.739800000000002</v>
      </c>
      <c r="AY34" s="245"/>
      <c r="AZ34" s="247">
        <v>5.89</v>
      </c>
      <c r="BA34" s="12">
        <f>52*100/(AZ34+52)</f>
        <v>89.825531179823798</v>
      </c>
      <c r="BI34" s="236">
        <v>216</v>
      </c>
      <c r="BJ34" s="12" t="s">
        <v>104</v>
      </c>
      <c r="BK34" s="12">
        <v>161</v>
      </c>
      <c r="BL34" s="12">
        <v>165</v>
      </c>
      <c r="BM34" s="12">
        <v>142</v>
      </c>
      <c r="BN34" s="12">
        <v>178</v>
      </c>
      <c r="BO34" s="12">
        <v>198</v>
      </c>
      <c r="BP34" s="12">
        <v>194</v>
      </c>
      <c r="BQ34" s="12">
        <v>196</v>
      </c>
      <c r="BT34" s="12">
        <v>211</v>
      </c>
      <c r="BU34" s="12">
        <v>4</v>
      </c>
      <c r="BV34" s="12">
        <v>198</v>
      </c>
      <c r="BW34" s="12">
        <v>3</v>
      </c>
      <c r="BX34" s="12">
        <v>185</v>
      </c>
      <c r="BY34" s="12">
        <v>3</v>
      </c>
    </row>
    <row r="35" spans="1:77" x14ac:dyDescent="0.25">
      <c r="A35" s="28">
        <v>4</v>
      </c>
      <c r="B35" s="28">
        <v>1</v>
      </c>
      <c r="C35" s="28">
        <v>7</v>
      </c>
      <c r="D35" s="31">
        <v>33</v>
      </c>
      <c r="E35" s="28"/>
      <c r="F35" s="28">
        <v>25</v>
      </c>
      <c r="G35" s="28"/>
      <c r="H35" s="28">
        <v>19</v>
      </c>
      <c r="I35" s="28">
        <v>16</v>
      </c>
      <c r="J35" s="28">
        <v>15</v>
      </c>
      <c r="K35" s="28">
        <v>29</v>
      </c>
      <c r="L35" s="28">
        <v>24</v>
      </c>
      <c r="M35" s="28">
        <v>18</v>
      </c>
      <c r="N35" s="28">
        <v>11</v>
      </c>
      <c r="O35" s="28">
        <v>7</v>
      </c>
      <c r="P35" s="28">
        <v>0</v>
      </c>
      <c r="Q35" s="12"/>
      <c r="R35" s="12">
        <f t="shared" si="8"/>
        <v>0</v>
      </c>
      <c r="S35" s="28">
        <v>0</v>
      </c>
      <c r="T35" s="12">
        <f t="shared" si="9"/>
        <v>6</v>
      </c>
      <c r="W35" s="237"/>
      <c r="X35" s="28">
        <v>3.9</v>
      </c>
      <c r="Y35" s="28">
        <v>4.2</v>
      </c>
      <c r="Z35" s="28">
        <v>4.0999999999999996</v>
      </c>
      <c r="AA35" s="28">
        <v>3.6</v>
      </c>
      <c r="AB35" s="28">
        <v>3.9</v>
      </c>
      <c r="AC35" s="28">
        <v>3.9</v>
      </c>
      <c r="AD35" s="28">
        <v>3.7</v>
      </c>
      <c r="AE35" s="28">
        <v>3.5</v>
      </c>
      <c r="AF35" s="28">
        <v>4.0999999999999996</v>
      </c>
      <c r="AG35" s="28">
        <v>4.2</v>
      </c>
      <c r="AH35" s="28">
        <v>4.5</v>
      </c>
      <c r="AI35" s="28">
        <v>4.4000000000000004</v>
      </c>
      <c r="AJ35" s="28">
        <v>6</v>
      </c>
      <c r="AK35" s="28">
        <v>5.9</v>
      </c>
      <c r="AL35" s="28">
        <v>4.7</v>
      </c>
      <c r="AM35" s="12">
        <v>5</v>
      </c>
      <c r="AP35" s="28"/>
      <c r="AQ35" s="237"/>
      <c r="AR35" s="48">
        <f t="shared" si="14"/>
        <v>5.6475</v>
      </c>
      <c r="AS35" s="48">
        <f t="shared" si="15"/>
        <v>0</v>
      </c>
      <c r="AT35" s="48">
        <f t="shared" si="16"/>
        <v>4.2920999999999996</v>
      </c>
      <c r="AU35" s="48">
        <f t="shared" si="10"/>
        <v>3.6143999999999998</v>
      </c>
      <c r="AV35" s="48">
        <f t="shared" ref="AV35:AV66" si="19">J35*0.2259</f>
        <v>3.3884999999999996</v>
      </c>
      <c r="AW35" s="28"/>
      <c r="AX35" s="28"/>
      <c r="AZ35" s="238"/>
      <c r="BA35" s="28"/>
      <c r="BI35" s="237"/>
      <c r="BJ35" s="28"/>
      <c r="BT35">
        <v>0</v>
      </c>
      <c r="BV35">
        <v>0</v>
      </c>
      <c r="BX35" s="12">
        <v>6</v>
      </c>
      <c r="BY35" s="12">
        <v>1</v>
      </c>
    </row>
    <row r="36" spans="1:77" s="28" customFormat="1" x14ac:dyDescent="0.25">
      <c r="A36" s="28">
        <v>0.9</v>
      </c>
      <c r="B36" s="28">
        <v>3</v>
      </c>
      <c r="C36" s="28">
        <v>3</v>
      </c>
      <c r="D36" s="31">
        <v>34</v>
      </c>
      <c r="F36" s="28">
        <v>104</v>
      </c>
      <c r="I36" s="28">
        <v>114</v>
      </c>
      <c r="J36" s="28">
        <v>130</v>
      </c>
      <c r="K36" s="28">
        <v>108</v>
      </c>
      <c r="L36" s="28">
        <v>88</v>
      </c>
      <c r="M36" s="28">
        <v>136</v>
      </c>
      <c r="N36" s="28">
        <v>159</v>
      </c>
      <c r="O36" s="28">
        <v>162</v>
      </c>
      <c r="P36" s="28">
        <v>132</v>
      </c>
      <c r="R36" s="12">
        <f>BU36*BT36</f>
        <v>459</v>
      </c>
      <c r="S36" s="28">
        <v>166</v>
      </c>
      <c r="T36" s="12">
        <f t="shared" si="9"/>
        <v>69</v>
      </c>
      <c r="W36" s="237"/>
      <c r="X36" s="28">
        <v>1.43</v>
      </c>
      <c r="Y36" s="28">
        <v>1.46</v>
      </c>
      <c r="Z36" s="28">
        <v>1.41</v>
      </c>
      <c r="AA36" s="28">
        <v>1.43</v>
      </c>
      <c r="AB36" s="28">
        <v>1.61</v>
      </c>
      <c r="AC36" s="28">
        <v>1.6</v>
      </c>
      <c r="AD36" s="28">
        <v>2.2000000000000002</v>
      </c>
      <c r="AE36" s="28">
        <v>1.77</v>
      </c>
      <c r="AF36" s="28">
        <v>1.58</v>
      </c>
      <c r="AG36" s="28">
        <v>1.4</v>
      </c>
      <c r="AH36" s="28">
        <v>1.42</v>
      </c>
      <c r="AI36" s="28">
        <v>1.38</v>
      </c>
      <c r="AJ36" s="28">
        <v>2.7</v>
      </c>
      <c r="AK36" s="28">
        <v>3.3</v>
      </c>
      <c r="AL36" s="28">
        <v>2.6</v>
      </c>
      <c r="AM36" s="28">
        <v>2.2000000000000002</v>
      </c>
      <c r="AQ36" s="237"/>
      <c r="AR36" s="48">
        <f t="shared" si="14"/>
        <v>23.493600000000001</v>
      </c>
      <c r="AS36" s="48">
        <f t="shared" si="15"/>
        <v>0</v>
      </c>
      <c r="AT36" s="48">
        <f t="shared" si="16"/>
        <v>0</v>
      </c>
      <c r="AU36" s="48">
        <f t="shared" si="10"/>
        <v>25.752599999999997</v>
      </c>
      <c r="AV36" s="48">
        <f t="shared" si="19"/>
        <v>29.366999999999997</v>
      </c>
      <c r="AZ36" s="237"/>
      <c r="BI36" s="237"/>
      <c r="BT36" s="28">
        <v>153</v>
      </c>
      <c r="BU36" s="28">
        <v>3</v>
      </c>
      <c r="BV36" s="28">
        <v>153</v>
      </c>
      <c r="BW36" s="28">
        <v>1</v>
      </c>
      <c r="BX36" s="28">
        <v>69</v>
      </c>
      <c r="BY36" s="28">
        <v>1</v>
      </c>
    </row>
    <row r="37" spans="1:77" s="15" customFormat="1" ht="14.4" thickBot="1" x14ac:dyDescent="0.3">
      <c r="A37" s="15">
        <v>0.9</v>
      </c>
      <c r="B37" s="15">
        <v>4</v>
      </c>
      <c r="C37" s="15">
        <v>4</v>
      </c>
      <c r="D37" s="55">
        <v>35</v>
      </c>
      <c r="F37" s="15">
        <v>175</v>
      </c>
      <c r="P37" s="15">
        <v>0</v>
      </c>
      <c r="Q37" s="12"/>
      <c r="R37" s="12">
        <f t="shared" si="8"/>
        <v>0</v>
      </c>
      <c r="T37" s="12">
        <f t="shared" si="9"/>
        <v>0</v>
      </c>
      <c r="W37" s="239"/>
      <c r="X37" s="15">
        <v>1.5</v>
      </c>
      <c r="Y37" s="15">
        <v>1.56</v>
      </c>
      <c r="Z37" s="15">
        <v>1.44</v>
      </c>
      <c r="AA37" s="28">
        <v>0</v>
      </c>
      <c r="AB37" s="15">
        <v>0</v>
      </c>
      <c r="AC37" s="15">
        <v>0</v>
      </c>
      <c r="AQ37" s="239"/>
      <c r="AR37" s="53">
        <f t="shared" si="14"/>
        <v>39.532499999999999</v>
      </c>
      <c r="AS37" s="48">
        <f t="shared" si="15"/>
        <v>0</v>
      </c>
      <c r="AT37" s="48">
        <f t="shared" si="16"/>
        <v>0</v>
      </c>
      <c r="AU37" s="48">
        <f t="shared" si="10"/>
        <v>0</v>
      </c>
      <c r="AV37" s="48">
        <f t="shared" si="19"/>
        <v>0</v>
      </c>
      <c r="AZ37" s="239"/>
      <c r="BA37" s="28"/>
      <c r="BI37" s="239"/>
    </row>
    <row r="38" spans="1:77" s="15" customFormat="1" ht="18.600000000000001" customHeight="1" thickBot="1" x14ac:dyDescent="0.35">
      <c r="A38" s="67">
        <v>4</v>
      </c>
      <c r="B38" s="67">
        <v>4</v>
      </c>
      <c r="C38" s="67">
        <v>10</v>
      </c>
      <c r="D38" s="55">
        <v>36</v>
      </c>
      <c r="F38" s="15" t="s">
        <v>103</v>
      </c>
      <c r="P38" s="15">
        <v>0</v>
      </c>
      <c r="Q38" s="12"/>
      <c r="R38" s="12">
        <f t="shared" si="8"/>
        <v>0</v>
      </c>
      <c r="T38" s="12">
        <f t="shared" si="9"/>
        <v>0</v>
      </c>
      <c r="W38" s="239"/>
      <c r="X38" s="15">
        <v>4.0999999999999996</v>
      </c>
      <c r="Y38" s="15">
        <v>4.4000000000000004</v>
      </c>
      <c r="Z38" s="15">
        <v>4.2</v>
      </c>
      <c r="AA38">
        <v>0</v>
      </c>
      <c r="AB38" s="15">
        <v>0</v>
      </c>
      <c r="AC38" s="15">
        <v>0</v>
      </c>
      <c r="AQ38" s="239"/>
      <c r="AR38" s="53" t="e">
        <f t="shared" si="14"/>
        <v>#VALUE!</v>
      </c>
      <c r="AS38" s="48">
        <f t="shared" si="15"/>
        <v>0</v>
      </c>
      <c r="AT38" s="48">
        <f t="shared" si="16"/>
        <v>0</v>
      </c>
      <c r="AU38" s="48">
        <f t="shared" si="10"/>
        <v>0</v>
      </c>
      <c r="AV38" s="48">
        <f t="shared" si="19"/>
        <v>0</v>
      </c>
      <c r="AY38" s="246"/>
      <c r="AZ38" s="248">
        <v>27.56</v>
      </c>
      <c r="BA38" s="28"/>
      <c r="BI38" s="239"/>
    </row>
    <row r="39" spans="1:77" s="15" customFormat="1" ht="18.600000000000001" customHeight="1" thickBot="1" x14ac:dyDescent="0.35">
      <c r="A39" s="15">
        <v>0.9</v>
      </c>
      <c r="B39" s="15">
        <v>6</v>
      </c>
      <c r="C39" s="15">
        <v>6</v>
      </c>
      <c r="D39" s="55">
        <v>37</v>
      </c>
      <c r="P39" s="15">
        <v>0</v>
      </c>
      <c r="Q39" s="12"/>
      <c r="R39" s="12">
        <f t="shared" si="8"/>
        <v>0</v>
      </c>
      <c r="T39" s="12">
        <f t="shared" si="9"/>
        <v>0</v>
      </c>
      <c r="W39" s="239"/>
      <c r="X39" s="15">
        <v>1.56</v>
      </c>
      <c r="Y39" s="15">
        <v>1.62</v>
      </c>
      <c r="Z39" s="15">
        <v>1.42</v>
      </c>
      <c r="AA39" s="28">
        <v>0</v>
      </c>
      <c r="AB39" s="15">
        <v>0</v>
      </c>
      <c r="AC39" s="15">
        <v>0</v>
      </c>
      <c r="AQ39" s="239"/>
      <c r="AR39" s="53">
        <f t="shared" si="14"/>
        <v>0</v>
      </c>
      <c r="AS39" s="48">
        <f t="shared" si="15"/>
        <v>0</v>
      </c>
      <c r="AT39" s="48">
        <f t="shared" si="16"/>
        <v>0</v>
      </c>
      <c r="AU39" s="48">
        <f t="shared" si="10"/>
        <v>0</v>
      </c>
      <c r="AV39" s="48">
        <f t="shared" si="19"/>
        <v>0</v>
      </c>
      <c r="AY39" s="246"/>
      <c r="AZ39" s="248">
        <v>28.29</v>
      </c>
      <c r="BA39" s="28"/>
      <c r="BI39" s="239"/>
    </row>
    <row r="40" spans="1:77" s="15" customFormat="1" ht="18.600000000000001" customHeight="1" thickBot="1" x14ac:dyDescent="0.35">
      <c r="A40" s="15">
        <v>0.9</v>
      </c>
      <c r="B40" s="15">
        <v>5</v>
      </c>
      <c r="C40" s="15">
        <v>5</v>
      </c>
      <c r="D40" s="55">
        <v>38</v>
      </c>
      <c r="F40" s="15">
        <v>179</v>
      </c>
      <c r="P40" s="15">
        <v>0</v>
      </c>
      <c r="Q40" s="12"/>
      <c r="R40" s="12">
        <f t="shared" si="8"/>
        <v>0</v>
      </c>
      <c r="T40" s="12">
        <f t="shared" si="9"/>
        <v>0</v>
      </c>
      <c r="W40" s="239"/>
      <c r="X40" s="15">
        <v>1.5</v>
      </c>
      <c r="Y40" s="15">
        <v>1.58</v>
      </c>
      <c r="Z40" s="15">
        <v>1.39</v>
      </c>
      <c r="AA40">
        <v>0</v>
      </c>
      <c r="AB40" s="15">
        <v>0</v>
      </c>
      <c r="AC40" s="15">
        <v>0</v>
      </c>
      <c r="AQ40" s="239"/>
      <c r="AR40" s="53">
        <f t="shared" si="14"/>
        <v>40.436099999999996</v>
      </c>
      <c r="AS40" s="48">
        <f t="shared" si="15"/>
        <v>0</v>
      </c>
      <c r="AT40" s="48">
        <f t="shared" si="16"/>
        <v>0</v>
      </c>
      <c r="AU40" s="48">
        <f t="shared" si="10"/>
        <v>0</v>
      </c>
      <c r="AV40" s="48">
        <f t="shared" si="19"/>
        <v>0</v>
      </c>
      <c r="AY40" s="246"/>
      <c r="AZ40" s="248">
        <v>28.65</v>
      </c>
      <c r="BA40" s="28"/>
      <c r="BI40" s="239"/>
    </row>
    <row r="41" spans="1:77" s="215" customFormat="1" ht="14.4" customHeight="1" x14ac:dyDescent="0.25">
      <c r="A41" s="215">
        <v>0.9</v>
      </c>
      <c r="B41" s="215">
        <v>1</v>
      </c>
      <c r="C41" s="215">
        <v>1</v>
      </c>
      <c r="D41" s="216">
        <v>39</v>
      </c>
      <c r="F41" s="215">
        <v>24</v>
      </c>
      <c r="I41" s="215">
        <v>15</v>
      </c>
      <c r="J41" s="215">
        <v>15</v>
      </c>
      <c r="K41" s="215">
        <v>22</v>
      </c>
      <c r="L41" s="215">
        <v>19</v>
      </c>
      <c r="M41" s="215">
        <v>8</v>
      </c>
      <c r="N41" s="215">
        <v>0</v>
      </c>
      <c r="O41" s="215">
        <v>0</v>
      </c>
      <c r="P41" s="215">
        <v>0</v>
      </c>
      <c r="Q41" s="12"/>
      <c r="R41" s="12">
        <f t="shared" si="8"/>
        <v>0</v>
      </c>
      <c r="S41" s="215">
        <v>0</v>
      </c>
      <c r="T41" s="12">
        <f t="shared" si="9"/>
        <v>0</v>
      </c>
      <c r="W41" s="240"/>
      <c r="X41" s="215">
        <v>1.36</v>
      </c>
      <c r="Y41" s="215">
        <v>1.46</v>
      </c>
      <c r="Z41" s="215">
        <v>1.34</v>
      </c>
      <c r="AA41" s="215">
        <v>1.28</v>
      </c>
      <c r="AB41" s="215">
        <v>1.31</v>
      </c>
      <c r="AC41" s="215">
        <v>1.35</v>
      </c>
      <c r="AD41" s="215">
        <v>1.48</v>
      </c>
      <c r="AE41" s="215">
        <v>1.29</v>
      </c>
      <c r="AF41" s="215">
        <v>1.28</v>
      </c>
      <c r="AG41" s="215">
        <v>1.55</v>
      </c>
      <c r="AH41" s="215">
        <v>1.59</v>
      </c>
      <c r="AI41" s="215">
        <v>1.58</v>
      </c>
      <c r="AJ41" s="215">
        <v>1.58</v>
      </c>
      <c r="AK41" s="215">
        <v>2.9</v>
      </c>
      <c r="AL41" s="215">
        <v>2.5</v>
      </c>
      <c r="AM41" s="215">
        <v>0.18</v>
      </c>
      <c r="AQ41" s="240"/>
      <c r="AR41" s="217">
        <f t="shared" si="14"/>
        <v>5.4215999999999998</v>
      </c>
      <c r="AS41" s="217">
        <f t="shared" si="15"/>
        <v>0</v>
      </c>
      <c r="AT41" s="217">
        <f t="shared" si="16"/>
        <v>0</v>
      </c>
      <c r="AU41" s="217">
        <f t="shared" si="10"/>
        <v>3.3884999999999996</v>
      </c>
      <c r="AV41" s="217">
        <f t="shared" si="19"/>
        <v>3.3884999999999996</v>
      </c>
      <c r="AZ41" s="240"/>
      <c r="BI41" s="240"/>
      <c r="BT41" s="215">
        <v>0</v>
      </c>
      <c r="BV41" s="215">
        <v>0</v>
      </c>
      <c r="BX41" s="215">
        <v>0</v>
      </c>
    </row>
    <row r="42" spans="1:77" s="28" customFormat="1" ht="14.4" customHeight="1" x14ac:dyDescent="0.25">
      <c r="A42" s="28">
        <v>0.9</v>
      </c>
      <c r="B42" s="28">
        <v>2</v>
      </c>
      <c r="C42" s="28">
        <v>2</v>
      </c>
      <c r="D42" s="31">
        <v>40</v>
      </c>
      <c r="F42" s="28">
        <v>51</v>
      </c>
      <c r="I42" s="28">
        <v>42</v>
      </c>
      <c r="J42" s="28">
        <v>37</v>
      </c>
      <c r="K42" s="28">
        <v>59</v>
      </c>
      <c r="L42" s="28">
        <v>49</v>
      </c>
      <c r="M42" s="28">
        <v>41</v>
      </c>
      <c r="N42" s="28">
        <v>41</v>
      </c>
      <c r="O42" s="28">
        <v>33</v>
      </c>
      <c r="P42" s="28">
        <v>29</v>
      </c>
      <c r="R42" s="12">
        <f t="shared" si="8"/>
        <v>18</v>
      </c>
      <c r="S42" s="28">
        <v>8</v>
      </c>
      <c r="T42" s="12">
        <f t="shared" si="9"/>
        <v>0</v>
      </c>
      <c r="W42" s="237"/>
      <c r="X42" s="28">
        <v>1.37</v>
      </c>
      <c r="Y42" s="28">
        <v>1.41</v>
      </c>
      <c r="Z42" s="28">
        <v>1.43</v>
      </c>
      <c r="AA42" s="28">
        <v>1.33</v>
      </c>
      <c r="AB42" s="28">
        <v>1.48</v>
      </c>
      <c r="AC42" s="28">
        <v>1.64</v>
      </c>
      <c r="AD42" s="28">
        <v>1.44</v>
      </c>
      <c r="AE42" s="28">
        <v>1.34</v>
      </c>
      <c r="AF42" s="28">
        <v>1.18</v>
      </c>
      <c r="AG42" s="28">
        <v>1.25</v>
      </c>
      <c r="AH42" s="28">
        <v>1.35</v>
      </c>
      <c r="AI42" s="28">
        <v>1.31</v>
      </c>
      <c r="AJ42" s="28">
        <v>1.52</v>
      </c>
      <c r="AK42" s="28">
        <v>2.9</v>
      </c>
      <c r="AL42" s="28">
        <v>2.6</v>
      </c>
      <c r="AM42" s="28">
        <v>0.19</v>
      </c>
      <c r="AQ42" s="237"/>
      <c r="AR42" s="48">
        <f t="shared" si="14"/>
        <v>11.520899999999999</v>
      </c>
      <c r="AS42" s="48">
        <f t="shared" si="15"/>
        <v>0</v>
      </c>
      <c r="AT42" s="48">
        <f t="shared" si="16"/>
        <v>0</v>
      </c>
      <c r="AU42" s="48">
        <f t="shared" si="10"/>
        <v>9.4878</v>
      </c>
      <c r="AV42" s="48">
        <f t="shared" si="19"/>
        <v>8.3582999999999998</v>
      </c>
      <c r="AZ42" s="237"/>
      <c r="BI42" s="237"/>
      <c r="BT42" s="28">
        <v>18</v>
      </c>
      <c r="BU42" s="28">
        <v>1</v>
      </c>
      <c r="BV42" s="28">
        <v>7</v>
      </c>
      <c r="BW42" s="28">
        <v>1</v>
      </c>
      <c r="BX42" s="28">
        <v>0</v>
      </c>
    </row>
    <row r="43" spans="1:77" s="28" customFormat="1" x14ac:dyDescent="0.25">
      <c r="A43" s="28">
        <v>4</v>
      </c>
      <c r="B43" s="28">
        <v>2</v>
      </c>
      <c r="C43" s="28">
        <v>8</v>
      </c>
      <c r="D43" s="31">
        <v>41</v>
      </c>
      <c r="F43" s="28">
        <v>46</v>
      </c>
      <c r="I43" s="28">
        <v>43</v>
      </c>
      <c r="J43" s="28">
        <v>47</v>
      </c>
      <c r="K43" s="28">
        <v>57</v>
      </c>
      <c r="L43" s="28">
        <v>45</v>
      </c>
      <c r="M43" s="28">
        <v>49</v>
      </c>
      <c r="N43" s="28">
        <v>51</v>
      </c>
      <c r="O43" s="28">
        <v>51</v>
      </c>
      <c r="P43" s="28">
        <v>44</v>
      </c>
      <c r="R43" s="12">
        <f t="shared" si="8"/>
        <v>89</v>
      </c>
      <c r="S43" s="28">
        <v>55</v>
      </c>
      <c r="T43" s="12">
        <f t="shared" si="9"/>
        <v>48</v>
      </c>
      <c r="W43" s="237"/>
      <c r="X43" s="28">
        <v>3.8</v>
      </c>
      <c r="Y43" s="28">
        <v>4.2</v>
      </c>
      <c r="Z43" s="28">
        <v>4.0999999999999996</v>
      </c>
      <c r="AA43" s="28">
        <v>3.8</v>
      </c>
      <c r="AB43" s="28">
        <v>4</v>
      </c>
      <c r="AC43" s="28">
        <v>4</v>
      </c>
      <c r="AD43" s="28">
        <v>4</v>
      </c>
      <c r="AE43" s="28">
        <v>3.8</v>
      </c>
      <c r="AF43" s="28">
        <v>3.9</v>
      </c>
      <c r="AG43" s="28">
        <v>4.7</v>
      </c>
      <c r="AH43" s="28">
        <v>4.5</v>
      </c>
      <c r="AI43" s="28">
        <v>4.5</v>
      </c>
      <c r="AJ43" s="28">
        <v>5.0999999999999996</v>
      </c>
      <c r="AK43" s="28">
        <v>6.5</v>
      </c>
      <c r="AL43" s="28">
        <v>4.9000000000000004</v>
      </c>
      <c r="AM43" s="28">
        <v>4.5999999999999996</v>
      </c>
      <c r="AQ43" s="237"/>
      <c r="AR43" s="48">
        <f t="shared" si="14"/>
        <v>10.391399999999999</v>
      </c>
      <c r="AS43" s="48">
        <f t="shared" si="15"/>
        <v>0</v>
      </c>
      <c r="AT43" s="48">
        <f t="shared" si="16"/>
        <v>0</v>
      </c>
      <c r="AU43" s="48">
        <f t="shared" si="10"/>
        <v>9.7136999999999993</v>
      </c>
      <c r="AV43" s="48">
        <f t="shared" si="19"/>
        <v>10.6173</v>
      </c>
      <c r="AZ43" s="237"/>
      <c r="BI43" s="237"/>
      <c r="BT43" s="28">
        <v>89</v>
      </c>
      <c r="BU43" s="28">
        <v>1</v>
      </c>
      <c r="BV43" s="28">
        <v>55</v>
      </c>
      <c r="BW43" s="28">
        <v>1</v>
      </c>
      <c r="BX43" s="28">
        <v>48</v>
      </c>
      <c r="BY43" s="28">
        <v>1</v>
      </c>
    </row>
    <row r="44" spans="1:77" s="12" customFormat="1" ht="14.4" customHeight="1" x14ac:dyDescent="0.25">
      <c r="A44" s="12">
        <v>4</v>
      </c>
      <c r="B44" s="12">
        <v>3</v>
      </c>
      <c r="C44" s="12">
        <v>9</v>
      </c>
      <c r="D44" s="218">
        <v>42</v>
      </c>
      <c r="F44" s="12">
        <v>121</v>
      </c>
      <c r="I44" s="12">
        <v>149</v>
      </c>
      <c r="J44" s="12">
        <v>111</v>
      </c>
      <c r="K44" s="12">
        <v>116</v>
      </c>
      <c r="L44" s="12">
        <v>108</v>
      </c>
      <c r="M44" s="12">
        <v>127</v>
      </c>
      <c r="N44" s="12">
        <v>155</v>
      </c>
      <c r="O44" s="12">
        <v>161</v>
      </c>
      <c r="P44" s="12">
        <v>155</v>
      </c>
      <c r="R44" s="12">
        <f t="shared" si="8"/>
        <v>402</v>
      </c>
      <c r="S44" s="12">
        <f>BV44*BW44</f>
        <v>285</v>
      </c>
      <c r="T44" s="12">
        <f t="shared" si="9"/>
        <v>105</v>
      </c>
      <c r="W44" s="236"/>
      <c r="X44" s="12">
        <v>4.4000000000000004</v>
      </c>
      <c r="Y44" s="12">
        <v>4.4000000000000004</v>
      </c>
      <c r="Z44" s="12">
        <v>4.2</v>
      </c>
      <c r="AA44" s="12">
        <v>4.2</v>
      </c>
      <c r="AB44" s="12">
        <v>4.3</v>
      </c>
      <c r="AC44" s="12">
        <v>4.2</v>
      </c>
      <c r="AD44" s="12">
        <v>4.2</v>
      </c>
      <c r="AE44" s="12">
        <v>3.9</v>
      </c>
      <c r="AF44" s="12">
        <v>3.9</v>
      </c>
      <c r="AG44" s="12">
        <v>4.4000000000000004</v>
      </c>
      <c r="AH44" s="12">
        <v>4.5999999999999996</v>
      </c>
      <c r="AI44" s="12">
        <v>4.7</v>
      </c>
      <c r="AJ44" s="12">
        <v>5.6</v>
      </c>
      <c r="AK44" s="12">
        <v>6.8</v>
      </c>
      <c r="AL44" s="12">
        <v>4.9000000000000004</v>
      </c>
      <c r="AM44" s="12">
        <v>4.7</v>
      </c>
      <c r="AQ44" s="236"/>
      <c r="AR44" s="219">
        <f t="shared" si="14"/>
        <v>27.3339</v>
      </c>
      <c r="AS44" s="219">
        <f t="shared" si="15"/>
        <v>0</v>
      </c>
      <c r="AT44" s="219">
        <f t="shared" si="16"/>
        <v>0</v>
      </c>
      <c r="AU44" s="219">
        <f t="shared" si="10"/>
        <v>33.659099999999995</v>
      </c>
      <c r="AV44" s="219">
        <f t="shared" si="19"/>
        <v>25.0749</v>
      </c>
      <c r="AZ44" s="236"/>
      <c r="BI44" s="236"/>
      <c r="BS44" s="12" t="s">
        <v>86</v>
      </c>
      <c r="BT44" s="12">
        <v>134</v>
      </c>
      <c r="BU44" s="12">
        <v>3</v>
      </c>
      <c r="BV44" s="12">
        <v>95</v>
      </c>
      <c r="BW44" s="12">
        <v>3</v>
      </c>
      <c r="BX44" s="12">
        <v>105</v>
      </c>
      <c r="BY44" s="12">
        <v>1</v>
      </c>
    </row>
    <row r="45" spans="1:77" s="28" customFormat="1" ht="14.4" customHeight="1" x14ac:dyDescent="0.25">
      <c r="A45" s="28">
        <v>0.9</v>
      </c>
      <c r="B45" s="28">
        <v>1</v>
      </c>
      <c r="C45" s="28">
        <v>1</v>
      </c>
      <c r="D45" s="31">
        <v>43</v>
      </c>
      <c r="F45" s="28">
        <v>17</v>
      </c>
      <c r="I45" s="28">
        <v>17</v>
      </c>
      <c r="J45" s="28">
        <v>16</v>
      </c>
      <c r="K45" s="28">
        <v>29</v>
      </c>
      <c r="L45" s="28">
        <v>24</v>
      </c>
      <c r="M45" s="28">
        <v>22</v>
      </c>
      <c r="N45" s="28">
        <v>19</v>
      </c>
      <c r="O45" s="28">
        <v>20</v>
      </c>
      <c r="P45" s="28">
        <v>13</v>
      </c>
      <c r="R45" s="12">
        <f t="shared" si="8"/>
        <v>8</v>
      </c>
      <c r="S45" s="28">
        <v>0</v>
      </c>
      <c r="T45" s="12">
        <f t="shared" si="9"/>
        <v>0</v>
      </c>
      <c r="W45" s="237"/>
      <c r="X45" s="28">
        <v>1.34</v>
      </c>
      <c r="Y45" s="28">
        <v>1.43</v>
      </c>
      <c r="Z45" s="28">
        <v>1.29</v>
      </c>
      <c r="AA45" s="28">
        <v>1.2</v>
      </c>
      <c r="AB45" s="28">
        <v>1.27</v>
      </c>
      <c r="AC45" s="28">
        <v>1.29</v>
      </c>
      <c r="AD45" s="28">
        <v>1.35</v>
      </c>
      <c r="AE45" s="28">
        <v>1.22</v>
      </c>
      <c r="AF45" s="28">
        <v>1.37</v>
      </c>
      <c r="AG45" s="28">
        <v>1.44</v>
      </c>
      <c r="AH45" s="28">
        <v>1.5</v>
      </c>
      <c r="AI45" s="28">
        <v>1.42</v>
      </c>
      <c r="AJ45" s="28">
        <v>1.85</v>
      </c>
      <c r="AK45" s="28">
        <v>2.4</v>
      </c>
      <c r="AL45" s="28">
        <v>2.2000000000000002</v>
      </c>
      <c r="AM45" s="28">
        <v>0.18</v>
      </c>
      <c r="AQ45" s="237"/>
      <c r="AR45" s="48">
        <f t="shared" si="14"/>
        <v>3.8403</v>
      </c>
      <c r="AS45" s="48">
        <f t="shared" si="15"/>
        <v>0</v>
      </c>
      <c r="AT45" s="48">
        <f t="shared" si="16"/>
        <v>0</v>
      </c>
      <c r="AU45" s="48">
        <f t="shared" si="10"/>
        <v>3.8403</v>
      </c>
      <c r="AV45" s="48">
        <f t="shared" si="19"/>
        <v>3.6143999999999998</v>
      </c>
      <c r="AZ45" s="237"/>
      <c r="BI45" s="237"/>
      <c r="BT45" s="28">
        <v>8</v>
      </c>
      <c r="BU45" s="28">
        <v>1</v>
      </c>
      <c r="BV45" s="28">
        <v>0</v>
      </c>
      <c r="BX45" s="28">
        <v>0</v>
      </c>
    </row>
    <row r="46" spans="1:77" s="28" customFormat="1" x14ac:dyDescent="0.25">
      <c r="A46" s="28">
        <v>0.9</v>
      </c>
      <c r="B46" s="28">
        <v>4</v>
      </c>
      <c r="C46" s="28">
        <v>4</v>
      </c>
      <c r="D46" s="31">
        <v>44</v>
      </c>
      <c r="F46" s="28">
        <v>223</v>
      </c>
      <c r="I46" s="28">
        <v>157</v>
      </c>
      <c r="J46" s="28">
        <v>161</v>
      </c>
      <c r="K46" s="28">
        <v>179</v>
      </c>
      <c r="L46" s="28">
        <v>153</v>
      </c>
      <c r="M46" s="28">
        <v>150</v>
      </c>
      <c r="N46" s="28">
        <v>187</v>
      </c>
      <c r="O46" s="28">
        <v>148</v>
      </c>
      <c r="P46" s="28">
        <v>97</v>
      </c>
      <c r="R46" s="12">
        <f t="shared" si="8"/>
        <v>370</v>
      </c>
      <c r="T46" s="12">
        <f t="shared" si="9"/>
        <v>0</v>
      </c>
      <c r="W46" s="237"/>
      <c r="X46" s="28">
        <v>1.65</v>
      </c>
      <c r="Y46" s="28">
        <v>1.75</v>
      </c>
      <c r="Z46" s="28">
        <v>1.65</v>
      </c>
      <c r="AA46" s="28">
        <v>1.68</v>
      </c>
      <c r="AB46" s="28">
        <v>1.85</v>
      </c>
      <c r="AC46" s="28">
        <v>1.91</v>
      </c>
      <c r="AD46" s="28">
        <v>2.1</v>
      </c>
      <c r="AE46" s="28">
        <v>1.87</v>
      </c>
      <c r="AF46" s="28">
        <v>1.57</v>
      </c>
      <c r="AG46" s="28">
        <v>1.48</v>
      </c>
      <c r="AH46" s="28">
        <v>1.61</v>
      </c>
      <c r="AI46" s="28">
        <v>1.61</v>
      </c>
      <c r="AJ46" s="28">
        <v>3.2</v>
      </c>
      <c r="AK46" s="28">
        <v>3.7</v>
      </c>
      <c r="AM46" s="28">
        <v>4.2</v>
      </c>
      <c r="AQ46" s="237"/>
      <c r="AR46" s="48">
        <f t="shared" si="14"/>
        <v>50.375699999999995</v>
      </c>
      <c r="AS46" s="48">
        <f t="shared" si="15"/>
        <v>0</v>
      </c>
      <c r="AT46" s="48">
        <f t="shared" si="16"/>
        <v>0</v>
      </c>
      <c r="AU46" s="48">
        <f t="shared" si="10"/>
        <v>35.466299999999997</v>
      </c>
      <c r="AV46" s="48">
        <f t="shared" si="19"/>
        <v>36.369900000000001</v>
      </c>
      <c r="AZ46" s="237"/>
      <c r="BI46" s="237"/>
      <c r="BT46" s="28">
        <v>185</v>
      </c>
      <c r="BU46" s="28">
        <v>2</v>
      </c>
    </row>
    <row r="47" spans="1:77" s="28" customFormat="1" ht="14.4" customHeight="1" x14ac:dyDescent="0.25">
      <c r="A47" s="28">
        <v>4</v>
      </c>
      <c r="B47" s="28">
        <v>3</v>
      </c>
      <c r="C47" s="28">
        <v>9</v>
      </c>
      <c r="D47" s="31">
        <v>45</v>
      </c>
      <c r="F47" s="28">
        <v>126</v>
      </c>
      <c r="I47" s="28">
        <v>155</v>
      </c>
      <c r="J47" s="28">
        <v>100</v>
      </c>
      <c r="K47" s="28">
        <v>130</v>
      </c>
      <c r="L47" s="28">
        <v>110</v>
      </c>
      <c r="M47" s="28">
        <v>129</v>
      </c>
      <c r="N47" s="28">
        <v>150</v>
      </c>
      <c r="O47" s="28">
        <v>143</v>
      </c>
      <c r="P47" s="28">
        <v>138</v>
      </c>
      <c r="R47" s="12">
        <f t="shared" si="8"/>
        <v>28</v>
      </c>
      <c r="S47" s="28">
        <v>213</v>
      </c>
      <c r="T47" s="12">
        <f t="shared" si="9"/>
        <v>87</v>
      </c>
      <c r="W47" s="237"/>
      <c r="X47" s="28">
        <v>4.2</v>
      </c>
      <c r="Y47" s="28">
        <v>4.5999999999999996</v>
      </c>
      <c r="Z47" s="28">
        <v>4.5999999999999996</v>
      </c>
      <c r="AA47" s="28">
        <v>4.0999999999999996</v>
      </c>
      <c r="AB47" s="28">
        <v>4.3</v>
      </c>
      <c r="AC47" s="28">
        <v>4.2</v>
      </c>
      <c r="AD47" s="28">
        <v>4.3</v>
      </c>
      <c r="AE47" s="28">
        <v>3.9</v>
      </c>
      <c r="AF47" s="28">
        <v>4.0999999999999996</v>
      </c>
      <c r="AG47" s="28">
        <v>4.5999999999999996</v>
      </c>
      <c r="AH47" s="28">
        <v>4.7</v>
      </c>
      <c r="AI47" s="28">
        <v>4.5999999999999996</v>
      </c>
      <c r="AJ47" s="28">
        <v>5.4</v>
      </c>
      <c r="AK47" s="28">
        <v>6.6</v>
      </c>
      <c r="AL47" s="28">
        <v>5.0999999999999996</v>
      </c>
      <c r="AM47" s="28">
        <v>4.9000000000000004</v>
      </c>
      <c r="AQ47" s="237"/>
      <c r="AR47" s="48">
        <f t="shared" si="14"/>
        <v>28.4634</v>
      </c>
      <c r="AS47" s="48">
        <f t="shared" si="15"/>
        <v>0</v>
      </c>
      <c r="AT47" s="48">
        <f t="shared" si="16"/>
        <v>0</v>
      </c>
      <c r="AU47" s="48">
        <f t="shared" si="10"/>
        <v>35.014499999999998</v>
      </c>
      <c r="AV47" s="48">
        <f t="shared" si="19"/>
        <v>22.59</v>
      </c>
      <c r="AZ47" s="237"/>
      <c r="BI47" s="237"/>
      <c r="BT47" s="28">
        <v>14</v>
      </c>
      <c r="BU47" s="28">
        <v>2</v>
      </c>
      <c r="BV47" s="28">
        <v>176</v>
      </c>
      <c r="BW47" s="28">
        <v>1</v>
      </c>
      <c r="BX47" s="28">
        <v>87</v>
      </c>
      <c r="BY47" s="28">
        <v>1</v>
      </c>
    </row>
    <row r="48" spans="1:77" s="28" customFormat="1" ht="14.4" thickBot="1" x14ac:dyDescent="0.3">
      <c r="A48" s="28">
        <v>0.9</v>
      </c>
      <c r="B48" s="28">
        <v>3</v>
      </c>
      <c r="C48" s="28">
        <v>3</v>
      </c>
      <c r="D48" s="31">
        <v>46</v>
      </c>
      <c r="F48" s="28">
        <v>117</v>
      </c>
      <c r="I48" s="28">
        <v>108</v>
      </c>
      <c r="J48" s="28">
        <v>95</v>
      </c>
      <c r="K48" s="28">
        <v>109</v>
      </c>
      <c r="L48" s="28">
        <v>84</v>
      </c>
      <c r="M48" s="28">
        <v>83</v>
      </c>
      <c r="N48" s="28">
        <v>86</v>
      </c>
      <c r="O48" s="28">
        <v>68</v>
      </c>
      <c r="P48" s="28">
        <v>82</v>
      </c>
      <c r="R48" s="12">
        <f t="shared" si="8"/>
        <v>173</v>
      </c>
      <c r="S48" s="28">
        <v>123</v>
      </c>
      <c r="T48" s="12">
        <f t="shared" si="9"/>
        <v>33</v>
      </c>
      <c r="W48" s="237"/>
      <c r="X48" s="28">
        <v>1.46</v>
      </c>
      <c r="Y48" s="28">
        <v>1.5</v>
      </c>
      <c r="Z48" s="28">
        <v>1.45</v>
      </c>
      <c r="AA48" s="28">
        <v>1.4</v>
      </c>
      <c r="AB48" s="28">
        <v>1.52</v>
      </c>
      <c r="AC48" s="28">
        <v>1.53</v>
      </c>
      <c r="AD48" s="28">
        <v>2.2000000000000002</v>
      </c>
      <c r="AE48" s="28">
        <v>1.79</v>
      </c>
      <c r="AF48" s="28">
        <v>1.39</v>
      </c>
      <c r="AG48" s="28">
        <v>1.31</v>
      </c>
      <c r="AH48" s="28">
        <v>1.39</v>
      </c>
      <c r="AI48" s="28">
        <v>1.44</v>
      </c>
      <c r="AJ48" s="28">
        <v>1.89</v>
      </c>
      <c r="AK48" s="28">
        <v>3</v>
      </c>
      <c r="AL48" s="28">
        <v>3.6</v>
      </c>
      <c r="AM48" s="28">
        <v>2.6</v>
      </c>
      <c r="AQ48" s="237"/>
      <c r="AR48" s="48">
        <f t="shared" si="14"/>
        <v>26.430299999999999</v>
      </c>
      <c r="AS48" s="48">
        <f t="shared" si="15"/>
        <v>0</v>
      </c>
      <c r="AT48" s="48">
        <f t="shared" si="16"/>
        <v>0</v>
      </c>
      <c r="AU48" s="48">
        <f t="shared" si="10"/>
        <v>24.397199999999998</v>
      </c>
      <c r="AV48" s="48">
        <f t="shared" si="19"/>
        <v>21.4605</v>
      </c>
      <c r="AZ48" s="237"/>
      <c r="BI48" s="237"/>
      <c r="BT48" s="28">
        <v>173</v>
      </c>
      <c r="BU48" s="28">
        <v>1</v>
      </c>
      <c r="BV48" s="28">
        <v>125</v>
      </c>
      <c r="BW48" s="28">
        <v>1</v>
      </c>
      <c r="BX48" s="28">
        <v>33</v>
      </c>
      <c r="BY48" s="28">
        <v>1</v>
      </c>
    </row>
    <row r="49" spans="1:77" s="12" customFormat="1" ht="18.600000000000001" customHeight="1" thickBot="1" x14ac:dyDescent="0.35">
      <c r="A49" s="12">
        <v>0.9</v>
      </c>
      <c r="B49" s="12">
        <v>5</v>
      </c>
      <c r="C49" s="12">
        <v>5</v>
      </c>
      <c r="D49" s="218">
        <v>47</v>
      </c>
      <c r="F49" s="12" t="s">
        <v>103</v>
      </c>
      <c r="G49" s="12">
        <f>BI49*2</f>
        <v>292</v>
      </c>
      <c r="I49" s="12" t="s">
        <v>110</v>
      </c>
      <c r="J49" s="12">
        <f t="shared" ref="J49:L51" si="20">BK49*2</f>
        <v>274</v>
      </c>
      <c r="K49" s="12">
        <f t="shared" si="20"/>
        <v>246</v>
      </c>
      <c r="L49" s="12">
        <f t="shared" si="20"/>
        <v>186</v>
      </c>
      <c r="M49" s="12">
        <f>2*BN49</f>
        <v>214</v>
      </c>
      <c r="N49" s="12">
        <v>223</v>
      </c>
      <c r="O49" s="12">
        <f t="shared" ref="O49:P51" si="21">2*BP49</f>
        <v>288</v>
      </c>
      <c r="P49" s="12">
        <f t="shared" si="21"/>
        <v>306</v>
      </c>
      <c r="R49" s="12">
        <f t="shared" si="8"/>
        <v>1130</v>
      </c>
      <c r="S49" s="12">
        <f>BV49*BW49</f>
        <v>1025</v>
      </c>
      <c r="T49" s="12">
        <f t="shared" si="9"/>
        <v>537</v>
      </c>
      <c r="W49" s="236"/>
      <c r="X49" s="12">
        <v>1.65</v>
      </c>
      <c r="Z49" s="12">
        <v>1.49</v>
      </c>
      <c r="AA49" s="12">
        <v>1.48</v>
      </c>
      <c r="AB49" s="12">
        <v>1.57</v>
      </c>
      <c r="AC49" s="12">
        <v>1.59</v>
      </c>
      <c r="AD49" s="12">
        <v>1.58</v>
      </c>
      <c r="AE49" s="12">
        <v>1.43</v>
      </c>
      <c r="AF49" s="12">
        <v>1.34</v>
      </c>
      <c r="AG49" s="12">
        <v>1.5</v>
      </c>
      <c r="AH49" s="12">
        <v>1.63</v>
      </c>
      <c r="AI49" s="12">
        <v>1.82</v>
      </c>
      <c r="AJ49" s="12">
        <v>2.7</v>
      </c>
      <c r="AK49" s="12">
        <v>5</v>
      </c>
      <c r="AL49" s="12">
        <v>5.4</v>
      </c>
      <c r="AM49" s="12">
        <v>3.5</v>
      </c>
      <c r="AQ49" s="236"/>
      <c r="AR49" s="219" t="e">
        <f t="shared" si="14"/>
        <v>#VALUE!</v>
      </c>
      <c r="AS49" s="219">
        <f t="shared" si="15"/>
        <v>65.962800000000001</v>
      </c>
      <c r="AT49" s="219">
        <f t="shared" si="16"/>
        <v>0</v>
      </c>
      <c r="AU49" s="223" t="s">
        <v>111</v>
      </c>
      <c r="AV49" s="219">
        <f t="shared" si="19"/>
        <v>61.896599999999999</v>
      </c>
      <c r="AY49" s="245"/>
      <c r="AZ49" s="247">
        <v>3.95</v>
      </c>
      <c r="BA49" s="12">
        <f>AS49*100/(AZ49+AS49)</f>
        <v>94.350104701857163</v>
      </c>
      <c r="BI49" s="236">
        <v>146</v>
      </c>
      <c r="BJ49" s="12" t="s">
        <v>104</v>
      </c>
      <c r="BK49" s="12">
        <v>137</v>
      </c>
      <c r="BL49" s="12">
        <v>123</v>
      </c>
      <c r="BM49" s="12">
        <v>93</v>
      </c>
      <c r="BN49" s="12">
        <v>107</v>
      </c>
      <c r="BO49" s="12">
        <v>152</v>
      </c>
      <c r="BP49" s="12">
        <v>144</v>
      </c>
      <c r="BQ49" s="12">
        <v>153</v>
      </c>
      <c r="BT49" s="12">
        <v>226</v>
      </c>
      <c r="BU49" s="12">
        <v>5</v>
      </c>
      <c r="BV49" s="12">
        <v>205</v>
      </c>
      <c r="BW49" s="12">
        <v>5</v>
      </c>
      <c r="BX49" s="12">
        <v>179</v>
      </c>
      <c r="BY49" s="12">
        <v>3</v>
      </c>
    </row>
    <row r="50" spans="1:77" s="12" customFormat="1" ht="18.600000000000001" customHeight="1" thickBot="1" x14ac:dyDescent="0.35">
      <c r="A50" s="12">
        <v>4</v>
      </c>
      <c r="B50" s="12">
        <v>5</v>
      </c>
      <c r="C50" s="12">
        <v>11</v>
      </c>
      <c r="D50" s="218">
        <v>48</v>
      </c>
      <c r="F50" s="12" t="s">
        <v>103</v>
      </c>
      <c r="G50" s="12">
        <f>BI50*2</f>
        <v>342</v>
      </c>
      <c r="I50" s="12" t="s">
        <v>110</v>
      </c>
      <c r="J50" s="12">
        <f t="shared" si="20"/>
        <v>276</v>
      </c>
      <c r="K50" s="12">
        <f t="shared" si="20"/>
        <v>374</v>
      </c>
      <c r="L50" s="12">
        <f t="shared" si="20"/>
        <v>232</v>
      </c>
      <c r="M50" s="12">
        <f>BN50*2</f>
        <v>240</v>
      </c>
      <c r="N50" s="12">
        <v>223</v>
      </c>
      <c r="O50" s="12">
        <f t="shared" si="21"/>
        <v>342</v>
      </c>
      <c r="P50" s="12">
        <f t="shared" si="21"/>
        <v>356</v>
      </c>
      <c r="R50" s="12">
        <f t="shared" si="8"/>
        <v>654</v>
      </c>
      <c r="S50" s="12">
        <f>BV50*BW50</f>
        <v>620</v>
      </c>
      <c r="T50" s="12">
        <f t="shared" si="9"/>
        <v>555</v>
      </c>
      <c r="W50" s="236"/>
      <c r="X50" s="12">
        <v>4.2</v>
      </c>
      <c r="Y50" s="12">
        <v>4.7</v>
      </c>
      <c r="Z50" s="12">
        <v>4.5999999999999996</v>
      </c>
      <c r="AA50" s="12">
        <v>3.9</v>
      </c>
      <c r="AB50" s="12">
        <v>4</v>
      </c>
      <c r="AC50" s="12">
        <v>4</v>
      </c>
      <c r="AD50" s="12">
        <v>4.7</v>
      </c>
      <c r="AE50" s="12">
        <v>3.8</v>
      </c>
      <c r="AF50" s="12">
        <v>3.8</v>
      </c>
      <c r="AG50" s="12">
        <v>4.4000000000000004</v>
      </c>
      <c r="AH50" s="12">
        <v>4.3</v>
      </c>
      <c r="AI50" s="12">
        <v>4.5</v>
      </c>
      <c r="AJ50" s="12">
        <v>6.3</v>
      </c>
      <c r="AK50" s="12">
        <v>6.6</v>
      </c>
      <c r="AL50" s="12">
        <v>4.8</v>
      </c>
      <c r="AM50" s="12">
        <v>5.0999999999999996</v>
      </c>
      <c r="AQ50" s="236"/>
      <c r="AR50" s="219" t="e">
        <f t="shared" si="14"/>
        <v>#VALUE!</v>
      </c>
      <c r="AS50" s="219">
        <f t="shared" si="15"/>
        <v>77.257800000000003</v>
      </c>
      <c r="AT50" s="219">
        <f t="shared" si="16"/>
        <v>0</v>
      </c>
      <c r="AU50" s="223" t="s">
        <v>111</v>
      </c>
      <c r="AV50" s="219">
        <f t="shared" si="19"/>
        <v>62.348399999999998</v>
      </c>
      <c r="AY50" s="245"/>
      <c r="AZ50" s="247">
        <v>4.1900000000000004</v>
      </c>
      <c r="BA50" s="12">
        <f>AS50*100/(AZ50+AS50)</f>
        <v>94.855600765152658</v>
      </c>
      <c r="BI50" s="236">
        <v>171</v>
      </c>
      <c r="BJ50" s="12" t="s">
        <v>104</v>
      </c>
      <c r="BK50" s="12">
        <v>138</v>
      </c>
      <c r="BL50" s="12">
        <v>187</v>
      </c>
      <c r="BM50" s="12">
        <v>116</v>
      </c>
      <c r="BN50" s="12">
        <v>120</v>
      </c>
      <c r="BO50" s="12">
        <v>177</v>
      </c>
      <c r="BP50" s="12">
        <v>171</v>
      </c>
      <c r="BQ50" s="12">
        <v>178</v>
      </c>
      <c r="BT50" s="12">
        <v>218</v>
      </c>
      <c r="BU50" s="12">
        <v>3</v>
      </c>
      <c r="BV50" s="12">
        <v>155</v>
      </c>
      <c r="BW50" s="12">
        <v>4</v>
      </c>
      <c r="BX50" s="12">
        <v>185</v>
      </c>
      <c r="BY50" s="12">
        <v>3</v>
      </c>
    </row>
    <row r="51" spans="1:77" s="12" customFormat="1" ht="18" thickBot="1" x14ac:dyDescent="0.35">
      <c r="A51" s="12">
        <v>0.9</v>
      </c>
      <c r="B51" s="12">
        <v>5</v>
      </c>
      <c r="C51" s="12">
        <v>5</v>
      </c>
      <c r="D51" s="218">
        <v>49</v>
      </c>
      <c r="F51" s="12" t="s">
        <v>103</v>
      </c>
      <c r="G51" s="12">
        <f>BI51*2</f>
        <v>280</v>
      </c>
      <c r="I51" s="12" t="s">
        <v>110</v>
      </c>
      <c r="J51" s="12">
        <f t="shared" si="20"/>
        <v>294</v>
      </c>
      <c r="K51" s="12">
        <f t="shared" si="20"/>
        <v>238</v>
      </c>
      <c r="L51" s="12">
        <f t="shared" si="20"/>
        <v>186</v>
      </c>
      <c r="M51" s="12">
        <f>BN51*2</f>
        <v>260</v>
      </c>
      <c r="N51" s="12">
        <v>223</v>
      </c>
      <c r="O51" s="12">
        <f t="shared" si="21"/>
        <v>354</v>
      </c>
      <c r="P51" s="12">
        <f t="shared" si="21"/>
        <v>330</v>
      </c>
      <c r="R51" s="12">
        <f t="shared" si="8"/>
        <v>1002</v>
      </c>
      <c r="S51" s="12">
        <f>BV51*BW51</f>
        <v>724</v>
      </c>
      <c r="T51" s="12">
        <f t="shared" si="9"/>
        <v>450</v>
      </c>
      <c r="W51" s="236"/>
      <c r="X51" s="12">
        <v>1.67</v>
      </c>
      <c r="Y51" s="12">
        <v>1.79</v>
      </c>
      <c r="Z51" s="12">
        <v>1.75</v>
      </c>
      <c r="AA51" s="12">
        <v>1.66</v>
      </c>
      <c r="AB51" s="12">
        <v>1.68</v>
      </c>
      <c r="AC51" s="12">
        <v>1.71</v>
      </c>
      <c r="AD51" s="12">
        <v>1.59</v>
      </c>
      <c r="AE51" s="12">
        <v>1.37</v>
      </c>
      <c r="AF51" s="12">
        <v>1.48</v>
      </c>
      <c r="AG51" s="12">
        <v>1.74</v>
      </c>
      <c r="AH51" s="12">
        <v>1.6</v>
      </c>
      <c r="AI51" s="12">
        <v>1.58</v>
      </c>
      <c r="AJ51" s="12">
        <v>2.9</v>
      </c>
      <c r="AK51" s="12">
        <v>4.2</v>
      </c>
      <c r="AL51" s="12">
        <v>3.2</v>
      </c>
      <c r="AM51" s="12">
        <v>2.5</v>
      </c>
      <c r="AQ51" s="236"/>
      <c r="AR51" s="219" t="e">
        <f t="shared" si="14"/>
        <v>#VALUE!</v>
      </c>
      <c r="AS51" s="219">
        <f t="shared" si="15"/>
        <v>63.251999999999995</v>
      </c>
      <c r="AT51" s="219">
        <f t="shared" si="16"/>
        <v>0</v>
      </c>
      <c r="AU51" s="223" t="s">
        <v>111</v>
      </c>
      <c r="AV51" s="219">
        <f t="shared" si="19"/>
        <v>66.414599999999993</v>
      </c>
      <c r="AY51" s="245"/>
      <c r="AZ51" s="247">
        <v>0.32</v>
      </c>
      <c r="BA51" s="12">
        <f>AS51*100/(AZ51+AS51)</f>
        <v>99.496633738123705</v>
      </c>
      <c r="BI51" s="236">
        <v>140</v>
      </c>
      <c r="BJ51" s="12" t="s">
        <v>104</v>
      </c>
      <c r="BK51" s="12">
        <v>147</v>
      </c>
      <c r="BL51" s="12">
        <v>119</v>
      </c>
      <c r="BM51" s="12">
        <v>93</v>
      </c>
      <c r="BN51" s="12">
        <v>130</v>
      </c>
      <c r="BO51" s="12">
        <v>189</v>
      </c>
      <c r="BP51" s="12">
        <v>177</v>
      </c>
      <c r="BQ51" s="12">
        <v>165</v>
      </c>
      <c r="BT51" s="12">
        <v>167</v>
      </c>
      <c r="BU51" s="12">
        <v>6</v>
      </c>
      <c r="BV51" s="12">
        <v>181</v>
      </c>
      <c r="BW51" s="12">
        <v>4</v>
      </c>
      <c r="BX51" s="12">
        <v>150</v>
      </c>
      <c r="BY51" s="12">
        <v>3</v>
      </c>
    </row>
    <row r="52" spans="1:77" s="28" customFormat="1" ht="14.4" customHeight="1" x14ac:dyDescent="0.25">
      <c r="A52" s="28">
        <v>0.9</v>
      </c>
      <c r="B52" s="28">
        <v>4</v>
      </c>
      <c r="C52" s="28">
        <v>4</v>
      </c>
      <c r="D52" s="31">
        <v>50</v>
      </c>
      <c r="F52" s="28">
        <v>198</v>
      </c>
      <c r="I52" s="28">
        <v>163</v>
      </c>
      <c r="J52" s="28">
        <v>161</v>
      </c>
      <c r="K52" s="28">
        <v>209</v>
      </c>
      <c r="L52" s="28">
        <v>109</v>
      </c>
      <c r="M52" s="251">
        <v>46</v>
      </c>
      <c r="N52" s="251">
        <v>37</v>
      </c>
      <c r="O52" s="251">
        <v>23</v>
      </c>
      <c r="P52" s="251">
        <v>15</v>
      </c>
      <c r="R52" s="12">
        <f t="shared" si="8"/>
        <v>1130</v>
      </c>
      <c r="T52" s="12">
        <f t="shared" si="9"/>
        <v>456</v>
      </c>
      <c r="W52" s="237"/>
      <c r="X52" s="28">
        <v>1.62</v>
      </c>
      <c r="Y52" s="28">
        <v>1.7</v>
      </c>
      <c r="Z52" s="28">
        <v>1.61</v>
      </c>
      <c r="AA52" s="28">
        <v>1.83</v>
      </c>
      <c r="AB52" s="28">
        <v>1.91</v>
      </c>
      <c r="AC52" s="28">
        <v>1.99</v>
      </c>
      <c r="AD52" s="28">
        <v>2.2999999999999998</v>
      </c>
      <c r="AE52" s="28">
        <v>1.87</v>
      </c>
      <c r="AF52" s="28">
        <v>1.54</v>
      </c>
      <c r="AG52" s="28">
        <v>1.56</v>
      </c>
      <c r="AH52" s="28">
        <v>1.72</v>
      </c>
      <c r="AI52" s="28">
        <v>2.5</v>
      </c>
      <c r="AJ52" s="28">
        <v>3.1</v>
      </c>
      <c r="AK52" s="28">
        <v>5.2</v>
      </c>
      <c r="AQ52" s="237"/>
      <c r="AR52" s="48">
        <f t="shared" si="14"/>
        <v>44.728200000000001</v>
      </c>
      <c r="AS52" s="48">
        <f t="shared" si="15"/>
        <v>0</v>
      </c>
      <c r="AT52" s="48">
        <f t="shared" si="16"/>
        <v>0</v>
      </c>
      <c r="AU52" s="48">
        <f>I52*0.2259</f>
        <v>36.8217</v>
      </c>
      <c r="AV52" s="48">
        <f t="shared" si="19"/>
        <v>36.369900000000001</v>
      </c>
      <c r="AZ52" s="237"/>
      <c r="BI52" s="237"/>
      <c r="BT52" s="28">
        <v>226</v>
      </c>
      <c r="BU52" s="28">
        <v>5</v>
      </c>
      <c r="BX52" s="28">
        <v>152</v>
      </c>
      <c r="BY52" s="28">
        <v>3</v>
      </c>
    </row>
    <row r="53" spans="1:77" s="28" customFormat="1" ht="14.4" customHeight="1" x14ac:dyDescent="0.25">
      <c r="A53" s="28">
        <v>4</v>
      </c>
      <c r="B53" s="28">
        <v>3</v>
      </c>
      <c r="C53" s="28">
        <v>9</v>
      </c>
      <c r="D53" s="31">
        <v>51</v>
      </c>
      <c r="F53" s="28">
        <v>93</v>
      </c>
      <c r="I53" s="28">
        <v>138</v>
      </c>
      <c r="J53" s="28">
        <v>103</v>
      </c>
      <c r="K53" s="28">
        <v>111</v>
      </c>
      <c r="L53" s="28">
        <v>116</v>
      </c>
      <c r="M53" s="28">
        <v>126</v>
      </c>
      <c r="N53" s="28">
        <v>146</v>
      </c>
      <c r="O53" s="28">
        <v>128</v>
      </c>
      <c r="P53" s="28">
        <v>146</v>
      </c>
      <c r="R53" s="12">
        <f t="shared" si="8"/>
        <v>201</v>
      </c>
      <c r="S53" s="28">
        <v>183</v>
      </c>
      <c r="T53" s="12">
        <f t="shared" si="9"/>
        <v>0</v>
      </c>
      <c r="W53" s="237"/>
      <c r="X53" s="28">
        <v>3.9</v>
      </c>
      <c r="Y53" s="28">
        <v>4.3</v>
      </c>
      <c r="Z53" s="28">
        <v>4.3</v>
      </c>
      <c r="AA53" s="28">
        <v>3.9</v>
      </c>
      <c r="AB53" s="28">
        <v>4.2</v>
      </c>
      <c r="AC53" s="28">
        <v>4.0999999999999996</v>
      </c>
      <c r="AD53" s="28">
        <v>4</v>
      </c>
      <c r="AE53" s="28">
        <v>3.8</v>
      </c>
      <c r="AF53" s="28">
        <v>4.0999999999999996</v>
      </c>
      <c r="AG53" s="28">
        <v>4.4000000000000004</v>
      </c>
      <c r="AH53" s="28">
        <v>4.8</v>
      </c>
      <c r="AI53" s="28">
        <v>4.5999999999999996</v>
      </c>
      <c r="AJ53" s="28">
        <v>6.5</v>
      </c>
      <c r="AK53" s="28">
        <v>6</v>
      </c>
      <c r="AL53" s="28">
        <v>5</v>
      </c>
      <c r="AM53" s="28">
        <v>4.5999999999999996</v>
      </c>
      <c r="AQ53" s="237"/>
      <c r="AR53" s="48">
        <f t="shared" si="14"/>
        <v>21.008699999999997</v>
      </c>
      <c r="AS53" s="48">
        <f t="shared" si="15"/>
        <v>0</v>
      </c>
      <c r="AT53" s="48">
        <f t="shared" si="16"/>
        <v>0</v>
      </c>
      <c r="AU53" s="48">
        <f>I53*0.2259</f>
        <v>31.174199999999999</v>
      </c>
      <c r="AV53" s="48">
        <f t="shared" si="19"/>
        <v>23.267699999999998</v>
      </c>
      <c r="AZ53" s="237"/>
      <c r="BI53" s="237"/>
      <c r="BT53" s="28">
        <v>201</v>
      </c>
      <c r="BU53" s="28">
        <v>1</v>
      </c>
      <c r="BV53" s="28">
        <v>182</v>
      </c>
      <c r="BW53" s="28">
        <v>1</v>
      </c>
      <c r="BX53" s="28">
        <v>151</v>
      </c>
    </row>
    <row r="54" spans="1:77" s="28" customFormat="1" x14ac:dyDescent="0.25">
      <c r="A54" s="28">
        <v>4</v>
      </c>
      <c r="B54" s="28">
        <v>2</v>
      </c>
      <c r="C54" s="28">
        <v>8</v>
      </c>
      <c r="D54" s="31">
        <v>52</v>
      </c>
      <c r="F54" s="28">
        <v>44</v>
      </c>
      <c r="I54" s="28">
        <v>43</v>
      </c>
      <c r="J54" s="28">
        <v>45</v>
      </c>
      <c r="K54" s="28">
        <v>47</v>
      </c>
      <c r="L54" s="28">
        <v>43</v>
      </c>
      <c r="M54" s="28">
        <v>46</v>
      </c>
      <c r="N54" s="28">
        <v>38</v>
      </c>
      <c r="O54" s="28">
        <v>32</v>
      </c>
      <c r="P54" s="28">
        <v>27</v>
      </c>
      <c r="R54" s="12">
        <f t="shared" si="8"/>
        <v>32</v>
      </c>
      <c r="S54" s="28">
        <v>23</v>
      </c>
      <c r="T54" s="12">
        <f t="shared" si="9"/>
        <v>0</v>
      </c>
      <c r="W54" s="237"/>
      <c r="X54" s="28">
        <v>3.8</v>
      </c>
      <c r="Y54" s="28">
        <v>4.3</v>
      </c>
      <c r="Z54" s="28">
        <v>4.0999999999999996</v>
      </c>
      <c r="AA54" s="28">
        <v>3.7</v>
      </c>
      <c r="AB54" s="28">
        <v>3.9</v>
      </c>
      <c r="AC54" s="28">
        <v>3.9</v>
      </c>
      <c r="AD54" s="28">
        <v>4</v>
      </c>
      <c r="AE54" s="28">
        <v>3.9</v>
      </c>
      <c r="AF54" s="28">
        <v>4</v>
      </c>
      <c r="AG54" s="28">
        <v>4.5</v>
      </c>
      <c r="AH54" s="28">
        <v>4.5999999999999996</v>
      </c>
      <c r="AI54" s="28">
        <v>4.5</v>
      </c>
      <c r="AJ54" s="28">
        <v>5.0999999999999996</v>
      </c>
      <c r="AK54" s="28">
        <v>5.8</v>
      </c>
      <c r="AL54" s="28">
        <v>5.5</v>
      </c>
      <c r="AM54" s="28">
        <v>4.8</v>
      </c>
      <c r="AQ54" s="237"/>
      <c r="AR54" s="48">
        <f t="shared" si="14"/>
        <v>9.9395999999999987</v>
      </c>
      <c r="AS54" s="48">
        <f t="shared" si="15"/>
        <v>0</v>
      </c>
      <c r="AT54" s="48">
        <f t="shared" si="16"/>
        <v>0</v>
      </c>
      <c r="AU54" s="48">
        <f>I54*0.2259</f>
        <v>9.7136999999999993</v>
      </c>
      <c r="AV54" s="48">
        <f t="shared" si="19"/>
        <v>10.1655</v>
      </c>
      <c r="AZ54" s="237"/>
      <c r="BI54" s="237"/>
      <c r="BT54" s="28">
        <v>32</v>
      </c>
      <c r="BU54" s="28">
        <v>1</v>
      </c>
      <c r="BV54" s="28">
        <v>24</v>
      </c>
      <c r="BW54" s="28">
        <v>1</v>
      </c>
      <c r="BX54" s="28">
        <v>6</v>
      </c>
    </row>
    <row r="55" spans="1:77" s="28" customFormat="1" ht="14.4" customHeight="1" x14ac:dyDescent="0.25">
      <c r="A55" s="28">
        <v>0.9</v>
      </c>
      <c r="B55" s="28">
        <v>1</v>
      </c>
      <c r="C55" s="28">
        <v>1</v>
      </c>
      <c r="D55" s="31">
        <v>53</v>
      </c>
      <c r="F55" s="28">
        <v>17</v>
      </c>
      <c r="I55" s="28">
        <v>16</v>
      </c>
      <c r="J55" s="28">
        <v>17</v>
      </c>
      <c r="K55" s="28">
        <v>33</v>
      </c>
      <c r="L55" s="28">
        <v>24</v>
      </c>
      <c r="M55" s="28">
        <v>16</v>
      </c>
      <c r="N55" s="28">
        <v>17</v>
      </c>
      <c r="O55" s="28">
        <v>12</v>
      </c>
      <c r="P55" s="28">
        <v>16</v>
      </c>
      <c r="R55" s="12">
        <f t="shared" si="8"/>
        <v>35</v>
      </c>
      <c r="S55" s="28">
        <v>16</v>
      </c>
      <c r="T55" s="12">
        <f t="shared" si="9"/>
        <v>0</v>
      </c>
      <c r="W55" s="237"/>
      <c r="X55" s="28">
        <v>1.35</v>
      </c>
      <c r="Y55" s="28">
        <v>1.37</v>
      </c>
      <c r="Z55" s="28">
        <v>1.32</v>
      </c>
      <c r="AA55" s="28">
        <v>1.18</v>
      </c>
      <c r="AB55" s="28">
        <v>1.23</v>
      </c>
      <c r="AC55" s="28">
        <v>1.24</v>
      </c>
      <c r="AD55" s="28">
        <v>1.33</v>
      </c>
      <c r="AE55" s="28">
        <v>1.23</v>
      </c>
      <c r="AF55" s="28">
        <v>1.27</v>
      </c>
      <c r="AG55" s="28">
        <v>1.29</v>
      </c>
      <c r="AH55" s="28">
        <v>1.39</v>
      </c>
      <c r="AI55" s="28">
        <v>1.28</v>
      </c>
      <c r="AJ55" s="28">
        <v>3.3</v>
      </c>
      <c r="AK55" s="28">
        <v>1.88</v>
      </c>
      <c r="AL55" s="28">
        <v>1.75</v>
      </c>
      <c r="AM55" s="28">
        <v>0.17</v>
      </c>
      <c r="AQ55" s="237"/>
      <c r="AR55" s="48">
        <f t="shared" si="14"/>
        <v>3.8403</v>
      </c>
      <c r="AS55" s="48">
        <f t="shared" si="15"/>
        <v>0</v>
      </c>
      <c r="AT55" s="48">
        <f t="shared" si="16"/>
        <v>0</v>
      </c>
      <c r="AU55" s="48">
        <f>I55*0.2259</f>
        <v>3.6143999999999998</v>
      </c>
      <c r="AV55" s="48">
        <f t="shared" si="19"/>
        <v>3.8403</v>
      </c>
      <c r="AZ55" s="237"/>
      <c r="BI55" s="237"/>
      <c r="BT55" s="28">
        <v>35</v>
      </c>
      <c r="BU55" s="28">
        <v>1</v>
      </c>
      <c r="BV55" s="28">
        <v>17</v>
      </c>
      <c r="BW55" s="28">
        <v>1</v>
      </c>
      <c r="BX55" s="28">
        <v>11</v>
      </c>
    </row>
    <row r="56" spans="1:77" s="28" customFormat="1" ht="15" customHeight="1" thickBot="1" x14ac:dyDescent="0.3">
      <c r="A56" s="252">
        <v>4</v>
      </c>
      <c r="B56" s="252">
        <v>1</v>
      </c>
      <c r="C56" s="252">
        <v>7</v>
      </c>
      <c r="D56" s="31">
        <v>54</v>
      </c>
      <c r="F56" s="28">
        <v>22</v>
      </c>
      <c r="I56" s="28">
        <v>17</v>
      </c>
      <c r="J56" s="28">
        <v>16</v>
      </c>
      <c r="K56" s="28">
        <v>30</v>
      </c>
      <c r="L56" s="28">
        <v>26</v>
      </c>
      <c r="M56" s="28">
        <v>21</v>
      </c>
      <c r="N56" s="28">
        <v>18</v>
      </c>
      <c r="O56" s="28">
        <v>14</v>
      </c>
      <c r="P56" s="28">
        <v>12</v>
      </c>
      <c r="R56" s="12">
        <f t="shared" si="8"/>
        <v>8</v>
      </c>
      <c r="S56" s="28">
        <v>0</v>
      </c>
      <c r="T56" s="12">
        <f t="shared" si="9"/>
        <v>0</v>
      </c>
      <c r="W56" s="237"/>
      <c r="X56" s="28">
        <v>3.8</v>
      </c>
      <c r="Y56" s="28">
        <v>4.3</v>
      </c>
      <c r="Z56" s="28">
        <v>4.0999999999999996</v>
      </c>
      <c r="AA56" s="28">
        <v>3.6</v>
      </c>
      <c r="AB56" s="28">
        <v>3.7</v>
      </c>
      <c r="AC56" s="28">
        <v>3.8</v>
      </c>
      <c r="AD56" s="28">
        <v>3.8</v>
      </c>
      <c r="AE56" s="28">
        <v>3.7</v>
      </c>
      <c r="AF56" s="28">
        <v>3.8</v>
      </c>
      <c r="AG56" s="28">
        <v>3.9</v>
      </c>
      <c r="AH56" s="28">
        <v>4.0999999999999996</v>
      </c>
      <c r="AI56" s="28">
        <v>4.2</v>
      </c>
      <c r="AJ56" s="28">
        <v>4.5</v>
      </c>
      <c r="AK56" s="28">
        <v>5.5</v>
      </c>
      <c r="AL56" s="28">
        <v>5.0999999999999996</v>
      </c>
      <c r="AM56" s="28">
        <v>4.7</v>
      </c>
      <c r="AQ56" s="237"/>
      <c r="AR56" s="48">
        <f t="shared" si="14"/>
        <v>4.9697999999999993</v>
      </c>
      <c r="AS56" s="48">
        <f t="shared" si="15"/>
        <v>0</v>
      </c>
      <c r="AT56" s="48">
        <f t="shared" si="16"/>
        <v>0</v>
      </c>
      <c r="AU56" s="48">
        <f>I56*0.2259</f>
        <v>3.8403</v>
      </c>
      <c r="AV56" s="48">
        <f t="shared" si="19"/>
        <v>3.6143999999999998</v>
      </c>
      <c r="AZ56" s="237"/>
      <c r="BI56" s="237"/>
      <c r="BT56" s="28">
        <v>8</v>
      </c>
      <c r="BU56" s="28">
        <v>1</v>
      </c>
      <c r="BV56" s="28">
        <v>0</v>
      </c>
      <c r="BW56" s="28">
        <v>1</v>
      </c>
      <c r="BX56" s="28">
        <v>0</v>
      </c>
    </row>
    <row r="57" spans="1:77" s="12" customFormat="1" ht="15" customHeight="1" thickBot="1" x14ac:dyDescent="0.3">
      <c r="A57" s="12">
        <v>0.9</v>
      </c>
      <c r="B57" s="12">
        <v>5</v>
      </c>
      <c r="C57" s="12">
        <v>5</v>
      </c>
      <c r="D57" s="218">
        <v>55</v>
      </c>
      <c r="F57" s="12">
        <v>217</v>
      </c>
      <c r="I57" s="12" t="s">
        <v>112</v>
      </c>
      <c r="J57" s="12">
        <f t="shared" ref="J57:M58" si="22">BK57*2</f>
        <v>210</v>
      </c>
      <c r="K57" s="12">
        <f t="shared" si="22"/>
        <v>238</v>
      </c>
      <c r="L57" s="12">
        <f t="shared" si="22"/>
        <v>192</v>
      </c>
      <c r="M57" s="12">
        <f t="shared" si="22"/>
        <v>240</v>
      </c>
      <c r="N57" s="12">
        <v>223</v>
      </c>
      <c r="O57" s="12">
        <f>2*BP57</f>
        <v>282</v>
      </c>
      <c r="P57" s="12">
        <f>2*BQ57</f>
        <v>398</v>
      </c>
      <c r="R57" s="12">
        <f t="shared" si="8"/>
        <v>1060</v>
      </c>
      <c r="S57" s="12">
        <f>BV57*BW57</f>
        <v>524</v>
      </c>
      <c r="T57" s="12">
        <f t="shared" si="9"/>
        <v>594</v>
      </c>
      <c r="W57" s="236"/>
      <c r="X57" s="12">
        <v>1.6</v>
      </c>
      <c r="Y57" s="12">
        <v>1.68</v>
      </c>
      <c r="Z57" s="12">
        <v>1.45</v>
      </c>
      <c r="AA57" s="12">
        <v>1.5</v>
      </c>
      <c r="AB57" s="12">
        <v>1.53</v>
      </c>
      <c r="AC57" s="12">
        <v>1.57</v>
      </c>
      <c r="AD57" s="12">
        <v>1.54</v>
      </c>
      <c r="AE57" s="12">
        <v>1.33</v>
      </c>
      <c r="AF57" s="12">
        <v>1.45</v>
      </c>
      <c r="AG57" s="12">
        <v>1.53</v>
      </c>
      <c r="AH57" s="12">
        <v>1.5</v>
      </c>
      <c r="AI57" s="12">
        <v>1.79</v>
      </c>
      <c r="AJ57" s="12">
        <v>2.9</v>
      </c>
      <c r="AK57" s="12">
        <v>4.5</v>
      </c>
      <c r="AL57" s="12">
        <v>3.1</v>
      </c>
      <c r="AM57" s="12">
        <v>2.7</v>
      </c>
      <c r="AQ57" s="236"/>
      <c r="AR57" s="219">
        <f t="shared" ref="AR57:AR74" si="23">F57*0.2259</f>
        <v>49.020299999999999</v>
      </c>
      <c r="AS57" s="219">
        <f>AH57*0.2259</f>
        <v>0.33884999999999998</v>
      </c>
      <c r="AT57" s="219">
        <f t="shared" ref="AT57:AT74" si="24">H57*0.2259</f>
        <v>0</v>
      </c>
      <c r="AU57" s="223" t="s">
        <v>111</v>
      </c>
      <c r="AV57" s="219">
        <f t="shared" si="19"/>
        <v>47.439</v>
      </c>
      <c r="AZ57" s="236"/>
      <c r="BI57" s="236"/>
      <c r="BK57" s="12">
        <v>105</v>
      </c>
      <c r="BL57" s="12">
        <v>119</v>
      </c>
      <c r="BM57" s="12">
        <v>96</v>
      </c>
      <c r="BN57" s="12">
        <v>120</v>
      </c>
      <c r="BO57" s="12">
        <v>146</v>
      </c>
      <c r="BP57" s="12">
        <v>141</v>
      </c>
      <c r="BQ57" s="12">
        <v>199</v>
      </c>
      <c r="BT57" s="12">
        <v>212</v>
      </c>
      <c r="BU57" s="12">
        <v>5</v>
      </c>
      <c r="BV57" s="12">
        <v>131</v>
      </c>
      <c r="BW57" s="12">
        <v>4</v>
      </c>
      <c r="BX57" s="12">
        <v>198</v>
      </c>
      <c r="BY57" s="12">
        <v>3</v>
      </c>
    </row>
    <row r="58" spans="1:77" s="12" customFormat="1" ht="18" thickBot="1" x14ac:dyDescent="0.35">
      <c r="A58" s="12">
        <v>0.9</v>
      </c>
      <c r="B58" s="12">
        <v>6</v>
      </c>
      <c r="C58" s="12">
        <v>6</v>
      </c>
      <c r="D58" s="218">
        <v>56</v>
      </c>
      <c r="G58" s="12">
        <f>BI58*2</f>
        <v>334</v>
      </c>
      <c r="I58" s="12" t="s">
        <v>112</v>
      </c>
      <c r="J58" s="12">
        <f t="shared" si="22"/>
        <v>380</v>
      </c>
      <c r="K58" s="12">
        <f t="shared" si="22"/>
        <v>392</v>
      </c>
      <c r="L58" s="12">
        <f t="shared" si="22"/>
        <v>250</v>
      </c>
      <c r="M58" s="12">
        <f t="shared" si="22"/>
        <v>232</v>
      </c>
      <c r="N58" s="12">
        <v>223</v>
      </c>
      <c r="O58" s="12">
        <f>2*BP58</f>
        <v>296</v>
      </c>
      <c r="P58" s="12">
        <f>2*BQ58</f>
        <v>300</v>
      </c>
      <c r="R58" s="12">
        <f t="shared" si="8"/>
        <v>0</v>
      </c>
      <c r="T58" s="12">
        <f t="shared" si="9"/>
        <v>0</v>
      </c>
      <c r="W58" s="236"/>
      <c r="X58" s="12">
        <v>1.72</v>
      </c>
      <c r="Y58" s="12">
        <v>1.85</v>
      </c>
      <c r="Z58" s="12">
        <v>1.67</v>
      </c>
      <c r="AA58" s="12">
        <v>1.62</v>
      </c>
      <c r="AB58" s="12">
        <v>1.66</v>
      </c>
      <c r="AC58" s="12">
        <v>1.71</v>
      </c>
      <c r="AD58" s="12">
        <v>1.9</v>
      </c>
      <c r="AE58" s="12">
        <v>1.53</v>
      </c>
      <c r="AF58" s="12">
        <v>1.52</v>
      </c>
      <c r="AG58" s="12">
        <v>1.57</v>
      </c>
      <c r="AH58" s="12">
        <v>1.78</v>
      </c>
      <c r="AJ58" s="12">
        <v>3.3</v>
      </c>
      <c r="AQ58" s="236"/>
      <c r="AR58" s="219">
        <f t="shared" si="23"/>
        <v>0</v>
      </c>
      <c r="AS58" s="219">
        <f t="shared" ref="AS58:AS65" si="25">G58*0.2259</f>
        <v>75.450599999999994</v>
      </c>
      <c r="AT58" s="219">
        <f t="shared" si="24"/>
        <v>0</v>
      </c>
      <c r="AU58" s="223" t="s">
        <v>111</v>
      </c>
      <c r="AV58" s="219">
        <f t="shared" si="19"/>
        <v>85.841999999999999</v>
      </c>
      <c r="AY58" s="245"/>
      <c r="AZ58" s="247">
        <v>0.44</v>
      </c>
      <c r="BA58" s="12">
        <f>AS58*100/(AZ58+AS58)</f>
        <v>99.420218050720379</v>
      </c>
      <c r="BI58" s="236">
        <v>167</v>
      </c>
      <c r="BJ58" s="12" t="s">
        <v>104</v>
      </c>
      <c r="BK58" s="12">
        <v>190</v>
      </c>
      <c r="BL58" s="12">
        <v>196</v>
      </c>
      <c r="BM58" s="12">
        <v>125</v>
      </c>
      <c r="BN58" s="12">
        <v>116</v>
      </c>
      <c r="BO58" s="12">
        <v>132</v>
      </c>
      <c r="BP58" s="12">
        <v>148</v>
      </c>
      <c r="BQ58" s="12">
        <v>150</v>
      </c>
    </row>
    <row r="59" spans="1:77" s="28" customFormat="1" x14ac:dyDescent="0.25">
      <c r="A59" s="28">
        <v>4</v>
      </c>
      <c r="B59" s="28">
        <v>2</v>
      </c>
      <c r="C59" s="28">
        <v>8</v>
      </c>
      <c r="D59" s="31">
        <v>57</v>
      </c>
      <c r="F59" s="28">
        <v>48</v>
      </c>
      <c r="I59" s="28">
        <v>46</v>
      </c>
      <c r="J59" s="28">
        <v>42</v>
      </c>
      <c r="K59" s="28">
        <v>60</v>
      </c>
      <c r="L59" s="28">
        <v>55</v>
      </c>
      <c r="M59" s="28">
        <v>51</v>
      </c>
      <c r="N59" s="28">
        <v>57</v>
      </c>
      <c r="O59" s="28">
        <v>54</v>
      </c>
      <c r="P59" s="28">
        <v>54</v>
      </c>
      <c r="R59" s="12">
        <f t="shared" si="8"/>
        <v>81</v>
      </c>
      <c r="S59" s="28">
        <v>91</v>
      </c>
      <c r="T59" s="12">
        <f t="shared" si="9"/>
        <v>70</v>
      </c>
      <c r="W59" s="237"/>
      <c r="X59" s="28">
        <v>3.8</v>
      </c>
      <c r="Y59" s="28">
        <v>4.2</v>
      </c>
      <c r="Z59" s="28">
        <v>4.0999999999999996</v>
      </c>
      <c r="AA59" s="28">
        <v>3.8</v>
      </c>
      <c r="AB59" s="28">
        <v>4</v>
      </c>
      <c r="AC59" s="28">
        <v>4</v>
      </c>
      <c r="AD59" s="28">
        <v>4.3</v>
      </c>
      <c r="AE59" s="28">
        <v>4.2</v>
      </c>
      <c r="AF59" s="28">
        <v>3.7</v>
      </c>
      <c r="AG59" s="28">
        <v>3.8</v>
      </c>
      <c r="AH59" s="28">
        <v>4.4000000000000004</v>
      </c>
      <c r="AI59" s="28">
        <v>4.4000000000000004</v>
      </c>
      <c r="AJ59" s="28">
        <v>4.8</v>
      </c>
      <c r="AK59" s="28">
        <v>5.7</v>
      </c>
      <c r="AL59" s="28">
        <v>4.2</v>
      </c>
      <c r="AM59" s="28">
        <v>4.5999999999999996</v>
      </c>
      <c r="AQ59" s="237"/>
      <c r="AR59" s="48">
        <f t="shared" si="23"/>
        <v>10.8432</v>
      </c>
      <c r="AS59" s="48">
        <f t="shared" si="25"/>
        <v>0</v>
      </c>
      <c r="AT59" s="48">
        <f t="shared" si="24"/>
        <v>0</v>
      </c>
      <c r="AU59" s="48">
        <f t="shared" ref="AU59:AU68" si="26">I59*0.2259</f>
        <v>10.391399999999999</v>
      </c>
      <c r="AV59" s="48">
        <f t="shared" si="19"/>
        <v>9.4878</v>
      </c>
      <c r="AZ59" s="237"/>
      <c r="BI59" s="237"/>
      <c r="BT59" s="28">
        <v>81</v>
      </c>
      <c r="BU59" s="28">
        <v>1</v>
      </c>
      <c r="BV59" s="28">
        <v>97</v>
      </c>
      <c r="BW59" s="28">
        <v>1</v>
      </c>
      <c r="BX59" s="28">
        <v>70</v>
      </c>
      <c r="BY59" s="28">
        <v>1</v>
      </c>
    </row>
    <row r="60" spans="1:77" s="28" customFormat="1" ht="15" customHeight="1" thickBot="1" x14ac:dyDescent="0.3">
      <c r="A60" s="28">
        <v>0.9</v>
      </c>
      <c r="B60" s="28">
        <v>2</v>
      </c>
      <c r="C60" s="28">
        <v>2</v>
      </c>
      <c r="D60" s="31">
        <v>58</v>
      </c>
      <c r="F60" s="28">
        <v>55</v>
      </c>
      <c r="J60" s="28">
        <v>58</v>
      </c>
      <c r="K60" s="28">
        <v>59</v>
      </c>
      <c r="L60" s="28">
        <v>57</v>
      </c>
      <c r="M60" s="28">
        <v>45</v>
      </c>
      <c r="N60" s="28">
        <v>56</v>
      </c>
      <c r="O60" s="28">
        <v>51</v>
      </c>
      <c r="P60" s="28">
        <v>46</v>
      </c>
      <c r="R60" s="12">
        <f t="shared" si="8"/>
        <v>56</v>
      </c>
      <c r="S60" s="28">
        <v>25</v>
      </c>
      <c r="T60" s="12">
        <f t="shared" si="9"/>
        <v>11</v>
      </c>
      <c r="W60" s="237"/>
      <c r="X60" s="28">
        <v>1.36</v>
      </c>
      <c r="Y60" s="28">
        <v>1.39</v>
      </c>
      <c r="Z60" s="28">
        <v>1.46</v>
      </c>
      <c r="AA60" s="28">
        <v>1.36</v>
      </c>
      <c r="AB60" s="28">
        <v>1.5</v>
      </c>
      <c r="AC60" s="28">
        <v>1.66</v>
      </c>
      <c r="AD60" s="28">
        <v>1.55</v>
      </c>
      <c r="AE60" s="28">
        <v>1.39</v>
      </c>
      <c r="AF60" s="28">
        <v>1.1599999999999999</v>
      </c>
      <c r="AG60" s="28">
        <v>1.1399999999999999</v>
      </c>
      <c r="AH60" s="28">
        <v>1.19</v>
      </c>
      <c r="AI60" s="28">
        <v>1.26</v>
      </c>
      <c r="AJ60" s="28">
        <v>1.86</v>
      </c>
      <c r="AK60" s="28">
        <v>2.7</v>
      </c>
      <c r="AL60" s="28">
        <v>2.5</v>
      </c>
      <c r="AM60" s="28">
        <v>0.18</v>
      </c>
      <c r="AQ60" s="237"/>
      <c r="AR60" s="48">
        <f t="shared" si="23"/>
        <v>12.4245</v>
      </c>
      <c r="AS60" s="48">
        <f t="shared" si="25"/>
        <v>0</v>
      </c>
      <c r="AT60" s="48">
        <f t="shared" si="24"/>
        <v>0</v>
      </c>
      <c r="AU60" s="48">
        <f t="shared" si="26"/>
        <v>0</v>
      </c>
      <c r="AV60" s="48">
        <f t="shared" si="19"/>
        <v>13.1022</v>
      </c>
      <c r="AZ60" s="237"/>
      <c r="BI60" s="237"/>
      <c r="BT60" s="28">
        <v>56</v>
      </c>
      <c r="BU60" s="28">
        <v>1</v>
      </c>
      <c r="BV60" s="28">
        <v>26</v>
      </c>
      <c r="BW60" s="28">
        <v>1</v>
      </c>
      <c r="BX60" s="28">
        <v>11</v>
      </c>
      <c r="BY60" s="28">
        <v>1</v>
      </c>
    </row>
    <row r="61" spans="1:77" s="15" customFormat="1" ht="18.600000000000001" customHeight="1" thickBot="1" x14ac:dyDescent="0.35">
      <c r="A61" s="15">
        <v>0.9</v>
      </c>
      <c r="B61" s="15">
        <v>1</v>
      </c>
      <c r="C61" s="15">
        <v>1</v>
      </c>
      <c r="D61" s="55">
        <v>59</v>
      </c>
      <c r="F61" s="15">
        <v>15</v>
      </c>
      <c r="P61" s="15">
        <v>0</v>
      </c>
      <c r="Q61" s="12"/>
      <c r="R61" s="12">
        <f t="shared" si="8"/>
        <v>0</v>
      </c>
      <c r="T61" s="12">
        <f t="shared" si="9"/>
        <v>0</v>
      </c>
      <c r="W61" s="239"/>
      <c r="X61" s="15">
        <v>1.32</v>
      </c>
      <c r="Y61" s="15">
        <v>1.28</v>
      </c>
      <c r="Z61" s="15">
        <v>1.26</v>
      </c>
      <c r="AA61" s="28">
        <v>0</v>
      </c>
      <c r="AB61" s="15">
        <v>0</v>
      </c>
      <c r="AC61" s="15">
        <v>0</v>
      </c>
      <c r="AQ61" s="239"/>
      <c r="AR61" s="53">
        <f t="shared" si="23"/>
        <v>3.3884999999999996</v>
      </c>
      <c r="AS61" s="48">
        <f t="shared" si="25"/>
        <v>0</v>
      </c>
      <c r="AT61" s="48">
        <f t="shared" si="24"/>
        <v>0</v>
      </c>
      <c r="AU61" s="48">
        <f t="shared" si="26"/>
        <v>0</v>
      </c>
      <c r="AV61" s="48">
        <f t="shared" si="19"/>
        <v>0</v>
      </c>
      <c r="AY61" s="246"/>
      <c r="AZ61" s="248">
        <v>0.92</v>
      </c>
      <c r="BA61" s="28"/>
      <c r="BI61" s="239"/>
    </row>
    <row r="62" spans="1:77" s="15" customFormat="1" ht="18.600000000000001" customHeight="1" thickBot="1" x14ac:dyDescent="0.35">
      <c r="A62" s="15">
        <v>4</v>
      </c>
      <c r="B62" s="15">
        <v>5</v>
      </c>
      <c r="C62" s="15">
        <v>11</v>
      </c>
      <c r="D62" s="55">
        <v>60</v>
      </c>
      <c r="F62" s="15" t="s">
        <v>103</v>
      </c>
      <c r="P62" s="15">
        <v>0</v>
      </c>
      <c r="Q62" s="12"/>
      <c r="R62" s="12">
        <f t="shared" si="8"/>
        <v>0</v>
      </c>
      <c r="T62" s="12">
        <f t="shared" si="9"/>
        <v>0</v>
      </c>
      <c r="W62" s="239"/>
      <c r="X62" s="15">
        <v>4.0999999999999996</v>
      </c>
      <c r="Y62" s="15">
        <v>4.2</v>
      </c>
      <c r="Z62" s="15">
        <v>4.3</v>
      </c>
      <c r="AA62">
        <v>0</v>
      </c>
      <c r="AB62" s="15">
        <v>0</v>
      </c>
      <c r="AC62" s="15">
        <v>0</v>
      </c>
      <c r="AQ62" s="239"/>
      <c r="AR62" s="53" t="e">
        <f t="shared" si="23"/>
        <v>#VALUE!</v>
      </c>
      <c r="AS62" s="48">
        <f t="shared" si="25"/>
        <v>0</v>
      </c>
      <c r="AT62" s="48">
        <f t="shared" si="24"/>
        <v>0</v>
      </c>
      <c r="AU62" s="48">
        <f t="shared" si="26"/>
        <v>0</v>
      </c>
      <c r="AV62" s="48">
        <f t="shared" si="19"/>
        <v>0</v>
      </c>
      <c r="AY62" s="246"/>
      <c r="AZ62" s="248">
        <v>22.24</v>
      </c>
      <c r="BA62" s="28"/>
      <c r="BI62" s="239"/>
    </row>
    <row r="63" spans="1:77" s="15" customFormat="1" ht="18.600000000000001" customHeight="1" thickBot="1" x14ac:dyDescent="0.35">
      <c r="A63" s="15">
        <v>4</v>
      </c>
      <c r="B63" s="15">
        <v>6</v>
      </c>
      <c r="C63" s="15">
        <v>12</v>
      </c>
      <c r="D63" s="55">
        <v>61</v>
      </c>
      <c r="P63" s="15">
        <v>0</v>
      </c>
      <c r="Q63" s="12"/>
      <c r="R63" s="12">
        <f t="shared" si="8"/>
        <v>0</v>
      </c>
      <c r="T63" s="12">
        <f t="shared" si="9"/>
        <v>0</v>
      </c>
      <c r="W63" s="239"/>
      <c r="X63" s="15">
        <v>4.0999999999999996</v>
      </c>
      <c r="Y63" s="15">
        <v>4.4000000000000004</v>
      </c>
      <c r="Z63" s="15">
        <v>4.3</v>
      </c>
      <c r="AA63" s="28">
        <v>0</v>
      </c>
      <c r="AB63" s="15">
        <v>0</v>
      </c>
      <c r="AC63" s="15">
        <v>0</v>
      </c>
      <c r="AQ63" s="239"/>
      <c r="AR63" s="53">
        <f t="shared" si="23"/>
        <v>0</v>
      </c>
      <c r="AS63" s="48">
        <f t="shared" si="25"/>
        <v>0</v>
      </c>
      <c r="AT63" s="48">
        <f t="shared" si="24"/>
        <v>0</v>
      </c>
      <c r="AU63" s="48">
        <f t="shared" si="26"/>
        <v>0</v>
      </c>
      <c r="AV63" s="48">
        <f t="shared" si="19"/>
        <v>0</v>
      </c>
      <c r="AY63" s="246"/>
      <c r="AZ63" s="248">
        <v>26.35</v>
      </c>
      <c r="BA63" s="28"/>
      <c r="BI63" s="239"/>
    </row>
    <row r="64" spans="1:77" s="15" customFormat="1" ht="18.600000000000001" customHeight="1" thickBot="1" x14ac:dyDescent="0.35">
      <c r="A64" s="15">
        <v>0.9</v>
      </c>
      <c r="B64" s="15">
        <v>3</v>
      </c>
      <c r="C64" s="15">
        <v>3</v>
      </c>
      <c r="D64" s="55">
        <v>62</v>
      </c>
      <c r="F64" s="15">
        <v>68</v>
      </c>
      <c r="P64" s="15">
        <v>0</v>
      </c>
      <c r="Q64" s="12"/>
      <c r="R64" s="12">
        <f t="shared" si="8"/>
        <v>0</v>
      </c>
      <c r="T64" s="12">
        <f t="shared" si="9"/>
        <v>0</v>
      </c>
      <c r="W64" s="239"/>
      <c r="X64" s="15">
        <v>1.32</v>
      </c>
      <c r="Y64" s="15">
        <v>1.39</v>
      </c>
      <c r="Z64" s="15">
        <v>1.43</v>
      </c>
      <c r="AA64">
        <v>0</v>
      </c>
      <c r="AB64" s="15">
        <v>0</v>
      </c>
      <c r="AC64" s="15">
        <v>0</v>
      </c>
      <c r="AQ64" s="239"/>
      <c r="AR64" s="53">
        <f t="shared" si="23"/>
        <v>15.3612</v>
      </c>
      <c r="AS64" s="48">
        <f t="shared" si="25"/>
        <v>0</v>
      </c>
      <c r="AT64" s="48">
        <f t="shared" si="24"/>
        <v>0</v>
      </c>
      <c r="AU64" s="48">
        <f t="shared" si="26"/>
        <v>0</v>
      </c>
      <c r="AV64" s="48">
        <f t="shared" si="19"/>
        <v>0</v>
      </c>
      <c r="AY64" s="246"/>
      <c r="AZ64" s="248">
        <v>14.97</v>
      </c>
      <c r="BA64" s="28"/>
      <c r="BI64" s="239"/>
    </row>
    <row r="65" spans="1:77" s="28" customFormat="1" ht="14.4" customHeight="1" x14ac:dyDescent="0.25">
      <c r="A65" s="28">
        <v>4</v>
      </c>
      <c r="B65" s="28">
        <v>1</v>
      </c>
      <c r="C65" s="28">
        <v>7</v>
      </c>
      <c r="D65" s="31">
        <v>63</v>
      </c>
      <c r="F65" s="28">
        <v>21</v>
      </c>
      <c r="I65" s="28">
        <v>44</v>
      </c>
      <c r="J65" s="28">
        <v>16</v>
      </c>
      <c r="K65" s="28">
        <v>33</v>
      </c>
      <c r="L65" s="28">
        <v>33</v>
      </c>
      <c r="M65" s="28">
        <v>26</v>
      </c>
      <c r="N65" s="28">
        <v>30</v>
      </c>
      <c r="O65" s="28">
        <v>28</v>
      </c>
      <c r="P65" s="28">
        <v>30</v>
      </c>
      <c r="R65" s="12">
        <f t="shared" si="8"/>
        <v>0</v>
      </c>
      <c r="S65" s="28">
        <v>32</v>
      </c>
      <c r="T65" s="12">
        <f t="shared" si="9"/>
        <v>31</v>
      </c>
      <c r="W65" s="237"/>
      <c r="X65" s="28">
        <v>3.7</v>
      </c>
      <c r="Y65" s="28">
        <v>4.0999999999999996</v>
      </c>
      <c r="Z65" s="28">
        <v>3.9</v>
      </c>
      <c r="AA65" s="28">
        <v>3.6</v>
      </c>
      <c r="AB65" s="28">
        <v>3.7</v>
      </c>
      <c r="AC65" s="28">
        <v>3.7</v>
      </c>
      <c r="AD65" s="28">
        <v>3.9</v>
      </c>
      <c r="AE65" s="28">
        <v>3.6</v>
      </c>
      <c r="AF65" s="28">
        <v>4</v>
      </c>
      <c r="AG65" s="28">
        <v>4.2</v>
      </c>
      <c r="AH65" s="28">
        <v>4.0999999999999996</v>
      </c>
      <c r="AI65" s="28">
        <v>3.9</v>
      </c>
      <c r="AJ65" s="28">
        <v>6.3</v>
      </c>
      <c r="AK65" s="28">
        <v>5.5</v>
      </c>
      <c r="AL65" s="28">
        <v>4.0999999999999996</v>
      </c>
      <c r="AM65" s="28">
        <v>4.4000000000000004</v>
      </c>
      <c r="AQ65" s="237"/>
      <c r="AR65" s="48">
        <f t="shared" si="23"/>
        <v>4.7439</v>
      </c>
      <c r="AS65" s="48">
        <f t="shared" si="25"/>
        <v>0</v>
      </c>
      <c r="AT65" s="48">
        <f t="shared" si="24"/>
        <v>0</v>
      </c>
      <c r="AU65" s="48">
        <f t="shared" si="26"/>
        <v>9.9395999999999987</v>
      </c>
      <c r="AV65" s="48">
        <f t="shared" si="19"/>
        <v>3.6143999999999998</v>
      </c>
      <c r="AZ65" s="237"/>
      <c r="BI65" s="237"/>
      <c r="BV65" s="28">
        <v>34</v>
      </c>
      <c r="BW65" s="28">
        <v>1</v>
      </c>
      <c r="BX65" s="28">
        <v>31</v>
      </c>
      <c r="BY65" s="28">
        <v>1</v>
      </c>
    </row>
    <row r="66" spans="1:77" s="12" customFormat="1" ht="14.4" customHeight="1" x14ac:dyDescent="0.25">
      <c r="A66" s="12">
        <v>4</v>
      </c>
      <c r="B66" s="12">
        <v>4</v>
      </c>
      <c r="C66" s="12">
        <v>10</v>
      </c>
      <c r="D66" s="218">
        <v>64</v>
      </c>
      <c r="F66" s="12">
        <v>228</v>
      </c>
      <c r="I66" s="12">
        <v>171</v>
      </c>
      <c r="J66" s="12">
        <v>189</v>
      </c>
      <c r="K66" s="12">
        <v>189</v>
      </c>
      <c r="L66" s="12">
        <v>193</v>
      </c>
      <c r="M66" s="12">
        <v>197</v>
      </c>
      <c r="N66" s="12">
        <v>223</v>
      </c>
      <c r="O66" s="12">
        <f>2*BP66</f>
        <v>268</v>
      </c>
      <c r="P66" s="12">
        <f>2*BQ66</f>
        <v>284</v>
      </c>
      <c r="R66" s="12">
        <f t="shared" si="8"/>
        <v>41</v>
      </c>
      <c r="S66" s="12">
        <f>BV66*BW66</f>
        <v>484</v>
      </c>
      <c r="T66" s="12">
        <f t="shared" si="9"/>
        <v>414</v>
      </c>
      <c r="W66" s="236"/>
      <c r="X66" s="12">
        <v>4.2</v>
      </c>
      <c r="Y66" s="12">
        <v>4.5999999999999996</v>
      </c>
      <c r="Z66" s="12">
        <v>4.3</v>
      </c>
      <c r="AA66" s="12">
        <v>3.7</v>
      </c>
      <c r="AB66" s="12">
        <v>3.9</v>
      </c>
      <c r="AC66" s="12">
        <v>4</v>
      </c>
      <c r="AD66" s="12">
        <v>4.2</v>
      </c>
      <c r="AE66" s="12">
        <v>3.9</v>
      </c>
      <c r="AF66" s="12">
        <v>4</v>
      </c>
      <c r="AG66" s="12">
        <v>4.3</v>
      </c>
      <c r="AH66" s="12">
        <v>4.8</v>
      </c>
      <c r="AJ66" s="12">
        <v>6.7</v>
      </c>
      <c r="AK66" s="12">
        <v>7</v>
      </c>
      <c r="AM66" s="12">
        <v>4.7</v>
      </c>
      <c r="AQ66" s="236"/>
      <c r="AR66" s="219">
        <f t="shared" si="23"/>
        <v>51.505199999999995</v>
      </c>
      <c r="AS66" s="219">
        <f>AJ66*0.2259</f>
        <v>1.51353</v>
      </c>
      <c r="AT66" s="219">
        <f t="shared" si="24"/>
        <v>0</v>
      </c>
      <c r="AU66" s="219">
        <f t="shared" si="26"/>
        <v>38.628900000000002</v>
      </c>
      <c r="AV66" s="219">
        <f t="shared" si="19"/>
        <v>42.695099999999996</v>
      </c>
      <c r="AZ66" s="236"/>
      <c r="BI66" s="236"/>
      <c r="BP66" s="12">
        <v>134</v>
      </c>
      <c r="BQ66" s="12">
        <v>142</v>
      </c>
      <c r="BT66" s="12">
        <v>41</v>
      </c>
      <c r="BU66" s="12">
        <v>1</v>
      </c>
      <c r="BV66" s="12">
        <v>121</v>
      </c>
      <c r="BW66" s="12">
        <v>4</v>
      </c>
      <c r="BX66" s="12">
        <v>138</v>
      </c>
      <c r="BY66" s="12">
        <v>3</v>
      </c>
    </row>
    <row r="67" spans="1:77" s="12" customFormat="1" ht="14.4" customHeight="1" x14ac:dyDescent="0.25">
      <c r="A67" s="12">
        <v>0.9</v>
      </c>
      <c r="B67" s="12">
        <v>4</v>
      </c>
      <c r="C67" s="12">
        <v>4</v>
      </c>
      <c r="D67" s="218">
        <v>65</v>
      </c>
      <c r="F67" s="12">
        <v>194</v>
      </c>
      <c r="I67" s="12">
        <v>164</v>
      </c>
      <c r="J67" s="12">
        <v>131</v>
      </c>
      <c r="K67" s="12">
        <v>184</v>
      </c>
      <c r="L67" s="12">
        <v>165</v>
      </c>
      <c r="M67" s="12">
        <v>175</v>
      </c>
      <c r="N67" s="12">
        <v>228</v>
      </c>
      <c r="O67" s="12">
        <f>2*BP67</f>
        <v>202</v>
      </c>
      <c r="P67" s="12">
        <f>2*BQ67</f>
        <v>206</v>
      </c>
      <c r="R67" s="12">
        <f t="shared" si="8"/>
        <v>669</v>
      </c>
      <c r="S67" s="12">
        <f>BV67*BW67</f>
        <v>612</v>
      </c>
      <c r="T67" s="12">
        <f t="shared" si="9"/>
        <v>270</v>
      </c>
      <c r="W67" s="236"/>
      <c r="X67" s="12">
        <v>1.6</v>
      </c>
      <c r="Y67" s="12">
        <v>1.72</v>
      </c>
      <c r="Z67" s="12">
        <v>1.6</v>
      </c>
      <c r="AA67" s="12">
        <v>1.62</v>
      </c>
      <c r="AB67" s="12">
        <v>1.76</v>
      </c>
      <c r="AC67" s="12">
        <v>1.77</v>
      </c>
      <c r="AD67" s="12">
        <v>1.87</v>
      </c>
      <c r="AE67" s="12">
        <v>1.73</v>
      </c>
      <c r="AF67" s="12">
        <v>1.53</v>
      </c>
      <c r="AG67" s="12">
        <v>1.44</v>
      </c>
      <c r="AH67" s="12">
        <v>1.55</v>
      </c>
      <c r="AJ67" s="12">
        <v>2.8</v>
      </c>
      <c r="AK67" s="12">
        <v>4</v>
      </c>
      <c r="AM67" s="12">
        <v>2.6</v>
      </c>
      <c r="AQ67" s="236"/>
      <c r="AR67" s="219">
        <f t="shared" si="23"/>
        <v>43.824599999999997</v>
      </c>
      <c r="AS67" s="219">
        <f>AJ67*0.2259</f>
        <v>0.63251999999999997</v>
      </c>
      <c r="AT67" s="219">
        <f t="shared" si="24"/>
        <v>0</v>
      </c>
      <c r="AU67" s="219">
        <f t="shared" si="26"/>
        <v>37.047599999999996</v>
      </c>
      <c r="AV67" s="219">
        <f t="shared" ref="AV67:AV73" si="27">J67*0.2259</f>
        <v>29.5929</v>
      </c>
      <c r="AZ67" s="236"/>
      <c r="BI67" s="236"/>
      <c r="BP67" s="12">
        <v>101</v>
      </c>
      <c r="BQ67" s="12">
        <v>103</v>
      </c>
      <c r="BT67" s="12">
        <v>223</v>
      </c>
      <c r="BU67" s="12">
        <v>3</v>
      </c>
      <c r="BV67" s="12">
        <v>153</v>
      </c>
      <c r="BW67" s="12">
        <v>4</v>
      </c>
      <c r="BX67" s="12">
        <v>90</v>
      </c>
      <c r="BY67" s="12">
        <v>3</v>
      </c>
    </row>
    <row r="68" spans="1:77" s="215" customFormat="1" ht="14.4" customHeight="1" x14ac:dyDescent="0.25">
      <c r="A68" s="215">
        <v>4</v>
      </c>
      <c r="B68" s="215">
        <v>3</v>
      </c>
      <c r="C68" s="215">
        <v>9</v>
      </c>
      <c r="D68" s="216">
        <v>66</v>
      </c>
      <c r="F68" s="215">
        <v>110</v>
      </c>
      <c r="I68" s="215">
        <v>152</v>
      </c>
      <c r="J68" s="215">
        <v>110</v>
      </c>
      <c r="K68" s="215">
        <v>130</v>
      </c>
      <c r="L68" s="215">
        <v>105</v>
      </c>
      <c r="M68" s="215">
        <v>94</v>
      </c>
      <c r="N68" s="215">
        <v>119</v>
      </c>
      <c r="O68" s="215">
        <v>110</v>
      </c>
      <c r="P68" s="215">
        <v>93</v>
      </c>
      <c r="Q68" s="12"/>
      <c r="R68" s="12">
        <f t="shared" ref="R68:R74" si="28">BU68*BT68</f>
        <v>282</v>
      </c>
      <c r="S68" s="215">
        <v>205</v>
      </c>
      <c r="T68" s="12">
        <f t="shared" ref="T68:T74" si="29">BX68*BY68</f>
        <v>155</v>
      </c>
      <c r="W68" s="240"/>
      <c r="X68" s="215">
        <v>4</v>
      </c>
      <c r="Y68" s="215">
        <v>4.3</v>
      </c>
      <c r="Z68" s="215">
        <v>4.2</v>
      </c>
      <c r="AA68" s="215">
        <v>3.9</v>
      </c>
      <c r="AB68" s="215">
        <v>4.0999999999999996</v>
      </c>
      <c r="AC68" s="215">
        <v>4.0999999999999996</v>
      </c>
      <c r="AD68" s="215">
        <v>4.0999999999999996</v>
      </c>
      <c r="AE68" s="215">
        <v>3.9</v>
      </c>
      <c r="AF68" s="215">
        <v>4</v>
      </c>
      <c r="AG68" s="215">
        <v>4.5999999999999996</v>
      </c>
      <c r="AH68" s="215">
        <v>4.9000000000000004</v>
      </c>
      <c r="AI68" s="215">
        <v>4.8</v>
      </c>
      <c r="AJ68" s="215">
        <v>6.3</v>
      </c>
      <c r="AK68" s="215">
        <v>8.1999999999999993</v>
      </c>
      <c r="AL68" s="215">
        <v>6.1</v>
      </c>
      <c r="AM68" s="215">
        <v>5.3</v>
      </c>
      <c r="AQ68" s="240"/>
      <c r="AR68" s="217">
        <f t="shared" si="23"/>
        <v>24.849</v>
      </c>
      <c r="AS68" s="217">
        <f t="shared" ref="AS68:AS74" si="30">G68*0.2259</f>
        <v>0</v>
      </c>
      <c r="AT68" s="217">
        <f t="shared" si="24"/>
        <v>0</v>
      </c>
      <c r="AU68" s="217">
        <f t="shared" si="26"/>
        <v>34.336799999999997</v>
      </c>
      <c r="AV68" s="217">
        <f t="shared" si="27"/>
        <v>24.849</v>
      </c>
      <c r="AZ68" s="240"/>
      <c r="BI68" s="240"/>
      <c r="BT68" s="215">
        <v>141</v>
      </c>
      <c r="BU68" s="215">
        <v>2</v>
      </c>
      <c r="BV68" s="215">
        <v>204</v>
      </c>
      <c r="BW68" s="215">
        <v>1</v>
      </c>
      <c r="BX68" s="215">
        <v>155</v>
      </c>
      <c r="BY68" s="215">
        <v>1</v>
      </c>
    </row>
    <row r="69" spans="1:77" s="12" customFormat="1" ht="14.4" customHeight="1" x14ac:dyDescent="0.25">
      <c r="A69" s="12">
        <v>4</v>
      </c>
      <c r="B69" s="12">
        <v>5</v>
      </c>
      <c r="C69" s="12">
        <v>11</v>
      </c>
      <c r="D69" s="218">
        <v>67</v>
      </c>
      <c r="F69" s="12">
        <v>212</v>
      </c>
      <c r="I69" s="12" t="s">
        <v>110</v>
      </c>
      <c r="J69" s="12">
        <f t="shared" ref="J69:N70" si="31">BK69*2</f>
        <v>254</v>
      </c>
      <c r="K69" s="12">
        <f t="shared" si="31"/>
        <v>310</v>
      </c>
      <c r="L69" s="12">
        <f t="shared" si="31"/>
        <v>214</v>
      </c>
      <c r="M69" s="12">
        <f t="shared" si="31"/>
        <v>206</v>
      </c>
      <c r="N69" s="12">
        <f t="shared" si="31"/>
        <v>266</v>
      </c>
      <c r="O69" s="12">
        <f>2*BP69</f>
        <v>300</v>
      </c>
      <c r="P69" s="12">
        <f>2*BQ69</f>
        <v>306</v>
      </c>
      <c r="R69" s="12">
        <f t="shared" si="28"/>
        <v>214</v>
      </c>
      <c r="S69" s="12">
        <f>BV69*BW69</f>
        <v>712</v>
      </c>
      <c r="T69" s="12">
        <f t="shared" si="29"/>
        <v>489</v>
      </c>
      <c r="W69" s="236"/>
      <c r="X69" s="12">
        <v>4</v>
      </c>
      <c r="Y69" s="12">
        <v>4.4000000000000004</v>
      </c>
      <c r="Z69" s="12">
        <v>4.3</v>
      </c>
      <c r="AA69" s="12">
        <v>4</v>
      </c>
      <c r="AB69" s="12">
        <v>4</v>
      </c>
      <c r="AC69" s="12">
        <v>4</v>
      </c>
      <c r="AD69" s="12">
        <v>4.0999999999999996</v>
      </c>
      <c r="AE69" s="12">
        <v>3.7</v>
      </c>
      <c r="AF69" s="12">
        <v>3.6</v>
      </c>
      <c r="AG69" s="12">
        <v>4.0999999999999996</v>
      </c>
      <c r="AH69" s="12">
        <v>4.5</v>
      </c>
      <c r="AJ69" s="12">
        <v>6.5</v>
      </c>
      <c r="AK69" s="12">
        <v>8.6999999999999993</v>
      </c>
      <c r="AM69" s="12">
        <v>5.9</v>
      </c>
      <c r="AQ69" s="236"/>
      <c r="AR69" s="219">
        <f t="shared" si="23"/>
        <v>47.890799999999999</v>
      </c>
      <c r="AS69" s="219">
        <f t="shared" si="30"/>
        <v>0</v>
      </c>
      <c r="AT69" s="219">
        <f t="shared" si="24"/>
        <v>0</v>
      </c>
      <c r="AU69" s="223" t="s">
        <v>111</v>
      </c>
      <c r="AV69" s="219">
        <f t="shared" si="27"/>
        <v>57.378599999999999</v>
      </c>
      <c r="AZ69" s="236"/>
      <c r="BI69" s="236"/>
      <c r="BK69" s="12">
        <v>127</v>
      </c>
      <c r="BL69" s="12">
        <v>155</v>
      </c>
      <c r="BM69" s="12">
        <v>107</v>
      </c>
      <c r="BN69" s="12">
        <v>103</v>
      </c>
      <c r="BO69" s="12">
        <v>133</v>
      </c>
      <c r="BP69" s="12">
        <v>150</v>
      </c>
      <c r="BQ69" s="12">
        <v>153</v>
      </c>
      <c r="BT69" s="12">
        <v>214</v>
      </c>
      <c r="BU69" s="12">
        <v>1</v>
      </c>
      <c r="BV69" s="12">
        <v>178</v>
      </c>
      <c r="BW69" s="12">
        <v>4</v>
      </c>
      <c r="BX69" s="12">
        <v>163</v>
      </c>
      <c r="BY69" s="12">
        <v>3</v>
      </c>
    </row>
    <row r="70" spans="1:77" s="12" customFormat="1" ht="14.4" customHeight="1" x14ac:dyDescent="0.25">
      <c r="A70" s="12">
        <v>0.9</v>
      </c>
      <c r="B70" s="12">
        <v>6</v>
      </c>
      <c r="C70" s="12">
        <v>6</v>
      </c>
      <c r="D70" s="218">
        <v>68</v>
      </c>
      <c r="G70" s="12">
        <f>BI70*2</f>
        <v>318</v>
      </c>
      <c r="I70" s="12" t="s">
        <v>110</v>
      </c>
      <c r="J70" s="12">
        <f t="shared" si="31"/>
        <v>286</v>
      </c>
      <c r="K70" s="12">
        <f t="shared" si="31"/>
        <v>318</v>
      </c>
      <c r="L70" s="12">
        <f t="shared" si="31"/>
        <v>238</v>
      </c>
      <c r="M70" s="12">
        <f t="shared" si="31"/>
        <v>306</v>
      </c>
      <c r="N70" s="12">
        <f t="shared" si="31"/>
        <v>314</v>
      </c>
      <c r="O70" s="12">
        <f>2*BP70</f>
        <v>276</v>
      </c>
      <c r="P70" s="12">
        <f>2*BQ70</f>
        <v>440</v>
      </c>
      <c r="R70" s="12">
        <f t="shared" si="28"/>
        <v>1060</v>
      </c>
      <c r="S70" s="12">
        <f>BV70*BW70</f>
        <v>836</v>
      </c>
      <c r="T70" s="12">
        <f t="shared" si="29"/>
        <v>531</v>
      </c>
      <c r="W70" s="236"/>
      <c r="X70" s="12">
        <v>1.63</v>
      </c>
      <c r="Y70" s="12">
        <v>1.81</v>
      </c>
      <c r="Z70" s="12">
        <v>1.61</v>
      </c>
      <c r="AA70" s="12">
        <v>1.49</v>
      </c>
      <c r="AB70" s="12">
        <v>1.53</v>
      </c>
      <c r="AC70" s="12">
        <v>1.55</v>
      </c>
      <c r="AD70" s="12">
        <v>1.57</v>
      </c>
      <c r="AE70" s="12">
        <v>1.51</v>
      </c>
      <c r="AF70" s="12">
        <v>1.45</v>
      </c>
      <c r="AG70" s="12">
        <v>1.43</v>
      </c>
      <c r="AH70" s="12">
        <v>1.47</v>
      </c>
      <c r="AJ70" s="12">
        <v>4.5</v>
      </c>
      <c r="AK70" s="12">
        <v>4.5999999999999996</v>
      </c>
      <c r="AM70" s="12">
        <v>2.9</v>
      </c>
      <c r="AQ70" s="236"/>
      <c r="AR70" s="219">
        <f t="shared" si="23"/>
        <v>0</v>
      </c>
      <c r="AS70" s="219">
        <f t="shared" si="30"/>
        <v>71.836199999999991</v>
      </c>
      <c r="AT70" s="219">
        <f t="shared" si="24"/>
        <v>0</v>
      </c>
      <c r="AU70" s="223" t="s">
        <v>111</v>
      </c>
      <c r="AV70" s="219">
        <f t="shared" si="27"/>
        <v>64.607399999999998</v>
      </c>
      <c r="AZ70" s="236"/>
      <c r="BI70" s="236">
        <v>159</v>
      </c>
      <c r="BJ70" s="12" t="s">
        <v>104</v>
      </c>
      <c r="BK70" s="12">
        <v>143</v>
      </c>
      <c r="BL70" s="12">
        <v>159</v>
      </c>
      <c r="BM70" s="12">
        <v>119</v>
      </c>
      <c r="BN70" s="12">
        <v>153</v>
      </c>
      <c r="BO70" s="12">
        <v>157</v>
      </c>
      <c r="BP70" s="12">
        <v>138</v>
      </c>
      <c r="BQ70" s="12">
        <v>220</v>
      </c>
      <c r="BT70" s="12">
        <v>212</v>
      </c>
      <c r="BU70" s="12">
        <v>5</v>
      </c>
      <c r="BV70" s="12">
        <v>209</v>
      </c>
      <c r="BW70" s="12">
        <v>4</v>
      </c>
      <c r="BX70" s="12">
        <v>177</v>
      </c>
      <c r="BY70" s="12">
        <v>3</v>
      </c>
    </row>
    <row r="71" spans="1:77" s="215" customFormat="1" ht="15" customHeight="1" thickBot="1" x14ac:dyDescent="0.3">
      <c r="A71" s="215">
        <v>0.9</v>
      </c>
      <c r="B71" s="215">
        <v>2</v>
      </c>
      <c r="C71" s="215">
        <v>2</v>
      </c>
      <c r="D71" s="216">
        <v>69</v>
      </c>
      <c r="F71" s="215">
        <v>49</v>
      </c>
      <c r="I71" s="215">
        <v>43</v>
      </c>
      <c r="J71" s="215">
        <v>41</v>
      </c>
      <c r="K71" s="215">
        <v>64</v>
      </c>
      <c r="L71" s="215">
        <v>54</v>
      </c>
      <c r="M71" s="215">
        <v>47</v>
      </c>
      <c r="N71" s="215">
        <v>48</v>
      </c>
      <c r="O71" s="215">
        <v>43</v>
      </c>
      <c r="P71" s="215">
        <v>35</v>
      </c>
      <c r="Q71" s="12"/>
      <c r="R71" s="12">
        <f t="shared" si="28"/>
        <v>44</v>
      </c>
      <c r="S71" s="215">
        <v>37</v>
      </c>
      <c r="T71" s="12">
        <f t="shared" si="29"/>
        <v>16</v>
      </c>
      <c r="W71" s="240"/>
      <c r="X71" s="215">
        <v>1.32</v>
      </c>
      <c r="Y71" s="215">
        <v>1.41</v>
      </c>
      <c r="Z71" s="215">
        <v>1.42</v>
      </c>
      <c r="AA71" s="215">
        <v>1.3</v>
      </c>
      <c r="AB71" s="215">
        <v>1.47</v>
      </c>
      <c r="AC71" s="215">
        <v>1.63</v>
      </c>
      <c r="AD71" s="215">
        <v>2</v>
      </c>
      <c r="AE71" s="215">
        <v>1.69</v>
      </c>
      <c r="AF71" s="215">
        <v>1.25</v>
      </c>
      <c r="AG71" s="215">
        <v>1.04</v>
      </c>
      <c r="AH71" s="215">
        <v>1.44</v>
      </c>
      <c r="AI71" s="215">
        <v>1.32</v>
      </c>
      <c r="AJ71" s="215">
        <v>1.5</v>
      </c>
      <c r="AK71" s="215">
        <v>2.2000000000000002</v>
      </c>
      <c r="AL71" s="215">
        <v>2.4</v>
      </c>
      <c r="AM71" s="215">
        <v>0.18</v>
      </c>
      <c r="AQ71" s="240"/>
      <c r="AR71" s="217">
        <f t="shared" si="23"/>
        <v>11.069099999999999</v>
      </c>
      <c r="AS71" s="217">
        <f t="shared" si="30"/>
        <v>0</v>
      </c>
      <c r="AT71" s="217">
        <f t="shared" si="24"/>
        <v>0</v>
      </c>
      <c r="AU71" s="217">
        <f>I71*0.2259</f>
        <v>9.7136999999999993</v>
      </c>
      <c r="AV71" s="217">
        <f t="shared" si="27"/>
        <v>9.2618999999999989</v>
      </c>
      <c r="AZ71" s="240"/>
      <c r="BI71" s="240"/>
      <c r="BT71" s="215">
        <v>44</v>
      </c>
      <c r="BU71" s="215">
        <v>1</v>
      </c>
      <c r="BV71" s="215">
        <v>33</v>
      </c>
      <c r="BW71" s="215">
        <v>1</v>
      </c>
      <c r="BX71" s="215">
        <v>16</v>
      </c>
      <c r="BY71" s="215">
        <v>1</v>
      </c>
    </row>
    <row r="72" spans="1:77" s="12" customFormat="1" ht="18.600000000000001" customHeight="1" thickBot="1" x14ac:dyDescent="0.35">
      <c r="A72" s="12">
        <v>4</v>
      </c>
      <c r="B72" s="12">
        <v>4</v>
      </c>
      <c r="C72" s="12">
        <v>10</v>
      </c>
      <c r="D72" s="218">
        <v>70</v>
      </c>
      <c r="F72" s="12" t="s">
        <v>103</v>
      </c>
      <c r="G72" s="12">
        <f>BI72*2</f>
        <v>268</v>
      </c>
      <c r="I72" s="12">
        <v>193</v>
      </c>
      <c r="J72" s="12">
        <v>175</v>
      </c>
      <c r="K72" s="12">
        <v>202</v>
      </c>
      <c r="L72" s="12">
        <v>192</v>
      </c>
      <c r="M72" s="12">
        <v>167</v>
      </c>
      <c r="N72" s="12">
        <v>191</v>
      </c>
      <c r="O72" s="12">
        <v>107</v>
      </c>
      <c r="P72" s="12">
        <v>194</v>
      </c>
      <c r="R72" s="12">
        <f t="shared" si="28"/>
        <v>513</v>
      </c>
      <c r="S72" s="12">
        <f>BV72*BW72</f>
        <v>532</v>
      </c>
      <c r="T72" s="12">
        <f t="shared" si="29"/>
        <v>321</v>
      </c>
      <c r="W72" s="236"/>
      <c r="X72" s="12">
        <v>4.2</v>
      </c>
      <c r="Y72" s="12">
        <v>4.7</v>
      </c>
      <c r="Z72" s="12">
        <v>4.4000000000000004</v>
      </c>
      <c r="AA72" s="12">
        <v>3.8</v>
      </c>
      <c r="AB72" s="12">
        <v>4</v>
      </c>
      <c r="AC72" s="12">
        <v>4.0999999999999996</v>
      </c>
      <c r="AD72" s="12">
        <v>4.0999999999999996</v>
      </c>
      <c r="AE72" s="12">
        <v>3.7</v>
      </c>
      <c r="AF72" s="12">
        <v>4</v>
      </c>
      <c r="AG72" s="12">
        <v>4.2</v>
      </c>
      <c r="AH72" s="12">
        <v>5.0999999999999996</v>
      </c>
      <c r="AI72" s="12">
        <v>5.0999999999999996</v>
      </c>
      <c r="AJ72" s="12">
        <v>7.2</v>
      </c>
      <c r="AK72" s="12">
        <v>7.6</v>
      </c>
      <c r="AL72" s="12">
        <v>6.3</v>
      </c>
      <c r="AM72" s="12">
        <v>5.3</v>
      </c>
      <c r="AQ72" s="236"/>
      <c r="AR72" s="219" t="e">
        <f t="shared" si="23"/>
        <v>#VALUE!</v>
      </c>
      <c r="AS72" s="219">
        <f t="shared" si="30"/>
        <v>60.541199999999996</v>
      </c>
      <c r="AT72" s="219">
        <f t="shared" si="24"/>
        <v>0</v>
      </c>
      <c r="AU72" s="219">
        <f>I72*0.2259</f>
        <v>43.598700000000001</v>
      </c>
      <c r="AV72" s="219">
        <f t="shared" si="27"/>
        <v>39.532499999999999</v>
      </c>
      <c r="AY72" s="245"/>
      <c r="AZ72" s="247">
        <v>1.65</v>
      </c>
      <c r="BA72" s="12">
        <f>AS72*100/(AZ72+AS72)</f>
        <v>97.34689152163007</v>
      </c>
      <c r="BI72" s="236">
        <v>134</v>
      </c>
      <c r="BJ72" s="12" t="s">
        <v>104</v>
      </c>
      <c r="BT72" s="12">
        <v>171</v>
      </c>
      <c r="BU72" s="12">
        <v>3</v>
      </c>
      <c r="BV72" s="12">
        <v>133</v>
      </c>
      <c r="BW72" s="12">
        <v>4</v>
      </c>
      <c r="BX72" s="12">
        <v>107</v>
      </c>
      <c r="BY72" s="12">
        <v>3</v>
      </c>
    </row>
    <row r="73" spans="1:77" s="12" customFormat="1" ht="18.600000000000001" customHeight="1" thickBot="1" x14ac:dyDescent="0.35">
      <c r="A73" s="12">
        <v>4</v>
      </c>
      <c r="B73" s="12">
        <v>6</v>
      </c>
      <c r="C73" s="12">
        <v>12</v>
      </c>
      <c r="D73" s="218">
        <v>71</v>
      </c>
      <c r="F73" s="224" t="s">
        <v>106</v>
      </c>
      <c r="I73" s="12" t="s">
        <v>112</v>
      </c>
      <c r="J73" s="12">
        <f>BK73*2</f>
        <v>326</v>
      </c>
      <c r="K73" s="12">
        <f>BL73*2</f>
        <v>370</v>
      </c>
      <c r="L73" s="12">
        <f>BM73*2</f>
        <v>282</v>
      </c>
      <c r="M73" s="12">
        <f>BN73*2</f>
        <v>360</v>
      </c>
      <c r="N73" s="12">
        <f>BO73*2</f>
        <v>402</v>
      </c>
      <c r="O73" s="12">
        <f>2*BP73</f>
        <v>366</v>
      </c>
      <c r="P73" s="12">
        <f>2*BQ73</f>
        <v>374</v>
      </c>
      <c r="R73" s="12">
        <f t="shared" si="28"/>
        <v>612</v>
      </c>
      <c r="S73" s="12">
        <f>BV73*BW73</f>
        <v>712</v>
      </c>
      <c r="T73" s="12">
        <f t="shared" si="29"/>
        <v>606</v>
      </c>
      <c r="W73" s="236"/>
      <c r="X73" s="12">
        <v>4.0999999999999996</v>
      </c>
      <c r="Y73" s="12">
        <v>4.7</v>
      </c>
      <c r="Z73" s="12">
        <v>4.8</v>
      </c>
      <c r="AA73" s="12">
        <v>4.2</v>
      </c>
      <c r="AB73" s="12">
        <v>4.3</v>
      </c>
      <c r="AC73" s="12">
        <v>4.4000000000000004</v>
      </c>
      <c r="AD73" s="12">
        <v>4.5</v>
      </c>
      <c r="AE73" s="12">
        <v>4.0999999999999996</v>
      </c>
      <c r="AF73" s="12">
        <v>4.5</v>
      </c>
      <c r="AG73" s="12">
        <v>4.5999999999999996</v>
      </c>
      <c r="AH73" s="12">
        <v>4.7</v>
      </c>
      <c r="AJ73" s="12">
        <v>6.3</v>
      </c>
      <c r="AK73" s="12">
        <v>6.5</v>
      </c>
      <c r="AM73" s="12">
        <v>5.6</v>
      </c>
      <c r="AQ73" s="236"/>
      <c r="AR73" s="219" t="e">
        <f t="shared" si="23"/>
        <v>#VALUE!</v>
      </c>
      <c r="AS73" s="219">
        <f t="shared" si="30"/>
        <v>0</v>
      </c>
      <c r="AT73" s="219">
        <f t="shared" si="24"/>
        <v>0</v>
      </c>
      <c r="AU73" s="223" t="s">
        <v>111</v>
      </c>
      <c r="AV73" s="219">
        <f t="shared" si="27"/>
        <v>73.6434</v>
      </c>
      <c r="AY73" s="245"/>
      <c r="AZ73" s="247">
        <v>2.13</v>
      </c>
      <c r="BA73" s="12">
        <f>52*100/(AZ73+52)</f>
        <v>96.06502863476814</v>
      </c>
      <c r="BI73" s="236"/>
      <c r="BK73" s="12">
        <v>163</v>
      </c>
      <c r="BL73" s="12">
        <v>185</v>
      </c>
      <c r="BM73" s="12">
        <v>141</v>
      </c>
      <c r="BN73" s="12">
        <v>180</v>
      </c>
      <c r="BO73" s="12">
        <v>201</v>
      </c>
      <c r="BP73" s="12">
        <v>183</v>
      </c>
      <c r="BQ73" s="12">
        <v>187</v>
      </c>
      <c r="BT73" s="12">
        <v>204</v>
      </c>
      <c r="BU73" s="12">
        <v>3</v>
      </c>
      <c r="BV73" s="12">
        <v>178</v>
      </c>
      <c r="BW73" s="12">
        <v>4</v>
      </c>
      <c r="BX73" s="12">
        <v>202</v>
      </c>
      <c r="BY73" s="12">
        <v>3</v>
      </c>
    </row>
    <row r="74" spans="1:77" s="28" customFormat="1" ht="15" customHeight="1" thickBot="1" x14ac:dyDescent="0.3">
      <c r="A74" s="252">
        <v>0.9</v>
      </c>
      <c r="B74" s="252">
        <v>3</v>
      </c>
      <c r="C74" s="252">
        <v>3</v>
      </c>
      <c r="D74" s="31">
        <v>72</v>
      </c>
      <c r="F74" s="28">
        <v>113</v>
      </c>
      <c r="I74" s="28">
        <v>106</v>
      </c>
      <c r="J74" s="28">
        <v>111</v>
      </c>
      <c r="K74" s="28">
        <v>103</v>
      </c>
      <c r="L74" s="28">
        <v>83</v>
      </c>
      <c r="M74" s="28">
        <f>BN74*2</f>
        <v>80</v>
      </c>
      <c r="N74" s="28">
        <v>64</v>
      </c>
      <c r="O74" s="28">
        <v>50</v>
      </c>
      <c r="P74" s="28">
        <v>54</v>
      </c>
      <c r="R74" s="12">
        <f t="shared" si="28"/>
        <v>115</v>
      </c>
      <c r="S74" s="28">
        <v>107</v>
      </c>
      <c r="T74" s="12">
        <f t="shared" si="29"/>
        <v>68</v>
      </c>
      <c r="W74" s="237"/>
      <c r="X74" s="28">
        <v>1.42</v>
      </c>
      <c r="Y74" s="28">
        <v>1.46</v>
      </c>
      <c r="Z74" s="28">
        <v>1.43</v>
      </c>
      <c r="AA74" s="28">
        <v>1.46</v>
      </c>
      <c r="AB74" s="28">
        <v>1.58</v>
      </c>
      <c r="AC74" s="28">
        <v>1.76</v>
      </c>
      <c r="AD74" s="28">
        <v>2.4</v>
      </c>
      <c r="AE74" s="28">
        <v>1.84</v>
      </c>
      <c r="AF74" s="28">
        <v>1.44</v>
      </c>
      <c r="AG74" s="28">
        <v>1.42</v>
      </c>
      <c r="AH74" s="28">
        <v>1.6</v>
      </c>
      <c r="AI74" s="28">
        <v>1.7</v>
      </c>
      <c r="AJ74" s="28">
        <v>2.4</v>
      </c>
      <c r="AK74" s="28">
        <v>3.9</v>
      </c>
      <c r="AL74" s="28">
        <v>5</v>
      </c>
      <c r="AM74" s="28">
        <v>2.8</v>
      </c>
      <c r="AQ74" s="237"/>
      <c r="AR74" s="48">
        <f t="shared" si="23"/>
        <v>25.526699999999998</v>
      </c>
      <c r="AS74" s="48">
        <f t="shared" si="30"/>
        <v>0</v>
      </c>
      <c r="AT74" s="48">
        <f t="shared" si="24"/>
        <v>0</v>
      </c>
      <c r="AU74" s="48">
        <f>I74*0.2259</f>
        <v>23.945399999999999</v>
      </c>
      <c r="AZ74" s="237"/>
      <c r="BA74" s="48">
        <f>AVERAGE(BA7:BA73)</f>
        <v>96.23961879092225</v>
      </c>
      <c r="BI74" s="237"/>
      <c r="BN74" s="28">
        <v>40</v>
      </c>
      <c r="BT74" s="28">
        <v>115</v>
      </c>
      <c r="BU74" s="28">
        <v>1</v>
      </c>
      <c r="BV74" s="28">
        <v>112</v>
      </c>
      <c r="BW74" s="28">
        <v>1</v>
      </c>
      <c r="BX74" s="28">
        <v>68</v>
      </c>
      <c r="BY74" s="28">
        <v>1</v>
      </c>
    </row>
    <row r="75" spans="1:77" ht="14.4" customHeight="1" x14ac:dyDescent="0.25">
      <c r="E75">
        <f t="shared" ref="E75:O75" si="32">COUNT(E3:E74)</f>
        <v>8</v>
      </c>
      <c r="F75">
        <f t="shared" si="32"/>
        <v>52</v>
      </c>
      <c r="G75">
        <f t="shared" si="32"/>
        <v>21</v>
      </c>
      <c r="H75">
        <f t="shared" si="32"/>
        <v>12</v>
      </c>
      <c r="I75">
        <f t="shared" si="32"/>
        <v>41</v>
      </c>
      <c r="J75">
        <f t="shared" si="32"/>
        <v>60</v>
      </c>
      <c r="K75">
        <f t="shared" si="32"/>
        <v>59</v>
      </c>
      <c r="L75">
        <f t="shared" si="32"/>
        <v>60</v>
      </c>
      <c r="M75">
        <f t="shared" si="32"/>
        <v>60</v>
      </c>
      <c r="N75">
        <f t="shared" si="32"/>
        <v>60</v>
      </c>
      <c r="O75">
        <f t="shared" si="32"/>
        <v>60</v>
      </c>
      <c r="P75">
        <f>COUNT(P3:P74)</f>
        <v>72</v>
      </c>
      <c r="R75">
        <f t="shared" ref="R75" si="33">COUNT(R3:R74)</f>
        <v>72</v>
      </c>
      <c r="S75">
        <f>COUNT(S3:S74)</f>
        <v>57</v>
      </c>
      <c r="W75" s="238">
        <f t="shared" ref="W75:AK75" si="34">COUNT(W3:W74)</f>
        <v>12</v>
      </c>
      <c r="X75">
        <f t="shared" si="34"/>
        <v>72</v>
      </c>
      <c r="Y75">
        <f t="shared" si="34"/>
        <v>71</v>
      </c>
      <c r="Z75">
        <f t="shared" si="34"/>
        <v>72</v>
      </c>
      <c r="AA75">
        <f t="shared" si="34"/>
        <v>72</v>
      </c>
      <c r="AB75">
        <f t="shared" si="34"/>
        <v>72</v>
      </c>
      <c r="AC75">
        <f t="shared" si="34"/>
        <v>72</v>
      </c>
      <c r="AD75">
        <f t="shared" si="34"/>
        <v>60</v>
      </c>
      <c r="AE75">
        <f t="shared" si="34"/>
        <v>60</v>
      </c>
      <c r="AF75">
        <f t="shared" si="34"/>
        <v>60</v>
      </c>
      <c r="AG75">
        <f t="shared" si="34"/>
        <v>60</v>
      </c>
      <c r="AH75">
        <f t="shared" si="34"/>
        <v>60</v>
      </c>
      <c r="AI75">
        <f t="shared" si="34"/>
        <v>54</v>
      </c>
      <c r="AJ75">
        <f t="shared" si="34"/>
        <v>60</v>
      </c>
      <c r="AK75">
        <f t="shared" si="34"/>
        <v>59</v>
      </c>
      <c r="BI75" s="238"/>
      <c r="BK75">
        <f t="shared" ref="BK75:BQ75" si="35">COUNT(BK3:BK74)</f>
        <v>20</v>
      </c>
      <c r="BL75">
        <f t="shared" si="35"/>
        <v>21</v>
      </c>
      <c r="BM75">
        <f t="shared" si="35"/>
        <v>20</v>
      </c>
      <c r="BN75">
        <f t="shared" si="35"/>
        <v>27</v>
      </c>
      <c r="BO75">
        <f t="shared" si="35"/>
        <v>25</v>
      </c>
      <c r="BP75">
        <f t="shared" si="35"/>
        <v>28</v>
      </c>
      <c r="BQ75">
        <f t="shared" si="35"/>
        <v>27</v>
      </c>
      <c r="BT75" t="s">
        <v>86</v>
      </c>
    </row>
    <row r="76" spans="1:77" x14ac:dyDescent="0.25">
      <c r="R76" s="12"/>
      <c r="U76" s="12"/>
      <c r="AD76">
        <f>STDEV(AD12:AD74)/AVERAGE(AD3:AD74)</f>
        <v>0.40905258838331782</v>
      </c>
    </row>
  </sheetData>
  <mergeCells count="5">
    <mergeCell ref="E1:V1"/>
    <mergeCell ref="W1:AP1"/>
    <mergeCell ref="AQ1:AY1"/>
    <mergeCell ref="AZ1:BH1"/>
    <mergeCell ref="BI1:BR1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1EC2-1F36-4ECD-A4BF-BAB537D433F6}">
  <dimension ref="A1:S73"/>
  <sheetViews>
    <sheetView topLeftCell="A10" workbookViewId="0">
      <selection activeCell="F2" sqref="F2"/>
    </sheetView>
  </sheetViews>
  <sheetFormatPr defaultColWidth="8.69921875" defaultRowHeight="13.8" x14ac:dyDescent="0.25"/>
  <sheetData>
    <row r="1" spans="1:19" x14ac:dyDescent="0.25">
      <c r="A1" t="s">
        <v>59</v>
      </c>
      <c r="B1" t="s">
        <v>81</v>
      </c>
      <c r="C1" t="s">
        <v>44</v>
      </c>
      <c r="D1" t="s">
        <v>113</v>
      </c>
      <c r="E1" s="11">
        <v>45272</v>
      </c>
      <c r="F1" s="11">
        <v>45272</v>
      </c>
      <c r="G1" t="s">
        <v>114</v>
      </c>
    </row>
    <row r="2" spans="1:19" ht="15" x14ac:dyDescent="0.25">
      <c r="A2" s="28">
        <v>0.9</v>
      </c>
      <c r="B2" s="28">
        <v>5</v>
      </c>
      <c r="C2" s="47">
        <v>5</v>
      </c>
      <c r="D2" s="28">
        <v>1</v>
      </c>
      <c r="E2" s="28">
        <v>74.2</v>
      </c>
      <c r="F2" s="47" t="s">
        <v>86</v>
      </c>
      <c r="G2" s="2" t="e">
        <f t="shared" ref="G2:G33" si="0">F2/10</f>
        <v>#VALUE!</v>
      </c>
      <c r="H2">
        <v>80</v>
      </c>
      <c r="I2">
        <v>36</v>
      </c>
    </row>
    <row r="3" spans="1:19" ht="15" x14ac:dyDescent="0.25">
      <c r="A3">
        <v>4</v>
      </c>
      <c r="B3">
        <v>4</v>
      </c>
      <c r="C3" s="49">
        <v>10</v>
      </c>
      <c r="D3">
        <v>2</v>
      </c>
      <c r="E3">
        <v>83.2</v>
      </c>
      <c r="F3" s="49">
        <f t="shared" ref="F3:F66" si="1">E3-7</f>
        <v>76.2</v>
      </c>
      <c r="G3" s="2">
        <f t="shared" si="0"/>
        <v>7.62</v>
      </c>
      <c r="H3">
        <f>I3*H2/I2</f>
        <v>2.2222222222222223</v>
      </c>
      <c r="I3">
        <v>1</v>
      </c>
    </row>
    <row r="4" spans="1:19" ht="15" x14ac:dyDescent="0.25">
      <c r="A4" s="28">
        <v>4</v>
      </c>
      <c r="B4" s="28">
        <v>2</v>
      </c>
      <c r="C4" s="47">
        <v>8</v>
      </c>
      <c r="D4" s="28">
        <v>3</v>
      </c>
      <c r="E4" s="28">
        <v>82.5</v>
      </c>
      <c r="F4" s="47">
        <f t="shared" si="1"/>
        <v>75.5</v>
      </c>
      <c r="G4" s="2">
        <f t="shared" si="0"/>
        <v>7.55</v>
      </c>
    </row>
    <row r="5" spans="1:19" ht="15" x14ac:dyDescent="0.25">
      <c r="A5">
        <v>0.9</v>
      </c>
      <c r="B5">
        <v>2</v>
      </c>
      <c r="C5" s="49">
        <v>2</v>
      </c>
      <c r="D5">
        <v>4</v>
      </c>
      <c r="E5">
        <v>83.7</v>
      </c>
      <c r="F5" s="49">
        <f t="shared" si="1"/>
        <v>76.7</v>
      </c>
      <c r="G5" s="2">
        <f t="shared" si="0"/>
        <v>7.67</v>
      </c>
    </row>
    <row r="6" spans="1:19" ht="15" x14ac:dyDescent="0.25">
      <c r="A6" s="28">
        <v>4</v>
      </c>
      <c r="B6" s="28">
        <v>6</v>
      </c>
      <c r="C6" s="47">
        <v>12</v>
      </c>
      <c r="D6" s="28">
        <v>5</v>
      </c>
      <c r="E6" s="28">
        <v>92.5</v>
      </c>
      <c r="F6" s="47">
        <f t="shared" si="1"/>
        <v>85.5</v>
      </c>
      <c r="G6" s="2">
        <f t="shared" si="0"/>
        <v>8.5500000000000007</v>
      </c>
    </row>
    <row r="7" spans="1:19" ht="15" x14ac:dyDescent="0.25">
      <c r="A7">
        <v>0.9</v>
      </c>
      <c r="B7">
        <v>6</v>
      </c>
      <c r="C7" s="49">
        <v>6</v>
      </c>
      <c r="D7">
        <v>6</v>
      </c>
      <c r="E7">
        <v>82.9</v>
      </c>
      <c r="F7" s="49">
        <f t="shared" si="1"/>
        <v>75.900000000000006</v>
      </c>
      <c r="G7" s="2">
        <f t="shared" si="0"/>
        <v>7.5900000000000007</v>
      </c>
    </row>
    <row r="8" spans="1:19" ht="15" x14ac:dyDescent="0.25">
      <c r="A8" s="28">
        <v>0.9</v>
      </c>
      <c r="B8" s="28">
        <v>1</v>
      </c>
      <c r="C8" s="47">
        <v>1</v>
      </c>
      <c r="D8" s="28">
        <v>7</v>
      </c>
      <c r="E8" s="28">
        <v>88.1</v>
      </c>
      <c r="F8" s="47">
        <f t="shared" si="1"/>
        <v>81.099999999999994</v>
      </c>
      <c r="G8" s="2">
        <f t="shared" si="0"/>
        <v>8.11</v>
      </c>
    </row>
    <row r="9" spans="1:19" ht="15" x14ac:dyDescent="0.25">
      <c r="A9">
        <v>4</v>
      </c>
      <c r="B9">
        <v>5</v>
      </c>
      <c r="C9" s="49">
        <v>11</v>
      </c>
      <c r="D9">
        <v>8</v>
      </c>
      <c r="E9">
        <v>91.8</v>
      </c>
      <c r="F9" s="49">
        <f t="shared" si="1"/>
        <v>84.8</v>
      </c>
      <c r="G9" s="2">
        <f t="shared" si="0"/>
        <v>8.48</v>
      </c>
      <c r="R9">
        <f>60*60</f>
        <v>3600</v>
      </c>
      <c r="S9" t="s">
        <v>115</v>
      </c>
    </row>
    <row r="10" spans="1:19" ht="15" x14ac:dyDescent="0.25">
      <c r="A10" s="28">
        <v>4</v>
      </c>
      <c r="B10" s="28">
        <v>4</v>
      </c>
      <c r="C10" s="47">
        <v>10</v>
      </c>
      <c r="D10" s="28">
        <v>9</v>
      </c>
      <c r="E10" s="28">
        <v>85.3</v>
      </c>
      <c r="F10" s="47">
        <f t="shared" si="1"/>
        <v>78.3</v>
      </c>
      <c r="G10" s="2">
        <f t="shared" si="0"/>
        <v>7.83</v>
      </c>
      <c r="R10">
        <v>8000</v>
      </c>
      <c r="S10" t="s">
        <v>116</v>
      </c>
    </row>
    <row r="11" spans="1:19" ht="15" x14ac:dyDescent="0.25">
      <c r="A11">
        <v>0.9</v>
      </c>
      <c r="B11">
        <v>5</v>
      </c>
      <c r="C11" s="49">
        <v>5</v>
      </c>
      <c r="D11">
        <v>10</v>
      </c>
      <c r="E11">
        <v>73.3</v>
      </c>
      <c r="F11" s="49">
        <f t="shared" si="1"/>
        <v>66.3</v>
      </c>
      <c r="G11" s="2">
        <f t="shared" si="0"/>
        <v>6.63</v>
      </c>
      <c r="R11">
        <f>R9/100</f>
        <v>36</v>
      </c>
    </row>
    <row r="12" spans="1:19" ht="15" x14ac:dyDescent="0.25">
      <c r="A12" s="28">
        <v>4</v>
      </c>
      <c r="B12" s="28">
        <v>2</v>
      </c>
      <c r="C12" s="47">
        <v>8</v>
      </c>
      <c r="D12" s="28">
        <v>11</v>
      </c>
      <c r="E12" s="28">
        <v>88.1</v>
      </c>
      <c r="F12" s="47">
        <f t="shared" si="1"/>
        <v>81.099999999999994</v>
      </c>
      <c r="G12" s="2">
        <f t="shared" si="0"/>
        <v>8.11</v>
      </c>
      <c r="R12">
        <f>R10/100</f>
        <v>80</v>
      </c>
    </row>
    <row r="13" spans="1:19" ht="15" x14ac:dyDescent="0.25">
      <c r="A13">
        <v>0.9</v>
      </c>
      <c r="B13">
        <v>2</v>
      </c>
      <c r="C13" s="49">
        <v>2</v>
      </c>
      <c r="D13">
        <v>12</v>
      </c>
      <c r="E13">
        <v>85.2</v>
      </c>
      <c r="F13" s="49">
        <f t="shared" si="1"/>
        <v>78.2</v>
      </c>
      <c r="G13" s="2">
        <f t="shared" si="0"/>
        <v>7.82</v>
      </c>
    </row>
    <row r="14" spans="1:19" ht="15" x14ac:dyDescent="0.25">
      <c r="A14" s="28">
        <v>4</v>
      </c>
      <c r="B14" s="28">
        <v>3</v>
      </c>
      <c r="C14" s="47">
        <v>9</v>
      </c>
      <c r="D14" s="28">
        <v>13</v>
      </c>
      <c r="E14" s="28">
        <v>91.3</v>
      </c>
      <c r="F14" s="47">
        <f t="shared" si="1"/>
        <v>84.3</v>
      </c>
      <c r="G14" s="2">
        <f t="shared" si="0"/>
        <v>8.43</v>
      </c>
    </row>
    <row r="15" spans="1:19" ht="15" x14ac:dyDescent="0.25">
      <c r="A15">
        <v>4</v>
      </c>
      <c r="B15">
        <v>1</v>
      </c>
      <c r="C15" s="49">
        <v>7</v>
      </c>
      <c r="D15">
        <v>14</v>
      </c>
      <c r="E15">
        <v>94.7</v>
      </c>
      <c r="F15" s="49">
        <f t="shared" si="1"/>
        <v>87.7</v>
      </c>
      <c r="G15" s="2">
        <f t="shared" si="0"/>
        <v>8.77</v>
      </c>
    </row>
    <row r="16" spans="1:19" ht="15" x14ac:dyDescent="0.25">
      <c r="A16" s="28">
        <v>0.9</v>
      </c>
      <c r="B16" s="28">
        <v>3</v>
      </c>
      <c r="C16" s="47">
        <v>3</v>
      </c>
      <c r="D16" s="28">
        <v>15</v>
      </c>
      <c r="E16" s="28">
        <v>92.7</v>
      </c>
      <c r="F16" s="47">
        <f t="shared" si="1"/>
        <v>85.7</v>
      </c>
      <c r="G16" s="2">
        <f t="shared" si="0"/>
        <v>8.57</v>
      </c>
    </row>
    <row r="17" spans="1:7" ht="15" x14ac:dyDescent="0.25">
      <c r="A17">
        <v>0.9</v>
      </c>
      <c r="B17">
        <v>6</v>
      </c>
      <c r="C17" s="49">
        <v>6</v>
      </c>
      <c r="D17">
        <v>16</v>
      </c>
      <c r="E17">
        <v>89.8</v>
      </c>
      <c r="F17" s="49">
        <f t="shared" si="1"/>
        <v>82.8</v>
      </c>
      <c r="G17" s="2">
        <f t="shared" si="0"/>
        <v>8.2799999999999994</v>
      </c>
    </row>
    <row r="18" spans="1:7" ht="15" x14ac:dyDescent="0.25">
      <c r="A18" s="28">
        <v>0.9</v>
      </c>
      <c r="B18" s="28">
        <v>4</v>
      </c>
      <c r="C18" s="47">
        <v>4</v>
      </c>
      <c r="D18" s="28">
        <v>17</v>
      </c>
      <c r="E18" s="28">
        <v>88.2</v>
      </c>
      <c r="F18" s="47">
        <f t="shared" si="1"/>
        <v>81.2</v>
      </c>
      <c r="G18" s="2">
        <f t="shared" si="0"/>
        <v>8.120000000000001</v>
      </c>
    </row>
    <row r="19" spans="1:7" ht="15.6" thickBot="1" x14ac:dyDescent="0.3">
      <c r="A19" s="38">
        <v>4</v>
      </c>
      <c r="B19" s="38">
        <v>6</v>
      </c>
      <c r="C19" s="54">
        <v>12</v>
      </c>
      <c r="D19" s="38">
        <v>18</v>
      </c>
      <c r="E19" s="38">
        <v>95.1</v>
      </c>
      <c r="F19" s="54">
        <f t="shared" si="1"/>
        <v>88.1</v>
      </c>
      <c r="G19" s="2">
        <f t="shared" si="0"/>
        <v>8.8099999999999987</v>
      </c>
    </row>
    <row r="20" spans="1:7" ht="15" x14ac:dyDescent="0.25">
      <c r="A20" s="28">
        <v>4</v>
      </c>
      <c r="B20" s="28">
        <v>1</v>
      </c>
      <c r="C20" s="47">
        <v>7</v>
      </c>
      <c r="D20" s="28">
        <v>19</v>
      </c>
      <c r="E20" s="28">
        <v>96.9</v>
      </c>
      <c r="F20" s="47">
        <f t="shared" si="1"/>
        <v>89.9</v>
      </c>
      <c r="G20" s="2">
        <f t="shared" si="0"/>
        <v>8.99</v>
      </c>
    </row>
    <row r="21" spans="1:7" ht="15" x14ac:dyDescent="0.25">
      <c r="A21">
        <v>4</v>
      </c>
      <c r="B21">
        <v>5</v>
      </c>
      <c r="C21" s="49">
        <v>11</v>
      </c>
      <c r="D21">
        <v>20</v>
      </c>
      <c r="E21">
        <v>89.1</v>
      </c>
      <c r="F21" s="49">
        <f t="shared" si="1"/>
        <v>82.1</v>
      </c>
      <c r="G21" s="2">
        <f t="shared" si="0"/>
        <v>8.2099999999999991</v>
      </c>
    </row>
    <row r="22" spans="1:7" ht="15" x14ac:dyDescent="0.25">
      <c r="A22" s="28">
        <v>0.9</v>
      </c>
      <c r="B22" s="28">
        <v>1</v>
      </c>
      <c r="C22" s="47">
        <v>1</v>
      </c>
      <c r="D22" s="28">
        <v>21</v>
      </c>
      <c r="E22" s="28">
        <v>89.6</v>
      </c>
      <c r="F22" s="47">
        <f t="shared" si="1"/>
        <v>82.6</v>
      </c>
      <c r="G22" s="2">
        <f t="shared" si="0"/>
        <v>8.26</v>
      </c>
    </row>
    <row r="23" spans="1:7" ht="15" x14ac:dyDescent="0.25">
      <c r="A23">
        <v>0.9</v>
      </c>
      <c r="B23">
        <v>4</v>
      </c>
      <c r="C23" s="49">
        <v>4</v>
      </c>
      <c r="D23">
        <v>22</v>
      </c>
      <c r="E23">
        <v>88.6</v>
      </c>
      <c r="F23" s="49">
        <f t="shared" si="1"/>
        <v>81.599999999999994</v>
      </c>
      <c r="G23" s="2">
        <f t="shared" si="0"/>
        <v>8.16</v>
      </c>
    </row>
    <row r="24" spans="1:7" ht="15" x14ac:dyDescent="0.25">
      <c r="A24">
        <v>0.9</v>
      </c>
      <c r="B24">
        <v>3</v>
      </c>
      <c r="C24" s="49">
        <v>3</v>
      </c>
      <c r="D24">
        <v>23</v>
      </c>
      <c r="E24">
        <v>92.6</v>
      </c>
      <c r="F24" s="49">
        <f t="shared" si="1"/>
        <v>85.6</v>
      </c>
      <c r="G24" s="2">
        <f t="shared" si="0"/>
        <v>8.5599999999999987</v>
      </c>
    </row>
    <row r="25" spans="1:7" ht="15" x14ac:dyDescent="0.25">
      <c r="A25" s="28">
        <v>4</v>
      </c>
      <c r="B25" s="28">
        <v>3</v>
      </c>
      <c r="C25" s="47">
        <v>9</v>
      </c>
      <c r="D25" s="28">
        <v>24</v>
      </c>
      <c r="E25" s="28">
        <v>89.3</v>
      </c>
      <c r="F25" s="47">
        <f t="shared" si="1"/>
        <v>82.3</v>
      </c>
      <c r="G25" s="2">
        <f t="shared" si="0"/>
        <v>8.23</v>
      </c>
    </row>
    <row r="26" spans="1:7" ht="15" x14ac:dyDescent="0.25">
      <c r="A26">
        <v>4</v>
      </c>
      <c r="B26">
        <v>1</v>
      </c>
      <c r="C26" s="49">
        <v>7</v>
      </c>
      <c r="D26">
        <v>25</v>
      </c>
      <c r="E26">
        <v>90.1</v>
      </c>
      <c r="F26" s="49">
        <f t="shared" si="1"/>
        <v>83.1</v>
      </c>
      <c r="G26" s="2">
        <f t="shared" si="0"/>
        <v>8.3099999999999987</v>
      </c>
    </row>
    <row r="27" spans="1:7" ht="15" x14ac:dyDescent="0.25">
      <c r="A27" s="28">
        <v>4</v>
      </c>
      <c r="B27" s="28">
        <v>6</v>
      </c>
      <c r="C27" s="47">
        <v>12</v>
      </c>
      <c r="D27" s="28">
        <v>26</v>
      </c>
      <c r="E27" s="28">
        <v>91.41</v>
      </c>
      <c r="F27" s="47">
        <f t="shared" si="1"/>
        <v>84.41</v>
      </c>
      <c r="G27" s="2">
        <f t="shared" si="0"/>
        <v>8.4409999999999989</v>
      </c>
    </row>
    <row r="28" spans="1:7" ht="15" x14ac:dyDescent="0.25">
      <c r="A28">
        <v>4</v>
      </c>
      <c r="B28">
        <v>4</v>
      </c>
      <c r="C28" s="49">
        <v>10</v>
      </c>
      <c r="D28">
        <v>27</v>
      </c>
      <c r="E28">
        <v>82.1</v>
      </c>
      <c r="F28" s="49">
        <f t="shared" si="1"/>
        <v>75.099999999999994</v>
      </c>
      <c r="G28" s="2">
        <f t="shared" si="0"/>
        <v>7.51</v>
      </c>
    </row>
    <row r="29" spans="1:7" ht="15" x14ac:dyDescent="0.25">
      <c r="A29" s="28">
        <v>0.9</v>
      </c>
      <c r="B29" s="28">
        <v>2</v>
      </c>
      <c r="C29" s="47">
        <v>2</v>
      </c>
      <c r="D29" s="28">
        <v>28</v>
      </c>
      <c r="E29" s="28">
        <v>91.58</v>
      </c>
      <c r="F29" s="47">
        <f t="shared" si="1"/>
        <v>84.58</v>
      </c>
      <c r="G29" s="2">
        <f t="shared" si="0"/>
        <v>8.4580000000000002</v>
      </c>
    </row>
    <row r="30" spans="1:7" ht="15" x14ac:dyDescent="0.25">
      <c r="A30">
        <v>0.9</v>
      </c>
      <c r="B30">
        <v>6</v>
      </c>
      <c r="C30" s="49">
        <v>6</v>
      </c>
      <c r="D30">
        <v>29</v>
      </c>
      <c r="E30">
        <v>93.2</v>
      </c>
      <c r="F30" s="49">
        <f t="shared" si="1"/>
        <v>86.2</v>
      </c>
      <c r="G30" s="2">
        <f t="shared" si="0"/>
        <v>8.620000000000001</v>
      </c>
    </row>
    <row r="31" spans="1:7" ht="15" x14ac:dyDescent="0.25">
      <c r="A31" s="28">
        <v>4</v>
      </c>
      <c r="B31" s="28">
        <v>2</v>
      </c>
      <c r="C31" s="47">
        <v>8</v>
      </c>
      <c r="D31" s="28">
        <v>30</v>
      </c>
      <c r="E31" s="28">
        <v>80.3</v>
      </c>
      <c r="F31" s="47">
        <f t="shared" si="1"/>
        <v>73.3</v>
      </c>
      <c r="G31" s="2">
        <f t="shared" si="0"/>
        <v>7.33</v>
      </c>
    </row>
    <row r="32" spans="1:7" ht="15" x14ac:dyDescent="0.25">
      <c r="A32">
        <v>4</v>
      </c>
      <c r="B32">
        <v>5</v>
      </c>
      <c r="C32" s="49">
        <v>11</v>
      </c>
      <c r="D32">
        <v>31</v>
      </c>
      <c r="E32">
        <v>92.2</v>
      </c>
      <c r="F32" s="49">
        <f t="shared" si="1"/>
        <v>85.2</v>
      </c>
      <c r="G32" s="2">
        <f t="shared" si="0"/>
        <v>8.52</v>
      </c>
    </row>
    <row r="33" spans="1:7" ht="15" x14ac:dyDescent="0.25">
      <c r="A33">
        <v>4</v>
      </c>
      <c r="B33">
        <v>6</v>
      </c>
      <c r="C33" s="49">
        <v>12</v>
      </c>
      <c r="D33">
        <v>32</v>
      </c>
      <c r="E33">
        <v>90.2</v>
      </c>
      <c r="F33" s="49">
        <f t="shared" si="1"/>
        <v>83.2</v>
      </c>
      <c r="G33" s="2">
        <f t="shared" si="0"/>
        <v>8.32</v>
      </c>
    </row>
    <row r="34" spans="1:7" ht="15" x14ac:dyDescent="0.25">
      <c r="A34" s="28">
        <v>4</v>
      </c>
      <c r="B34" s="28">
        <v>1</v>
      </c>
      <c r="C34" s="47">
        <v>7</v>
      </c>
      <c r="D34" s="28">
        <v>33</v>
      </c>
      <c r="E34" s="28">
        <v>92.5</v>
      </c>
      <c r="F34" s="47">
        <f t="shared" si="1"/>
        <v>85.5</v>
      </c>
      <c r="G34" s="2">
        <f t="shared" ref="G34:G65" si="2">F34/10</f>
        <v>8.5500000000000007</v>
      </c>
    </row>
    <row r="35" spans="1:7" ht="15" x14ac:dyDescent="0.25">
      <c r="A35">
        <v>0.9</v>
      </c>
      <c r="B35">
        <v>3</v>
      </c>
      <c r="C35" s="49">
        <v>3</v>
      </c>
      <c r="D35">
        <v>34</v>
      </c>
      <c r="E35">
        <v>85.7</v>
      </c>
      <c r="F35" s="49">
        <f t="shared" si="1"/>
        <v>78.7</v>
      </c>
      <c r="G35" s="2">
        <f t="shared" si="2"/>
        <v>7.87</v>
      </c>
    </row>
    <row r="36" spans="1:7" ht="15" x14ac:dyDescent="0.25">
      <c r="A36" s="28">
        <v>0.9</v>
      </c>
      <c r="B36" s="28">
        <v>4</v>
      </c>
      <c r="C36" s="47">
        <v>4</v>
      </c>
      <c r="D36" s="28">
        <v>35</v>
      </c>
      <c r="E36" s="28">
        <v>87.2</v>
      </c>
      <c r="F36" s="47">
        <f t="shared" si="1"/>
        <v>80.2</v>
      </c>
      <c r="G36" s="2">
        <f t="shared" si="2"/>
        <v>8.02</v>
      </c>
    </row>
    <row r="37" spans="1:7" ht="15.6" thickBot="1" x14ac:dyDescent="0.3">
      <c r="A37" s="38">
        <v>4</v>
      </c>
      <c r="B37" s="38">
        <v>4</v>
      </c>
      <c r="C37" s="54">
        <v>10</v>
      </c>
      <c r="D37" s="38">
        <v>36</v>
      </c>
      <c r="E37" s="38">
        <v>79.45</v>
      </c>
      <c r="F37" s="54">
        <f t="shared" si="1"/>
        <v>72.45</v>
      </c>
      <c r="G37" s="2">
        <f t="shared" si="2"/>
        <v>7.2450000000000001</v>
      </c>
    </row>
    <row r="38" spans="1:7" ht="15" x14ac:dyDescent="0.25">
      <c r="A38" s="28">
        <v>0.9</v>
      </c>
      <c r="B38" s="28">
        <v>6</v>
      </c>
      <c r="C38" s="47">
        <v>6</v>
      </c>
      <c r="D38" s="28">
        <v>37</v>
      </c>
      <c r="E38" s="28">
        <v>81.400000000000006</v>
      </c>
      <c r="F38" s="47">
        <f t="shared" si="1"/>
        <v>74.400000000000006</v>
      </c>
      <c r="G38" s="2">
        <f t="shared" si="2"/>
        <v>7.44</v>
      </c>
    </row>
    <row r="39" spans="1:7" ht="15" x14ac:dyDescent="0.25">
      <c r="A39">
        <v>0.9</v>
      </c>
      <c r="B39">
        <v>5</v>
      </c>
      <c r="C39" s="49">
        <v>5</v>
      </c>
      <c r="D39">
        <v>38</v>
      </c>
      <c r="E39">
        <v>81.5</v>
      </c>
      <c r="F39" s="49">
        <f t="shared" si="1"/>
        <v>74.5</v>
      </c>
      <c r="G39" s="2">
        <f t="shared" si="2"/>
        <v>7.45</v>
      </c>
    </row>
    <row r="40" spans="1:7" ht="15" x14ac:dyDescent="0.25">
      <c r="A40" s="28">
        <v>0.9</v>
      </c>
      <c r="B40" s="28">
        <v>1</v>
      </c>
      <c r="C40" s="47">
        <v>1</v>
      </c>
      <c r="D40" s="28">
        <v>39</v>
      </c>
      <c r="E40" s="28">
        <v>79</v>
      </c>
      <c r="F40" s="47">
        <f t="shared" si="1"/>
        <v>72</v>
      </c>
      <c r="G40" s="2">
        <f t="shared" si="2"/>
        <v>7.2</v>
      </c>
    </row>
    <row r="41" spans="1:7" ht="15" x14ac:dyDescent="0.25">
      <c r="A41">
        <v>0.9</v>
      </c>
      <c r="B41">
        <v>2</v>
      </c>
      <c r="C41" s="49">
        <v>2</v>
      </c>
      <c r="D41">
        <v>40</v>
      </c>
      <c r="E41">
        <v>81.900000000000006</v>
      </c>
      <c r="F41" s="49">
        <f t="shared" si="1"/>
        <v>74.900000000000006</v>
      </c>
      <c r="G41" s="2">
        <f t="shared" si="2"/>
        <v>7.49</v>
      </c>
    </row>
    <row r="42" spans="1:7" ht="15" x14ac:dyDescent="0.25">
      <c r="A42">
        <v>4</v>
      </c>
      <c r="B42">
        <v>2</v>
      </c>
      <c r="C42" s="49">
        <v>8</v>
      </c>
      <c r="D42">
        <v>41</v>
      </c>
      <c r="E42">
        <v>87</v>
      </c>
      <c r="F42" s="49">
        <f t="shared" si="1"/>
        <v>80</v>
      </c>
      <c r="G42" s="2">
        <f t="shared" si="2"/>
        <v>8</v>
      </c>
    </row>
    <row r="43" spans="1:7" ht="15" x14ac:dyDescent="0.25">
      <c r="A43" s="28">
        <v>4</v>
      </c>
      <c r="B43" s="28">
        <v>3</v>
      </c>
      <c r="C43" s="47">
        <v>9</v>
      </c>
      <c r="D43" s="28">
        <v>42</v>
      </c>
      <c r="E43" s="28">
        <v>87</v>
      </c>
      <c r="F43" s="47">
        <f t="shared" si="1"/>
        <v>80</v>
      </c>
      <c r="G43" s="2">
        <f t="shared" si="2"/>
        <v>8</v>
      </c>
    </row>
    <row r="44" spans="1:7" ht="15" x14ac:dyDescent="0.25">
      <c r="A44">
        <v>0.9</v>
      </c>
      <c r="B44">
        <v>1</v>
      </c>
      <c r="C44" s="49">
        <v>1</v>
      </c>
      <c r="D44">
        <v>43</v>
      </c>
      <c r="E44">
        <v>88</v>
      </c>
      <c r="F44" s="49">
        <f t="shared" si="1"/>
        <v>81</v>
      </c>
      <c r="G44" s="2">
        <f t="shared" si="2"/>
        <v>8.1</v>
      </c>
    </row>
    <row r="45" spans="1:7" ht="15" x14ac:dyDescent="0.25">
      <c r="A45" s="28">
        <v>0.9</v>
      </c>
      <c r="B45" s="28">
        <v>4</v>
      </c>
      <c r="C45" s="47">
        <v>4</v>
      </c>
      <c r="D45" s="28">
        <v>44</v>
      </c>
      <c r="E45" s="28">
        <v>94</v>
      </c>
      <c r="F45" s="47">
        <f t="shared" si="1"/>
        <v>87</v>
      </c>
      <c r="G45" s="2">
        <f t="shared" si="2"/>
        <v>8.6999999999999993</v>
      </c>
    </row>
    <row r="46" spans="1:7" ht="15" x14ac:dyDescent="0.25">
      <c r="A46">
        <v>4</v>
      </c>
      <c r="B46">
        <v>3</v>
      </c>
      <c r="C46" s="49">
        <v>9</v>
      </c>
      <c r="D46">
        <v>45</v>
      </c>
      <c r="E46">
        <v>91.3</v>
      </c>
      <c r="F46" s="49">
        <f t="shared" si="1"/>
        <v>84.3</v>
      </c>
      <c r="G46" s="2">
        <f t="shared" si="2"/>
        <v>8.43</v>
      </c>
    </row>
    <row r="47" spans="1:7" ht="15" x14ac:dyDescent="0.25">
      <c r="A47" s="28">
        <v>0.9</v>
      </c>
      <c r="B47" s="28">
        <v>3</v>
      </c>
      <c r="C47" s="47">
        <v>3</v>
      </c>
      <c r="D47" s="28">
        <v>46</v>
      </c>
      <c r="E47" s="28">
        <v>87.3</v>
      </c>
      <c r="F47" s="47">
        <f t="shared" si="1"/>
        <v>80.3</v>
      </c>
      <c r="G47" s="2">
        <f t="shared" si="2"/>
        <v>8.0299999999999994</v>
      </c>
    </row>
    <row r="48" spans="1:7" ht="15" x14ac:dyDescent="0.25">
      <c r="A48">
        <v>0.9</v>
      </c>
      <c r="B48">
        <v>5</v>
      </c>
      <c r="C48" s="49">
        <v>5</v>
      </c>
      <c r="D48">
        <v>47</v>
      </c>
      <c r="E48">
        <v>69.400000000000006</v>
      </c>
      <c r="F48" s="49">
        <f t="shared" si="1"/>
        <v>62.400000000000006</v>
      </c>
      <c r="G48" s="2">
        <f t="shared" si="2"/>
        <v>6.24</v>
      </c>
    </row>
    <row r="49" spans="1:7" ht="15" x14ac:dyDescent="0.25">
      <c r="A49" s="28">
        <v>4</v>
      </c>
      <c r="B49" s="28">
        <v>5</v>
      </c>
      <c r="C49" s="47">
        <v>11</v>
      </c>
      <c r="D49" s="28">
        <v>48</v>
      </c>
      <c r="E49" s="28">
        <v>90.2</v>
      </c>
      <c r="F49" s="47">
        <f t="shared" si="1"/>
        <v>83.2</v>
      </c>
      <c r="G49" s="2">
        <f t="shared" si="2"/>
        <v>8.32</v>
      </c>
    </row>
    <row r="50" spans="1:7" ht="15" x14ac:dyDescent="0.25">
      <c r="A50">
        <v>0.9</v>
      </c>
      <c r="B50">
        <v>5</v>
      </c>
      <c r="C50" s="49">
        <v>5</v>
      </c>
      <c r="D50">
        <v>49</v>
      </c>
      <c r="E50">
        <v>71.3</v>
      </c>
      <c r="F50" s="49">
        <f t="shared" si="1"/>
        <v>64.3</v>
      </c>
      <c r="G50" s="2">
        <f t="shared" si="2"/>
        <v>6.43</v>
      </c>
    </row>
    <row r="51" spans="1:7" ht="15" x14ac:dyDescent="0.25">
      <c r="A51">
        <v>0.9</v>
      </c>
      <c r="B51">
        <v>4</v>
      </c>
      <c r="C51" s="49">
        <v>4</v>
      </c>
      <c r="D51">
        <v>50</v>
      </c>
      <c r="E51">
        <v>85.8</v>
      </c>
      <c r="F51" s="49">
        <f t="shared" si="1"/>
        <v>78.8</v>
      </c>
      <c r="G51" s="2">
        <f t="shared" si="2"/>
        <v>7.88</v>
      </c>
    </row>
    <row r="52" spans="1:7" ht="15" x14ac:dyDescent="0.25">
      <c r="A52" s="28">
        <v>4</v>
      </c>
      <c r="B52" s="28">
        <v>3</v>
      </c>
      <c r="C52" s="47">
        <v>9</v>
      </c>
      <c r="D52" s="28">
        <v>51</v>
      </c>
      <c r="E52" s="28">
        <v>90.4</v>
      </c>
      <c r="F52" s="47">
        <f t="shared" si="1"/>
        <v>83.4</v>
      </c>
      <c r="G52" s="2">
        <f t="shared" si="2"/>
        <v>8.34</v>
      </c>
    </row>
    <row r="53" spans="1:7" ht="15" x14ac:dyDescent="0.25">
      <c r="A53">
        <v>4</v>
      </c>
      <c r="B53">
        <v>2</v>
      </c>
      <c r="C53" s="49">
        <v>8</v>
      </c>
      <c r="D53">
        <v>52</v>
      </c>
      <c r="E53">
        <v>84.27</v>
      </c>
      <c r="F53" s="49">
        <f t="shared" si="1"/>
        <v>77.27</v>
      </c>
      <c r="G53" s="2">
        <f t="shared" si="2"/>
        <v>7.7269999999999994</v>
      </c>
    </row>
    <row r="54" spans="1:7" ht="15" x14ac:dyDescent="0.25">
      <c r="A54" s="28">
        <v>0.9</v>
      </c>
      <c r="B54" s="28">
        <v>1</v>
      </c>
      <c r="C54" s="47">
        <v>1</v>
      </c>
      <c r="D54" s="28">
        <v>53</v>
      </c>
      <c r="E54" s="28">
        <v>99.1</v>
      </c>
      <c r="F54" s="47">
        <f t="shared" si="1"/>
        <v>92.1</v>
      </c>
      <c r="G54" s="2">
        <f t="shared" si="2"/>
        <v>9.2099999999999991</v>
      </c>
    </row>
    <row r="55" spans="1:7" ht="15.6" thickBot="1" x14ac:dyDescent="0.3">
      <c r="A55" s="38">
        <v>4</v>
      </c>
      <c r="B55" s="38">
        <v>1</v>
      </c>
      <c r="C55" s="54">
        <v>7</v>
      </c>
      <c r="D55" s="38">
        <v>54</v>
      </c>
      <c r="E55" s="38">
        <v>97.9</v>
      </c>
      <c r="F55" s="54">
        <f t="shared" si="1"/>
        <v>90.9</v>
      </c>
      <c r="G55" s="2">
        <f t="shared" si="2"/>
        <v>9.09</v>
      </c>
    </row>
    <row r="56" spans="1:7" ht="15" x14ac:dyDescent="0.25">
      <c r="A56" s="28">
        <v>0.9</v>
      </c>
      <c r="B56" s="28">
        <v>5</v>
      </c>
      <c r="C56" s="47">
        <v>5</v>
      </c>
      <c r="D56" s="28">
        <v>55</v>
      </c>
      <c r="E56" s="28">
        <v>74.08</v>
      </c>
      <c r="F56" s="47">
        <f t="shared" si="1"/>
        <v>67.08</v>
      </c>
      <c r="G56" s="2">
        <f t="shared" si="2"/>
        <v>6.7080000000000002</v>
      </c>
    </row>
    <row r="57" spans="1:7" ht="15" x14ac:dyDescent="0.25">
      <c r="A57">
        <v>0.9</v>
      </c>
      <c r="B57">
        <v>6</v>
      </c>
      <c r="C57" s="49">
        <v>6</v>
      </c>
      <c r="D57">
        <v>56</v>
      </c>
      <c r="E57">
        <v>88.6</v>
      </c>
      <c r="F57" s="49">
        <f t="shared" si="1"/>
        <v>81.599999999999994</v>
      </c>
      <c r="G57" s="2">
        <f t="shared" si="2"/>
        <v>8.16</v>
      </c>
    </row>
    <row r="58" spans="1:7" ht="15" x14ac:dyDescent="0.25">
      <c r="A58" s="28">
        <v>4</v>
      </c>
      <c r="B58" s="28">
        <v>2</v>
      </c>
      <c r="C58" s="47">
        <v>8</v>
      </c>
      <c r="D58" s="28">
        <v>57</v>
      </c>
      <c r="E58" s="28">
        <v>96</v>
      </c>
      <c r="F58" s="47">
        <f t="shared" si="1"/>
        <v>89</v>
      </c>
      <c r="G58" s="2">
        <f t="shared" si="2"/>
        <v>8.9</v>
      </c>
    </row>
    <row r="59" spans="1:7" ht="15" x14ac:dyDescent="0.25">
      <c r="A59">
        <v>0.9</v>
      </c>
      <c r="B59">
        <v>2</v>
      </c>
      <c r="C59" s="49">
        <v>2</v>
      </c>
      <c r="D59">
        <v>58</v>
      </c>
      <c r="E59">
        <v>82.8</v>
      </c>
      <c r="F59" s="49">
        <f t="shared" si="1"/>
        <v>75.8</v>
      </c>
      <c r="G59" s="2">
        <f t="shared" si="2"/>
        <v>7.58</v>
      </c>
    </row>
    <row r="60" spans="1:7" ht="15" x14ac:dyDescent="0.25">
      <c r="A60">
        <v>0.9</v>
      </c>
      <c r="B60">
        <v>1</v>
      </c>
      <c r="C60" s="49">
        <v>1</v>
      </c>
      <c r="D60">
        <v>59</v>
      </c>
      <c r="E60">
        <v>83.4</v>
      </c>
      <c r="F60" s="49">
        <f t="shared" si="1"/>
        <v>76.400000000000006</v>
      </c>
      <c r="G60" s="2">
        <f t="shared" si="2"/>
        <v>7.6400000000000006</v>
      </c>
    </row>
    <row r="61" spans="1:7" ht="15" x14ac:dyDescent="0.25">
      <c r="A61" s="28">
        <v>4</v>
      </c>
      <c r="B61" s="28">
        <v>5</v>
      </c>
      <c r="C61" s="47">
        <v>11</v>
      </c>
      <c r="D61" s="28">
        <v>60</v>
      </c>
      <c r="E61" s="28">
        <v>90.5</v>
      </c>
      <c r="F61" s="47">
        <f t="shared" si="1"/>
        <v>83.5</v>
      </c>
      <c r="G61" s="2">
        <f t="shared" si="2"/>
        <v>8.35</v>
      </c>
    </row>
    <row r="62" spans="1:7" ht="15" x14ac:dyDescent="0.25">
      <c r="A62">
        <v>4</v>
      </c>
      <c r="B62">
        <v>6</v>
      </c>
      <c r="C62" s="49">
        <v>12</v>
      </c>
      <c r="D62">
        <v>61</v>
      </c>
      <c r="E62">
        <v>92.6</v>
      </c>
      <c r="F62" s="49">
        <f t="shared" si="1"/>
        <v>85.6</v>
      </c>
      <c r="G62" s="2">
        <f t="shared" si="2"/>
        <v>8.5599999999999987</v>
      </c>
    </row>
    <row r="63" spans="1:7" ht="15" x14ac:dyDescent="0.25">
      <c r="A63" s="28">
        <v>0.9</v>
      </c>
      <c r="B63" s="28">
        <v>3</v>
      </c>
      <c r="C63" s="47">
        <v>3</v>
      </c>
      <c r="D63" s="28">
        <v>62</v>
      </c>
      <c r="E63" s="28">
        <v>87.8</v>
      </c>
      <c r="F63" s="47">
        <f t="shared" si="1"/>
        <v>80.8</v>
      </c>
      <c r="G63" s="2">
        <f t="shared" si="2"/>
        <v>8.08</v>
      </c>
    </row>
    <row r="64" spans="1:7" ht="15" x14ac:dyDescent="0.25">
      <c r="A64">
        <v>4</v>
      </c>
      <c r="B64">
        <v>1</v>
      </c>
      <c r="C64" s="49">
        <v>7</v>
      </c>
      <c r="D64">
        <v>63</v>
      </c>
      <c r="E64">
        <v>94</v>
      </c>
      <c r="F64" s="49">
        <f t="shared" si="1"/>
        <v>87</v>
      </c>
      <c r="G64" s="2">
        <f t="shared" si="2"/>
        <v>8.6999999999999993</v>
      </c>
    </row>
    <row r="65" spans="1:7" ht="15" x14ac:dyDescent="0.25">
      <c r="A65" s="28">
        <v>4</v>
      </c>
      <c r="B65" s="28">
        <v>4</v>
      </c>
      <c r="C65" s="47">
        <v>10</v>
      </c>
      <c r="D65" s="28">
        <v>64</v>
      </c>
      <c r="E65" s="28">
        <v>86.6</v>
      </c>
      <c r="F65" s="47">
        <f t="shared" si="1"/>
        <v>79.599999999999994</v>
      </c>
      <c r="G65" s="2">
        <f t="shared" si="2"/>
        <v>7.9599999999999991</v>
      </c>
    </row>
    <row r="66" spans="1:7" ht="15" x14ac:dyDescent="0.25">
      <c r="A66">
        <v>0.9</v>
      </c>
      <c r="B66">
        <v>4</v>
      </c>
      <c r="C66" s="49">
        <v>4</v>
      </c>
      <c r="D66">
        <v>65</v>
      </c>
      <c r="E66">
        <v>91.3</v>
      </c>
      <c r="F66" s="49">
        <f t="shared" si="1"/>
        <v>84.3</v>
      </c>
      <c r="G66" s="2">
        <f t="shared" ref="G66:G73" si="3">F66/10</f>
        <v>8.43</v>
      </c>
    </row>
    <row r="67" spans="1:7" ht="15" x14ac:dyDescent="0.25">
      <c r="A67" s="28">
        <v>4</v>
      </c>
      <c r="B67" s="28">
        <v>3</v>
      </c>
      <c r="C67" s="47">
        <v>9</v>
      </c>
      <c r="D67" s="28">
        <v>66</v>
      </c>
      <c r="E67" s="28">
        <v>90.5</v>
      </c>
      <c r="F67" s="47">
        <f t="shared" ref="F67:F73" si="4">E67-7</f>
        <v>83.5</v>
      </c>
      <c r="G67" s="2">
        <f t="shared" si="3"/>
        <v>8.35</v>
      </c>
    </row>
    <row r="68" spans="1:7" ht="15" x14ac:dyDescent="0.25">
      <c r="A68">
        <v>4</v>
      </c>
      <c r="B68">
        <v>5</v>
      </c>
      <c r="C68" s="49">
        <v>11</v>
      </c>
      <c r="D68">
        <v>67</v>
      </c>
      <c r="E68">
        <v>87.38</v>
      </c>
      <c r="F68" s="49">
        <f t="shared" si="4"/>
        <v>80.38</v>
      </c>
      <c r="G68" s="2">
        <f t="shared" si="3"/>
        <v>8.0380000000000003</v>
      </c>
    </row>
    <row r="69" spans="1:7" ht="15" x14ac:dyDescent="0.25">
      <c r="A69">
        <v>0.9</v>
      </c>
      <c r="B69">
        <v>6</v>
      </c>
      <c r="C69" s="49">
        <v>6</v>
      </c>
      <c r="D69">
        <v>68</v>
      </c>
      <c r="E69">
        <v>86.7</v>
      </c>
      <c r="F69" s="49">
        <f t="shared" si="4"/>
        <v>79.7</v>
      </c>
      <c r="G69" s="2">
        <f t="shared" si="3"/>
        <v>7.9700000000000006</v>
      </c>
    </row>
    <row r="70" spans="1:7" ht="15" x14ac:dyDescent="0.25">
      <c r="A70" s="28">
        <v>0.9</v>
      </c>
      <c r="B70" s="28">
        <v>2</v>
      </c>
      <c r="C70" s="47">
        <v>2</v>
      </c>
      <c r="D70" s="28">
        <v>69</v>
      </c>
      <c r="E70" s="28">
        <v>82.6</v>
      </c>
      <c r="F70" s="47">
        <f t="shared" si="4"/>
        <v>75.599999999999994</v>
      </c>
      <c r="G70" s="2">
        <f t="shared" si="3"/>
        <v>7.56</v>
      </c>
    </row>
    <row r="71" spans="1:7" ht="15" x14ac:dyDescent="0.25">
      <c r="A71">
        <v>4</v>
      </c>
      <c r="B71">
        <v>4</v>
      </c>
      <c r="C71" s="49">
        <v>10</v>
      </c>
      <c r="D71">
        <v>70</v>
      </c>
      <c r="E71">
        <v>88</v>
      </c>
      <c r="F71" s="49">
        <f t="shared" si="4"/>
        <v>81</v>
      </c>
      <c r="G71" s="2">
        <f t="shared" si="3"/>
        <v>8.1</v>
      </c>
    </row>
    <row r="72" spans="1:7" ht="15" x14ac:dyDescent="0.25">
      <c r="A72" s="28">
        <v>4</v>
      </c>
      <c r="B72" s="28">
        <v>6</v>
      </c>
      <c r="C72" s="47">
        <v>12</v>
      </c>
      <c r="D72" s="28">
        <v>71</v>
      </c>
      <c r="E72" s="28">
        <v>95.28</v>
      </c>
      <c r="F72" s="47">
        <f t="shared" si="4"/>
        <v>88.28</v>
      </c>
      <c r="G72" s="2">
        <f t="shared" si="3"/>
        <v>8.8279999999999994</v>
      </c>
    </row>
    <row r="73" spans="1:7" ht="15.6" thickBot="1" x14ac:dyDescent="0.3">
      <c r="A73" s="38">
        <v>0.9</v>
      </c>
      <c r="B73" s="38">
        <v>3</v>
      </c>
      <c r="C73" s="54">
        <v>3</v>
      </c>
      <c r="D73" s="38">
        <v>72</v>
      </c>
      <c r="E73" s="38">
        <v>92.8</v>
      </c>
      <c r="F73" s="54">
        <f t="shared" si="4"/>
        <v>85.8</v>
      </c>
      <c r="G73" s="2">
        <f t="shared" si="3"/>
        <v>8.58</v>
      </c>
    </row>
  </sheetData>
  <sortState xmlns:xlrd2="http://schemas.microsoft.com/office/spreadsheetml/2017/richdata2" ref="D2:E73">
    <sortCondition ref="D2:D73"/>
  </sortState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8A40-0E35-45ED-9D1F-89693A9FF66F}">
  <dimension ref="A1:P73"/>
  <sheetViews>
    <sheetView topLeftCell="A59" workbookViewId="0">
      <selection activeCell="F2" sqref="F2"/>
    </sheetView>
  </sheetViews>
  <sheetFormatPr defaultRowHeight="13.8" x14ac:dyDescent="0.25"/>
  <sheetData>
    <row r="1" spans="1:16" x14ac:dyDescent="0.25">
      <c r="A1" t="s">
        <v>59</v>
      </c>
      <c r="B1" t="s">
        <v>81</v>
      </c>
      <c r="C1" t="s">
        <v>44</v>
      </c>
      <c r="D1" t="s">
        <v>113</v>
      </c>
      <c r="E1" t="s">
        <v>114</v>
      </c>
      <c r="F1" t="s">
        <v>117</v>
      </c>
    </row>
    <row r="2" spans="1:16" ht="15" x14ac:dyDescent="0.25">
      <c r="A2" s="28">
        <v>0.9</v>
      </c>
      <c r="B2" s="28">
        <v>5</v>
      </c>
      <c r="C2" s="47">
        <v>5</v>
      </c>
      <c r="D2" s="28">
        <v>1</v>
      </c>
      <c r="E2">
        <v>6.7200000000000006</v>
      </c>
      <c r="F2" s="18">
        <f>E2*4/60</f>
        <v>0.44800000000000006</v>
      </c>
    </row>
    <row r="3" spans="1:16" ht="15" x14ac:dyDescent="0.25">
      <c r="A3">
        <v>4</v>
      </c>
      <c r="B3">
        <v>4</v>
      </c>
      <c r="C3" s="49">
        <v>10</v>
      </c>
      <c r="D3">
        <v>2</v>
      </c>
      <c r="E3">
        <v>7.62</v>
      </c>
      <c r="F3" s="18">
        <f t="shared" ref="F3:F66" si="0">E3*4/60</f>
        <v>0.50800000000000001</v>
      </c>
    </row>
    <row r="4" spans="1:16" ht="15" x14ac:dyDescent="0.25">
      <c r="A4" s="28">
        <v>4</v>
      </c>
      <c r="B4" s="28">
        <v>2</v>
      </c>
      <c r="C4" s="47">
        <v>8</v>
      </c>
      <c r="D4" s="28">
        <v>3</v>
      </c>
      <c r="E4">
        <v>7.55</v>
      </c>
      <c r="F4" s="18">
        <f t="shared" si="0"/>
        <v>0.5033333333333333</v>
      </c>
    </row>
    <row r="5" spans="1:16" ht="15" x14ac:dyDescent="0.25">
      <c r="A5">
        <v>0.9</v>
      </c>
      <c r="B5">
        <v>2</v>
      </c>
      <c r="C5" s="49">
        <v>2</v>
      </c>
      <c r="D5">
        <v>4</v>
      </c>
      <c r="E5">
        <v>7.67</v>
      </c>
      <c r="F5" s="18">
        <f t="shared" si="0"/>
        <v>0.51133333333333331</v>
      </c>
      <c r="N5" t="s">
        <v>118</v>
      </c>
      <c r="O5">
        <v>81.766000000000005</v>
      </c>
    </row>
    <row r="6" spans="1:16" ht="15" x14ac:dyDescent="0.25">
      <c r="A6" s="28">
        <v>4</v>
      </c>
      <c r="B6" s="28">
        <v>6</v>
      </c>
      <c r="C6" s="47">
        <v>12</v>
      </c>
      <c r="D6" s="28">
        <v>5</v>
      </c>
      <c r="E6">
        <v>8.5500000000000007</v>
      </c>
      <c r="F6" s="18">
        <f t="shared" si="0"/>
        <v>0.57000000000000006</v>
      </c>
      <c r="N6" t="s">
        <v>88</v>
      </c>
      <c r="O6">
        <v>4.5999999999999996</v>
      </c>
    </row>
    <row r="7" spans="1:16" ht="15" x14ac:dyDescent="0.25">
      <c r="A7">
        <v>0.9</v>
      </c>
      <c r="B7">
        <v>6</v>
      </c>
      <c r="C7" s="49">
        <v>6</v>
      </c>
      <c r="D7">
        <v>6</v>
      </c>
      <c r="E7">
        <v>7.5900000000000007</v>
      </c>
      <c r="F7" s="18">
        <f t="shared" si="0"/>
        <v>0.50600000000000001</v>
      </c>
    </row>
    <row r="8" spans="1:16" ht="15" x14ac:dyDescent="0.25">
      <c r="A8" s="28">
        <v>0.9</v>
      </c>
      <c r="B8" s="28">
        <v>1</v>
      </c>
      <c r="C8" s="47">
        <v>1</v>
      </c>
      <c r="D8" s="28">
        <v>7</v>
      </c>
      <c r="E8">
        <v>8.11</v>
      </c>
      <c r="F8" s="18">
        <f t="shared" si="0"/>
        <v>0.54066666666666663</v>
      </c>
      <c r="N8" t="s">
        <v>119</v>
      </c>
      <c r="O8">
        <f>O5-O6</f>
        <v>77.166000000000011</v>
      </c>
      <c r="P8">
        <f>O8*4/60/10</f>
        <v>0.51444000000000012</v>
      </c>
    </row>
    <row r="9" spans="1:16" ht="15" x14ac:dyDescent="0.25">
      <c r="A9">
        <v>4</v>
      </c>
      <c r="B9">
        <v>5</v>
      </c>
      <c r="C9" s="49">
        <v>11</v>
      </c>
      <c r="D9">
        <v>8</v>
      </c>
      <c r="E9">
        <v>8.48</v>
      </c>
      <c r="F9" s="18">
        <f t="shared" si="0"/>
        <v>0.56533333333333335</v>
      </c>
      <c r="N9" t="s">
        <v>120</v>
      </c>
      <c r="O9">
        <f>O5+O6</f>
        <v>86.366</v>
      </c>
      <c r="P9">
        <f>O9*4/60/10</f>
        <v>0.57577333333333336</v>
      </c>
    </row>
    <row r="10" spans="1:16" ht="15" x14ac:dyDescent="0.25">
      <c r="A10" s="28">
        <v>4</v>
      </c>
      <c r="B10" s="28">
        <v>4</v>
      </c>
      <c r="C10" s="47">
        <v>10</v>
      </c>
      <c r="D10" s="28">
        <v>9</v>
      </c>
      <c r="E10">
        <v>7.83</v>
      </c>
      <c r="F10" s="18">
        <f t="shared" si="0"/>
        <v>0.52200000000000002</v>
      </c>
    </row>
    <row r="11" spans="1:16" ht="15" x14ac:dyDescent="0.25">
      <c r="A11">
        <v>0.9</v>
      </c>
      <c r="B11">
        <v>5</v>
      </c>
      <c r="C11" s="49">
        <v>5</v>
      </c>
      <c r="D11">
        <v>10</v>
      </c>
      <c r="E11">
        <v>6.63</v>
      </c>
      <c r="F11" s="18">
        <f t="shared" si="0"/>
        <v>0.442</v>
      </c>
    </row>
    <row r="12" spans="1:16" ht="15" x14ac:dyDescent="0.25">
      <c r="A12" s="28">
        <v>4</v>
      </c>
      <c r="B12" s="28">
        <v>2</v>
      </c>
      <c r="C12" s="47">
        <v>8</v>
      </c>
      <c r="D12" s="28">
        <v>11</v>
      </c>
      <c r="E12">
        <v>8.11</v>
      </c>
      <c r="F12" s="18">
        <f t="shared" si="0"/>
        <v>0.54066666666666663</v>
      </c>
    </row>
    <row r="13" spans="1:16" ht="15" x14ac:dyDescent="0.25">
      <c r="A13">
        <v>0.9</v>
      </c>
      <c r="B13">
        <v>2</v>
      </c>
      <c r="C13" s="49">
        <v>2</v>
      </c>
      <c r="D13">
        <v>12</v>
      </c>
      <c r="E13">
        <v>7.82</v>
      </c>
      <c r="F13" s="18">
        <f t="shared" si="0"/>
        <v>0.52133333333333332</v>
      </c>
    </row>
    <row r="14" spans="1:16" ht="15" x14ac:dyDescent="0.25">
      <c r="A14" s="28">
        <v>4</v>
      </c>
      <c r="B14" s="28">
        <v>3</v>
      </c>
      <c r="C14" s="47">
        <v>9</v>
      </c>
      <c r="D14" s="28">
        <v>13</v>
      </c>
      <c r="E14">
        <v>8.43</v>
      </c>
      <c r="F14" s="18">
        <f t="shared" si="0"/>
        <v>0.56199999999999994</v>
      </c>
    </row>
    <row r="15" spans="1:16" ht="15" x14ac:dyDescent="0.25">
      <c r="A15">
        <v>4</v>
      </c>
      <c r="B15">
        <v>1</v>
      </c>
      <c r="C15" s="49">
        <v>7</v>
      </c>
      <c r="D15">
        <v>14</v>
      </c>
      <c r="E15">
        <v>8.77</v>
      </c>
      <c r="F15" s="18">
        <f t="shared" si="0"/>
        <v>0.58466666666666667</v>
      </c>
    </row>
    <row r="16" spans="1:16" ht="15" x14ac:dyDescent="0.25">
      <c r="A16" s="28">
        <v>0.9</v>
      </c>
      <c r="B16" s="28">
        <v>3</v>
      </c>
      <c r="C16" s="47">
        <v>3</v>
      </c>
      <c r="D16" s="28">
        <v>15</v>
      </c>
      <c r="E16">
        <v>8.57</v>
      </c>
      <c r="F16" s="18">
        <f t="shared" si="0"/>
        <v>0.57133333333333336</v>
      </c>
    </row>
    <row r="17" spans="1:6" ht="15" x14ac:dyDescent="0.25">
      <c r="A17">
        <v>0.9</v>
      </c>
      <c r="B17">
        <v>6</v>
      </c>
      <c r="C17" s="49">
        <v>6</v>
      </c>
      <c r="D17">
        <v>16</v>
      </c>
      <c r="E17">
        <v>8.2799999999999994</v>
      </c>
      <c r="F17" s="18">
        <f t="shared" si="0"/>
        <v>0.55199999999999994</v>
      </c>
    </row>
    <row r="18" spans="1:6" ht="15" x14ac:dyDescent="0.25">
      <c r="A18" s="28">
        <v>0.9</v>
      </c>
      <c r="B18" s="28">
        <v>4</v>
      </c>
      <c r="C18" s="47">
        <v>4</v>
      </c>
      <c r="D18" s="28">
        <v>17</v>
      </c>
      <c r="E18">
        <v>8.120000000000001</v>
      </c>
      <c r="F18" s="18">
        <f t="shared" si="0"/>
        <v>0.54133333333333344</v>
      </c>
    </row>
    <row r="19" spans="1:6" ht="15.6" thickBot="1" x14ac:dyDescent="0.3">
      <c r="A19" s="38">
        <v>4</v>
      </c>
      <c r="B19" s="38">
        <v>6</v>
      </c>
      <c r="C19" s="54">
        <v>12</v>
      </c>
      <c r="D19" s="38">
        <v>18</v>
      </c>
      <c r="E19">
        <v>8.8099999999999987</v>
      </c>
      <c r="F19" s="18">
        <f t="shared" si="0"/>
        <v>0.58733333333333326</v>
      </c>
    </row>
    <row r="20" spans="1:6" ht="15" x14ac:dyDescent="0.25">
      <c r="A20" s="28">
        <v>4</v>
      </c>
      <c r="B20" s="28">
        <v>1</v>
      </c>
      <c r="C20" s="47">
        <v>7</v>
      </c>
      <c r="D20" s="28">
        <v>19</v>
      </c>
      <c r="E20">
        <v>8.99</v>
      </c>
      <c r="F20" s="18">
        <f t="shared" si="0"/>
        <v>0.59933333333333338</v>
      </c>
    </row>
    <row r="21" spans="1:6" ht="15" x14ac:dyDescent="0.25">
      <c r="A21">
        <v>4</v>
      </c>
      <c r="B21">
        <v>5</v>
      </c>
      <c r="C21" s="49">
        <v>11</v>
      </c>
      <c r="D21">
        <v>20</v>
      </c>
      <c r="E21">
        <v>8.2099999999999991</v>
      </c>
      <c r="F21" s="18">
        <f t="shared" si="0"/>
        <v>0.54733333333333323</v>
      </c>
    </row>
    <row r="22" spans="1:6" ht="15" x14ac:dyDescent="0.25">
      <c r="A22" s="28">
        <v>0.9</v>
      </c>
      <c r="B22" s="28">
        <v>1</v>
      </c>
      <c r="C22" s="47">
        <v>1</v>
      </c>
      <c r="D22" s="28">
        <v>21</v>
      </c>
      <c r="E22">
        <v>8.26</v>
      </c>
      <c r="F22" s="18">
        <f t="shared" si="0"/>
        <v>0.55066666666666664</v>
      </c>
    </row>
    <row r="23" spans="1:6" ht="15" x14ac:dyDescent="0.25">
      <c r="A23">
        <v>0.9</v>
      </c>
      <c r="B23">
        <v>4</v>
      </c>
      <c r="C23" s="49">
        <v>4</v>
      </c>
      <c r="D23">
        <v>22</v>
      </c>
      <c r="E23">
        <v>8.16</v>
      </c>
      <c r="F23" s="18">
        <f t="shared" si="0"/>
        <v>0.54400000000000004</v>
      </c>
    </row>
    <row r="24" spans="1:6" ht="15" x14ac:dyDescent="0.25">
      <c r="A24">
        <v>0.9</v>
      </c>
      <c r="B24">
        <v>3</v>
      </c>
      <c r="C24" s="49">
        <v>3</v>
      </c>
      <c r="D24">
        <v>23</v>
      </c>
      <c r="E24">
        <v>8.5599999999999987</v>
      </c>
      <c r="F24" s="18">
        <f t="shared" si="0"/>
        <v>0.57066666666666654</v>
      </c>
    </row>
    <row r="25" spans="1:6" ht="15" x14ac:dyDescent="0.25">
      <c r="A25" s="28">
        <v>4</v>
      </c>
      <c r="B25" s="28">
        <v>3</v>
      </c>
      <c r="C25" s="47">
        <v>9</v>
      </c>
      <c r="D25" s="28">
        <v>24</v>
      </c>
      <c r="E25">
        <v>8.23</v>
      </c>
      <c r="F25" s="18">
        <f t="shared" si="0"/>
        <v>0.54866666666666675</v>
      </c>
    </row>
    <row r="26" spans="1:6" ht="15" x14ac:dyDescent="0.25">
      <c r="A26">
        <v>4</v>
      </c>
      <c r="B26">
        <v>1</v>
      </c>
      <c r="C26" s="49">
        <v>7</v>
      </c>
      <c r="D26">
        <v>25</v>
      </c>
      <c r="E26">
        <v>8.3099999999999987</v>
      </c>
      <c r="F26" s="18">
        <f t="shared" si="0"/>
        <v>0.55399999999999994</v>
      </c>
    </row>
    <row r="27" spans="1:6" ht="15" x14ac:dyDescent="0.25">
      <c r="A27" s="28">
        <v>4</v>
      </c>
      <c r="B27" s="28">
        <v>6</v>
      </c>
      <c r="C27" s="47">
        <v>12</v>
      </c>
      <c r="D27" s="28">
        <v>26</v>
      </c>
      <c r="E27">
        <v>8.4409999999999989</v>
      </c>
      <c r="F27" s="18">
        <f t="shared" si="0"/>
        <v>0.56273333333333331</v>
      </c>
    </row>
    <row r="28" spans="1:6" ht="15" x14ac:dyDescent="0.25">
      <c r="A28">
        <v>4</v>
      </c>
      <c r="B28">
        <v>4</v>
      </c>
      <c r="C28" s="49">
        <v>10</v>
      </c>
      <c r="D28">
        <v>27</v>
      </c>
      <c r="E28">
        <v>7.51</v>
      </c>
      <c r="F28" s="18">
        <f t="shared" si="0"/>
        <v>0.5006666666666667</v>
      </c>
    </row>
    <row r="29" spans="1:6" ht="15" x14ac:dyDescent="0.25">
      <c r="A29" s="28">
        <v>0.9</v>
      </c>
      <c r="B29" s="28">
        <v>2</v>
      </c>
      <c r="C29" s="47">
        <v>2</v>
      </c>
      <c r="D29" s="28">
        <v>28</v>
      </c>
      <c r="E29">
        <v>8.4580000000000002</v>
      </c>
      <c r="F29" s="18">
        <f t="shared" si="0"/>
        <v>0.56386666666666663</v>
      </c>
    </row>
    <row r="30" spans="1:6" ht="15" x14ac:dyDescent="0.25">
      <c r="A30">
        <v>0.9</v>
      </c>
      <c r="B30">
        <v>6</v>
      </c>
      <c r="C30" s="49">
        <v>6</v>
      </c>
      <c r="D30">
        <v>29</v>
      </c>
      <c r="E30">
        <v>8.620000000000001</v>
      </c>
      <c r="F30" s="18">
        <f t="shared" si="0"/>
        <v>0.57466666666666677</v>
      </c>
    </row>
    <row r="31" spans="1:6" ht="15" x14ac:dyDescent="0.25">
      <c r="A31" s="28">
        <v>4</v>
      </c>
      <c r="B31" s="28">
        <v>2</v>
      </c>
      <c r="C31" s="47">
        <v>8</v>
      </c>
      <c r="D31" s="28">
        <v>30</v>
      </c>
      <c r="E31">
        <v>7.33</v>
      </c>
      <c r="F31" s="18">
        <f t="shared" si="0"/>
        <v>0.48866666666666669</v>
      </c>
    </row>
    <row r="32" spans="1:6" ht="15" x14ac:dyDescent="0.25">
      <c r="A32">
        <v>4</v>
      </c>
      <c r="B32">
        <v>5</v>
      </c>
      <c r="C32" s="49">
        <v>11</v>
      </c>
      <c r="D32">
        <v>31</v>
      </c>
      <c r="E32">
        <v>8.52</v>
      </c>
      <c r="F32" s="18">
        <f t="shared" si="0"/>
        <v>0.56799999999999995</v>
      </c>
    </row>
    <row r="33" spans="1:6" ht="15" x14ac:dyDescent="0.25">
      <c r="A33">
        <v>4</v>
      </c>
      <c r="B33">
        <v>6</v>
      </c>
      <c r="C33" s="49">
        <v>12</v>
      </c>
      <c r="D33">
        <v>32</v>
      </c>
      <c r="E33">
        <v>8.32</v>
      </c>
      <c r="F33" s="18">
        <f t="shared" si="0"/>
        <v>0.55466666666666664</v>
      </c>
    </row>
    <row r="34" spans="1:6" ht="15" x14ac:dyDescent="0.25">
      <c r="A34" s="28">
        <v>4</v>
      </c>
      <c r="B34" s="28">
        <v>1</v>
      </c>
      <c r="C34" s="47">
        <v>7</v>
      </c>
      <c r="D34" s="28">
        <v>33</v>
      </c>
      <c r="E34">
        <v>8.5500000000000007</v>
      </c>
      <c r="F34" s="18">
        <f t="shared" si="0"/>
        <v>0.57000000000000006</v>
      </c>
    </row>
    <row r="35" spans="1:6" ht="15" x14ac:dyDescent="0.25">
      <c r="A35">
        <v>0.9</v>
      </c>
      <c r="B35">
        <v>3</v>
      </c>
      <c r="C35" s="49">
        <v>3</v>
      </c>
      <c r="D35">
        <v>34</v>
      </c>
      <c r="E35">
        <v>7.87</v>
      </c>
      <c r="F35" s="18">
        <f t="shared" si="0"/>
        <v>0.52466666666666673</v>
      </c>
    </row>
    <row r="36" spans="1:6" ht="15" x14ac:dyDescent="0.25">
      <c r="A36" s="28">
        <v>0.9</v>
      </c>
      <c r="B36" s="28">
        <v>4</v>
      </c>
      <c r="C36" s="47">
        <v>4</v>
      </c>
      <c r="D36" s="28">
        <v>35</v>
      </c>
      <c r="E36">
        <v>8.02</v>
      </c>
      <c r="F36" s="18">
        <f t="shared" si="0"/>
        <v>0.53466666666666662</v>
      </c>
    </row>
    <row r="37" spans="1:6" ht="15.6" thickBot="1" x14ac:dyDescent="0.3">
      <c r="A37" s="38">
        <v>4</v>
      </c>
      <c r="B37" s="38">
        <v>4</v>
      </c>
      <c r="C37" s="54">
        <v>10</v>
      </c>
      <c r="D37" s="38">
        <v>36</v>
      </c>
      <c r="E37">
        <v>7.2450000000000001</v>
      </c>
      <c r="F37" s="18">
        <f t="shared" si="0"/>
        <v>0.48299999999999998</v>
      </c>
    </row>
    <row r="38" spans="1:6" ht="15" x14ac:dyDescent="0.25">
      <c r="A38" s="28">
        <v>0.9</v>
      </c>
      <c r="B38" s="28">
        <v>6</v>
      </c>
      <c r="C38" s="47">
        <v>6</v>
      </c>
      <c r="D38" s="28">
        <v>37</v>
      </c>
      <c r="E38">
        <v>7.44</v>
      </c>
      <c r="F38" s="18">
        <f t="shared" si="0"/>
        <v>0.49600000000000005</v>
      </c>
    </row>
    <row r="39" spans="1:6" ht="15" x14ac:dyDescent="0.25">
      <c r="A39">
        <v>0.9</v>
      </c>
      <c r="B39">
        <v>5</v>
      </c>
      <c r="C39" s="49">
        <v>5</v>
      </c>
      <c r="D39">
        <v>38</v>
      </c>
      <c r="E39">
        <v>7.45</v>
      </c>
      <c r="F39" s="18">
        <f t="shared" si="0"/>
        <v>0.4966666666666667</v>
      </c>
    </row>
    <row r="40" spans="1:6" ht="15" x14ac:dyDescent="0.25">
      <c r="A40" s="28">
        <v>0.9</v>
      </c>
      <c r="B40" s="28">
        <v>1</v>
      </c>
      <c r="C40" s="47">
        <v>1</v>
      </c>
      <c r="D40" s="28">
        <v>39</v>
      </c>
      <c r="E40">
        <v>7.2</v>
      </c>
      <c r="F40" s="18">
        <f t="shared" si="0"/>
        <v>0.48000000000000004</v>
      </c>
    </row>
    <row r="41" spans="1:6" ht="15" x14ac:dyDescent="0.25">
      <c r="A41">
        <v>0.9</v>
      </c>
      <c r="B41">
        <v>2</v>
      </c>
      <c r="C41" s="49">
        <v>2</v>
      </c>
      <c r="D41">
        <v>40</v>
      </c>
      <c r="E41">
        <v>7.49</v>
      </c>
      <c r="F41" s="18">
        <f t="shared" si="0"/>
        <v>0.49933333333333335</v>
      </c>
    </row>
    <row r="42" spans="1:6" ht="15" x14ac:dyDescent="0.25">
      <c r="A42">
        <v>4</v>
      </c>
      <c r="B42">
        <v>2</v>
      </c>
      <c r="C42" s="49">
        <v>8</v>
      </c>
      <c r="D42">
        <v>41</v>
      </c>
      <c r="E42">
        <v>8</v>
      </c>
      <c r="F42" s="18">
        <f t="shared" si="0"/>
        <v>0.53333333333333333</v>
      </c>
    </row>
    <row r="43" spans="1:6" ht="15" x14ac:dyDescent="0.25">
      <c r="A43" s="28">
        <v>4</v>
      </c>
      <c r="B43" s="28">
        <v>3</v>
      </c>
      <c r="C43" s="47">
        <v>9</v>
      </c>
      <c r="D43" s="28">
        <v>42</v>
      </c>
      <c r="E43">
        <v>8</v>
      </c>
      <c r="F43" s="18">
        <f t="shared" si="0"/>
        <v>0.53333333333333333</v>
      </c>
    </row>
    <row r="44" spans="1:6" ht="15" x14ac:dyDescent="0.25">
      <c r="A44">
        <v>0.9</v>
      </c>
      <c r="B44">
        <v>1</v>
      </c>
      <c r="C44" s="49">
        <v>1</v>
      </c>
      <c r="D44">
        <v>43</v>
      </c>
      <c r="E44">
        <v>8.1</v>
      </c>
      <c r="F44" s="18">
        <f t="shared" si="0"/>
        <v>0.53999999999999992</v>
      </c>
    </row>
    <row r="45" spans="1:6" ht="15" x14ac:dyDescent="0.25">
      <c r="A45" s="28">
        <v>0.9</v>
      </c>
      <c r="B45" s="28">
        <v>4</v>
      </c>
      <c r="C45" s="47">
        <v>4</v>
      </c>
      <c r="D45" s="28">
        <v>44</v>
      </c>
      <c r="E45">
        <v>8.6999999999999993</v>
      </c>
      <c r="F45" s="18">
        <f t="shared" si="0"/>
        <v>0.57999999999999996</v>
      </c>
    </row>
    <row r="46" spans="1:6" ht="15" x14ac:dyDescent="0.25">
      <c r="A46">
        <v>4</v>
      </c>
      <c r="B46">
        <v>3</v>
      </c>
      <c r="C46" s="49">
        <v>9</v>
      </c>
      <c r="D46">
        <v>45</v>
      </c>
      <c r="E46">
        <v>8.43</v>
      </c>
      <c r="F46" s="18">
        <f t="shared" si="0"/>
        <v>0.56199999999999994</v>
      </c>
    </row>
    <row r="47" spans="1:6" ht="15" x14ac:dyDescent="0.25">
      <c r="A47" s="28">
        <v>0.9</v>
      </c>
      <c r="B47" s="28">
        <v>3</v>
      </c>
      <c r="C47" s="47">
        <v>3</v>
      </c>
      <c r="D47" s="28">
        <v>46</v>
      </c>
      <c r="E47">
        <v>8.0299999999999994</v>
      </c>
      <c r="F47" s="18">
        <f t="shared" si="0"/>
        <v>0.53533333333333333</v>
      </c>
    </row>
    <row r="48" spans="1:6" ht="15" x14ac:dyDescent="0.25">
      <c r="A48">
        <v>0.9</v>
      </c>
      <c r="B48">
        <v>5</v>
      </c>
      <c r="C48" s="49">
        <v>5</v>
      </c>
      <c r="D48">
        <v>47</v>
      </c>
      <c r="E48">
        <v>6.24</v>
      </c>
      <c r="F48" s="18">
        <f t="shared" si="0"/>
        <v>0.41600000000000004</v>
      </c>
    </row>
    <row r="49" spans="1:6" ht="15" x14ac:dyDescent="0.25">
      <c r="A49" s="28">
        <v>4</v>
      </c>
      <c r="B49" s="28">
        <v>5</v>
      </c>
      <c r="C49" s="47">
        <v>11</v>
      </c>
      <c r="D49" s="28">
        <v>48</v>
      </c>
      <c r="E49">
        <v>8.32</v>
      </c>
      <c r="F49" s="18">
        <f t="shared" si="0"/>
        <v>0.55466666666666664</v>
      </c>
    </row>
    <row r="50" spans="1:6" ht="15" x14ac:dyDescent="0.25">
      <c r="A50">
        <v>0.9</v>
      </c>
      <c r="B50">
        <v>5</v>
      </c>
      <c r="C50" s="49">
        <v>5</v>
      </c>
      <c r="D50">
        <v>49</v>
      </c>
      <c r="E50">
        <v>6.43</v>
      </c>
      <c r="F50" s="18">
        <f t="shared" si="0"/>
        <v>0.42866666666666664</v>
      </c>
    </row>
    <row r="51" spans="1:6" ht="15" x14ac:dyDescent="0.25">
      <c r="A51">
        <v>0.9</v>
      </c>
      <c r="B51">
        <v>4</v>
      </c>
      <c r="C51" s="49">
        <v>4</v>
      </c>
      <c r="D51">
        <v>50</v>
      </c>
      <c r="E51">
        <v>7.88</v>
      </c>
      <c r="F51" s="18">
        <f t="shared" si="0"/>
        <v>0.52533333333333332</v>
      </c>
    </row>
    <row r="52" spans="1:6" ht="15" x14ac:dyDescent="0.25">
      <c r="A52" s="28">
        <v>4</v>
      </c>
      <c r="B52" s="28">
        <v>3</v>
      </c>
      <c r="C52" s="47">
        <v>9</v>
      </c>
      <c r="D52" s="28">
        <v>51</v>
      </c>
      <c r="E52">
        <v>8.34</v>
      </c>
      <c r="F52" s="18">
        <f t="shared" si="0"/>
        <v>0.55599999999999994</v>
      </c>
    </row>
    <row r="53" spans="1:6" ht="15" x14ac:dyDescent="0.25">
      <c r="A53">
        <v>4</v>
      </c>
      <c r="B53">
        <v>2</v>
      </c>
      <c r="C53" s="49">
        <v>8</v>
      </c>
      <c r="D53">
        <v>52</v>
      </c>
      <c r="E53">
        <v>7.7269999999999994</v>
      </c>
      <c r="F53" s="18">
        <f t="shared" si="0"/>
        <v>0.51513333333333333</v>
      </c>
    </row>
    <row r="54" spans="1:6" ht="15" x14ac:dyDescent="0.25">
      <c r="A54" s="28">
        <v>0.9</v>
      </c>
      <c r="B54" s="28">
        <v>1</v>
      </c>
      <c r="C54" s="47">
        <v>1</v>
      </c>
      <c r="D54" s="28">
        <v>53</v>
      </c>
      <c r="E54">
        <v>9.2099999999999991</v>
      </c>
      <c r="F54" s="18">
        <f t="shared" si="0"/>
        <v>0.61399999999999999</v>
      </c>
    </row>
    <row r="55" spans="1:6" ht="15.6" thickBot="1" x14ac:dyDescent="0.3">
      <c r="A55" s="38">
        <v>4</v>
      </c>
      <c r="B55" s="38">
        <v>1</v>
      </c>
      <c r="C55" s="54">
        <v>7</v>
      </c>
      <c r="D55" s="38">
        <v>54</v>
      </c>
      <c r="E55">
        <v>9.09</v>
      </c>
      <c r="F55" s="18">
        <f t="shared" si="0"/>
        <v>0.60599999999999998</v>
      </c>
    </row>
    <row r="56" spans="1:6" ht="15" x14ac:dyDescent="0.25">
      <c r="A56" s="28">
        <v>0.9</v>
      </c>
      <c r="B56" s="28">
        <v>5</v>
      </c>
      <c r="C56" s="47">
        <v>5</v>
      </c>
      <c r="D56" s="28">
        <v>55</v>
      </c>
      <c r="E56">
        <v>6.7080000000000002</v>
      </c>
      <c r="F56" s="18">
        <f t="shared" si="0"/>
        <v>0.44719999999999999</v>
      </c>
    </row>
    <row r="57" spans="1:6" ht="15" x14ac:dyDescent="0.25">
      <c r="A57">
        <v>0.9</v>
      </c>
      <c r="B57">
        <v>6</v>
      </c>
      <c r="C57" s="49">
        <v>6</v>
      </c>
      <c r="D57">
        <v>56</v>
      </c>
      <c r="E57">
        <v>8.16</v>
      </c>
      <c r="F57" s="18">
        <f t="shared" si="0"/>
        <v>0.54400000000000004</v>
      </c>
    </row>
    <row r="58" spans="1:6" ht="15" x14ac:dyDescent="0.25">
      <c r="A58" s="28">
        <v>4</v>
      </c>
      <c r="B58" s="28">
        <v>2</v>
      </c>
      <c r="C58" s="47">
        <v>8</v>
      </c>
      <c r="D58" s="28">
        <v>57</v>
      </c>
      <c r="E58">
        <v>8.9</v>
      </c>
      <c r="F58" s="18">
        <f t="shared" si="0"/>
        <v>0.59333333333333338</v>
      </c>
    </row>
    <row r="59" spans="1:6" ht="15" x14ac:dyDescent="0.25">
      <c r="A59">
        <v>0.9</v>
      </c>
      <c r="B59">
        <v>2</v>
      </c>
      <c r="C59" s="49">
        <v>2</v>
      </c>
      <c r="D59">
        <v>58</v>
      </c>
      <c r="E59">
        <v>7.58</v>
      </c>
      <c r="F59" s="18">
        <f t="shared" si="0"/>
        <v>0.5053333333333333</v>
      </c>
    </row>
    <row r="60" spans="1:6" ht="15" x14ac:dyDescent="0.25">
      <c r="A60">
        <v>0.9</v>
      </c>
      <c r="B60">
        <v>1</v>
      </c>
      <c r="C60" s="49">
        <v>1</v>
      </c>
      <c r="D60">
        <v>59</v>
      </c>
      <c r="E60">
        <v>7.6400000000000006</v>
      </c>
      <c r="F60" s="18">
        <f t="shared" si="0"/>
        <v>0.50933333333333342</v>
      </c>
    </row>
    <row r="61" spans="1:6" ht="15" x14ac:dyDescent="0.25">
      <c r="A61" s="28">
        <v>4</v>
      </c>
      <c r="B61" s="28">
        <v>5</v>
      </c>
      <c r="C61" s="47">
        <v>11</v>
      </c>
      <c r="D61" s="28">
        <v>60</v>
      </c>
      <c r="E61">
        <v>8.35</v>
      </c>
      <c r="F61" s="18">
        <f t="shared" si="0"/>
        <v>0.55666666666666664</v>
      </c>
    </row>
    <row r="62" spans="1:6" ht="15" x14ac:dyDescent="0.25">
      <c r="A62">
        <v>4</v>
      </c>
      <c r="B62">
        <v>6</v>
      </c>
      <c r="C62" s="49">
        <v>12</v>
      </c>
      <c r="D62">
        <v>61</v>
      </c>
      <c r="E62">
        <v>8.5599999999999987</v>
      </c>
      <c r="F62" s="18">
        <f t="shared" si="0"/>
        <v>0.57066666666666654</v>
      </c>
    </row>
    <row r="63" spans="1:6" ht="15" x14ac:dyDescent="0.25">
      <c r="A63" s="28">
        <v>0.9</v>
      </c>
      <c r="B63" s="28">
        <v>3</v>
      </c>
      <c r="C63" s="47">
        <v>3</v>
      </c>
      <c r="D63" s="28">
        <v>62</v>
      </c>
      <c r="E63">
        <v>8.08</v>
      </c>
      <c r="F63" s="18">
        <f t="shared" si="0"/>
        <v>0.53866666666666663</v>
      </c>
    </row>
    <row r="64" spans="1:6" ht="15" x14ac:dyDescent="0.25">
      <c r="A64">
        <v>4</v>
      </c>
      <c r="B64">
        <v>1</v>
      </c>
      <c r="C64" s="49">
        <v>7</v>
      </c>
      <c r="D64">
        <v>63</v>
      </c>
      <c r="E64">
        <v>8.6999999999999993</v>
      </c>
      <c r="F64" s="18">
        <f t="shared" si="0"/>
        <v>0.57999999999999996</v>
      </c>
    </row>
    <row r="65" spans="1:6" ht="15" x14ac:dyDescent="0.25">
      <c r="A65" s="28">
        <v>4</v>
      </c>
      <c r="B65" s="28">
        <v>4</v>
      </c>
      <c r="C65" s="47">
        <v>10</v>
      </c>
      <c r="D65" s="28">
        <v>64</v>
      </c>
      <c r="E65">
        <v>7.9599999999999991</v>
      </c>
      <c r="F65" s="18">
        <f t="shared" si="0"/>
        <v>0.53066666666666662</v>
      </c>
    </row>
    <row r="66" spans="1:6" ht="15" x14ac:dyDescent="0.25">
      <c r="A66">
        <v>0.9</v>
      </c>
      <c r="B66">
        <v>4</v>
      </c>
      <c r="C66" s="49">
        <v>4</v>
      </c>
      <c r="D66">
        <v>65</v>
      </c>
      <c r="E66">
        <v>8.43</v>
      </c>
      <c r="F66" s="18">
        <f t="shared" si="0"/>
        <v>0.56199999999999994</v>
      </c>
    </row>
    <row r="67" spans="1:6" ht="15" x14ac:dyDescent="0.25">
      <c r="A67" s="28">
        <v>4</v>
      </c>
      <c r="B67" s="28">
        <v>3</v>
      </c>
      <c r="C67" s="47">
        <v>9</v>
      </c>
      <c r="D67" s="28">
        <v>66</v>
      </c>
      <c r="E67">
        <v>8.35</v>
      </c>
      <c r="F67" s="18">
        <f t="shared" ref="F67:F73" si="1">E67*4/60</f>
        <v>0.55666666666666664</v>
      </c>
    </row>
    <row r="68" spans="1:6" ht="15" x14ac:dyDescent="0.25">
      <c r="A68">
        <v>4</v>
      </c>
      <c r="B68">
        <v>5</v>
      </c>
      <c r="C68" s="49">
        <v>11</v>
      </c>
      <c r="D68">
        <v>67</v>
      </c>
      <c r="E68">
        <v>8.0380000000000003</v>
      </c>
      <c r="F68" s="18">
        <f t="shared" si="1"/>
        <v>0.53586666666666671</v>
      </c>
    </row>
    <row r="69" spans="1:6" ht="15" x14ac:dyDescent="0.25">
      <c r="A69">
        <v>0.9</v>
      </c>
      <c r="B69">
        <v>6</v>
      </c>
      <c r="C69" s="49">
        <v>6</v>
      </c>
      <c r="D69">
        <v>68</v>
      </c>
      <c r="E69">
        <v>7.9700000000000006</v>
      </c>
      <c r="F69" s="18">
        <f t="shared" si="1"/>
        <v>0.53133333333333332</v>
      </c>
    </row>
    <row r="70" spans="1:6" ht="15" x14ac:dyDescent="0.25">
      <c r="A70" s="28">
        <v>0.9</v>
      </c>
      <c r="B70" s="28">
        <v>2</v>
      </c>
      <c r="C70" s="47">
        <v>2</v>
      </c>
      <c r="D70" s="28">
        <v>69</v>
      </c>
      <c r="E70">
        <v>7.56</v>
      </c>
      <c r="F70" s="18">
        <f t="shared" si="1"/>
        <v>0.504</v>
      </c>
    </row>
    <row r="71" spans="1:6" ht="15" x14ac:dyDescent="0.25">
      <c r="A71">
        <v>4</v>
      </c>
      <c r="B71">
        <v>4</v>
      </c>
      <c r="C71" s="49">
        <v>10</v>
      </c>
      <c r="D71">
        <v>70</v>
      </c>
      <c r="E71">
        <v>8.1</v>
      </c>
      <c r="F71" s="18">
        <f t="shared" si="1"/>
        <v>0.53999999999999992</v>
      </c>
    </row>
    <row r="72" spans="1:6" ht="15" x14ac:dyDescent="0.25">
      <c r="A72" s="28">
        <v>4</v>
      </c>
      <c r="B72" s="28">
        <v>6</v>
      </c>
      <c r="C72" s="47">
        <v>12</v>
      </c>
      <c r="D72" s="28">
        <v>71</v>
      </c>
      <c r="E72">
        <v>8.8279999999999994</v>
      </c>
      <c r="F72" s="18">
        <f t="shared" si="1"/>
        <v>0.58853333333333324</v>
      </c>
    </row>
    <row r="73" spans="1:6" ht="15.6" thickBot="1" x14ac:dyDescent="0.3">
      <c r="A73" s="38">
        <v>0.9</v>
      </c>
      <c r="B73" s="38">
        <v>3</v>
      </c>
      <c r="C73" s="54">
        <v>3</v>
      </c>
      <c r="D73" s="38">
        <v>72</v>
      </c>
      <c r="E73">
        <v>8.58</v>
      </c>
      <c r="F73" s="18">
        <f t="shared" si="1"/>
        <v>0.57199999999999995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7F3AF-E22F-422B-9CC8-6E34D30FA3CC}">
  <dimension ref="A1:C19"/>
  <sheetViews>
    <sheetView workbookViewId="0">
      <selection activeCell="B12" sqref="B12"/>
    </sheetView>
  </sheetViews>
  <sheetFormatPr defaultColWidth="8.8984375" defaultRowHeight="13.8" x14ac:dyDescent="0.25"/>
  <cols>
    <col min="1" max="1" width="10.3984375" bestFit="1" customWidth="1"/>
  </cols>
  <sheetData>
    <row r="1" spans="1:3" x14ac:dyDescent="0.25">
      <c r="A1" s="16">
        <v>45166</v>
      </c>
      <c r="B1" t="s">
        <v>121</v>
      </c>
    </row>
    <row r="2" spans="1:3" x14ac:dyDescent="0.25">
      <c r="A2" s="16">
        <v>45172</v>
      </c>
      <c r="B2" t="s">
        <v>122</v>
      </c>
    </row>
    <row r="3" spans="1:3" x14ac:dyDescent="0.25">
      <c r="A3" s="16">
        <v>45182</v>
      </c>
      <c r="B3" t="s">
        <v>123</v>
      </c>
    </row>
    <row r="4" spans="1:3" x14ac:dyDescent="0.25">
      <c r="A4" s="16">
        <v>45190</v>
      </c>
      <c r="B4" t="s">
        <v>124</v>
      </c>
    </row>
    <row r="5" spans="1:3" x14ac:dyDescent="0.25">
      <c r="A5" s="16">
        <v>45201</v>
      </c>
      <c r="B5" t="s">
        <v>125</v>
      </c>
    </row>
    <row r="6" spans="1:3" x14ac:dyDescent="0.25">
      <c r="A6" s="16">
        <v>45218</v>
      </c>
      <c r="B6" t="s">
        <v>126</v>
      </c>
    </row>
    <row r="7" spans="1:3" x14ac:dyDescent="0.25">
      <c r="A7" s="16">
        <v>45236</v>
      </c>
      <c r="B7" t="s">
        <v>127</v>
      </c>
    </row>
    <row r="8" spans="1:3" x14ac:dyDescent="0.25">
      <c r="A8" s="16">
        <v>45237</v>
      </c>
      <c r="B8" t="s">
        <v>128</v>
      </c>
      <c r="C8" t="s">
        <v>129</v>
      </c>
    </row>
    <row r="9" spans="1:3" x14ac:dyDescent="0.25">
      <c r="A9" s="16">
        <v>45242</v>
      </c>
      <c r="B9" t="s">
        <v>130</v>
      </c>
    </row>
    <row r="10" spans="1:3" x14ac:dyDescent="0.25">
      <c r="A10" s="16">
        <v>45249</v>
      </c>
      <c r="B10" t="s">
        <v>130</v>
      </c>
    </row>
    <row r="11" spans="1:3" x14ac:dyDescent="0.25">
      <c r="A11" s="16">
        <v>45256</v>
      </c>
      <c r="B11" t="s">
        <v>131</v>
      </c>
    </row>
    <row r="12" spans="1:3" x14ac:dyDescent="0.25">
      <c r="A12" s="16"/>
    </row>
    <row r="13" spans="1:3" x14ac:dyDescent="0.25">
      <c r="A13" s="16"/>
    </row>
    <row r="14" spans="1:3" x14ac:dyDescent="0.25">
      <c r="A14" s="16"/>
    </row>
    <row r="15" spans="1:3" x14ac:dyDescent="0.25">
      <c r="B15" t="s">
        <v>132</v>
      </c>
    </row>
    <row r="16" spans="1:3" x14ac:dyDescent="0.25">
      <c r="B16" t="s">
        <v>133</v>
      </c>
    </row>
    <row r="17" spans="2:2" x14ac:dyDescent="0.25">
      <c r="B17" t="s">
        <v>134</v>
      </c>
    </row>
    <row r="18" spans="2:2" x14ac:dyDescent="0.25">
      <c r="B18" t="s">
        <v>135</v>
      </c>
    </row>
    <row r="19" spans="2:2" x14ac:dyDescent="0.25">
      <c r="B19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C7B3-D901-4409-9BD9-6ABEB3E0F90C}">
  <dimension ref="A1:AE75"/>
  <sheetViews>
    <sheetView zoomScale="79" zoomScaleNormal="100" workbookViewId="0">
      <selection activeCell="L26" sqref="L26"/>
    </sheetView>
  </sheetViews>
  <sheetFormatPr defaultColWidth="8.8984375" defaultRowHeight="13.8" x14ac:dyDescent="0.25"/>
  <cols>
    <col min="1" max="6" width="8.8984375" customWidth="1"/>
    <col min="7" max="8" width="9" customWidth="1"/>
    <col min="9" max="9" width="8.8984375" customWidth="1"/>
    <col min="10" max="10" width="12.8984375" customWidth="1"/>
    <col min="11" max="15" width="8.8984375" customWidth="1"/>
  </cols>
  <sheetData>
    <row r="1" spans="1:31" x14ac:dyDescent="0.25">
      <c r="A1" t="s">
        <v>137</v>
      </c>
      <c r="B1" t="s">
        <v>138</v>
      </c>
      <c r="C1" t="s">
        <v>139</v>
      </c>
      <c r="D1" t="s">
        <v>140</v>
      </c>
      <c r="E1" t="s">
        <v>44</v>
      </c>
    </row>
    <row r="2" spans="1:31" x14ac:dyDescent="0.25">
      <c r="A2">
        <v>1</v>
      </c>
      <c r="B2">
        <v>1</v>
      </c>
      <c r="C2">
        <v>1</v>
      </c>
      <c r="D2">
        <v>1</v>
      </c>
      <c r="E2">
        <v>3</v>
      </c>
    </row>
    <row r="3" spans="1:31" ht="15" x14ac:dyDescent="0.25">
      <c r="A3">
        <v>7</v>
      </c>
      <c r="B3">
        <v>2</v>
      </c>
      <c r="C3">
        <v>1</v>
      </c>
      <c r="D3">
        <v>1</v>
      </c>
      <c r="E3">
        <v>5</v>
      </c>
      <c r="AB3" t="s">
        <v>59</v>
      </c>
      <c r="AC3" t="s">
        <v>81</v>
      </c>
      <c r="AD3" s="49" t="s">
        <v>44</v>
      </c>
      <c r="AE3" s="49" t="s">
        <v>141</v>
      </c>
    </row>
    <row r="4" spans="1:31" ht="15.6" thickBot="1" x14ac:dyDescent="0.3">
      <c r="A4">
        <v>13</v>
      </c>
      <c r="B4">
        <v>3</v>
      </c>
      <c r="C4">
        <v>1</v>
      </c>
      <c r="D4">
        <v>2</v>
      </c>
      <c r="E4">
        <v>11</v>
      </c>
      <c r="I4" t="s">
        <v>142</v>
      </c>
      <c r="AB4">
        <v>0.9</v>
      </c>
      <c r="AC4" s="68">
        <v>5</v>
      </c>
      <c r="AD4" s="69">
        <v>5</v>
      </c>
      <c r="AE4" s="70">
        <v>1</v>
      </c>
    </row>
    <row r="5" spans="1:31" ht="15.6" thickBot="1" x14ac:dyDescent="0.3">
      <c r="A5">
        <v>19</v>
      </c>
      <c r="B5">
        <v>4</v>
      </c>
      <c r="C5">
        <v>1</v>
      </c>
      <c r="D5">
        <v>2</v>
      </c>
      <c r="E5">
        <v>7</v>
      </c>
      <c r="I5" t="s">
        <v>143</v>
      </c>
      <c r="AB5">
        <v>4</v>
      </c>
      <c r="AC5" s="71">
        <v>4</v>
      </c>
      <c r="AD5" s="72">
        <v>10</v>
      </c>
      <c r="AE5" s="54">
        <v>2</v>
      </c>
    </row>
    <row r="6" spans="1:31" ht="23.4" thickBot="1" x14ac:dyDescent="0.45">
      <c r="A6">
        <v>25</v>
      </c>
      <c r="B6">
        <v>5</v>
      </c>
      <c r="C6">
        <v>1</v>
      </c>
      <c r="D6">
        <v>3</v>
      </c>
      <c r="E6">
        <v>9</v>
      </c>
      <c r="I6" t="s">
        <v>144</v>
      </c>
      <c r="P6" s="73" t="s">
        <v>145</v>
      </c>
      <c r="Q6" s="73"/>
      <c r="R6" s="73"/>
      <c r="S6" s="73"/>
      <c r="T6" s="73"/>
      <c r="U6" s="73"/>
      <c r="V6" s="73"/>
      <c r="W6" s="73"/>
      <c r="X6" s="73"/>
      <c r="Y6" s="73"/>
      <c r="Z6" s="264" t="s">
        <v>146</v>
      </c>
      <c r="AA6" s="264"/>
      <c r="AB6">
        <v>4</v>
      </c>
      <c r="AC6" s="71">
        <v>2</v>
      </c>
      <c r="AD6" s="74">
        <v>8</v>
      </c>
      <c r="AE6" s="54">
        <v>3</v>
      </c>
    </row>
    <row r="7" spans="1:31" ht="23.4" thickBot="1" x14ac:dyDescent="0.3">
      <c r="A7">
        <v>31</v>
      </c>
      <c r="B7">
        <v>6</v>
      </c>
      <c r="C7">
        <v>1</v>
      </c>
      <c r="D7">
        <v>3</v>
      </c>
      <c r="E7">
        <v>5</v>
      </c>
      <c r="I7" s="56">
        <v>3</v>
      </c>
      <c r="J7" s="57">
        <v>12</v>
      </c>
      <c r="K7" s="57">
        <v>10</v>
      </c>
      <c r="L7" s="57">
        <v>2</v>
      </c>
      <c r="M7" s="57">
        <v>6</v>
      </c>
      <c r="N7" s="65">
        <v>11</v>
      </c>
      <c r="O7" t="s">
        <v>147</v>
      </c>
      <c r="P7" s="75">
        <v>3</v>
      </c>
      <c r="Q7" s="76">
        <v>12</v>
      </c>
      <c r="R7" s="77">
        <v>10</v>
      </c>
      <c r="S7" s="78">
        <v>2</v>
      </c>
      <c r="T7" s="79">
        <v>6</v>
      </c>
      <c r="U7" s="80">
        <v>11</v>
      </c>
      <c r="V7" s="81">
        <v>9</v>
      </c>
      <c r="W7" s="82">
        <v>4</v>
      </c>
      <c r="X7" s="77">
        <v>10</v>
      </c>
      <c r="Y7" s="83">
        <v>7</v>
      </c>
      <c r="Z7" s="84">
        <v>3</v>
      </c>
      <c r="AA7" s="85">
        <v>12</v>
      </c>
      <c r="AB7">
        <v>0.9</v>
      </c>
      <c r="AC7" s="71">
        <v>2</v>
      </c>
      <c r="AD7" s="86">
        <v>2</v>
      </c>
      <c r="AE7" s="54">
        <v>4</v>
      </c>
    </row>
    <row r="8" spans="1:31" ht="23.4" thickBot="1" x14ac:dyDescent="0.3">
      <c r="A8">
        <v>37</v>
      </c>
      <c r="B8">
        <v>7</v>
      </c>
      <c r="C8">
        <v>1</v>
      </c>
      <c r="D8">
        <v>4</v>
      </c>
      <c r="E8">
        <v>9</v>
      </c>
      <c r="I8" s="60">
        <v>5</v>
      </c>
      <c r="J8" s="38">
        <v>4</v>
      </c>
      <c r="K8" s="38">
        <v>9</v>
      </c>
      <c r="L8" s="38">
        <v>8</v>
      </c>
      <c r="M8" s="38">
        <v>1</v>
      </c>
      <c r="N8" s="66">
        <v>7</v>
      </c>
      <c r="O8" t="s">
        <v>148</v>
      </c>
      <c r="P8" s="87">
        <v>5</v>
      </c>
      <c r="Q8" s="88">
        <v>4</v>
      </c>
      <c r="R8" s="89">
        <v>9</v>
      </c>
      <c r="S8" s="90">
        <v>8</v>
      </c>
      <c r="T8" s="91">
        <v>1</v>
      </c>
      <c r="U8" s="92">
        <v>7</v>
      </c>
      <c r="V8" s="93">
        <v>5</v>
      </c>
      <c r="W8" s="94">
        <v>6</v>
      </c>
      <c r="X8" s="90">
        <v>8</v>
      </c>
      <c r="Y8" s="95">
        <v>2</v>
      </c>
      <c r="Z8" s="96">
        <v>1</v>
      </c>
      <c r="AA8" s="97">
        <v>11</v>
      </c>
      <c r="AB8">
        <v>4</v>
      </c>
      <c r="AC8" s="71">
        <v>6</v>
      </c>
      <c r="AD8" s="98">
        <v>12</v>
      </c>
      <c r="AE8" s="54">
        <v>5</v>
      </c>
    </row>
    <row r="9" spans="1:31" ht="23.4" thickBot="1" x14ac:dyDescent="0.3">
      <c r="A9">
        <v>43</v>
      </c>
      <c r="B9">
        <v>8</v>
      </c>
      <c r="C9">
        <v>1</v>
      </c>
      <c r="D9">
        <v>4</v>
      </c>
      <c r="E9">
        <v>5</v>
      </c>
      <c r="I9" s="56">
        <v>11</v>
      </c>
      <c r="J9" s="57">
        <v>5</v>
      </c>
      <c r="K9" s="57">
        <v>3</v>
      </c>
      <c r="L9" s="57">
        <v>9</v>
      </c>
      <c r="M9" s="57">
        <v>4</v>
      </c>
      <c r="N9" s="65">
        <v>1</v>
      </c>
      <c r="O9" t="s">
        <v>149</v>
      </c>
      <c r="P9" s="99">
        <v>11</v>
      </c>
      <c r="Q9" s="100">
        <v>5</v>
      </c>
      <c r="R9" s="101">
        <v>3</v>
      </c>
      <c r="S9" s="102">
        <v>9</v>
      </c>
      <c r="T9" s="103">
        <v>4</v>
      </c>
      <c r="U9" s="104">
        <v>1</v>
      </c>
      <c r="V9" s="105">
        <v>9</v>
      </c>
      <c r="W9" s="106">
        <v>8</v>
      </c>
      <c r="X9" s="78">
        <v>2</v>
      </c>
      <c r="Y9" s="107">
        <v>1</v>
      </c>
      <c r="Z9" s="108">
        <v>5</v>
      </c>
      <c r="AA9" s="109">
        <v>6</v>
      </c>
      <c r="AB9">
        <v>0.9</v>
      </c>
      <c r="AC9" s="110">
        <v>6</v>
      </c>
      <c r="AD9" s="111">
        <v>6</v>
      </c>
      <c r="AE9" s="112">
        <v>6</v>
      </c>
    </row>
    <row r="10" spans="1:31" ht="23.4" thickBot="1" x14ac:dyDescent="0.3">
      <c r="A10">
        <v>49</v>
      </c>
      <c r="B10">
        <v>9</v>
      </c>
      <c r="C10">
        <v>1</v>
      </c>
      <c r="D10">
        <v>5</v>
      </c>
      <c r="E10">
        <v>5</v>
      </c>
      <c r="I10" s="60">
        <v>7</v>
      </c>
      <c r="J10" s="38">
        <v>12</v>
      </c>
      <c r="K10" s="38">
        <v>10</v>
      </c>
      <c r="L10" s="38">
        <v>2</v>
      </c>
      <c r="M10" s="38">
        <v>6</v>
      </c>
      <c r="N10" s="66">
        <v>8</v>
      </c>
      <c r="O10" t="s">
        <v>150</v>
      </c>
      <c r="P10" s="113">
        <v>7</v>
      </c>
      <c r="Q10" s="114">
        <v>12</v>
      </c>
      <c r="R10" s="115">
        <v>10</v>
      </c>
      <c r="S10" s="95">
        <v>2</v>
      </c>
      <c r="T10" s="94">
        <v>6</v>
      </c>
      <c r="U10" s="116">
        <v>8</v>
      </c>
      <c r="V10" s="117">
        <v>11</v>
      </c>
      <c r="W10" s="114">
        <v>12</v>
      </c>
      <c r="X10" s="118">
        <v>7</v>
      </c>
      <c r="Y10" s="119">
        <v>3</v>
      </c>
      <c r="Z10" s="120">
        <v>4</v>
      </c>
      <c r="AA10" s="121">
        <v>10</v>
      </c>
      <c r="AB10">
        <v>0.9</v>
      </c>
      <c r="AC10" s="68">
        <v>1</v>
      </c>
      <c r="AD10" s="122">
        <v>1</v>
      </c>
      <c r="AE10" s="54">
        <v>7</v>
      </c>
    </row>
    <row r="11" spans="1:31" ht="23.4" thickBot="1" x14ac:dyDescent="0.3">
      <c r="A11">
        <v>55</v>
      </c>
      <c r="B11">
        <v>10</v>
      </c>
      <c r="C11">
        <v>1</v>
      </c>
      <c r="D11">
        <v>5</v>
      </c>
      <c r="E11">
        <v>11</v>
      </c>
      <c r="I11" s="56">
        <v>9</v>
      </c>
      <c r="J11" s="57">
        <v>3</v>
      </c>
      <c r="K11" s="57">
        <v>4</v>
      </c>
      <c r="L11" s="57">
        <v>1</v>
      </c>
      <c r="M11" s="57">
        <v>11</v>
      </c>
      <c r="N11" s="65">
        <v>7</v>
      </c>
      <c r="O11" t="s">
        <v>151</v>
      </c>
      <c r="P11" s="105">
        <v>9</v>
      </c>
      <c r="Q11" s="123">
        <v>3</v>
      </c>
      <c r="R11" s="82">
        <v>4</v>
      </c>
      <c r="S11" s="107">
        <v>1</v>
      </c>
      <c r="T11" s="124">
        <v>11</v>
      </c>
      <c r="U11" s="125">
        <v>7</v>
      </c>
      <c r="V11" s="126">
        <v>12</v>
      </c>
      <c r="W11" s="82">
        <v>4</v>
      </c>
      <c r="X11" s="79">
        <v>6</v>
      </c>
      <c r="Y11" s="123">
        <v>3</v>
      </c>
      <c r="Z11" s="127">
        <v>7</v>
      </c>
      <c r="AA11" s="128">
        <v>9</v>
      </c>
      <c r="AB11">
        <v>4</v>
      </c>
      <c r="AC11" s="71">
        <v>5</v>
      </c>
      <c r="AD11" s="129">
        <v>11</v>
      </c>
      <c r="AE11" s="54">
        <v>8</v>
      </c>
    </row>
    <row r="12" spans="1:31" ht="23.4" thickBot="1" x14ac:dyDescent="0.3">
      <c r="A12">
        <v>61</v>
      </c>
      <c r="B12">
        <v>11</v>
      </c>
      <c r="C12">
        <v>1</v>
      </c>
      <c r="D12">
        <v>6</v>
      </c>
      <c r="E12">
        <v>12</v>
      </c>
      <c r="I12" s="60">
        <v>5</v>
      </c>
      <c r="J12" s="38">
        <v>10</v>
      </c>
      <c r="K12" s="38">
        <v>8</v>
      </c>
      <c r="L12" s="38">
        <v>2</v>
      </c>
      <c r="M12" s="38">
        <v>12</v>
      </c>
      <c r="N12" s="66">
        <v>6</v>
      </c>
      <c r="O12" t="s">
        <v>152</v>
      </c>
      <c r="P12" s="87">
        <v>5</v>
      </c>
      <c r="Q12" s="115">
        <v>10</v>
      </c>
      <c r="R12" s="90">
        <v>8</v>
      </c>
      <c r="S12" s="95">
        <v>2</v>
      </c>
      <c r="T12" s="114">
        <v>12</v>
      </c>
      <c r="U12" s="130">
        <v>6</v>
      </c>
      <c r="V12" s="131">
        <v>1</v>
      </c>
      <c r="W12" s="132">
        <v>11</v>
      </c>
      <c r="X12" s="115">
        <v>10</v>
      </c>
      <c r="Y12" s="93">
        <v>5</v>
      </c>
      <c r="Z12" s="133">
        <v>8</v>
      </c>
      <c r="AA12" s="134">
        <v>2</v>
      </c>
      <c r="AB12">
        <v>4</v>
      </c>
      <c r="AC12" s="71">
        <v>4</v>
      </c>
      <c r="AD12" s="72">
        <v>10</v>
      </c>
      <c r="AE12" s="54">
        <v>9</v>
      </c>
    </row>
    <row r="13" spans="1:31" ht="15.6" thickBot="1" x14ac:dyDescent="0.3">
      <c r="A13">
        <v>67</v>
      </c>
      <c r="B13">
        <v>12</v>
      </c>
      <c r="C13">
        <v>1</v>
      </c>
      <c r="D13">
        <v>6</v>
      </c>
      <c r="E13">
        <v>1</v>
      </c>
      <c r="I13" s="56">
        <v>9</v>
      </c>
      <c r="J13" s="57">
        <v>12</v>
      </c>
      <c r="K13" s="57">
        <v>10</v>
      </c>
      <c r="L13" s="57">
        <v>7</v>
      </c>
      <c r="M13" s="57">
        <v>3</v>
      </c>
      <c r="N13" s="65">
        <v>4</v>
      </c>
      <c r="AB13">
        <v>0.9</v>
      </c>
      <c r="AC13" s="71">
        <v>5</v>
      </c>
      <c r="AD13" s="135">
        <v>5</v>
      </c>
      <c r="AE13" s="54">
        <v>10</v>
      </c>
    </row>
    <row r="14" spans="1:31" ht="16.2" thickBot="1" x14ac:dyDescent="0.3">
      <c r="A14">
        <v>2</v>
      </c>
      <c r="B14">
        <v>1</v>
      </c>
      <c r="C14">
        <v>2</v>
      </c>
      <c r="D14">
        <v>1</v>
      </c>
      <c r="E14">
        <v>12</v>
      </c>
      <c r="I14" s="60">
        <v>5</v>
      </c>
      <c r="J14" s="38">
        <v>6</v>
      </c>
      <c r="K14" s="38">
        <v>8</v>
      </c>
      <c r="L14" s="38">
        <v>2</v>
      </c>
      <c r="M14" s="38">
        <v>1</v>
      </c>
      <c r="N14" s="66">
        <v>11</v>
      </c>
      <c r="P14" t="s">
        <v>153</v>
      </c>
      <c r="AB14">
        <v>4</v>
      </c>
      <c r="AC14" s="136">
        <v>2</v>
      </c>
      <c r="AD14" s="137">
        <v>8</v>
      </c>
      <c r="AE14" s="138">
        <v>11</v>
      </c>
    </row>
    <row r="15" spans="1:31" ht="16.2" thickBot="1" x14ac:dyDescent="0.3">
      <c r="A15">
        <v>8</v>
      </c>
      <c r="B15">
        <v>2</v>
      </c>
      <c r="C15">
        <v>2</v>
      </c>
      <c r="D15">
        <v>1</v>
      </c>
      <c r="E15">
        <v>4</v>
      </c>
      <c r="I15" s="56">
        <v>5</v>
      </c>
      <c r="J15" s="57">
        <v>8</v>
      </c>
      <c r="K15" s="57">
        <v>2</v>
      </c>
      <c r="L15" s="57">
        <v>1</v>
      </c>
      <c r="M15" s="57">
        <v>9</v>
      </c>
      <c r="N15" s="65">
        <v>3</v>
      </c>
      <c r="O15" t="s">
        <v>147</v>
      </c>
      <c r="P15" s="56">
        <v>72</v>
      </c>
      <c r="Q15" s="57">
        <v>71</v>
      </c>
      <c r="R15" s="57">
        <v>70</v>
      </c>
      <c r="S15" s="57">
        <v>69</v>
      </c>
      <c r="T15" s="57">
        <v>68</v>
      </c>
      <c r="U15" s="57">
        <v>67</v>
      </c>
      <c r="V15" s="56">
        <v>66</v>
      </c>
      <c r="W15" s="57">
        <v>65</v>
      </c>
      <c r="X15" s="57">
        <v>64</v>
      </c>
      <c r="Y15" s="57">
        <v>63</v>
      </c>
      <c r="Z15" s="58">
        <v>62</v>
      </c>
      <c r="AA15" s="59">
        <v>61</v>
      </c>
      <c r="AB15">
        <v>0.9</v>
      </c>
      <c r="AC15" s="139">
        <v>2</v>
      </c>
      <c r="AD15" s="140">
        <v>2</v>
      </c>
      <c r="AE15" s="141">
        <v>12</v>
      </c>
    </row>
    <row r="16" spans="1:31" ht="16.2" thickBot="1" x14ac:dyDescent="0.3">
      <c r="A16">
        <v>14</v>
      </c>
      <c r="B16">
        <v>3</v>
      </c>
      <c r="C16">
        <v>2</v>
      </c>
      <c r="D16">
        <v>2</v>
      </c>
      <c r="E16">
        <v>5</v>
      </c>
      <c r="I16" s="60">
        <v>11</v>
      </c>
      <c r="J16" s="38">
        <v>12</v>
      </c>
      <c r="K16" s="38">
        <v>7</v>
      </c>
      <c r="L16" s="38">
        <v>6</v>
      </c>
      <c r="M16" s="38">
        <v>4</v>
      </c>
      <c r="N16" s="66">
        <v>10</v>
      </c>
      <c r="O16" t="s">
        <v>148</v>
      </c>
      <c r="P16" s="60">
        <v>49</v>
      </c>
      <c r="Q16" s="38">
        <v>50</v>
      </c>
      <c r="R16" s="38">
        <v>51</v>
      </c>
      <c r="S16" s="38">
        <v>52</v>
      </c>
      <c r="T16" s="38">
        <v>53</v>
      </c>
      <c r="U16" s="38">
        <v>54</v>
      </c>
      <c r="V16" s="60">
        <v>55</v>
      </c>
      <c r="W16" s="38">
        <v>56</v>
      </c>
      <c r="X16" s="38">
        <v>57</v>
      </c>
      <c r="Y16" s="38">
        <v>58</v>
      </c>
      <c r="Z16" s="61">
        <v>59</v>
      </c>
      <c r="AA16" s="62">
        <v>60</v>
      </c>
      <c r="AB16">
        <v>4</v>
      </c>
      <c r="AC16" s="142">
        <v>3</v>
      </c>
      <c r="AD16" s="143">
        <v>9</v>
      </c>
      <c r="AE16" s="144">
        <v>13</v>
      </c>
    </row>
    <row r="17" spans="1:31" ht="16.2" thickBot="1" x14ac:dyDescent="0.3">
      <c r="A17">
        <v>20</v>
      </c>
      <c r="B17">
        <v>4</v>
      </c>
      <c r="C17">
        <v>2</v>
      </c>
      <c r="D17">
        <v>2</v>
      </c>
      <c r="E17">
        <v>12</v>
      </c>
      <c r="I17" s="56">
        <v>12</v>
      </c>
      <c r="J17" s="57">
        <v>4</v>
      </c>
      <c r="K17" s="57">
        <v>6</v>
      </c>
      <c r="L17" s="57">
        <v>8</v>
      </c>
      <c r="M17" s="57">
        <v>10</v>
      </c>
      <c r="N17" s="65">
        <v>9</v>
      </c>
      <c r="O17" t="s">
        <v>149</v>
      </c>
      <c r="P17" s="63">
        <v>48</v>
      </c>
      <c r="Q17">
        <v>47</v>
      </c>
      <c r="R17">
        <v>46</v>
      </c>
      <c r="S17">
        <v>45</v>
      </c>
      <c r="T17">
        <v>44</v>
      </c>
      <c r="U17">
        <v>43</v>
      </c>
      <c r="V17" s="63">
        <v>42</v>
      </c>
      <c r="W17">
        <v>41</v>
      </c>
      <c r="X17">
        <v>40</v>
      </c>
      <c r="Y17">
        <v>39</v>
      </c>
      <c r="Z17" s="1">
        <v>38</v>
      </c>
      <c r="AA17" s="64">
        <v>37</v>
      </c>
      <c r="AB17">
        <v>4</v>
      </c>
      <c r="AC17" s="145">
        <v>1</v>
      </c>
      <c r="AD17" s="146">
        <v>7</v>
      </c>
      <c r="AE17" s="147">
        <v>14</v>
      </c>
    </row>
    <row r="18" spans="1:31" ht="15.6" thickBot="1" x14ac:dyDescent="0.3">
      <c r="A18">
        <v>26</v>
      </c>
      <c r="B18">
        <v>5</v>
      </c>
      <c r="C18">
        <v>2</v>
      </c>
      <c r="D18">
        <v>3</v>
      </c>
      <c r="E18">
        <v>3</v>
      </c>
      <c r="I18" s="60">
        <v>1</v>
      </c>
      <c r="J18" s="38">
        <v>2</v>
      </c>
      <c r="K18" s="38">
        <v>7</v>
      </c>
      <c r="L18" s="38">
        <v>5</v>
      </c>
      <c r="M18" s="38">
        <v>3</v>
      </c>
      <c r="N18" s="66">
        <v>11</v>
      </c>
      <c r="O18" t="s">
        <v>150</v>
      </c>
      <c r="P18" s="60">
        <v>25</v>
      </c>
      <c r="Q18" s="38">
        <v>26</v>
      </c>
      <c r="R18" s="38">
        <v>27</v>
      </c>
      <c r="S18" s="38">
        <v>28</v>
      </c>
      <c r="T18" s="38">
        <v>29</v>
      </c>
      <c r="U18" s="38">
        <v>30</v>
      </c>
      <c r="V18" s="60">
        <v>31</v>
      </c>
      <c r="W18" s="38">
        <v>32</v>
      </c>
      <c r="X18" s="38">
        <v>33</v>
      </c>
      <c r="Y18" s="38">
        <v>34</v>
      </c>
      <c r="Z18" s="61">
        <v>35</v>
      </c>
      <c r="AA18" s="62">
        <v>36</v>
      </c>
      <c r="AB18">
        <v>0.9</v>
      </c>
      <c r="AC18" s="145">
        <v>3</v>
      </c>
      <c r="AD18" s="148">
        <v>3</v>
      </c>
      <c r="AE18" s="149">
        <v>15</v>
      </c>
    </row>
    <row r="19" spans="1:31" ht="15.6" thickBot="1" x14ac:dyDescent="0.3">
      <c r="A19">
        <v>32</v>
      </c>
      <c r="B19">
        <v>6</v>
      </c>
      <c r="C19">
        <v>2</v>
      </c>
      <c r="D19">
        <v>3</v>
      </c>
      <c r="E19">
        <v>10</v>
      </c>
      <c r="O19" t="s">
        <v>151</v>
      </c>
      <c r="P19" s="56">
        <v>24</v>
      </c>
      <c r="Q19" s="57">
        <v>23</v>
      </c>
      <c r="R19" s="57">
        <v>22</v>
      </c>
      <c r="S19" s="57">
        <v>21</v>
      </c>
      <c r="T19" s="57">
        <v>20</v>
      </c>
      <c r="U19" s="65">
        <v>19</v>
      </c>
      <c r="V19">
        <v>18</v>
      </c>
      <c r="W19">
        <v>17</v>
      </c>
      <c r="X19">
        <v>16</v>
      </c>
      <c r="Y19">
        <v>15</v>
      </c>
      <c r="Z19" s="1">
        <v>14</v>
      </c>
      <c r="AA19" s="64">
        <v>13</v>
      </c>
      <c r="AB19">
        <v>0.9</v>
      </c>
      <c r="AC19" s="145">
        <v>6</v>
      </c>
      <c r="AD19" s="150">
        <v>6</v>
      </c>
      <c r="AE19" s="149">
        <v>16</v>
      </c>
    </row>
    <row r="20" spans="1:31" ht="15.6" thickBot="1" x14ac:dyDescent="0.3">
      <c r="A20">
        <v>38</v>
      </c>
      <c r="B20">
        <v>7</v>
      </c>
      <c r="C20">
        <v>2</v>
      </c>
      <c r="D20">
        <v>4</v>
      </c>
      <c r="E20">
        <v>12</v>
      </c>
      <c r="O20" t="s">
        <v>152</v>
      </c>
      <c r="P20" s="60">
        <v>1</v>
      </c>
      <c r="Q20" s="38">
        <v>2</v>
      </c>
      <c r="R20" s="38">
        <v>3</v>
      </c>
      <c r="S20" s="38">
        <v>4</v>
      </c>
      <c r="T20" s="38">
        <v>5</v>
      </c>
      <c r="U20" s="66">
        <v>6</v>
      </c>
      <c r="V20" s="38">
        <v>7</v>
      </c>
      <c r="W20" s="38">
        <v>8</v>
      </c>
      <c r="X20" s="38">
        <v>9</v>
      </c>
      <c r="Y20" s="38">
        <v>10</v>
      </c>
      <c r="Z20" s="61">
        <v>11</v>
      </c>
      <c r="AA20" s="62">
        <v>12</v>
      </c>
      <c r="AB20">
        <v>0.9</v>
      </c>
      <c r="AC20" s="145">
        <v>4</v>
      </c>
      <c r="AD20" s="151">
        <v>4</v>
      </c>
      <c r="AE20" s="149">
        <v>17</v>
      </c>
    </row>
    <row r="21" spans="1:31" ht="15.6" thickBot="1" x14ac:dyDescent="0.3">
      <c r="A21">
        <v>44</v>
      </c>
      <c r="B21">
        <v>8</v>
      </c>
      <c r="C21">
        <v>2</v>
      </c>
      <c r="D21">
        <v>4</v>
      </c>
      <c r="E21">
        <v>6</v>
      </c>
      <c r="AB21">
        <v>4</v>
      </c>
      <c r="AC21" s="152">
        <v>6</v>
      </c>
      <c r="AD21" s="153">
        <v>12</v>
      </c>
      <c r="AE21" s="154">
        <v>18</v>
      </c>
    </row>
    <row r="22" spans="1:31" ht="15.6" thickBot="1" x14ac:dyDescent="0.3">
      <c r="A22">
        <v>50</v>
      </c>
      <c r="B22">
        <v>9</v>
      </c>
      <c r="C22">
        <v>2</v>
      </c>
      <c r="D22">
        <v>5</v>
      </c>
      <c r="E22">
        <v>8</v>
      </c>
      <c r="P22" s="155" t="s">
        <v>154</v>
      </c>
      <c r="Q22" s="156" t="s">
        <v>155</v>
      </c>
      <c r="R22" s="265" t="s">
        <v>156</v>
      </c>
      <c r="S22" s="265"/>
      <c r="AB22">
        <v>4</v>
      </c>
      <c r="AC22" s="142">
        <v>1</v>
      </c>
      <c r="AD22" s="157">
        <v>7</v>
      </c>
      <c r="AE22" s="49">
        <v>19</v>
      </c>
    </row>
    <row r="23" spans="1:31" ht="15.6" thickBot="1" x14ac:dyDescent="0.3">
      <c r="A23">
        <v>56</v>
      </c>
      <c r="B23">
        <v>10</v>
      </c>
      <c r="C23">
        <v>2</v>
      </c>
      <c r="D23">
        <v>5</v>
      </c>
      <c r="E23">
        <v>12</v>
      </c>
      <c r="P23" s="158">
        <v>1</v>
      </c>
      <c r="Q23" s="159">
        <v>1</v>
      </c>
      <c r="R23" s="160">
        <v>7</v>
      </c>
      <c r="S23" s="161"/>
      <c r="AB23">
        <v>4</v>
      </c>
      <c r="AC23" s="145">
        <v>5</v>
      </c>
      <c r="AD23" s="162">
        <v>11</v>
      </c>
      <c r="AE23" s="49">
        <v>20</v>
      </c>
    </row>
    <row r="24" spans="1:31" ht="15.6" thickBot="1" x14ac:dyDescent="0.3">
      <c r="A24">
        <v>62</v>
      </c>
      <c r="B24">
        <v>11</v>
      </c>
      <c r="C24">
        <v>2</v>
      </c>
      <c r="D24">
        <v>6</v>
      </c>
      <c r="E24">
        <v>4</v>
      </c>
      <c r="H24" s="158" t="s">
        <v>81</v>
      </c>
      <c r="P24" s="158">
        <v>2</v>
      </c>
      <c r="Q24" s="163">
        <v>2</v>
      </c>
      <c r="R24" s="164">
        <v>8</v>
      </c>
      <c r="S24" s="161"/>
      <c r="AB24">
        <v>0.9</v>
      </c>
      <c r="AC24" s="145">
        <v>1</v>
      </c>
      <c r="AD24" s="165">
        <v>1</v>
      </c>
      <c r="AE24" s="49">
        <v>21</v>
      </c>
    </row>
    <row r="25" spans="1:31" ht="15.6" thickBot="1" x14ac:dyDescent="0.3">
      <c r="A25">
        <v>68</v>
      </c>
      <c r="B25">
        <v>12</v>
      </c>
      <c r="C25">
        <v>2</v>
      </c>
      <c r="D25">
        <v>6</v>
      </c>
      <c r="E25">
        <v>2</v>
      </c>
      <c r="P25" s="158">
        <v>3</v>
      </c>
      <c r="Q25" s="166">
        <v>3</v>
      </c>
      <c r="R25" s="167">
        <v>9</v>
      </c>
      <c r="S25" s="161"/>
      <c r="AB25">
        <v>0.9</v>
      </c>
      <c r="AC25" s="145">
        <v>4</v>
      </c>
      <c r="AD25" s="151">
        <v>4</v>
      </c>
      <c r="AE25" s="49">
        <v>22</v>
      </c>
    </row>
    <row r="26" spans="1:31" ht="15.6" thickBot="1" x14ac:dyDescent="0.3">
      <c r="A26">
        <v>3</v>
      </c>
      <c r="B26">
        <v>1</v>
      </c>
      <c r="C26">
        <v>3</v>
      </c>
      <c r="D26">
        <v>1</v>
      </c>
      <c r="E26">
        <v>10</v>
      </c>
      <c r="L26" t="s">
        <v>84</v>
      </c>
      <c r="P26" s="158">
        <v>4</v>
      </c>
      <c r="Q26" s="168">
        <v>4</v>
      </c>
      <c r="R26" s="169">
        <v>10</v>
      </c>
      <c r="S26" s="161"/>
      <c r="AB26">
        <v>0.9</v>
      </c>
      <c r="AC26" s="142">
        <v>3</v>
      </c>
      <c r="AD26" s="170">
        <v>3</v>
      </c>
      <c r="AE26" s="49">
        <v>23</v>
      </c>
    </row>
    <row r="27" spans="1:31" ht="15.6" thickBot="1" x14ac:dyDescent="0.3">
      <c r="A27">
        <v>9</v>
      </c>
      <c r="B27">
        <v>2</v>
      </c>
      <c r="C27">
        <v>3</v>
      </c>
      <c r="D27">
        <v>1</v>
      </c>
      <c r="E27">
        <v>9</v>
      </c>
      <c r="P27" s="158">
        <v>5</v>
      </c>
      <c r="Q27" s="171">
        <v>5</v>
      </c>
      <c r="R27" s="172">
        <v>11</v>
      </c>
      <c r="S27" s="161"/>
      <c r="AB27">
        <v>4</v>
      </c>
      <c r="AC27" s="152">
        <v>3</v>
      </c>
      <c r="AD27" s="173">
        <v>9</v>
      </c>
      <c r="AE27" s="174">
        <v>24</v>
      </c>
    </row>
    <row r="28" spans="1:31" ht="15.6" thickBot="1" x14ac:dyDescent="0.3">
      <c r="A28">
        <v>15</v>
      </c>
      <c r="B28">
        <v>3</v>
      </c>
      <c r="C28">
        <v>3</v>
      </c>
      <c r="D28">
        <v>2</v>
      </c>
      <c r="E28">
        <v>3</v>
      </c>
      <c r="P28" s="158">
        <v>6</v>
      </c>
      <c r="Q28" s="175">
        <v>6</v>
      </c>
      <c r="R28" s="176">
        <v>12</v>
      </c>
      <c r="S28" s="161"/>
      <c r="AB28">
        <v>4</v>
      </c>
      <c r="AC28" s="68">
        <v>1</v>
      </c>
      <c r="AD28" s="177">
        <v>7</v>
      </c>
      <c r="AE28" s="70">
        <v>25</v>
      </c>
    </row>
    <row r="29" spans="1:31" ht="15.6" thickBot="1" x14ac:dyDescent="0.3">
      <c r="A29">
        <v>21</v>
      </c>
      <c r="B29">
        <v>4</v>
      </c>
      <c r="C29">
        <v>3</v>
      </c>
      <c r="D29">
        <v>2</v>
      </c>
      <c r="E29">
        <v>10</v>
      </c>
      <c r="AB29">
        <v>4</v>
      </c>
      <c r="AC29" s="71">
        <v>6</v>
      </c>
      <c r="AD29" s="98">
        <v>12</v>
      </c>
      <c r="AE29" s="54">
        <v>26</v>
      </c>
    </row>
    <row r="30" spans="1:31" ht="16.2" thickBot="1" x14ac:dyDescent="0.3">
      <c r="A30">
        <v>27</v>
      </c>
      <c r="B30">
        <v>5</v>
      </c>
      <c r="C30">
        <v>3</v>
      </c>
      <c r="D30">
        <v>3</v>
      </c>
      <c r="E30">
        <v>4</v>
      </c>
      <c r="AB30">
        <v>4</v>
      </c>
      <c r="AC30" s="178">
        <v>4</v>
      </c>
      <c r="AD30" s="72">
        <v>10</v>
      </c>
      <c r="AE30" s="54">
        <v>27</v>
      </c>
    </row>
    <row r="31" spans="1:31" ht="15.6" thickBot="1" x14ac:dyDescent="0.3">
      <c r="A31">
        <v>33</v>
      </c>
      <c r="B31">
        <v>6</v>
      </c>
      <c r="C31">
        <v>3</v>
      </c>
      <c r="D31">
        <v>3</v>
      </c>
      <c r="E31">
        <v>8</v>
      </c>
      <c r="AB31">
        <v>0.9</v>
      </c>
      <c r="AC31" s="71">
        <v>2</v>
      </c>
      <c r="AD31" s="86">
        <v>2</v>
      </c>
      <c r="AE31" s="54">
        <v>28</v>
      </c>
    </row>
    <row r="32" spans="1:31" ht="15.6" thickBot="1" x14ac:dyDescent="0.3">
      <c r="A32">
        <v>39</v>
      </c>
      <c r="B32">
        <v>7</v>
      </c>
      <c r="C32">
        <v>3</v>
      </c>
      <c r="D32">
        <v>4</v>
      </c>
      <c r="E32">
        <v>10</v>
      </c>
      <c r="AB32">
        <v>0.9</v>
      </c>
      <c r="AC32" s="71">
        <v>6</v>
      </c>
      <c r="AD32" s="179">
        <v>6</v>
      </c>
      <c r="AE32" s="54">
        <v>29</v>
      </c>
    </row>
    <row r="33" spans="1:31" ht="15.6" thickBot="1" x14ac:dyDescent="0.3">
      <c r="A33">
        <v>45</v>
      </c>
      <c r="B33">
        <v>8</v>
      </c>
      <c r="C33">
        <v>3</v>
      </c>
      <c r="D33">
        <v>4</v>
      </c>
      <c r="E33">
        <v>8</v>
      </c>
      <c r="AB33">
        <v>4</v>
      </c>
      <c r="AC33" s="110">
        <v>2</v>
      </c>
      <c r="AD33" s="180">
        <v>8</v>
      </c>
      <c r="AE33" s="54">
        <v>30</v>
      </c>
    </row>
    <row r="34" spans="1:31" ht="16.2" thickBot="1" x14ac:dyDescent="0.3">
      <c r="A34">
        <v>51</v>
      </c>
      <c r="B34">
        <v>9</v>
      </c>
      <c r="C34">
        <v>3</v>
      </c>
      <c r="D34">
        <v>5</v>
      </c>
      <c r="E34">
        <v>2</v>
      </c>
      <c r="AB34">
        <v>4</v>
      </c>
      <c r="AC34" s="136">
        <v>5</v>
      </c>
      <c r="AD34" s="181">
        <v>11</v>
      </c>
      <c r="AE34" s="70">
        <v>31</v>
      </c>
    </row>
    <row r="35" spans="1:31" ht="16.2" thickBot="1" x14ac:dyDescent="0.3">
      <c r="A35">
        <v>57</v>
      </c>
      <c r="B35">
        <v>10</v>
      </c>
      <c r="C35">
        <v>3</v>
      </c>
      <c r="D35">
        <v>5</v>
      </c>
      <c r="E35">
        <v>7</v>
      </c>
      <c r="AB35">
        <v>4</v>
      </c>
      <c r="AC35" s="178">
        <v>6</v>
      </c>
      <c r="AD35" s="98">
        <v>12</v>
      </c>
      <c r="AE35" s="54">
        <v>32</v>
      </c>
    </row>
    <row r="36" spans="1:31" ht="15.6" thickBot="1" x14ac:dyDescent="0.3">
      <c r="A36">
        <v>63</v>
      </c>
      <c r="B36">
        <v>11</v>
      </c>
      <c r="C36">
        <v>3</v>
      </c>
      <c r="D36">
        <v>6</v>
      </c>
      <c r="E36">
        <v>6</v>
      </c>
      <c r="AB36">
        <v>4</v>
      </c>
      <c r="AC36" s="71">
        <v>1</v>
      </c>
      <c r="AD36" s="182">
        <v>7</v>
      </c>
      <c r="AE36" s="54">
        <v>33</v>
      </c>
    </row>
    <row r="37" spans="1:31" ht="15.6" thickBot="1" x14ac:dyDescent="0.3">
      <c r="A37">
        <v>69</v>
      </c>
      <c r="B37">
        <v>12</v>
      </c>
      <c r="C37">
        <v>3</v>
      </c>
      <c r="D37">
        <v>6</v>
      </c>
      <c r="E37">
        <v>7</v>
      </c>
      <c r="AB37">
        <v>0.9</v>
      </c>
      <c r="AC37" s="71">
        <v>3</v>
      </c>
      <c r="AD37" s="183">
        <v>3</v>
      </c>
      <c r="AE37" s="54">
        <v>34</v>
      </c>
    </row>
    <row r="38" spans="1:31" ht="16.2" thickBot="1" x14ac:dyDescent="0.3">
      <c r="A38">
        <v>4</v>
      </c>
      <c r="B38">
        <v>1</v>
      </c>
      <c r="C38">
        <v>4</v>
      </c>
      <c r="D38">
        <v>1</v>
      </c>
      <c r="E38">
        <v>2</v>
      </c>
      <c r="AB38">
        <v>0.9</v>
      </c>
      <c r="AC38" s="136">
        <v>4</v>
      </c>
      <c r="AD38" s="184">
        <v>4</v>
      </c>
      <c r="AE38" s="138">
        <v>35</v>
      </c>
    </row>
    <row r="39" spans="1:31" ht="16.2" thickBot="1" x14ac:dyDescent="0.3">
      <c r="A39">
        <v>10</v>
      </c>
      <c r="B39">
        <v>2</v>
      </c>
      <c r="C39">
        <v>4</v>
      </c>
      <c r="D39">
        <v>1</v>
      </c>
      <c r="E39">
        <v>8</v>
      </c>
      <c r="AB39">
        <v>4</v>
      </c>
      <c r="AC39" s="110">
        <v>4</v>
      </c>
      <c r="AD39" s="185">
        <v>10</v>
      </c>
      <c r="AE39" s="141">
        <v>36</v>
      </c>
    </row>
    <row r="40" spans="1:31" ht="16.2" thickBot="1" x14ac:dyDescent="0.3">
      <c r="A40">
        <v>16</v>
      </c>
      <c r="B40">
        <v>3</v>
      </c>
      <c r="C40">
        <v>4</v>
      </c>
      <c r="D40">
        <v>2</v>
      </c>
      <c r="E40">
        <v>9</v>
      </c>
      <c r="AB40">
        <v>0.9</v>
      </c>
      <c r="AC40" s="136">
        <v>6</v>
      </c>
      <c r="AD40" s="186">
        <v>6</v>
      </c>
      <c r="AE40" s="187">
        <v>37</v>
      </c>
    </row>
    <row r="41" spans="1:31" ht="16.2" thickBot="1" x14ac:dyDescent="0.3">
      <c r="A41">
        <v>22</v>
      </c>
      <c r="B41">
        <v>4</v>
      </c>
      <c r="C41">
        <v>4</v>
      </c>
      <c r="D41">
        <v>2</v>
      </c>
      <c r="E41">
        <v>2</v>
      </c>
      <c r="AB41">
        <v>0.9</v>
      </c>
      <c r="AC41" s="178">
        <v>5</v>
      </c>
      <c r="AD41" s="188">
        <v>5</v>
      </c>
      <c r="AE41" s="189">
        <v>38</v>
      </c>
    </row>
    <row r="42" spans="1:31" ht="15.6" thickBot="1" x14ac:dyDescent="0.3">
      <c r="A42">
        <v>28</v>
      </c>
      <c r="B42">
        <v>5</v>
      </c>
      <c r="C42">
        <v>4</v>
      </c>
      <c r="D42">
        <v>3</v>
      </c>
      <c r="E42">
        <v>1</v>
      </c>
      <c r="AB42">
        <v>0.9</v>
      </c>
      <c r="AC42" s="71">
        <v>1</v>
      </c>
      <c r="AD42" s="190">
        <v>1</v>
      </c>
      <c r="AE42" s="49">
        <v>39</v>
      </c>
    </row>
    <row r="43" spans="1:31" ht="15.6" thickBot="1" x14ac:dyDescent="0.3">
      <c r="A43">
        <v>34</v>
      </c>
      <c r="B43">
        <v>6</v>
      </c>
      <c r="C43">
        <v>4</v>
      </c>
      <c r="D43">
        <v>3</v>
      </c>
      <c r="E43">
        <v>2</v>
      </c>
      <c r="AB43">
        <v>0.9</v>
      </c>
      <c r="AC43" s="71">
        <v>2</v>
      </c>
      <c r="AD43" s="191">
        <v>2</v>
      </c>
      <c r="AE43" s="49">
        <v>40</v>
      </c>
    </row>
    <row r="44" spans="1:31" ht="15.6" thickBot="1" x14ac:dyDescent="0.3">
      <c r="A44">
        <v>40</v>
      </c>
      <c r="B44">
        <v>7</v>
      </c>
      <c r="C44">
        <v>4</v>
      </c>
      <c r="D44">
        <v>4</v>
      </c>
      <c r="E44">
        <v>7</v>
      </c>
      <c r="AB44">
        <v>4</v>
      </c>
      <c r="AC44" s="71">
        <v>2</v>
      </c>
      <c r="AD44" s="192">
        <v>8</v>
      </c>
      <c r="AE44" s="49">
        <v>41</v>
      </c>
    </row>
    <row r="45" spans="1:31" ht="15.6" thickBot="1" x14ac:dyDescent="0.3">
      <c r="A45">
        <v>46</v>
      </c>
      <c r="B45">
        <v>8</v>
      </c>
      <c r="C45">
        <v>4</v>
      </c>
      <c r="D45">
        <v>4</v>
      </c>
      <c r="E45">
        <v>2</v>
      </c>
      <c r="AB45">
        <v>4</v>
      </c>
      <c r="AC45" s="110">
        <v>3</v>
      </c>
      <c r="AD45" s="193">
        <v>9</v>
      </c>
      <c r="AE45" s="49">
        <v>42</v>
      </c>
    </row>
    <row r="46" spans="1:31" ht="15.6" thickBot="1" x14ac:dyDescent="0.3">
      <c r="A46">
        <v>52</v>
      </c>
      <c r="B46">
        <v>9</v>
      </c>
      <c r="C46">
        <v>4</v>
      </c>
      <c r="D46">
        <v>5</v>
      </c>
      <c r="E46">
        <v>1</v>
      </c>
      <c r="AB46">
        <v>0.9</v>
      </c>
      <c r="AC46" s="68">
        <v>1</v>
      </c>
      <c r="AD46" s="194">
        <v>1</v>
      </c>
      <c r="AE46" s="195">
        <v>43</v>
      </c>
    </row>
    <row r="47" spans="1:31" ht="15.6" thickBot="1" x14ac:dyDescent="0.3">
      <c r="A47">
        <v>58</v>
      </c>
      <c r="B47">
        <v>10</v>
      </c>
      <c r="C47">
        <v>4</v>
      </c>
      <c r="D47">
        <v>5</v>
      </c>
      <c r="E47">
        <v>6</v>
      </c>
      <c r="AB47">
        <v>0.9</v>
      </c>
      <c r="AC47" s="71">
        <v>4</v>
      </c>
      <c r="AD47" s="151">
        <v>4</v>
      </c>
      <c r="AE47" s="49">
        <v>44</v>
      </c>
    </row>
    <row r="48" spans="1:31" ht="15.6" thickBot="1" x14ac:dyDescent="0.3">
      <c r="A48">
        <v>64</v>
      </c>
      <c r="B48">
        <v>11</v>
      </c>
      <c r="C48">
        <v>4</v>
      </c>
      <c r="D48">
        <v>6</v>
      </c>
      <c r="E48">
        <v>8</v>
      </c>
      <c r="AB48">
        <v>4</v>
      </c>
      <c r="AC48" s="71">
        <v>3</v>
      </c>
      <c r="AD48" s="196">
        <v>9</v>
      </c>
      <c r="AE48" s="49">
        <v>45</v>
      </c>
    </row>
    <row r="49" spans="1:31" ht="15.6" thickBot="1" x14ac:dyDescent="0.3">
      <c r="A49">
        <v>70</v>
      </c>
      <c r="B49">
        <v>12</v>
      </c>
      <c r="C49">
        <v>4</v>
      </c>
      <c r="D49">
        <v>6</v>
      </c>
      <c r="E49">
        <v>5</v>
      </c>
      <c r="AB49">
        <v>0.9</v>
      </c>
      <c r="AC49" s="71">
        <v>3</v>
      </c>
      <c r="AD49" s="148">
        <v>3</v>
      </c>
      <c r="AE49" s="49">
        <v>46</v>
      </c>
    </row>
    <row r="50" spans="1:31" ht="15.6" thickBot="1" x14ac:dyDescent="0.3">
      <c r="A50">
        <v>5</v>
      </c>
      <c r="B50">
        <v>1</v>
      </c>
      <c r="C50">
        <v>5</v>
      </c>
      <c r="D50">
        <v>1</v>
      </c>
      <c r="E50">
        <v>6</v>
      </c>
      <c r="AB50">
        <v>0.9</v>
      </c>
      <c r="AC50" s="68">
        <v>5</v>
      </c>
      <c r="AD50" s="197">
        <v>5</v>
      </c>
      <c r="AE50" s="49">
        <v>47</v>
      </c>
    </row>
    <row r="51" spans="1:31" ht="15.6" thickBot="1" x14ac:dyDescent="0.3">
      <c r="A51">
        <v>11</v>
      </c>
      <c r="B51">
        <v>2</v>
      </c>
      <c r="C51">
        <v>5</v>
      </c>
      <c r="D51">
        <v>1</v>
      </c>
      <c r="E51">
        <v>1</v>
      </c>
      <c r="AB51">
        <v>4</v>
      </c>
      <c r="AC51" s="110">
        <v>5</v>
      </c>
      <c r="AD51" s="198">
        <v>11</v>
      </c>
      <c r="AE51" s="174">
        <v>48</v>
      </c>
    </row>
    <row r="52" spans="1:31" ht="15.6" thickBot="1" x14ac:dyDescent="0.3">
      <c r="A52">
        <v>17</v>
      </c>
      <c r="B52">
        <v>3</v>
      </c>
      <c r="C52">
        <v>5</v>
      </c>
      <c r="D52">
        <v>2</v>
      </c>
      <c r="E52">
        <v>4</v>
      </c>
      <c r="AB52">
        <v>0.9</v>
      </c>
      <c r="AC52" s="142">
        <v>5</v>
      </c>
      <c r="AD52" s="69">
        <v>5</v>
      </c>
      <c r="AE52" s="70">
        <v>49</v>
      </c>
    </row>
    <row r="53" spans="1:31" ht="15.6" thickBot="1" x14ac:dyDescent="0.3">
      <c r="A53">
        <v>23</v>
      </c>
      <c r="B53">
        <v>4</v>
      </c>
      <c r="C53">
        <v>5</v>
      </c>
      <c r="D53">
        <v>2</v>
      </c>
      <c r="E53">
        <v>6</v>
      </c>
      <c r="AB53">
        <v>0.9</v>
      </c>
      <c r="AC53" s="145">
        <v>4</v>
      </c>
      <c r="AD53" s="199">
        <v>4</v>
      </c>
      <c r="AE53" s="54">
        <v>50</v>
      </c>
    </row>
    <row r="54" spans="1:31" ht="16.2" thickBot="1" x14ac:dyDescent="0.3">
      <c r="A54">
        <v>29</v>
      </c>
      <c r="B54">
        <v>5</v>
      </c>
      <c r="C54">
        <v>5</v>
      </c>
      <c r="D54">
        <v>3</v>
      </c>
      <c r="E54">
        <v>11</v>
      </c>
      <c r="AB54">
        <v>4</v>
      </c>
      <c r="AC54" s="200">
        <v>3</v>
      </c>
      <c r="AD54" s="201">
        <v>9</v>
      </c>
      <c r="AE54" s="54">
        <v>51</v>
      </c>
    </row>
    <row r="55" spans="1:31" ht="15.6" thickBot="1" x14ac:dyDescent="0.3">
      <c r="A55">
        <v>35</v>
      </c>
      <c r="B55">
        <v>6</v>
      </c>
      <c r="C55">
        <v>5</v>
      </c>
      <c r="D55">
        <v>3</v>
      </c>
      <c r="E55">
        <v>12</v>
      </c>
      <c r="AB55">
        <v>4</v>
      </c>
      <c r="AC55" s="145">
        <v>2</v>
      </c>
      <c r="AD55" s="74">
        <v>8</v>
      </c>
      <c r="AE55" s="54">
        <v>52</v>
      </c>
    </row>
    <row r="56" spans="1:31" ht="15.6" thickBot="1" x14ac:dyDescent="0.3">
      <c r="A56">
        <v>41</v>
      </c>
      <c r="B56">
        <v>7</v>
      </c>
      <c r="C56">
        <v>5</v>
      </c>
      <c r="D56">
        <v>4</v>
      </c>
      <c r="E56">
        <v>3</v>
      </c>
      <c r="AB56">
        <v>0.9</v>
      </c>
      <c r="AC56" s="145">
        <v>1</v>
      </c>
      <c r="AD56" s="202">
        <v>1</v>
      </c>
      <c r="AE56" s="54">
        <v>53</v>
      </c>
    </row>
    <row r="57" spans="1:31" ht="15.6" thickBot="1" x14ac:dyDescent="0.3">
      <c r="A57">
        <v>47</v>
      </c>
      <c r="B57">
        <v>8</v>
      </c>
      <c r="C57">
        <v>5</v>
      </c>
      <c r="D57">
        <v>4</v>
      </c>
      <c r="E57">
        <v>1</v>
      </c>
      <c r="AB57">
        <v>4</v>
      </c>
      <c r="AC57" s="152">
        <v>1</v>
      </c>
      <c r="AD57" s="203">
        <v>7</v>
      </c>
      <c r="AE57" s="54">
        <v>54</v>
      </c>
    </row>
    <row r="58" spans="1:31" ht="15.6" thickBot="1" x14ac:dyDescent="0.3">
      <c r="A58">
        <v>53</v>
      </c>
      <c r="B58">
        <v>9</v>
      </c>
      <c r="C58">
        <v>5</v>
      </c>
      <c r="D58">
        <v>5</v>
      </c>
      <c r="E58">
        <v>9</v>
      </c>
      <c r="AB58">
        <v>0.9</v>
      </c>
      <c r="AC58" s="142">
        <v>5</v>
      </c>
      <c r="AD58" s="135">
        <v>5</v>
      </c>
      <c r="AE58" s="70">
        <v>55</v>
      </c>
    </row>
    <row r="59" spans="1:31" ht="15.6" thickBot="1" x14ac:dyDescent="0.3">
      <c r="A59">
        <v>59</v>
      </c>
      <c r="B59">
        <v>10</v>
      </c>
      <c r="C59">
        <v>5</v>
      </c>
      <c r="D59">
        <v>5</v>
      </c>
      <c r="E59">
        <v>4</v>
      </c>
      <c r="AB59">
        <v>0.9</v>
      </c>
      <c r="AC59" s="145">
        <v>6</v>
      </c>
      <c r="AD59" s="179">
        <v>6</v>
      </c>
      <c r="AE59" s="54">
        <v>56</v>
      </c>
    </row>
    <row r="60" spans="1:31" ht="15.6" thickBot="1" x14ac:dyDescent="0.3">
      <c r="A60">
        <v>65</v>
      </c>
      <c r="B60">
        <v>11</v>
      </c>
      <c r="C60">
        <v>5</v>
      </c>
      <c r="D60">
        <v>6</v>
      </c>
      <c r="E60">
        <v>10</v>
      </c>
      <c r="AB60">
        <v>4</v>
      </c>
      <c r="AC60" s="145">
        <v>2</v>
      </c>
      <c r="AD60" s="74">
        <v>8</v>
      </c>
      <c r="AE60" s="54">
        <v>57</v>
      </c>
    </row>
    <row r="61" spans="1:31" ht="15.6" thickBot="1" x14ac:dyDescent="0.3">
      <c r="A61">
        <v>71</v>
      </c>
      <c r="B61">
        <v>12</v>
      </c>
      <c r="C61">
        <v>5</v>
      </c>
      <c r="D61">
        <v>6</v>
      </c>
      <c r="E61">
        <v>3</v>
      </c>
      <c r="AB61">
        <v>0.9</v>
      </c>
      <c r="AC61" s="145">
        <v>2</v>
      </c>
      <c r="AD61" s="86">
        <v>2</v>
      </c>
      <c r="AE61" s="54">
        <v>58</v>
      </c>
    </row>
    <row r="62" spans="1:31" ht="16.2" thickBot="1" x14ac:dyDescent="0.3">
      <c r="A62">
        <v>6</v>
      </c>
      <c r="B62">
        <v>1</v>
      </c>
      <c r="C62">
        <v>6</v>
      </c>
      <c r="D62">
        <v>1</v>
      </c>
      <c r="E62">
        <v>11</v>
      </c>
      <c r="AB62">
        <v>0.9</v>
      </c>
      <c r="AC62" s="204">
        <v>1</v>
      </c>
      <c r="AD62" s="205">
        <v>1</v>
      </c>
      <c r="AE62" s="138">
        <v>59</v>
      </c>
    </row>
    <row r="63" spans="1:31" ht="16.2" thickBot="1" x14ac:dyDescent="0.3">
      <c r="A63">
        <v>12</v>
      </c>
      <c r="B63">
        <v>2</v>
      </c>
      <c r="C63">
        <v>6</v>
      </c>
      <c r="D63">
        <v>1</v>
      </c>
      <c r="E63">
        <v>7</v>
      </c>
      <c r="AB63">
        <v>4</v>
      </c>
      <c r="AC63" s="152">
        <v>5</v>
      </c>
      <c r="AD63" s="206">
        <v>11</v>
      </c>
      <c r="AE63" s="141">
        <v>60</v>
      </c>
    </row>
    <row r="64" spans="1:31" ht="16.2" thickBot="1" x14ac:dyDescent="0.3">
      <c r="A64">
        <v>18</v>
      </c>
      <c r="B64">
        <v>3</v>
      </c>
      <c r="C64">
        <v>6</v>
      </c>
      <c r="D64">
        <v>2</v>
      </c>
      <c r="E64">
        <v>1</v>
      </c>
      <c r="AB64">
        <v>4</v>
      </c>
      <c r="AC64" s="68">
        <v>6</v>
      </c>
      <c r="AD64" s="207">
        <v>12</v>
      </c>
      <c r="AE64" s="144">
        <v>61</v>
      </c>
    </row>
    <row r="65" spans="1:31" ht="16.2" thickBot="1" x14ac:dyDescent="0.3">
      <c r="A65">
        <v>24</v>
      </c>
      <c r="B65">
        <v>4</v>
      </c>
      <c r="C65">
        <v>6</v>
      </c>
      <c r="D65">
        <v>2</v>
      </c>
      <c r="E65">
        <v>8</v>
      </c>
      <c r="AB65">
        <v>0.9</v>
      </c>
      <c r="AC65" s="178">
        <v>3</v>
      </c>
      <c r="AD65" s="208">
        <v>3</v>
      </c>
      <c r="AE65" s="147">
        <v>62</v>
      </c>
    </row>
    <row r="66" spans="1:31" ht="16.2" thickBot="1" x14ac:dyDescent="0.3">
      <c r="A66">
        <v>30</v>
      </c>
      <c r="B66">
        <v>5</v>
      </c>
      <c r="C66">
        <v>6</v>
      </c>
      <c r="D66">
        <v>3</v>
      </c>
      <c r="E66">
        <v>7</v>
      </c>
      <c r="AB66">
        <v>4</v>
      </c>
      <c r="AC66" s="178">
        <v>1</v>
      </c>
      <c r="AD66" s="209">
        <v>7</v>
      </c>
      <c r="AE66" s="149">
        <v>63</v>
      </c>
    </row>
    <row r="67" spans="1:31" ht="15.6" thickBot="1" x14ac:dyDescent="0.3">
      <c r="A67">
        <v>36</v>
      </c>
      <c r="B67">
        <v>6</v>
      </c>
      <c r="C67">
        <v>6</v>
      </c>
      <c r="D67">
        <v>3</v>
      </c>
      <c r="E67">
        <v>6</v>
      </c>
      <c r="AB67">
        <v>4</v>
      </c>
      <c r="AC67" s="71">
        <v>4</v>
      </c>
      <c r="AD67" s="210">
        <v>10</v>
      </c>
      <c r="AE67" s="149">
        <v>64</v>
      </c>
    </row>
    <row r="68" spans="1:31" ht="15.6" thickBot="1" x14ac:dyDescent="0.3">
      <c r="A68">
        <v>42</v>
      </c>
      <c r="B68">
        <v>7</v>
      </c>
      <c r="C68">
        <v>6</v>
      </c>
      <c r="D68">
        <v>4</v>
      </c>
      <c r="E68">
        <v>4</v>
      </c>
      <c r="AB68">
        <v>0.9</v>
      </c>
      <c r="AC68" s="71">
        <v>4</v>
      </c>
      <c r="AD68" s="151">
        <v>4</v>
      </c>
      <c r="AE68" s="149">
        <v>65</v>
      </c>
    </row>
    <row r="69" spans="1:31" ht="15.6" thickBot="1" x14ac:dyDescent="0.3">
      <c r="A69">
        <v>48</v>
      </c>
      <c r="B69">
        <v>8</v>
      </c>
      <c r="C69">
        <v>6</v>
      </c>
      <c r="D69">
        <v>4</v>
      </c>
      <c r="E69">
        <v>11</v>
      </c>
      <c r="AB69">
        <v>4</v>
      </c>
      <c r="AC69" s="110">
        <v>3</v>
      </c>
      <c r="AD69" s="173">
        <v>9</v>
      </c>
      <c r="AE69" s="149">
        <v>66</v>
      </c>
    </row>
    <row r="70" spans="1:31" ht="15.6" thickBot="1" x14ac:dyDescent="0.3">
      <c r="A70">
        <v>54</v>
      </c>
      <c r="B70">
        <v>9</v>
      </c>
      <c r="C70">
        <v>6</v>
      </c>
      <c r="D70">
        <v>5</v>
      </c>
      <c r="E70">
        <v>3</v>
      </c>
      <c r="AB70">
        <v>4</v>
      </c>
      <c r="AC70" s="68">
        <v>5</v>
      </c>
      <c r="AD70" s="162">
        <v>11</v>
      </c>
      <c r="AE70" s="211">
        <v>67</v>
      </c>
    </row>
    <row r="71" spans="1:31" ht="15.6" thickBot="1" x14ac:dyDescent="0.3">
      <c r="A71">
        <v>60</v>
      </c>
      <c r="B71">
        <v>10</v>
      </c>
      <c r="C71">
        <v>6</v>
      </c>
      <c r="D71">
        <v>5</v>
      </c>
      <c r="E71">
        <v>10</v>
      </c>
      <c r="AB71">
        <v>0.9</v>
      </c>
      <c r="AC71" s="71">
        <v>6</v>
      </c>
      <c r="AD71" s="150">
        <v>6</v>
      </c>
      <c r="AE71" s="149">
        <v>68</v>
      </c>
    </row>
    <row r="72" spans="1:31" ht="15.6" thickBot="1" x14ac:dyDescent="0.3">
      <c r="A72">
        <v>66</v>
      </c>
      <c r="B72">
        <v>11</v>
      </c>
      <c r="C72">
        <v>6</v>
      </c>
      <c r="D72">
        <v>6</v>
      </c>
      <c r="E72">
        <v>9</v>
      </c>
      <c r="AB72">
        <v>0.9</v>
      </c>
      <c r="AC72" s="71">
        <v>2</v>
      </c>
      <c r="AD72" s="212">
        <v>2</v>
      </c>
      <c r="AE72" s="149">
        <v>69</v>
      </c>
    </row>
    <row r="73" spans="1:31" ht="15.6" thickBot="1" x14ac:dyDescent="0.3">
      <c r="A73">
        <v>72</v>
      </c>
      <c r="B73">
        <v>12</v>
      </c>
      <c r="C73">
        <v>6</v>
      </c>
      <c r="D73">
        <v>6</v>
      </c>
      <c r="E73">
        <v>11</v>
      </c>
      <c r="AB73">
        <v>4</v>
      </c>
      <c r="AC73" s="71">
        <v>4</v>
      </c>
      <c r="AD73" s="210">
        <v>10</v>
      </c>
      <c r="AE73" s="149">
        <v>70</v>
      </c>
    </row>
    <row r="74" spans="1:31" ht="15.6" thickBot="1" x14ac:dyDescent="0.3">
      <c r="AB74">
        <v>4</v>
      </c>
      <c r="AC74" s="68">
        <v>6</v>
      </c>
      <c r="AD74" s="213">
        <v>12</v>
      </c>
      <c r="AE74" s="149">
        <v>71</v>
      </c>
    </row>
    <row r="75" spans="1:31" ht="15.6" thickBot="1" x14ac:dyDescent="0.3">
      <c r="AB75">
        <v>0.9</v>
      </c>
      <c r="AC75" s="110">
        <v>3</v>
      </c>
      <c r="AD75" s="214">
        <v>3</v>
      </c>
      <c r="AE75" s="154">
        <v>72</v>
      </c>
    </row>
  </sheetData>
  <autoFilter ref="AB3:AE75" xr:uid="{00000000-0009-0000-0000-000003000000}">
    <sortState xmlns:xlrd2="http://schemas.microsoft.com/office/spreadsheetml/2017/richdata2" ref="AB4:AE75">
      <sortCondition ref="AE3:AE75"/>
    </sortState>
  </autoFilter>
  <mergeCells count="2">
    <mergeCell ref="Z6:AA6"/>
    <mergeCell ref="R22:S2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Fertilizer_solutions</vt:lpstr>
      <vt:lpstr>N_irrigation</vt:lpstr>
      <vt:lpstr>EC_irrigation</vt:lpstr>
      <vt:lpstr>Drainage_Irr_WaterBalance</vt:lpstr>
      <vt:lpstr>Drainage_N_EC</vt:lpstr>
      <vt:lpstr>Discharge </vt:lpstr>
      <vt:lpstr>test_iael</vt:lpstr>
      <vt:lpstr>Timeline</vt:lpstr>
      <vt:lpstr>replicated design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Iael Raij Hoffman</dc:creator>
  <cp:keywords/>
  <dc:description/>
  <cp:lastModifiedBy>Iael Raij Hoffman</cp:lastModifiedBy>
  <cp:revision/>
  <dcterms:created xsi:type="dcterms:W3CDTF">2023-10-22T10:28:20Z</dcterms:created>
  <dcterms:modified xsi:type="dcterms:W3CDTF">2024-01-16T13:47:01Z</dcterms:modified>
  <cp:category/>
  <cp:contentStatus/>
</cp:coreProperties>
</file>