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d.docs.live.net/f304f79f068e311c/Universitaet/HiWi/Sprint_2020/Publications/2_Publication_Data/2_PNEC/"/>
    </mc:Choice>
  </mc:AlternateContent>
  <xr:revisionPtr revIDLastSave="185" documentId="8_{1CDD6921-98D4-4333-B61B-C2FF6EF60AF1}" xr6:coauthVersionLast="47" xr6:coauthVersionMax="47" xr10:uidLastSave="{12D26C41-8AEA-4D77-93D5-ABF29D115E85}"/>
  <bookViews>
    <workbookView xWindow="57480" yWindow="-120" windowWidth="29040" windowHeight="15840" firstSheet="1" activeTab="1" xr2:uid="{00000000-000D-0000-FFFF-FFFF00000000}"/>
  </bookViews>
  <sheets>
    <sheet name="Read me" sheetId="2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16" i="1" l="1"/>
  <c r="X56" i="1"/>
  <c r="X8" i="1"/>
  <c r="X9" i="1"/>
  <c r="X10" i="1"/>
  <c r="X11" i="1"/>
  <c r="X12" i="1"/>
  <c r="X13" i="1"/>
  <c r="X14" i="1"/>
  <c r="X15" i="1"/>
  <c r="X17" i="1"/>
  <c r="X18" i="1"/>
  <c r="X19" i="1"/>
  <c r="X20" i="1"/>
  <c r="X21" i="1"/>
  <c r="X22" i="1"/>
  <c r="X23" i="1"/>
  <c r="X24" i="1"/>
  <c r="X25" i="1"/>
  <c r="X26" i="1"/>
  <c r="X28" i="1"/>
  <c r="X29" i="1"/>
  <c r="X30" i="1"/>
  <c r="X32" i="1"/>
  <c r="X34" i="1"/>
  <c r="X35" i="1"/>
  <c r="X36" i="1"/>
  <c r="X37" i="1"/>
  <c r="X38" i="1"/>
  <c r="X39" i="1"/>
  <c r="X40" i="1"/>
  <c r="X41" i="1"/>
  <c r="X42" i="1"/>
  <c r="X49" i="1"/>
  <c r="X50" i="1"/>
  <c r="X51" i="1"/>
  <c r="X52" i="1"/>
  <c r="X53" i="1"/>
  <c r="X54" i="1"/>
  <c r="X55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80" i="1"/>
  <c r="X81" i="1"/>
  <c r="X82" i="1"/>
  <c r="X83" i="1"/>
  <c r="X84" i="1"/>
  <c r="X85" i="1"/>
  <c r="X87" i="1"/>
  <c r="X88" i="1"/>
  <c r="X89" i="1"/>
  <c r="X90" i="1"/>
  <c r="X91" i="1"/>
  <c r="X92" i="1"/>
  <c r="X93" i="1"/>
  <c r="X95" i="1"/>
  <c r="X96" i="1"/>
  <c r="X97" i="1"/>
  <c r="X98" i="1"/>
  <c r="X99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7" i="1"/>
  <c r="X119" i="1"/>
  <c r="X120" i="1"/>
  <c r="X121" i="1"/>
  <c r="X122" i="1"/>
  <c r="X123" i="1"/>
  <c r="X124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8" i="1"/>
  <c r="X150" i="1"/>
  <c r="X156" i="1"/>
  <c r="X157" i="1"/>
  <c r="X158" i="1"/>
  <c r="X159" i="1"/>
  <c r="X160" i="1"/>
  <c r="X161" i="1"/>
  <c r="X162" i="1"/>
  <c r="X164" i="1"/>
  <c r="X165" i="1"/>
  <c r="X166" i="1"/>
  <c r="X167" i="1"/>
  <c r="X168" i="1"/>
  <c r="X169" i="1"/>
  <c r="X170" i="1"/>
  <c r="X171" i="1"/>
  <c r="X172" i="1"/>
  <c r="X173" i="1"/>
  <c r="X175" i="1"/>
  <c r="X176" i="1"/>
  <c r="X177" i="1"/>
  <c r="X178" i="1"/>
  <c r="X179" i="1"/>
  <c r="X180" i="1"/>
  <c r="X181" i="1"/>
  <c r="X182" i="1"/>
  <c r="X185" i="1"/>
  <c r="X188" i="1"/>
  <c r="X190" i="1"/>
  <c r="X191" i="1"/>
  <c r="X192" i="1"/>
  <c r="X193" i="1"/>
  <c r="X194" i="1"/>
  <c r="X195" i="1"/>
  <c r="X196" i="1"/>
  <c r="X198" i="1"/>
  <c r="X199" i="1"/>
  <c r="X200" i="1"/>
  <c r="X201" i="1"/>
  <c r="X202" i="1"/>
  <c r="X203" i="1"/>
  <c r="X205" i="1"/>
  <c r="X206" i="1"/>
  <c r="X207" i="1"/>
  <c r="X208" i="1"/>
  <c r="X209" i="1"/>
  <c r="X7" i="1"/>
  <c r="X5" i="1"/>
  <c r="X4" i="1"/>
  <c r="X2" i="1"/>
  <c r="X3" i="1"/>
  <c r="R204" i="1"/>
  <c r="R158" i="1"/>
  <c r="R131" i="1"/>
  <c r="R130" i="1"/>
  <c r="F130" i="1"/>
  <c r="R126" i="1"/>
  <c r="F126" i="1"/>
  <c r="R94" i="1"/>
  <c r="F94" i="1"/>
  <c r="R75" i="1"/>
  <c r="R12" i="1"/>
  <c r="R2" i="1"/>
  <c r="F2" i="1"/>
  <c r="F209" i="1"/>
  <c r="F207" i="1"/>
  <c r="R206" i="1"/>
  <c r="F206" i="1"/>
  <c r="R205" i="1"/>
  <c r="F205" i="1"/>
  <c r="R203" i="1"/>
  <c r="F203" i="1"/>
  <c r="R202" i="1"/>
  <c r="F202" i="1"/>
  <c r="R201" i="1"/>
  <c r="F201" i="1"/>
  <c r="R200" i="1"/>
  <c r="F200" i="1"/>
  <c r="R199" i="1"/>
  <c r="F199" i="1"/>
  <c r="R198" i="1"/>
  <c r="F198" i="1"/>
  <c r="R197" i="1"/>
  <c r="F197" i="1"/>
  <c r="R196" i="1"/>
  <c r="F196" i="1"/>
  <c r="R195" i="1"/>
  <c r="F195" i="1"/>
  <c r="F194" i="1"/>
  <c r="F193" i="1"/>
  <c r="F192" i="1"/>
  <c r="R191" i="1"/>
  <c r="F191" i="1"/>
  <c r="R190" i="1"/>
  <c r="F190" i="1"/>
  <c r="R185" i="1"/>
  <c r="F185" i="1"/>
  <c r="F184" i="1"/>
  <c r="F183" i="1"/>
  <c r="R182" i="1"/>
  <c r="F182" i="1"/>
  <c r="R181" i="1"/>
  <c r="F181" i="1"/>
  <c r="R180" i="1"/>
  <c r="F180" i="1"/>
  <c r="R179" i="1"/>
  <c r="F179" i="1"/>
  <c r="R178" i="1"/>
  <c r="F178" i="1"/>
  <c r="R177" i="1"/>
  <c r="F177" i="1"/>
  <c r="R176" i="1"/>
  <c r="F176" i="1"/>
  <c r="R175" i="1"/>
  <c r="F175" i="1"/>
  <c r="F173" i="1"/>
  <c r="R172" i="1"/>
  <c r="F172" i="1"/>
  <c r="R171" i="1"/>
  <c r="F171" i="1"/>
  <c r="R170" i="1"/>
  <c r="F170" i="1"/>
  <c r="R169" i="1"/>
  <c r="F169" i="1"/>
  <c r="R168" i="1"/>
  <c r="F168" i="1"/>
  <c r="F167" i="1"/>
  <c r="F166" i="1"/>
  <c r="R165" i="1"/>
  <c r="F165" i="1"/>
  <c r="R164" i="1"/>
  <c r="F164" i="1"/>
  <c r="R163" i="1"/>
  <c r="F163" i="1"/>
  <c r="F162" i="1"/>
  <c r="R161" i="1"/>
  <c r="F161" i="1"/>
  <c r="R160" i="1"/>
  <c r="F160" i="1"/>
  <c r="F159" i="1"/>
  <c r="R156" i="1"/>
  <c r="F156" i="1"/>
  <c r="R152" i="1"/>
  <c r="F152" i="1"/>
  <c r="R150" i="1"/>
  <c r="F150" i="1"/>
  <c r="R149" i="1"/>
  <c r="F149" i="1"/>
  <c r="R148" i="1"/>
  <c r="F148" i="1"/>
  <c r="R146" i="1"/>
  <c r="F146" i="1"/>
  <c r="F145" i="1"/>
  <c r="R144" i="1"/>
  <c r="F144" i="1"/>
  <c r="R143" i="1"/>
  <c r="F143" i="1"/>
  <c r="F142" i="1"/>
  <c r="R141" i="1"/>
  <c r="F141" i="1"/>
  <c r="R140" i="1"/>
  <c r="F140" i="1"/>
  <c r="R139" i="1"/>
  <c r="F139" i="1"/>
  <c r="R138" i="1"/>
  <c r="F138" i="1"/>
  <c r="R137" i="1"/>
  <c r="F137" i="1"/>
  <c r="R136" i="1"/>
  <c r="F136" i="1"/>
  <c r="F135" i="1"/>
  <c r="R134" i="1"/>
  <c r="F134" i="1"/>
  <c r="F133" i="1"/>
  <c r="F132" i="1"/>
  <c r="R129" i="1"/>
  <c r="F129" i="1"/>
  <c r="F128" i="1"/>
  <c r="R127" i="1"/>
  <c r="F127" i="1"/>
  <c r="F124" i="1"/>
  <c r="R123" i="1"/>
  <c r="F123" i="1"/>
  <c r="R122" i="1"/>
  <c r="F122" i="1"/>
  <c r="R121" i="1"/>
  <c r="F121" i="1"/>
  <c r="R119" i="1"/>
  <c r="F119" i="1"/>
  <c r="R117" i="1"/>
  <c r="F117" i="1"/>
  <c r="R115" i="1"/>
  <c r="F115" i="1"/>
  <c r="F114" i="1"/>
  <c r="F113" i="1"/>
  <c r="R112" i="1"/>
  <c r="F112" i="1"/>
  <c r="R111" i="1"/>
  <c r="F111" i="1"/>
  <c r="F110" i="1"/>
  <c r="R109" i="1"/>
  <c r="F109" i="1"/>
  <c r="R108" i="1"/>
  <c r="F108" i="1"/>
  <c r="R107" i="1"/>
  <c r="F107" i="1"/>
  <c r="R106" i="1"/>
  <c r="F106" i="1"/>
  <c r="R105" i="1"/>
  <c r="F105" i="1"/>
  <c r="R104" i="1"/>
  <c r="F104" i="1"/>
  <c r="F103" i="1"/>
  <c r="R102" i="1"/>
  <c r="F102" i="1"/>
  <c r="R99" i="1"/>
  <c r="F99" i="1"/>
  <c r="R50" i="1"/>
  <c r="R10" i="1"/>
  <c r="R98" i="1"/>
  <c r="F98" i="1"/>
  <c r="F97" i="1"/>
  <c r="F96" i="1"/>
  <c r="R95" i="1"/>
  <c r="F95" i="1"/>
  <c r="R93" i="1"/>
  <c r="F93" i="1"/>
  <c r="R92" i="1"/>
  <c r="F92" i="1"/>
  <c r="R91" i="1"/>
  <c r="F91" i="1"/>
  <c r="R90" i="1"/>
  <c r="F90" i="1"/>
  <c r="R89" i="1"/>
  <c r="F89" i="1"/>
  <c r="R88" i="1"/>
  <c r="F88" i="1"/>
  <c r="R87" i="1"/>
  <c r="F87" i="1"/>
  <c r="R85" i="1"/>
  <c r="F85" i="1"/>
  <c r="R84" i="1"/>
  <c r="F84" i="1"/>
  <c r="R83" i="1"/>
  <c r="F83" i="1"/>
  <c r="R82" i="1"/>
  <c r="F82" i="1"/>
  <c r="R81" i="1"/>
  <c r="F81" i="1"/>
  <c r="R80" i="1"/>
  <c r="F80" i="1"/>
  <c r="F79" i="1"/>
  <c r="R78" i="1"/>
  <c r="F78" i="1"/>
  <c r="R77" i="1"/>
  <c r="F77" i="1"/>
  <c r="R76" i="1"/>
  <c r="F76" i="1"/>
  <c r="R74" i="1"/>
  <c r="F74" i="1"/>
  <c r="F73" i="1"/>
  <c r="R72" i="1"/>
  <c r="F72" i="1"/>
  <c r="R71" i="1"/>
  <c r="F71" i="1"/>
  <c r="R70" i="1"/>
  <c r="F70" i="1"/>
  <c r="R69" i="1"/>
  <c r="F69" i="1"/>
  <c r="R68" i="1"/>
  <c r="F68" i="1"/>
  <c r="F67" i="1"/>
  <c r="R65" i="1"/>
  <c r="R63" i="1"/>
  <c r="R61" i="1"/>
  <c r="R60" i="1"/>
  <c r="R58" i="1"/>
  <c r="R55" i="1"/>
  <c r="R54" i="1"/>
  <c r="R52" i="1"/>
  <c r="R51" i="1"/>
  <c r="R49" i="1"/>
  <c r="R45" i="1"/>
  <c r="R42" i="1"/>
  <c r="R40" i="1"/>
  <c r="R39" i="1"/>
  <c r="R38" i="1"/>
  <c r="R37" i="1"/>
  <c r="R36" i="1"/>
  <c r="R34" i="1"/>
  <c r="R32" i="1"/>
  <c r="R30" i="1"/>
  <c r="R29" i="1"/>
  <c r="R28" i="1"/>
  <c r="R26" i="1"/>
  <c r="R25" i="1"/>
  <c r="R23" i="1"/>
  <c r="R22" i="1"/>
  <c r="R21" i="1"/>
  <c r="R19" i="1"/>
  <c r="R15" i="1"/>
  <c r="R14" i="1"/>
  <c r="R8" i="1"/>
  <c r="R7" i="1"/>
  <c r="F66" i="1"/>
  <c r="F65" i="1"/>
  <c r="F64" i="1"/>
  <c r="F63" i="1"/>
  <c r="F62" i="1"/>
  <c r="F61" i="1"/>
  <c r="F60" i="1"/>
  <c r="F59" i="1"/>
  <c r="F58" i="1"/>
  <c r="F57" i="1"/>
  <c r="F55" i="1"/>
  <c r="F54" i="1"/>
  <c r="F53" i="1"/>
  <c r="F52" i="1"/>
  <c r="F51" i="1"/>
  <c r="F50" i="1"/>
  <c r="F49" i="1"/>
  <c r="F45" i="1"/>
  <c r="F42" i="1"/>
  <c r="F41" i="1"/>
  <c r="F40" i="1"/>
  <c r="F39" i="1"/>
  <c r="F38" i="1"/>
  <c r="F37" i="1"/>
  <c r="F36" i="1"/>
  <c r="F35" i="1"/>
  <c r="F34" i="1"/>
  <c r="F32" i="1"/>
  <c r="F30" i="1"/>
  <c r="F29" i="1"/>
  <c r="F28" i="1"/>
  <c r="F26" i="1"/>
  <c r="F25" i="1"/>
  <c r="F24" i="1"/>
  <c r="F23" i="1"/>
  <c r="F22" i="1"/>
  <c r="F21" i="1"/>
  <c r="F19" i="1"/>
  <c r="F18" i="1"/>
  <c r="F17" i="1"/>
  <c r="F15" i="1"/>
  <c r="F14" i="1"/>
  <c r="F13" i="1"/>
  <c r="F11" i="1"/>
  <c r="F10" i="1"/>
  <c r="F9" i="1"/>
  <c r="F8" i="1"/>
  <c r="F7" i="1"/>
  <c r="F5" i="1"/>
  <c r="F4" i="1"/>
  <c r="F3" i="1"/>
</calcChain>
</file>

<file path=xl/sharedStrings.xml><?xml version="1.0" encoding="utf-8"?>
<sst xmlns="http://schemas.openxmlformats.org/spreadsheetml/2006/main" count="2568" uniqueCount="479">
  <si>
    <t>For trigger values (PNEC water):</t>
  </si>
  <si>
    <t>Effect</t>
  </si>
  <si>
    <t>trigger</t>
  </si>
  <si>
    <t>LC50</t>
  </si>
  <si>
    <t>EC50</t>
  </si>
  <si>
    <t>EC10</t>
  </si>
  <si>
    <t xml:space="preserve">NOEC </t>
  </si>
  <si>
    <t>PS: all NOEC from PPDB and EFSA are chronic</t>
  </si>
  <si>
    <t>PPP_compound</t>
  </si>
  <si>
    <t>CAS_number</t>
  </si>
  <si>
    <t>Product_type</t>
  </si>
  <si>
    <t>Solubility - In water at 20 °C (mg l⁻¹)</t>
  </si>
  <si>
    <t>Solubility_level</t>
  </si>
  <si>
    <t>P</t>
  </si>
  <si>
    <t>Log P</t>
  </si>
  <si>
    <t>Log P interpretation</t>
  </si>
  <si>
    <t>DT₅₀ in water (days)</t>
  </si>
  <si>
    <t>DT₅₀ interpretation</t>
  </si>
  <si>
    <t>BCF (l kg⁻¹)</t>
  </si>
  <si>
    <t>BCF Interpretation</t>
  </si>
  <si>
    <t>CT₅₀ (days)</t>
  </si>
  <si>
    <t>GUS leaching potential index</t>
  </si>
  <si>
    <t>GUS Interpretation</t>
  </si>
  <si>
    <t>AF</t>
  </si>
  <si>
    <t>lowest EC50 or  NOEC for water (mg/l)</t>
  </si>
  <si>
    <t>PNEC_water (mg/L)</t>
  </si>
  <si>
    <t>DT₅₀ in soils (days)</t>
  </si>
  <si>
    <t>lowest EC50 or  NOEC for soil (mg/kg)</t>
  </si>
  <si>
    <t>Trigger value</t>
  </si>
  <si>
    <t>PNEC_soil (mg/kg)</t>
  </si>
  <si>
    <t>Glyphosate</t>
  </si>
  <si>
    <t>1071-83-6</t>
  </si>
  <si>
    <t>Herbicide</t>
  </si>
  <si>
    <t>high</t>
  </si>
  <si>
    <t>low</t>
  </si>
  <si>
    <t>Moderately fast</t>
  </si>
  <si>
    <t>Low potential</t>
  </si>
  <si>
    <t>n.a.</t>
  </si>
  <si>
    <t>Low</t>
  </si>
  <si>
    <t>NOEC</t>
  </si>
  <si>
    <t>AMPA</t>
  </si>
  <si>
    <t>1066-51-9</t>
  </si>
  <si>
    <t>-</t>
  </si>
  <si>
    <t>94-75-7</t>
  </si>
  <si>
    <t>High</t>
  </si>
  <si>
    <t>Acetamiprid</t>
  </si>
  <si>
    <t>135410-20-7</t>
  </si>
  <si>
    <t>Insecticide</t>
  </si>
  <si>
    <t>Low risk</t>
  </si>
  <si>
    <t>190604-92-3</t>
  </si>
  <si>
    <t>Aclonifen</t>
  </si>
  <si>
    <t>74070-46-5</t>
  </si>
  <si>
    <t>Threshold for concern</t>
  </si>
  <si>
    <t>Ametoctradin</t>
  </si>
  <si>
    <t>865318-97-4</t>
  </si>
  <si>
    <t>Fungicide</t>
  </si>
  <si>
    <t>Atrazine</t>
  </si>
  <si>
    <t>1912-24-9</t>
  </si>
  <si>
    <t>moderate</t>
  </si>
  <si>
    <t>Transition state</t>
  </si>
  <si>
    <t>Azadirachtin</t>
  </si>
  <si>
    <t>11141-17-6</t>
  </si>
  <si>
    <t>Azoxystrobin</t>
  </si>
  <si>
    <t>131860-33-8</t>
  </si>
  <si>
    <t>1185255-09-7</t>
  </si>
  <si>
    <t>Bentazone</t>
  </si>
  <si>
    <t>25057-89-0</t>
  </si>
  <si>
    <t>Stable</t>
  </si>
  <si>
    <t>Bifenthrin</t>
  </si>
  <si>
    <t>82657-04-3</t>
  </si>
  <si>
    <t>Bixafen</t>
  </si>
  <si>
    <t>581809-46-3</t>
  </si>
  <si>
    <t xml:space="preserve">Fungicide </t>
  </si>
  <si>
    <t>Slow</t>
  </si>
  <si>
    <t>1655498-06-8</t>
  </si>
  <si>
    <t>Boscalid</t>
  </si>
  <si>
    <t>188425-85-6</t>
  </si>
  <si>
    <t>Bromoxynil</t>
  </si>
  <si>
    <t>1689-84-5</t>
  </si>
  <si>
    <t>Captan</t>
  </si>
  <si>
    <t>133-06-2</t>
  </si>
  <si>
    <t>Fast</t>
  </si>
  <si>
    <t>85-40-5</t>
  </si>
  <si>
    <t>Carbendazim</t>
  </si>
  <si>
    <t>10605-21-7</t>
  </si>
  <si>
    <t>Carfentrazone</t>
  </si>
  <si>
    <t>128621-72-7</t>
  </si>
  <si>
    <t>128639-02-1</t>
  </si>
  <si>
    <t>Chlorantraniliprole</t>
  </si>
  <si>
    <t>500008-45-7</t>
  </si>
  <si>
    <t>Chloridazon</t>
  </si>
  <si>
    <t>1698-60-8</t>
  </si>
  <si>
    <t>Chlorothalonil</t>
  </si>
  <si>
    <t>1897-45-6</t>
  </si>
  <si>
    <t>28343-61-5</t>
  </si>
  <si>
    <t>Chlorotoluron</t>
  </si>
  <si>
    <t>15545-48-9</t>
  </si>
  <si>
    <t>Chlorpropham</t>
  </si>
  <si>
    <t>101-21-3</t>
  </si>
  <si>
    <t>Chlorpyrifos</t>
  </si>
  <si>
    <t>2921-88-2</t>
  </si>
  <si>
    <t>6515-38-4</t>
  </si>
  <si>
    <t>5598-13-0</t>
  </si>
  <si>
    <t>58997-13-0</t>
  </si>
  <si>
    <t>Clomazone</t>
  </si>
  <si>
    <t>81777-89-1</t>
  </si>
  <si>
    <t>Clothianidin</t>
  </si>
  <si>
    <t>210880-92-5</t>
  </si>
  <si>
    <t>40.3</t>
  </si>
  <si>
    <t>3,4</t>
  </si>
  <si>
    <t>Cyantraniliprole</t>
  </si>
  <si>
    <t>736994-63-1</t>
  </si>
  <si>
    <t>Cyflufenamide</t>
  </si>
  <si>
    <t>180409-60-3</t>
  </si>
  <si>
    <t>68359-37-5</t>
  </si>
  <si>
    <t>Cymoxanil</t>
  </si>
  <si>
    <t>57966-95-7</t>
  </si>
  <si>
    <t>Cypermethrin</t>
  </si>
  <si>
    <t>52315-07-8</t>
  </si>
  <si>
    <t>Cyproconazole</t>
  </si>
  <si>
    <t>94361-06-5</t>
  </si>
  <si>
    <t>Cyprodinil</t>
  </si>
  <si>
    <t>121552-61-2</t>
  </si>
  <si>
    <t>195157-66-5</t>
  </si>
  <si>
    <t>53-19-0</t>
  </si>
  <si>
    <t>72-54-8</t>
  </si>
  <si>
    <t>n.a</t>
  </si>
  <si>
    <t>72-55-9</t>
  </si>
  <si>
    <t>3424-82-6</t>
  </si>
  <si>
    <t>789-02-6</t>
  </si>
  <si>
    <t>50-29-3</t>
  </si>
  <si>
    <t>Deltamethrin</t>
  </si>
  <si>
    <t>52918-63-5</t>
  </si>
  <si>
    <t>Dicamba</t>
  </si>
  <si>
    <t>1918-00-9</t>
  </si>
  <si>
    <t>Dicloran</t>
  </si>
  <si>
    <t>99-30-9</t>
  </si>
  <si>
    <t>Dieldrin</t>
  </si>
  <si>
    <t>60-57-1</t>
  </si>
  <si>
    <t>High potential</t>
  </si>
  <si>
    <t>Difenoconazole</t>
  </si>
  <si>
    <t>119446-68-3</t>
  </si>
  <si>
    <t>Diflufenican</t>
  </si>
  <si>
    <t>83164-33-4</t>
  </si>
  <si>
    <t>36701-89-0</t>
  </si>
  <si>
    <t>163515-14-8</t>
  </si>
  <si>
    <t>Dimethoate</t>
  </si>
  <si>
    <t>60-51-5</t>
  </si>
  <si>
    <t>Dimethomorph</t>
  </si>
  <si>
    <t>110488-70-5</t>
  </si>
  <si>
    <t>Dimoxystrobin</t>
  </si>
  <si>
    <t>149961-52-4</t>
  </si>
  <si>
    <t>Dinotefuran</t>
  </si>
  <si>
    <t>165252-70-0</t>
  </si>
  <si>
    <t>Diuron</t>
  </si>
  <si>
    <t>330-54-1</t>
  </si>
  <si>
    <t>Emamectin</t>
  </si>
  <si>
    <t>155569-91-8</t>
  </si>
  <si>
    <t>Epoxiconazole</t>
  </si>
  <si>
    <t>133855-98-8</t>
  </si>
  <si>
    <t>Esfenvalerate</t>
  </si>
  <si>
    <t>66230-04-4</t>
  </si>
  <si>
    <t>Ethofumesate</t>
  </si>
  <si>
    <t>26225-79-6</t>
  </si>
  <si>
    <t>Famoxadone</t>
  </si>
  <si>
    <t>131807-57-3</t>
  </si>
  <si>
    <t>114369-43-6</t>
  </si>
  <si>
    <t>Fenhexamid</t>
  </si>
  <si>
    <t>126833-17-8</t>
  </si>
  <si>
    <t>Fenoxycarb</t>
  </si>
  <si>
    <t>79127-80-3</t>
  </si>
  <si>
    <t>Fenpropidin</t>
  </si>
  <si>
    <t>67306-00-7</t>
  </si>
  <si>
    <t>Fenpropimorph</t>
  </si>
  <si>
    <t>67564-91-4</t>
  </si>
  <si>
    <t>Fenvalerate</t>
  </si>
  <si>
    <t>51630-58-1</t>
  </si>
  <si>
    <t>Fipronil</t>
  </si>
  <si>
    <t>120068-37-3</t>
  </si>
  <si>
    <t>120068-36-2</t>
  </si>
  <si>
    <t>Flazasulfuron</t>
  </si>
  <si>
    <t>104040-78-0</t>
  </si>
  <si>
    <t>Flonicamid</t>
  </si>
  <si>
    <t>158062-67-0</t>
  </si>
  <si>
    <t>Florasulam</t>
  </si>
  <si>
    <t>145701-23-1</t>
  </si>
  <si>
    <t>83066-88-0</t>
  </si>
  <si>
    <t>Fluazinam</t>
  </si>
  <si>
    <t>79622-59-6</t>
  </si>
  <si>
    <t>Fludioxonil</t>
  </si>
  <si>
    <t>131341-86-1</t>
  </si>
  <si>
    <t>Flufenacet</t>
  </si>
  <si>
    <t>142459-58-3</t>
  </si>
  <si>
    <t>103361-09-7</t>
  </si>
  <si>
    <t>Fluopicolide</t>
  </si>
  <si>
    <t>239110-15-7</t>
  </si>
  <si>
    <t>Fluopyram</t>
  </si>
  <si>
    <t>658066-35-4</t>
  </si>
  <si>
    <t>360-64-5</t>
  </si>
  <si>
    <t>Fluoxastrobin</t>
  </si>
  <si>
    <t>361377-29-9</t>
  </si>
  <si>
    <t>Flupyradifurone</t>
  </si>
  <si>
    <t>951659-40-8</t>
  </si>
  <si>
    <t>69377-81-7</t>
  </si>
  <si>
    <t>Flusilazole</t>
  </si>
  <si>
    <t>85509-19-9</t>
  </si>
  <si>
    <t>Flutolanil</t>
  </si>
  <si>
    <t>66332-96-5</t>
  </si>
  <si>
    <t>Fluxapyroxad</t>
  </si>
  <si>
    <t>907204-31-3</t>
  </si>
  <si>
    <t>133-07-3</t>
  </si>
  <si>
    <t>85-41-6</t>
  </si>
  <si>
    <t>Foramsulfuron</t>
  </si>
  <si>
    <t>173159-57-4</t>
  </si>
  <si>
    <t>-0.78</t>
  </si>
  <si>
    <t>25,2</t>
  </si>
  <si>
    <t>95977-29-0</t>
  </si>
  <si>
    <t>Hexachlorobenzene</t>
  </si>
  <si>
    <t>118-74-1</t>
  </si>
  <si>
    <t>Imazalil</t>
  </si>
  <si>
    <t>35554-44-0</t>
  </si>
  <si>
    <t>56.3</t>
  </si>
  <si>
    <t>35.2</t>
  </si>
  <si>
    <t>Imidacloprid</t>
  </si>
  <si>
    <t>138261-41-3</t>
  </si>
  <si>
    <t>155802-61-2</t>
  </si>
  <si>
    <t>115970-17-7</t>
  </si>
  <si>
    <t>Indoxacarb</t>
  </si>
  <si>
    <t>173584-44-6</t>
  </si>
  <si>
    <t>77.3</t>
  </si>
  <si>
    <t>Iprovalicarb</t>
  </si>
  <si>
    <t>140923-17-7</t>
  </si>
  <si>
    <t>Isoproturon</t>
  </si>
  <si>
    <t>34123-59-6</t>
  </si>
  <si>
    <t>Isoxaben</t>
  </si>
  <si>
    <t>82558-50-7</t>
  </si>
  <si>
    <t>Isoxaflutole</t>
  </si>
  <si>
    <t>141112-29-0</t>
  </si>
  <si>
    <t>143390-89-0</t>
  </si>
  <si>
    <t>91465-08-6</t>
  </si>
  <si>
    <t>Lenacil</t>
  </si>
  <si>
    <t>2164-08-1</t>
  </si>
  <si>
    <t>58-89-9</t>
  </si>
  <si>
    <t>Linuron</t>
  </si>
  <si>
    <t>330-55-2</t>
  </si>
  <si>
    <t>Mandipropamid</t>
  </si>
  <si>
    <t>374726-62-2</t>
  </si>
  <si>
    <t>MCPA</t>
  </si>
  <si>
    <t>94-74-6</t>
  </si>
  <si>
    <t>16484-77-8</t>
  </si>
  <si>
    <t>131-72-6</t>
  </si>
  <si>
    <t>3687-22-7</t>
  </si>
  <si>
    <t>70630-17-0</t>
  </si>
  <si>
    <t>87764-37-2</t>
  </si>
  <si>
    <t>Metamitron</t>
  </si>
  <si>
    <t>41394-05-2</t>
  </si>
  <si>
    <t>36993-94-9</t>
  </si>
  <si>
    <t>Metazachlor</t>
  </si>
  <si>
    <t>67129-08-2</t>
  </si>
  <si>
    <t>Metconazole</t>
  </si>
  <si>
    <t>125116-23-6</t>
  </si>
  <si>
    <t>Methabenzthiazuron</t>
  </si>
  <si>
    <t>18691-97-9</t>
  </si>
  <si>
    <t>Methiocarb</t>
  </si>
  <si>
    <t>2032-65-7</t>
  </si>
  <si>
    <t xml:space="preserve">Insecticide </t>
  </si>
  <si>
    <t>2179-25-1</t>
  </si>
  <si>
    <t>2635-10-1</t>
  </si>
  <si>
    <t>161050-58-4</t>
  </si>
  <si>
    <t>Metobromuron</t>
  </si>
  <si>
    <t>3060-89-7</t>
  </si>
  <si>
    <t>51218-45-2</t>
  </si>
  <si>
    <t>171118-09-5</t>
  </si>
  <si>
    <t>152019-73-3</t>
  </si>
  <si>
    <t>Metrafenone</t>
  </si>
  <si>
    <t>220899-03-6</t>
  </si>
  <si>
    <t>Metribuzin</t>
  </si>
  <si>
    <t>21087-64-9</t>
  </si>
  <si>
    <t>74223-64-6</t>
  </si>
  <si>
    <t>Myclobutanil</t>
  </si>
  <si>
    <t>88671-89-0</t>
  </si>
  <si>
    <t>41643-35-0</t>
  </si>
  <si>
    <t>Nicosulfuron</t>
  </si>
  <si>
    <t>111991-09-4</t>
  </si>
  <si>
    <t>19044-88-3</t>
  </si>
  <si>
    <t>Oxadixyl</t>
  </si>
  <si>
    <t>77732-09-3</t>
  </si>
  <si>
    <t>Oxyfluorfen</t>
  </si>
  <si>
    <t>42874-03-3</t>
  </si>
  <si>
    <t>66246-88-6</t>
  </si>
  <si>
    <t>Pencycuron</t>
  </si>
  <si>
    <t>66063-05-6</t>
  </si>
  <si>
    <t>90% in 3 days</t>
  </si>
  <si>
    <t>Pendimethalin</t>
  </si>
  <si>
    <t>40487-42-1</t>
  </si>
  <si>
    <t>219714-96-2</t>
  </si>
  <si>
    <t>Permethrin</t>
  </si>
  <si>
    <t>52645-53-1</t>
  </si>
  <si>
    <t>Phosmet</t>
  </si>
  <si>
    <t>732-11-6</t>
  </si>
  <si>
    <t>3735-33-9</t>
  </si>
  <si>
    <t>Phoxim</t>
  </si>
  <si>
    <t>14816-18-3</t>
  </si>
  <si>
    <t>51-03-6</t>
  </si>
  <si>
    <t>Other</t>
  </si>
  <si>
    <t>260 (threshold for concern)</t>
  </si>
  <si>
    <t>Pirimicarb</t>
  </si>
  <si>
    <t>23103-98-2</t>
  </si>
  <si>
    <t>30614-22-3</t>
  </si>
  <si>
    <t>29232-93-7</t>
  </si>
  <si>
    <t>42487-72-9</t>
  </si>
  <si>
    <t>67018-59-1</t>
  </si>
  <si>
    <t>Prochloraz</t>
  </si>
  <si>
    <t>67747-09-5</t>
  </si>
  <si>
    <t>139520-94-8</t>
  </si>
  <si>
    <t>139542-32-8</t>
  </si>
  <si>
    <t>Prometryn</t>
  </si>
  <si>
    <t>7287-19-6</t>
  </si>
  <si>
    <t>25606-41-1</t>
  </si>
  <si>
    <t>Propaquizafop</t>
  </si>
  <si>
    <t>111479-05-1</t>
  </si>
  <si>
    <t>&lt;1</t>
  </si>
  <si>
    <t>Propiconazole</t>
  </si>
  <si>
    <t>60207-90-1</t>
  </si>
  <si>
    <t>Propoxur</t>
  </si>
  <si>
    <t>114-26-1</t>
  </si>
  <si>
    <t>Propyzamide</t>
  </si>
  <si>
    <t>23950-58-5</t>
  </si>
  <si>
    <t>Prosulfocarb</t>
  </si>
  <si>
    <t>52888-80-9</t>
  </si>
  <si>
    <t>Prothioconazole</t>
  </si>
  <si>
    <t>178928-70-6</t>
  </si>
  <si>
    <t>120983-64-4</t>
  </si>
  <si>
    <t>Pymetrozine</t>
  </si>
  <si>
    <t>123312-89-0</t>
  </si>
  <si>
    <t>Pyraclostrobin</t>
  </si>
  <si>
    <t>175013-18-0</t>
  </si>
  <si>
    <t>129630-19-9</t>
  </si>
  <si>
    <t>121-21-1</t>
  </si>
  <si>
    <t>121-29-9</t>
  </si>
  <si>
    <t>Pyrimethanil</t>
  </si>
  <si>
    <t>53112-28-0</t>
  </si>
  <si>
    <t>81261-84-9</t>
  </si>
  <si>
    <t>Pyriofenone</t>
  </si>
  <si>
    <t>688046-61-9</t>
  </si>
  <si>
    <t>Pyriproxyfen</t>
  </si>
  <si>
    <t>95737-68-1</t>
  </si>
  <si>
    <t>Pyroxsulam</t>
  </si>
  <si>
    <t>422556-08-9</t>
  </si>
  <si>
    <t>Quinoxyfen</t>
  </si>
  <si>
    <t>124495-18-7</t>
  </si>
  <si>
    <t>100646-51-3</t>
  </si>
  <si>
    <t>Rimsulfuron</t>
  </si>
  <si>
    <t>122931-48-0</t>
  </si>
  <si>
    <t>Sedaxane</t>
  </si>
  <si>
    <t>874967-67-6</t>
  </si>
  <si>
    <t>Spinetoram</t>
  </si>
  <si>
    <t>935545-74-7</t>
  </si>
  <si>
    <t>131929-60-7</t>
  </si>
  <si>
    <t>131929-63-0</t>
  </si>
  <si>
    <t>Spirotetramat</t>
  </si>
  <si>
    <t>203313-25-1</t>
  </si>
  <si>
    <t>203312-38-3</t>
  </si>
  <si>
    <t>1172614-86-6</t>
  </si>
  <si>
    <t>1172134-11-0</t>
  </si>
  <si>
    <t>1172134-12-1</t>
  </si>
  <si>
    <t>Spiroxamine</t>
  </si>
  <si>
    <t>118134-30-8</t>
  </si>
  <si>
    <t>102851-06-9</t>
  </si>
  <si>
    <t>Tebuconazole</t>
  </si>
  <si>
    <t>107534-96-3</t>
  </si>
  <si>
    <t>Terbuthylazine</t>
  </si>
  <si>
    <t>5915-41-3</t>
  </si>
  <si>
    <t>30125-63-4</t>
  </si>
  <si>
    <t>Terbutryn</t>
  </si>
  <si>
    <t>886-50-0</t>
  </si>
  <si>
    <t>Tetraconazole</t>
  </si>
  <si>
    <t>112281-77-3</t>
  </si>
  <si>
    <t>Tetramethrin</t>
  </si>
  <si>
    <t>7696-12-0</t>
  </si>
  <si>
    <t>Thiabendazole</t>
  </si>
  <si>
    <t>148-79-8</t>
  </si>
  <si>
    <t>Thiacloprid</t>
  </si>
  <si>
    <t>111988-49-9</t>
  </si>
  <si>
    <t>Thiamethoxam</t>
  </si>
  <si>
    <t>153719-23-4</t>
  </si>
  <si>
    <t>317815-83-1</t>
  </si>
  <si>
    <t>23564-05-8</t>
  </si>
  <si>
    <t>Tolylfluanid</t>
  </si>
  <si>
    <t>731-27-1</t>
  </si>
  <si>
    <t>66840-71-9 </t>
  </si>
  <si>
    <t>2303-17-5</t>
  </si>
  <si>
    <t>Tricyclazole</t>
  </si>
  <si>
    <t>41814-78-2</t>
  </si>
  <si>
    <t>Trifloxystrobin</t>
  </si>
  <si>
    <t>141517-21-7</t>
  </si>
  <si>
    <t>252913-85-2</t>
  </si>
  <si>
    <t>156052-68-5</t>
  </si>
  <si>
    <t>meptyldinocap</t>
  </si>
  <si>
    <t>methoxyfenozide</t>
  </si>
  <si>
    <t>Pyrimethanil_M605F002</t>
  </si>
  <si>
    <t>Acetamiprid: Acetamiprid-N-desmethyl</t>
  </si>
  <si>
    <t>Azoxystrobin-O-demethyl (CyPM)</t>
  </si>
  <si>
    <t>Bixafen desmethyl</t>
  </si>
  <si>
    <t>captan THPI  (1,2,3,6-tetrahydrophthalimide, CAS: 85-40-5)</t>
  </si>
  <si>
    <t>Carfentrazone-ethyl</t>
  </si>
  <si>
    <t>Chlorothalonil 4-hydroxy</t>
  </si>
  <si>
    <t>Chlorpyrifos/-methyl: TCPy</t>
  </si>
  <si>
    <t>Chlorpyrifos-methyl</t>
  </si>
  <si>
    <t>chlorpyrifos-methyl -desmethyl</t>
  </si>
  <si>
    <t>Cyfluthrin (beta-cyfluthrin)</t>
  </si>
  <si>
    <t>Cyprodinil  metabolite CGA304075</t>
  </si>
  <si>
    <t>DDD o,p'</t>
  </si>
  <si>
    <t>DDD p,p'</t>
  </si>
  <si>
    <t>DDE p,p'</t>
  </si>
  <si>
    <t>DDE, o,p'</t>
  </si>
  <si>
    <t>DDT o,p'</t>
  </si>
  <si>
    <t>DDT p,p'</t>
  </si>
  <si>
    <t>Diflufenican AE-B107137</t>
  </si>
  <si>
    <t>Dimethenamid (P)</t>
  </si>
  <si>
    <t>fenbuconazole</t>
  </si>
  <si>
    <t>Fipronil sulfone</t>
  </si>
  <si>
    <t>Fluazifop (P) (only free)</t>
  </si>
  <si>
    <t>flumioxazine</t>
  </si>
  <si>
    <t>Fluopyram benzamide</t>
  </si>
  <si>
    <t>Fluroxypyr (only free)</t>
  </si>
  <si>
    <t>folpet</t>
  </si>
  <si>
    <t>folpet PHI (Phthalimide, CAS: 85-41-6)</t>
  </si>
  <si>
    <t>Haloxyfop-P (Haloxyfop-R) (free)</t>
  </si>
  <si>
    <t>Imidacloprid (5-hydroxy)</t>
  </si>
  <si>
    <t>Imidacloprid (desnitro-)</t>
  </si>
  <si>
    <t>Kresoxim-methyl</t>
  </si>
  <si>
    <t>lambda-Cyhalothrin</t>
  </si>
  <si>
    <t>Lindane (gamma-HCH)</t>
  </si>
  <si>
    <t>Mecoprop (P)</t>
  </si>
  <si>
    <t>meptyldinocap phenol (CAS 3687-22-7)</t>
  </si>
  <si>
    <t>Metalaxyl (M)</t>
  </si>
  <si>
    <t>Metalaxyl Metabolite CGA 62826 (87764-37-2)</t>
  </si>
  <si>
    <t>Metamitron-desamino</t>
  </si>
  <si>
    <t>Methiocarb sulfon</t>
  </si>
  <si>
    <t>Methiocarb sulfoxide</t>
  </si>
  <si>
    <t>Metolachlor (S)</t>
  </si>
  <si>
    <t>Metolachlor ethane sulfonic acid (ESA (Ref: CGA 354743))</t>
  </si>
  <si>
    <t>Metolachlor oxanilic acid (OA (Ref: CGA 51202))</t>
  </si>
  <si>
    <t>Metsulfuron-methyl</t>
  </si>
  <si>
    <t>Napropamide (M)</t>
  </si>
  <si>
    <t>Oryzalin</t>
  </si>
  <si>
    <t>Penconazole</t>
  </si>
  <si>
    <t>Penoxulam</t>
  </si>
  <si>
    <t>Phosmet oxon</t>
  </si>
  <si>
    <t>Piperonyl butoxide</t>
  </si>
  <si>
    <t>Pirimicarb desmethyl-</t>
  </si>
  <si>
    <t>Pirimiphos-methyl</t>
  </si>
  <si>
    <t>Pirimiphos-methyl metabolite DEAMPY (2-diethylamino-6-methyl pyrimidin-4-ol)</t>
  </si>
  <si>
    <t>Pirimiphos-methyl-desmethyl</t>
  </si>
  <si>
    <t>Pirimiphos-methyl-N-desethyl</t>
  </si>
  <si>
    <t>Prochloraz BTS 44595 (M201-04)</t>
  </si>
  <si>
    <t>Prochloraz BTS 44596 (M201-03)</t>
  </si>
  <si>
    <t>Propamocarb (hydrochloride)</t>
  </si>
  <si>
    <t>Prothioconazole desthio</t>
  </si>
  <si>
    <t>Pyraflufen-ethyl</t>
  </si>
  <si>
    <t>Pyrethrin I</t>
  </si>
  <si>
    <t>Pyrethrin II</t>
  </si>
  <si>
    <t>Quizalofop (P) free acid</t>
  </si>
  <si>
    <t>Spinosyn A</t>
  </si>
  <si>
    <t>Spinosyn D</t>
  </si>
  <si>
    <t>Spirotetramat-enol</t>
  </si>
  <si>
    <t>Spirotetramat-enol-glucoside</t>
  </si>
  <si>
    <t>Spirotetramat-keto-hydroxy</t>
  </si>
  <si>
    <t>Spirotetramat-mono-hydroxy</t>
  </si>
  <si>
    <t>tau-Fluvalinate</t>
  </si>
  <si>
    <t>Terbuthylazine-desethyl</t>
  </si>
  <si>
    <t>Thiencarbazone-methyl</t>
  </si>
  <si>
    <t>Thiophanate-methyl</t>
  </si>
  <si>
    <t>Tolylfluanid metabolite DMST (dimethylaminosulfotoluidide)</t>
  </si>
  <si>
    <t>Tri-allate</t>
  </si>
  <si>
    <t>Trifloxystrobin metabolite CGA 321113</t>
  </si>
  <si>
    <t>Zoxamid</t>
  </si>
  <si>
    <t>X2,4-D (free)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</si>
</sst>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charset val="1"/>
    </font>
    <font>
      <sz val="11"/>
      <name val="Calibri"/>
      <family val="2"/>
      <scheme val="minor"/>
    </font>
    <font>
      <sz val="12"/>
      <color theme="1"/>
      <name val="Calibri"/>
      <charset val="1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/>
    <xf numFmtId="0" fontId="5" fillId="0" borderId="0" xfId="0" applyFont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49" fontId="0" fillId="0" borderId="0" xfId="0" applyNumberFormat="1"/>
    <xf numFmtId="0" fontId="0" fillId="0" borderId="0" xfId="0" quotePrefix="1" applyAlignment="1">
      <alignment horizontal="left"/>
    </xf>
    <xf numFmtId="0" fontId="2" fillId="0" borderId="0" xfId="0" applyFont="1"/>
    <xf numFmtId="0" fontId="6" fillId="0" borderId="0" xfId="0" applyFont="1"/>
    <xf numFmtId="0" fontId="4" fillId="0" borderId="2" xfId="0" applyFont="1" applyBorder="1"/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9BAFD-3048-4F4D-8B7D-83DBFE44E9F8}">
  <sheetPr codeName="Tabelle1"/>
  <dimension ref="A3:C9"/>
  <sheetViews>
    <sheetView workbookViewId="0">
      <selection activeCell="H13" sqref="H13"/>
    </sheetView>
  </sheetViews>
  <sheetFormatPr baseColWidth="10" defaultColWidth="8.7265625" defaultRowHeight="14.75" x14ac:dyDescent="0.75"/>
  <sheetData>
    <row r="3" spans="1:3" ht="18.5" x14ac:dyDescent="0.9">
      <c r="A3" s="6" t="s">
        <v>0</v>
      </c>
    </row>
    <row r="5" spans="1:3" x14ac:dyDescent="0.75">
      <c r="A5" s="7" t="s">
        <v>1</v>
      </c>
      <c r="B5" s="8" t="s">
        <v>2</v>
      </c>
    </row>
    <row r="6" spans="1:3" x14ac:dyDescent="0.75">
      <c r="A6" t="s">
        <v>3</v>
      </c>
      <c r="B6" s="9">
        <v>10</v>
      </c>
    </row>
    <row r="7" spans="1:3" x14ac:dyDescent="0.75">
      <c r="A7" t="s">
        <v>4</v>
      </c>
      <c r="B7" s="9">
        <v>10</v>
      </c>
    </row>
    <row r="8" spans="1:3" x14ac:dyDescent="0.75">
      <c r="A8" t="s">
        <v>5</v>
      </c>
      <c r="B8" s="9">
        <v>5</v>
      </c>
    </row>
    <row r="9" spans="1:3" x14ac:dyDescent="0.75">
      <c r="A9" t="s">
        <v>6</v>
      </c>
      <c r="B9" s="9">
        <v>5</v>
      </c>
      <c r="C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X209"/>
  <sheetViews>
    <sheetView tabSelected="1" workbookViewId="0">
      <pane xSplit="1" topLeftCell="B1" activePane="topRight" state="frozen"/>
      <selection pane="topRight" activeCell="A4" sqref="A4"/>
    </sheetView>
  </sheetViews>
  <sheetFormatPr baseColWidth="10" defaultColWidth="8.7265625" defaultRowHeight="14.75" x14ac:dyDescent="0.75"/>
  <cols>
    <col min="1" max="1" width="32.1328125" customWidth="1"/>
    <col min="2" max="2" width="12.40625" bestFit="1" customWidth="1"/>
    <col min="3" max="3" width="14.54296875" customWidth="1"/>
    <col min="4" max="4" width="20.7265625" bestFit="1" customWidth="1"/>
    <col min="5" max="5" width="22.26953125" customWidth="1"/>
    <col min="6" max="6" width="13.1328125" customWidth="1"/>
    <col min="7" max="7" width="15.40625" bestFit="1" customWidth="1"/>
    <col min="8" max="8" width="15.40625" customWidth="1"/>
    <col min="9" max="9" width="19.86328125" bestFit="1" customWidth="1"/>
    <col min="10" max="10" width="19.86328125" customWidth="1"/>
    <col min="11" max="11" width="27" bestFit="1" customWidth="1"/>
    <col min="12" max="12" width="27" customWidth="1"/>
    <col min="13" max="13" width="13" customWidth="1"/>
    <col min="14" max="14" width="20.26953125" bestFit="1" customWidth="1"/>
    <col min="15" max="15" width="20.26953125" customWidth="1"/>
    <col min="17" max="17" width="15" customWidth="1"/>
    <col min="18" max="18" width="13" customWidth="1"/>
    <col min="19" max="19" width="2.7265625" customWidth="1"/>
    <col min="20" max="20" width="11.40625" customWidth="1"/>
    <col min="21" max="22" width="14.26953125" customWidth="1"/>
    <col min="24" max="24" width="10.1328125" customWidth="1"/>
  </cols>
  <sheetData>
    <row r="1" spans="1:24" s="1" customFormat="1" ht="44.25" x14ac:dyDescent="0.7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/>
      <c r="T1" s="2" t="s">
        <v>26</v>
      </c>
      <c r="U1" s="2" t="s">
        <v>27</v>
      </c>
      <c r="V1" s="2" t="s">
        <v>1</v>
      </c>
      <c r="W1" s="2" t="s">
        <v>28</v>
      </c>
      <c r="X1" s="2" t="s">
        <v>29</v>
      </c>
    </row>
    <row r="2" spans="1:24" x14ac:dyDescent="0.75">
      <c r="A2" t="s">
        <v>30</v>
      </c>
      <c r="B2" t="s">
        <v>31</v>
      </c>
      <c r="C2" t="s">
        <v>32</v>
      </c>
      <c r="D2">
        <v>100000</v>
      </c>
      <c r="E2" t="s">
        <v>33</v>
      </c>
      <c r="F2">
        <f>5.25*10^-7</f>
        <v>5.2499999999999995E-7</v>
      </c>
      <c r="G2" s="4">
        <v>-6.28</v>
      </c>
      <c r="H2" s="4" t="s">
        <v>34</v>
      </c>
      <c r="I2" s="4">
        <v>9.9</v>
      </c>
      <c r="J2" s="4" t="s">
        <v>35</v>
      </c>
      <c r="K2" s="4">
        <v>0.5</v>
      </c>
      <c r="L2" s="4" t="s">
        <v>36</v>
      </c>
      <c r="M2" s="4" t="s">
        <v>37</v>
      </c>
      <c r="N2" s="4">
        <v>0.21</v>
      </c>
      <c r="O2" s="4" t="s">
        <v>38</v>
      </c>
      <c r="P2">
        <v>10</v>
      </c>
      <c r="Q2">
        <v>1</v>
      </c>
      <c r="R2">
        <f t="shared" ref="R2" si="0">Q2/P2</f>
        <v>0.1</v>
      </c>
      <c r="T2">
        <v>18.05</v>
      </c>
      <c r="U2">
        <v>21.31</v>
      </c>
      <c r="V2" t="s">
        <v>39</v>
      </c>
      <c r="W2">
        <v>5</v>
      </c>
      <c r="X2">
        <f>U2/W2</f>
        <v>4.2619999999999996</v>
      </c>
    </row>
    <row r="3" spans="1:24" x14ac:dyDescent="0.75">
      <c r="A3" t="s">
        <v>40</v>
      </c>
      <c r="B3" t="s">
        <v>41</v>
      </c>
      <c r="C3" t="s">
        <v>42</v>
      </c>
      <c r="D3">
        <v>1466561</v>
      </c>
      <c r="E3" t="s">
        <v>33</v>
      </c>
      <c r="F3">
        <f>2.34*10^-2</f>
        <v>2.3400000000000001E-2</v>
      </c>
      <c r="G3">
        <v>-1.63</v>
      </c>
      <c r="H3" t="s">
        <v>34</v>
      </c>
      <c r="I3" t="s">
        <v>37</v>
      </c>
      <c r="J3" t="s">
        <v>37</v>
      </c>
      <c r="K3" t="s">
        <v>37</v>
      </c>
      <c r="L3" t="s">
        <v>37</v>
      </c>
      <c r="M3" t="s">
        <v>37</v>
      </c>
      <c r="N3">
        <v>0.04</v>
      </c>
      <c r="O3" t="s">
        <v>38</v>
      </c>
      <c r="P3">
        <v>1000</v>
      </c>
      <c r="Q3">
        <v>12</v>
      </c>
      <c r="R3">
        <v>1.2E-2</v>
      </c>
      <c r="T3">
        <v>419</v>
      </c>
      <c r="U3">
        <v>28.12</v>
      </c>
      <c r="V3" t="s">
        <v>39</v>
      </c>
      <c r="W3">
        <v>5</v>
      </c>
      <c r="X3">
        <f>U3/W3</f>
        <v>5.6240000000000006</v>
      </c>
    </row>
    <row r="4" spans="1:24" x14ac:dyDescent="0.75">
      <c r="A4" t="s">
        <v>478</v>
      </c>
      <c r="B4" t="s">
        <v>43</v>
      </c>
      <c r="C4" t="s">
        <v>32</v>
      </c>
      <c r="D4">
        <v>24300</v>
      </c>
      <c r="E4" t="s">
        <v>33</v>
      </c>
      <c r="F4">
        <f>1.51*10^-1</f>
        <v>0.15100000000000002</v>
      </c>
      <c r="G4">
        <v>-0.82</v>
      </c>
      <c r="H4" t="s">
        <v>34</v>
      </c>
      <c r="I4">
        <v>7.7</v>
      </c>
      <c r="J4" t="s">
        <v>35</v>
      </c>
      <c r="K4">
        <v>10</v>
      </c>
      <c r="L4" t="s">
        <v>36</v>
      </c>
      <c r="M4" t="s">
        <v>37</v>
      </c>
      <c r="N4">
        <v>3.82</v>
      </c>
      <c r="O4" t="s">
        <v>44</v>
      </c>
      <c r="P4">
        <v>10</v>
      </c>
      <c r="Q4">
        <v>27.2</v>
      </c>
      <c r="R4">
        <v>2.7199999999999998</v>
      </c>
      <c r="T4">
        <v>28.8</v>
      </c>
      <c r="U4">
        <v>10</v>
      </c>
      <c r="V4" t="s">
        <v>39</v>
      </c>
      <c r="W4">
        <v>5</v>
      </c>
      <c r="X4">
        <f>U4/W4</f>
        <v>2</v>
      </c>
    </row>
    <row r="5" spans="1:24" x14ac:dyDescent="0.75">
      <c r="A5" t="s">
        <v>45</v>
      </c>
      <c r="B5" t="s">
        <v>46</v>
      </c>
      <c r="C5" t="s">
        <v>47</v>
      </c>
      <c r="D5">
        <v>2950</v>
      </c>
      <c r="E5" t="s">
        <v>33</v>
      </c>
      <c r="F5">
        <f>6.31*1000</f>
        <v>6310</v>
      </c>
      <c r="G5">
        <v>0.8</v>
      </c>
      <c r="H5" t="s">
        <v>34</v>
      </c>
      <c r="I5">
        <v>4.7</v>
      </c>
      <c r="J5" t="s">
        <v>35</v>
      </c>
      <c r="K5" s="10" t="s">
        <v>42</v>
      </c>
      <c r="L5" t="s">
        <v>48</v>
      </c>
      <c r="N5">
        <v>0.94</v>
      </c>
      <c r="O5" t="s">
        <v>38</v>
      </c>
      <c r="P5">
        <v>100</v>
      </c>
      <c r="Q5">
        <v>1</v>
      </c>
      <c r="R5">
        <v>0.01</v>
      </c>
      <c r="T5">
        <v>12.96</v>
      </c>
      <c r="U5">
        <v>0.27</v>
      </c>
      <c r="V5" t="s">
        <v>39</v>
      </c>
      <c r="W5">
        <v>5</v>
      </c>
      <c r="X5">
        <f>U5/W5</f>
        <v>5.4000000000000006E-2</v>
      </c>
    </row>
    <row r="6" spans="1:24" x14ac:dyDescent="0.75">
      <c r="A6" t="s">
        <v>401</v>
      </c>
      <c r="B6" t="s">
        <v>49</v>
      </c>
      <c r="C6" t="s">
        <v>47</v>
      </c>
      <c r="D6" t="s">
        <v>42</v>
      </c>
      <c r="E6" t="s">
        <v>42</v>
      </c>
      <c r="F6" t="s">
        <v>42</v>
      </c>
      <c r="G6" t="s">
        <v>42</v>
      </c>
      <c r="H6" t="s">
        <v>42</v>
      </c>
      <c r="I6" t="s">
        <v>42</v>
      </c>
      <c r="J6" t="s">
        <v>42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T6" t="s">
        <v>42</v>
      </c>
      <c r="U6" t="s">
        <v>42</v>
      </c>
      <c r="W6" t="s">
        <v>42</v>
      </c>
      <c r="X6" t="s">
        <v>42</v>
      </c>
    </row>
    <row r="7" spans="1:24" x14ac:dyDescent="0.75">
      <c r="A7" t="s">
        <v>50</v>
      </c>
      <c r="B7" t="s">
        <v>51</v>
      </c>
      <c r="C7" t="s">
        <v>32</v>
      </c>
      <c r="D7">
        <v>1.4</v>
      </c>
      <c r="E7" t="s">
        <v>34</v>
      </c>
      <c r="F7">
        <f>2.34*10^4</f>
        <v>23400</v>
      </c>
      <c r="G7">
        <v>4.37</v>
      </c>
      <c r="H7" t="s">
        <v>33</v>
      </c>
      <c r="I7">
        <v>4.2</v>
      </c>
      <c r="J7" t="s">
        <v>35</v>
      </c>
      <c r="K7">
        <v>2896</v>
      </c>
      <c r="L7" t="s">
        <v>52</v>
      </c>
      <c r="M7">
        <v>2</v>
      </c>
      <c r="N7">
        <v>0.28000000000000003</v>
      </c>
      <c r="O7" t="s">
        <v>38</v>
      </c>
      <c r="P7">
        <v>100</v>
      </c>
      <c r="Q7">
        <v>5.0000000000000001E-3</v>
      </c>
      <c r="R7">
        <f>Q7/P7</f>
        <v>5.0000000000000002E-5</v>
      </c>
      <c r="T7">
        <v>80.400000000000006</v>
      </c>
      <c r="U7">
        <v>45</v>
      </c>
      <c r="V7" t="s">
        <v>39</v>
      </c>
      <c r="W7">
        <v>5</v>
      </c>
      <c r="X7">
        <f>U7/W7</f>
        <v>9</v>
      </c>
    </row>
    <row r="8" spans="1:24" x14ac:dyDescent="0.75">
      <c r="A8" t="s">
        <v>53</v>
      </c>
      <c r="B8" t="s">
        <v>54</v>
      </c>
      <c r="C8" t="s">
        <v>55</v>
      </c>
      <c r="D8">
        <v>0.15</v>
      </c>
      <c r="E8" t="s">
        <v>34</v>
      </c>
      <c r="F8">
        <f>2.51*10^4</f>
        <v>25099.999999999996</v>
      </c>
      <c r="G8">
        <v>4.4000000000000004</v>
      </c>
      <c r="H8" t="s">
        <v>33</v>
      </c>
      <c r="I8">
        <v>1</v>
      </c>
      <c r="J8" t="s">
        <v>35</v>
      </c>
      <c r="K8">
        <v>219</v>
      </c>
      <c r="L8" t="s">
        <v>52</v>
      </c>
      <c r="M8">
        <v>0.52</v>
      </c>
      <c r="N8">
        <v>0.55000000000000004</v>
      </c>
      <c r="O8" t="s">
        <v>38</v>
      </c>
      <c r="P8">
        <v>50</v>
      </c>
      <c r="Q8">
        <v>4.3999999999999997E-2</v>
      </c>
      <c r="R8">
        <f>Q8/P8</f>
        <v>8.7999999999999992E-4</v>
      </c>
      <c r="T8">
        <v>19.7</v>
      </c>
      <c r="U8">
        <v>20.399999999999999</v>
      </c>
      <c r="V8" t="s">
        <v>39</v>
      </c>
      <c r="W8">
        <v>5</v>
      </c>
      <c r="X8">
        <f t="shared" ref="X8:X70" si="1">U8/W8</f>
        <v>4.08</v>
      </c>
    </row>
    <row r="9" spans="1:24" x14ac:dyDescent="0.75">
      <c r="A9" t="s">
        <v>56</v>
      </c>
      <c r="B9" t="s">
        <v>57</v>
      </c>
      <c r="C9" t="s">
        <v>32</v>
      </c>
      <c r="D9">
        <v>35</v>
      </c>
      <c r="E9" t="s">
        <v>34</v>
      </c>
      <c r="F9">
        <f>5.01*10^2</f>
        <v>501</v>
      </c>
      <c r="G9">
        <v>2.7</v>
      </c>
      <c r="H9" t="s">
        <v>58</v>
      </c>
      <c r="I9" t="s">
        <v>37</v>
      </c>
      <c r="J9" t="s">
        <v>37</v>
      </c>
      <c r="K9">
        <v>4.3</v>
      </c>
      <c r="L9" t="s">
        <v>36</v>
      </c>
      <c r="M9" t="s">
        <v>37</v>
      </c>
      <c r="N9">
        <v>2.57</v>
      </c>
      <c r="O9" t="s">
        <v>59</v>
      </c>
      <c r="P9">
        <v>10</v>
      </c>
      <c r="Q9">
        <v>0.1</v>
      </c>
      <c r="R9">
        <v>0.01</v>
      </c>
      <c r="T9">
        <v>29</v>
      </c>
      <c r="U9">
        <v>79</v>
      </c>
      <c r="V9" t="s">
        <v>3</v>
      </c>
      <c r="W9">
        <v>10</v>
      </c>
      <c r="X9">
        <f t="shared" si="1"/>
        <v>7.9</v>
      </c>
    </row>
    <row r="10" spans="1:24" x14ac:dyDescent="0.75">
      <c r="A10" t="s">
        <v>60</v>
      </c>
      <c r="B10" t="s">
        <v>61</v>
      </c>
      <c r="C10" t="s">
        <v>47</v>
      </c>
      <c r="D10">
        <v>2900</v>
      </c>
      <c r="E10" t="s">
        <v>33</v>
      </c>
      <c r="F10">
        <f>9.77*10^0</f>
        <v>9.77</v>
      </c>
      <c r="G10">
        <v>0.99</v>
      </c>
      <c r="H10" t="s">
        <v>34</v>
      </c>
      <c r="I10">
        <v>10.6</v>
      </c>
      <c r="J10" t="s">
        <v>35</v>
      </c>
      <c r="K10" t="s">
        <v>37</v>
      </c>
      <c r="L10" t="s">
        <v>37</v>
      </c>
      <c r="M10" t="s">
        <v>37</v>
      </c>
      <c r="N10" t="s">
        <v>37</v>
      </c>
      <c r="O10" t="s">
        <v>37</v>
      </c>
      <c r="P10">
        <v>100</v>
      </c>
      <c r="Q10">
        <v>1.6000000000000001E-3</v>
      </c>
      <c r="R10">
        <f>Q10/P10</f>
        <v>1.5999999999999999E-5</v>
      </c>
      <c r="T10" t="s">
        <v>37</v>
      </c>
      <c r="U10">
        <v>1000</v>
      </c>
      <c r="V10" t="s">
        <v>3</v>
      </c>
      <c r="W10">
        <v>10</v>
      </c>
      <c r="X10">
        <f t="shared" si="1"/>
        <v>100</v>
      </c>
    </row>
    <row r="11" spans="1:24" x14ac:dyDescent="0.75">
      <c r="A11" t="s">
        <v>62</v>
      </c>
      <c r="B11" t="s">
        <v>63</v>
      </c>
      <c r="C11" t="s">
        <v>55</v>
      </c>
      <c r="D11">
        <v>6.7</v>
      </c>
      <c r="E11" t="s">
        <v>34</v>
      </c>
      <c r="F11">
        <f>3.16*10^2</f>
        <v>316</v>
      </c>
      <c r="G11">
        <v>2.5</v>
      </c>
      <c r="H11" t="s">
        <v>34</v>
      </c>
      <c r="I11">
        <v>6.1</v>
      </c>
      <c r="J11" t="s">
        <v>35</v>
      </c>
      <c r="K11" s="10" t="s">
        <v>42</v>
      </c>
      <c r="L11" t="s">
        <v>48</v>
      </c>
      <c r="N11">
        <v>3.1</v>
      </c>
      <c r="O11" t="s">
        <v>44</v>
      </c>
      <c r="P11">
        <v>10</v>
      </c>
      <c r="Q11">
        <v>4.3999999999999997E-2</v>
      </c>
      <c r="R11">
        <v>4.3999999999999994E-3</v>
      </c>
      <c r="T11">
        <v>262</v>
      </c>
      <c r="U11">
        <v>3</v>
      </c>
      <c r="V11" t="s">
        <v>39</v>
      </c>
      <c r="W11">
        <v>5</v>
      </c>
      <c r="X11">
        <f t="shared" si="1"/>
        <v>0.6</v>
      </c>
    </row>
    <row r="12" spans="1:24" x14ac:dyDescent="0.75">
      <c r="A12" t="s">
        <v>402</v>
      </c>
      <c r="B12" t="s">
        <v>64</v>
      </c>
      <c r="C12" t="s">
        <v>42</v>
      </c>
      <c r="D12">
        <v>57</v>
      </c>
      <c r="E12" t="s">
        <v>58</v>
      </c>
      <c r="F12" t="s">
        <v>37</v>
      </c>
      <c r="G12" t="s">
        <v>37</v>
      </c>
      <c r="H12" t="s">
        <v>37</v>
      </c>
      <c r="I12" t="s">
        <v>37</v>
      </c>
      <c r="J12" t="s">
        <v>37</v>
      </c>
      <c r="K12" t="s">
        <v>37</v>
      </c>
      <c r="L12" t="s">
        <v>37</v>
      </c>
      <c r="M12" t="s">
        <v>37</v>
      </c>
      <c r="N12">
        <v>2.4700000000000002</v>
      </c>
      <c r="O12" t="s">
        <v>59</v>
      </c>
      <c r="P12">
        <v>1000</v>
      </c>
      <c r="Q12">
        <v>40.700000000000003</v>
      </c>
      <c r="R12">
        <f>Q12/P12</f>
        <v>4.07E-2</v>
      </c>
      <c r="T12" t="s">
        <v>37</v>
      </c>
      <c r="U12">
        <v>1000</v>
      </c>
      <c r="V12" t="s">
        <v>3</v>
      </c>
      <c r="W12">
        <v>10</v>
      </c>
      <c r="X12">
        <f t="shared" si="1"/>
        <v>100</v>
      </c>
    </row>
    <row r="13" spans="1:24" x14ac:dyDescent="0.75">
      <c r="A13" t="s">
        <v>65</v>
      </c>
      <c r="B13" t="s">
        <v>66</v>
      </c>
      <c r="C13" t="s">
        <v>32</v>
      </c>
      <c r="D13">
        <v>7112</v>
      </c>
      <c r="E13" t="s">
        <v>33</v>
      </c>
      <c r="F13">
        <f>3.47*10^-1</f>
        <v>0.34700000000000003</v>
      </c>
      <c r="G13">
        <v>-0.46</v>
      </c>
      <c r="H13" t="s">
        <v>34</v>
      </c>
      <c r="I13">
        <v>80</v>
      </c>
      <c r="J13" t="s">
        <v>67</v>
      </c>
      <c r="K13">
        <v>21</v>
      </c>
      <c r="L13" t="s">
        <v>36</v>
      </c>
      <c r="N13">
        <v>1.95</v>
      </c>
      <c r="O13" t="s">
        <v>59</v>
      </c>
      <c r="P13">
        <v>10</v>
      </c>
      <c r="Q13">
        <v>25.7</v>
      </c>
      <c r="R13">
        <v>2.57</v>
      </c>
      <c r="T13">
        <v>7.5</v>
      </c>
      <c r="U13">
        <v>1000</v>
      </c>
      <c r="V13" t="s">
        <v>39</v>
      </c>
      <c r="W13">
        <v>5</v>
      </c>
      <c r="X13">
        <f t="shared" si="1"/>
        <v>200</v>
      </c>
    </row>
    <row r="14" spans="1:24" ht="16" x14ac:dyDescent="0.8">
      <c r="A14" t="s">
        <v>68</v>
      </c>
      <c r="B14" t="s">
        <v>69</v>
      </c>
      <c r="C14" t="s">
        <v>47</v>
      </c>
      <c r="D14">
        <v>1E-3</v>
      </c>
      <c r="E14" t="s">
        <v>34</v>
      </c>
      <c r="F14">
        <f>3.98*10^6</f>
        <v>3980000</v>
      </c>
      <c r="G14">
        <v>6.6</v>
      </c>
      <c r="H14" t="s">
        <v>33</v>
      </c>
      <c r="I14">
        <v>8</v>
      </c>
      <c r="J14" t="s">
        <v>35</v>
      </c>
      <c r="K14">
        <v>1703</v>
      </c>
      <c r="L14" t="s">
        <v>52</v>
      </c>
      <c r="M14" t="s">
        <v>37</v>
      </c>
      <c r="N14">
        <v>-2.66</v>
      </c>
      <c r="O14" t="s">
        <v>38</v>
      </c>
      <c r="P14">
        <v>10</v>
      </c>
      <c r="Q14" s="13">
        <v>1.3E-6</v>
      </c>
      <c r="R14">
        <f>Q14/P14</f>
        <v>1.3E-7</v>
      </c>
      <c r="T14">
        <v>86.8</v>
      </c>
      <c r="U14">
        <v>1.0649999999999999</v>
      </c>
      <c r="V14" t="s">
        <v>39</v>
      </c>
      <c r="W14">
        <v>5</v>
      </c>
      <c r="X14">
        <f t="shared" si="1"/>
        <v>0.21299999999999999</v>
      </c>
    </row>
    <row r="15" spans="1:24" x14ac:dyDescent="0.75">
      <c r="A15" t="s">
        <v>70</v>
      </c>
      <c r="B15" t="s">
        <v>71</v>
      </c>
      <c r="C15" t="s">
        <v>72</v>
      </c>
      <c r="D15">
        <v>0.49</v>
      </c>
      <c r="E15" t="s">
        <v>34</v>
      </c>
      <c r="F15">
        <f>2*10^3</f>
        <v>2000</v>
      </c>
      <c r="G15">
        <v>3.3</v>
      </c>
      <c r="H15" t="s">
        <v>33</v>
      </c>
      <c r="I15">
        <v>26</v>
      </c>
      <c r="J15" t="s">
        <v>73</v>
      </c>
      <c r="K15">
        <v>695</v>
      </c>
      <c r="L15" t="s">
        <v>52</v>
      </c>
      <c r="M15">
        <v>1.33</v>
      </c>
      <c r="N15">
        <v>0.99</v>
      </c>
      <c r="O15" t="s">
        <v>38</v>
      </c>
      <c r="P15">
        <v>50</v>
      </c>
      <c r="Q15">
        <v>4.5999999999999999E-3</v>
      </c>
      <c r="R15">
        <f>Q15/P15</f>
        <v>9.2E-5</v>
      </c>
      <c r="T15">
        <v>254</v>
      </c>
      <c r="U15">
        <v>7.74</v>
      </c>
      <c r="V15" t="s">
        <v>39</v>
      </c>
      <c r="W15">
        <v>5</v>
      </c>
      <c r="X15">
        <f t="shared" si="1"/>
        <v>1.548</v>
      </c>
    </row>
    <row r="16" spans="1:24" x14ac:dyDescent="0.75">
      <c r="A16" t="s">
        <v>403</v>
      </c>
      <c r="B16" t="s">
        <v>74</v>
      </c>
      <c r="C16" t="s">
        <v>42</v>
      </c>
      <c r="D16" t="s">
        <v>42</v>
      </c>
      <c r="E16" t="s">
        <v>42</v>
      </c>
      <c r="F16" t="s">
        <v>42</v>
      </c>
      <c r="G16" t="s">
        <v>42</v>
      </c>
      <c r="H16" t="s">
        <v>42</v>
      </c>
      <c r="I16" t="s">
        <v>42</v>
      </c>
      <c r="J16" t="s">
        <v>42</v>
      </c>
      <c r="K16" t="s">
        <v>42</v>
      </c>
      <c r="L16" t="s">
        <v>42</v>
      </c>
      <c r="M16" t="s">
        <v>42</v>
      </c>
      <c r="N16" t="s">
        <v>42</v>
      </c>
      <c r="O16" t="s">
        <v>42</v>
      </c>
      <c r="P16" t="s">
        <v>42</v>
      </c>
      <c r="Q16" t="s">
        <v>42</v>
      </c>
      <c r="R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</row>
    <row r="17" spans="1:24" x14ac:dyDescent="0.75">
      <c r="A17" t="s">
        <v>75</v>
      </c>
      <c r="B17" t="s">
        <v>76</v>
      </c>
      <c r="C17" t="s">
        <v>55</v>
      </c>
      <c r="D17">
        <v>4.5999999999999996</v>
      </c>
      <c r="E17" t="s">
        <v>34</v>
      </c>
      <c r="F17">
        <f>9.12*10^2</f>
        <v>911.99999999999989</v>
      </c>
      <c r="G17" s="3">
        <v>2.96</v>
      </c>
      <c r="H17" s="3" t="s">
        <v>58</v>
      </c>
      <c r="I17" s="3">
        <v>5</v>
      </c>
      <c r="J17" s="3" t="s">
        <v>35</v>
      </c>
      <c r="K17" s="3">
        <v>107</v>
      </c>
      <c r="L17" s="3" t="s">
        <v>52</v>
      </c>
      <c r="M17" s="3">
        <v>1</v>
      </c>
      <c r="N17" s="3">
        <v>2.68</v>
      </c>
      <c r="O17" s="3" t="s">
        <v>59</v>
      </c>
      <c r="P17" s="3">
        <v>50</v>
      </c>
      <c r="Q17" s="3">
        <v>0.125</v>
      </c>
      <c r="R17" s="3">
        <v>2.5000000000000001E-3</v>
      </c>
      <c r="T17">
        <v>254</v>
      </c>
      <c r="U17">
        <v>1.1970000000000001</v>
      </c>
      <c r="V17" t="s">
        <v>39</v>
      </c>
      <c r="W17">
        <v>5</v>
      </c>
      <c r="X17">
        <f t="shared" si="1"/>
        <v>0.2394</v>
      </c>
    </row>
    <row r="18" spans="1:24" x14ac:dyDescent="0.75">
      <c r="A18" t="s">
        <v>77</v>
      </c>
      <c r="B18" t="s">
        <v>78</v>
      </c>
      <c r="C18" t="s">
        <v>32</v>
      </c>
      <c r="D18">
        <v>38000</v>
      </c>
      <c r="E18" t="s">
        <v>33</v>
      </c>
      <c r="F18">
        <f>1.86*10^0</f>
        <v>1.86</v>
      </c>
      <c r="G18">
        <v>0.27</v>
      </c>
      <c r="H18" t="s">
        <v>34</v>
      </c>
      <c r="I18">
        <v>13</v>
      </c>
      <c r="J18" t="s">
        <v>35</v>
      </c>
      <c r="K18" s="10" t="s">
        <v>42</v>
      </c>
      <c r="L18" t="s">
        <v>48</v>
      </c>
      <c r="M18" t="s">
        <v>37</v>
      </c>
      <c r="N18">
        <v>1.71</v>
      </c>
      <c r="O18" t="s">
        <v>38</v>
      </c>
      <c r="P18" s="14">
        <v>10</v>
      </c>
      <c r="Q18" s="14">
        <v>2</v>
      </c>
      <c r="R18" s="14">
        <v>0.2</v>
      </c>
      <c r="T18">
        <v>8</v>
      </c>
      <c r="U18">
        <v>4.5</v>
      </c>
      <c r="V18" t="s">
        <v>39</v>
      </c>
      <c r="W18">
        <v>5</v>
      </c>
      <c r="X18">
        <f t="shared" si="1"/>
        <v>0.9</v>
      </c>
    </row>
    <row r="19" spans="1:24" x14ac:dyDescent="0.75">
      <c r="A19" t="s">
        <v>79</v>
      </c>
      <c r="B19" t="s">
        <v>80</v>
      </c>
      <c r="C19" t="s">
        <v>55</v>
      </c>
      <c r="D19">
        <v>5.2</v>
      </c>
      <c r="E19" t="s">
        <v>34</v>
      </c>
      <c r="F19">
        <f>3.16*10^2</f>
        <v>316</v>
      </c>
      <c r="G19">
        <v>3.5</v>
      </c>
      <c r="H19" t="s">
        <v>34</v>
      </c>
      <c r="I19">
        <v>0.6</v>
      </c>
      <c r="J19" t="s">
        <v>81</v>
      </c>
      <c r="K19">
        <v>140</v>
      </c>
      <c r="L19" t="s">
        <v>52</v>
      </c>
      <c r="M19">
        <v>2</v>
      </c>
      <c r="N19">
        <v>0.97</v>
      </c>
      <c r="O19" t="s">
        <v>38</v>
      </c>
      <c r="P19">
        <v>10</v>
      </c>
      <c r="Q19">
        <v>0.18</v>
      </c>
      <c r="R19">
        <f>Q19/P19</f>
        <v>1.7999999999999999E-2</v>
      </c>
      <c r="T19">
        <v>3.7</v>
      </c>
      <c r="U19">
        <v>6.1</v>
      </c>
      <c r="V19" t="s">
        <v>39</v>
      </c>
      <c r="W19">
        <v>5</v>
      </c>
      <c r="X19">
        <f t="shared" si="1"/>
        <v>1.22</v>
      </c>
    </row>
    <row r="20" spans="1:24" x14ac:dyDescent="0.75">
      <c r="A20" t="s">
        <v>404</v>
      </c>
      <c r="B20" t="s">
        <v>82</v>
      </c>
      <c r="C20" t="s">
        <v>55</v>
      </c>
      <c r="D20" t="s">
        <v>42</v>
      </c>
      <c r="E20" t="s">
        <v>42</v>
      </c>
      <c r="F20" t="s">
        <v>42</v>
      </c>
      <c r="G20" t="s">
        <v>42</v>
      </c>
      <c r="H20" t="s">
        <v>42</v>
      </c>
      <c r="I20" t="s">
        <v>42</v>
      </c>
      <c r="J20" t="s">
        <v>42</v>
      </c>
      <c r="K20" t="s">
        <v>42</v>
      </c>
      <c r="L20" t="s">
        <v>42</v>
      </c>
      <c r="M20" t="s">
        <v>42</v>
      </c>
      <c r="N20" t="s">
        <v>42</v>
      </c>
      <c r="O20" t="s">
        <v>42</v>
      </c>
      <c r="P20" t="s">
        <v>42</v>
      </c>
      <c r="Q20" t="s">
        <v>42</v>
      </c>
      <c r="R20" t="s">
        <v>42</v>
      </c>
      <c r="T20">
        <v>15.6</v>
      </c>
      <c r="U20">
        <v>117</v>
      </c>
      <c r="V20" t="s">
        <v>39</v>
      </c>
      <c r="W20">
        <v>5</v>
      </c>
      <c r="X20">
        <f t="shared" si="1"/>
        <v>23.4</v>
      </c>
    </row>
    <row r="21" spans="1:24" x14ac:dyDescent="0.75">
      <c r="A21" t="s">
        <v>83</v>
      </c>
      <c r="B21" t="s">
        <v>84</v>
      </c>
      <c r="C21" t="s">
        <v>55</v>
      </c>
      <c r="D21">
        <v>8</v>
      </c>
      <c r="E21" t="s">
        <v>34</v>
      </c>
      <c r="F21">
        <f>3.02*10^1</f>
        <v>30.2</v>
      </c>
      <c r="G21">
        <v>1.48</v>
      </c>
      <c r="H21" t="s">
        <v>34</v>
      </c>
      <c r="I21">
        <v>7.9</v>
      </c>
      <c r="J21" t="s">
        <v>35</v>
      </c>
      <c r="K21">
        <v>25</v>
      </c>
      <c r="L21" t="s">
        <v>36</v>
      </c>
      <c r="M21" t="s">
        <v>37</v>
      </c>
      <c r="N21">
        <v>2.21</v>
      </c>
      <c r="O21" t="s">
        <v>59</v>
      </c>
      <c r="P21">
        <v>100</v>
      </c>
      <c r="Q21">
        <v>1.5E-3</v>
      </c>
      <c r="R21">
        <f>Q21/P21</f>
        <v>1.5E-5</v>
      </c>
      <c r="T21">
        <v>22</v>
      </c>
      <c r="U21">
        <v>1</v>
      </c>
      <c r="V21" t="s">
        <v>39</v>
      </c>
      <c r="W21">
        <v>5</v>
      </c>
      <c r="X21">
        <f t="shared" si="1"/>
        <v>0.2</v>
      </c>
    </row>
    <row r="22" spans="1:24" x14ac:dyDescent="0.75">
      <c r="A22" t="s">
        <v>85</v>
      </c>
      <c r="B22" t="s">
        <v>86</v>
      </c>
      <c r="C22" t="s">
        <v>32</v>
      </c>
      <c r="D22">
        <v>29.3</v>
      </c>
      <c r="E22" t="s">
        <v>34</v>
      </c>
      <c r="F22">
        <f>5.01*10^3</f>
        <v>5010</v>
      </c>
      <c r="G22">
        <v>3.7</v>
      </c>
      <c r="H22" t="s">
        <v>33</v>
      </c>
      <c r="I22" t="s">
        <v>37</v>
      </c>
      <c r="J22" t="s">
        <v>37</v>
      </c>
      <c r="K22" t="s">
        <v>37</v>
      </c>
      <c r="L22" t="s">
        <v>37</v>
      </c>
      <c r="M22" t="s">
        <v>37</v>
      </c>
      <c r="N22" t="s">
        <v>37</v>
      </c>
      <c r="O22" t="s">
        <v>37</v>
      </c>
      <c r="P22">
        <v>1000</v>
      </c>
      <c r="Q22">
        <v>0.27</v>
      </c>
      <c r="R22">
        <f>Q22/P22</f>
        <v>2.7E-4</v>
      </c>
      <c r="T22">
        <v>8.1999999999999993</v>
      </c>
      <c r="U22">
        <v>17.72</v>
      </c>
      <c r="V22" t="s">
        <v>39</v>
      </c>
      <c r="W22">
        <v>5</v>
      </c>
      <c r="X22">
        <f t="shared" si="1"/>
        <v>3.5439999999999996</v>
      </c>
    </row>
    <row r="23" spans="1:24" x14ac:dyDescent="0.75">
      <c r="A23" t="s">
        <v>405</v>
      </c>
      <c r="B23" t="s">
        <v>87</v>
      </c>
      <c r="C23" t="s">
        <v>32</v>
      </c>
      <c r="D23">
        <v>29.3</v>
      </c>
      <c r="E23" t="s">
        <v>34</v>
      </c>
      <c r="F23">
        <f>5.01*10^3</f>
        <v>5010</v>
      </c>
      <c r="G23">
        <v>3.7</v>
      </c>
      <c r="H23" t="s">
        <v>33</v>
      </c>
      <c r="I23">
        <v>0.1</v>
      </c>
      <c r="J23" t="s">
        <v>81</v>
      </c>
      <c r="K23">
        <v>176</v>
      </c>
      <c r="L23" t="s">
        <v>52</v>
      </c>
      <c r="M23">
        <v>1</v>
      </c>
      <c r="N23">
        <v>-0.4</v>
      </c>
      <c r="O23" t="s">
        <v>38</v>
      </c>
      <c r="P23">
        <v>100</v>
      </c>
      <c r="Q23">
        <v>5.7000000000000002E-3</v>
      </c>
      <c r="R23">
        <f>Q23/P23</f>
        <v>5.7000000000000003E-5</v>
      </c>
      <c r="T23">
        <v>0.5</v>
      </c>
      <c r="U23">
        <v>17.72</v>
      </c>
      <c r="V23" t="s">
        <v>39</v>
      </c>
      <c r="W23">
        <v>5</v>
      </c>
      <c r="X23">
        <f t="shared" si="1"/>
        <v>3.5439999999999996</v>
      </c>
    </row>
    <row r="24" spans="1:24" x14ac:dyDescent="0.75">
      <c r="A24" t="s">
        <v>88</v>
      </c>
      <c r="B24" t="s">
        <v>89</v>
      </c>
      <c r="C24" t="s">
        <v>47</v>
      </c>
      <c r="D24">
        <v>0.88</v>
      </c>
      <c r="E24" t="s">
        <v>34</v>
      </c>
      <c r="F24">
        <f>7.24*10^2</f>
        <v>724</v>
      </c>
      <c r="G24" s="3">
        <v>2.86</v>
      </c>
      <c r="H24" s="3" t="s">
        <v>58</v>
      </c>
      <c r="I24" s="3">
        <v>23.5</v>
      </c>
      <c r="J24" s="3" t="s">
        <v>73</v>
      </c>
      <c r="K24" s="3">
        <v>15</v>
      </c>
      <c r="L24" s="3" t="s">
        <v>36</v>
      </c>
      <c r="M24" s="3">
        <v>1.5</v>
      </c>
      <c r="N24" s="3">
        <v>3.51</v>
      </c>
      <c r="O24" s="3" t="s">
        <v>44</v>
      </c>
      <c r="P24" s="3">
        <v>100</v>
      </c>
      <c r="Q24" s="3">
        <v>4.0000000000000001E-3</v>
      </c>
      <c r="R24" s="3">
        <v>4.0000000000000003E-5</v>
      </c>
      <c r="T24">
        <v>204</v>
      </c>
      <c r="U24">
        <v>0.39</v>
      </c>
      <c r="V24" t="s">
        <v>39</v>
      </c>
      <c r="W24">
        <v>5</v>
      </c>
      <c r="X24">
        <f t="shared" si="1"/>
        <v>7.8E-2</v>
      </c>
    </row>
    <row r="25" spans="1:24" x14ac:dyDescent="0.75">
      <c r="A25" t="s">
        <v>90</v>
      </c>
      <c r="B25" t="s">
        <v>91</v>
      </c>
      <c r="C25" t="s">
        <v>32</v>
      </c>
      <c r="D25">
        <v>422</v>
      </c>
      <c r="E25" t="s">
        <v>58</v>
      </c>
      <c r="F25">
        <f>1.55*10^1</f>
        <v>15.5</v>
      </c>
      <c r="G25">
        <v>1.19</v>
      </c>
      <c r="H25" t="s">
        <v>34</v>
      </c>
      <c r="I25">
        <v>51.5</v>
      </c>
      <c r="J25" t="s">
        <v>67</v>
      </c>
      <c r="K25">
        <v>12</v>
      </c>
      <c r="L25" t="s">
        <v>36</v>
      </c>
      <c r="M25" t="s">
        <v>37</v>
      </c>
      <c r="N25">
        <v>2.16</v>
      </c>
      <c r="O25" t="s">
        <v>59</v>
      </c>
      <c r="P25">
        <v>10</v>
      </c>
      <c r="Q25">
        <v>0.73</v>
      </c>
      <c r="R25">
        <f>Q25/P25</f>
        <v>7.2999999999999995E-2</v>
      </c>
      <c r="T25">
        <v>18.600000000000001</v>
      </c>
      <c r="U25">
        <v>1000</v>
      </c>
      <c r="V25" t="s">
        <v>39</v>
      </c>
      <c r="W25">
        <v>5</v>
      </c>
      <c r="X25">
        <f t="shared" si="1"/>
        <v>200</v>
      </c>
    </row>
    <row r="26" spans="1:24" x14ac:dyDescent="0.75">
      <c r="A26" t="s">
        <v>92</v>
      </c>
      <c r="B26" t="s">
        <v>93</v>
      </c>
      <c r="C26" t="s">
        <v>55</v>
      </c>
      <c r="D26">
        <v>0.81</v>
      </c>
      <c r="E26" t="s">
        <v>34</v>
      </c>
      <c r="F26">
        <f>8.71*10^2</f>
        <v>871.00000000000011</v>
      </c>
      <c r="G26">
        <v>2.94</v>
      </c>
      <c r="H26" t="s">
        <v>58</v>
      </c>
      <c r="I26">
        <v>0.82</v>
      </c>
      <c r="J26" t="s">
        <v>81</v>
      </c>
      <c r="K26">
        <v>100</v>
      </c>
      <c r="L26" t="s">
        <v>52</v>
      </c>
      <c r="M26">
        <v>5</v>
      </c>
      <c r="N26">
        <v>1.1200000000000001</v>
      </c>
      <c r="O26" t="s">
        <v>38</v>
      </c>
      <c r="P26">
        <v>10</v>
      </c>
      <c r="Q26">
        <v>8.9999999999999993E-3</v>
      </c>
      <c r="R26">
        <f>Q26/P26</f>
        <v>8.9999999999999998E-4</v>
      </c>
      <c r="T26">
        <v>17.899999999999999</v>
      </c>
      <c r="U26">
        <v>18</v>
      </c>
      <c r="V26" t="s">
        <v>39</v>
      </c>
      <c r="W26">
        <v>5</v>
      </c>
      <c r="X26">
        <f t="shared" si="1"/>
        <v>3.6</v>
      </c>
    </row>
    <row r="27" spans="1:24" x14ac:dyDescent="0.75">
      <c r="A27" t="s">
        <v>406</v>
      </c>
      <c r="B27" t="s">
        <v>94</v>
      </c>
      <c r="C27" t="s">
        <v>55</v>
      </c>
      <c r="D27" t="s">
        <v>42</v>
      </c>
      <c r="E27" t="s">
        <v>42</v>
      </c>
      <c r="F27" t="s">
        <v>42</v>
      </c>
      <c r="G27" t="s">
        <v>42</v>
      </c>
      <c r="H27" t="s">
        <v>42</v>
      </c>
      <c r="I27" t="s">
        <v>42</v>
      </c>
      <c r="J27" t="s">
        <v>42</v>
      </c>
      <c r="K27" t="s">
        <v>42</v>
      </c>
      <c r="L27" t="s">
        <v>42</v>
      </c>
      <c r="M27" t="s">
        <v>42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</row>
    <row r="28" spans="1:24" x14ac:dyDescent="0.75">
      <c r="A28" t="s">
        <v>95</v>
      </c>
      <c r="B28" t="s">
        <v>96</v>
      </c>
      <c r="C28" t="s">
        <v>32</v>
      </c>
      <c r="D28">
        <v>76</v>
      </c>
      <c r="E28" t="s">
        <v>58</v>
      </c>
      <c r="F28">
        <f>3.16*10^2</f>
        <v>316</v>
      </c>
      <c r="G28">
        <v>2.5</v>
      </c>
      <c r="H28" t="s">
        <v>34</v>
      </c>
      <c r="I28">
        <v>44.4</v>
      </c>
      <c r="J28" t="s">
        <v>67</v>
      </c>
      <c r="K28" s="10" t="s">
        <v>42</v>
      </c>
      <c r="L28" t="s">
        <v>48</v>
      </c>
      <c r="M28" t="s">
        <v>37</v>
      </c>
      <c r="N28">
        <v>2.0099999999999998</v>
      </c>
      <c r="O28" t="s">
        <v>59</v>
      </c>
      <c r="P28">
        <v>10</v>
      </c>
      <c r="Q28">
        <v>0.4</v>
      </c>
      <c r="R28">
        <f>Q28/P28</f>
        <v>0.04</v>
      </c>
      <c r="T28">
        <v>12.5</v>
      </c>
      <c r="U28">
        <v>31.25</v>
      </c>
      <c r="V28" t="s">
        <v>39</v>
      </c>
      <c r="W28">
        <v>5</v>
      </c>
      <c r="X28">
        <f t="shared" si="1"/>
        <v>6.25</v>
      </c>
    </row>
    <row r="29" spans="1:24" x14ac:dyDescent="0.75">
      <c r="A29" t="s">
        <v>97</v>
      </c>
      <c r="B29" t="s">
        <v>98</v>
      </c>
      <c r="C29" t="s">
        <v>32</v>
      </c>
      <c r="D29">
        <v>110</v>
      </c>
      <c r="E29" t="s">
        <v>58</v>
      </c>
      <c r="F29">
        <f>5.75*10^3</f>
        <v>5750</v>
      </c>
      <c r="G29">
        <v>3.76</v>
      </c>
      <c r="H29" t="s">
        <v>33</v>
      </c>
      <c r="I29">
        <v>60</v>
      </c>
      <c r="J29" t="s">
        <v>67</v>
      </c>
      <c r="K29">
        <v>144</v>
      </c>
      <c r="L29" t="s">
        <v>52</v>
      </c>
      <c r="M29">
        <v>0.6</v>
      </c>
      <c r="N29">
        <v>1.54</v>
      </c>
      <c r="O29" t="s">
        <v>38</v>
      </c>
      <c r="P29">
        <v>10</v>
      </c>
      <c r="Q29">
        <v>0.32</v>
      </c>
      <c r="R29">
        <f>Q29/P29</f>
        <v>3.2000000000000001E-2</v>
      </c>
      <c r="T29" t="s">
        <v>37</v>
      </c>
      <c r="U29">
        <v>17.2</v>
      </c>
      <c r="V29" t="s">
        <v>39</v>
      </c>
      <c r="W29">
        <v>5</v>
      </c>
      <c r="X29">
        <f t="shared" si="1"/>
        <v>3.44</v>
      </c>
    </row>
    <row r="30" spans="1:24" x14ac:dyDescent="0.75">
      <c r="A30" t="s">
        <v>99</v>
      </c>
      <c r="B30" t="s">
        <v>100</v>
      </c>
      <c r="C30" t="s">
        <v>47</v>
      </c>
      <c r="D30">
        <v>1.05</v>
      </c>
      <c r="E30" t="s">
        <v>34</v>
      </c>
      <c r="F30">
        <f>5.01*10^4</f>
        <v>50100</v>
      </c>
      <c r="G30">
        <v>4.7</v>
      </c>
      <c r="H30" t="s">
        <v>33</v>
      </c>
      <c r="I30">
        <v>5</v>
      </c>
      <c r="J30" t="s">
        <v>35</v>
      </c>
      <c r="K30">
        <v>1374</v>
      </c>
      <c r="L30" t="s">
        <v>52</v>
      </c>
      <c r="M30">
        <v>2.5</v>
      </c>
      <c r="N30">
        <v>0.57999999999999996</v>
      </c>
      <c r="O30" t="s">
        <v>38</v>
      </c>
      <c r="P30">
        <v>10</v>
      </c>
      <c r="Q30">
        <v>1E-4</v>
      </c>
      <c r="R30">
        <f>Q30/P30</f>
        <v>1.0000000000000001E-5</v>
      </c>
      <c r="T30">
        <v>27.6</v>
      </c>
      <c r="U30">
        <v>1.2E-2</v>
      </c>
      <c r="V30" t="s">
        <v>39</v>
      </c>
      <c r="W30">
        <v>5</v>
      </c>
      <c r="X30">
        <f t="shared" si="1"/>
        <v>2.4000000000000002E-3</v>
      </c>
    </row>
    <row r="31" spans="1:24" x14ac:dyDescent="0.75">
      <c r="A31" t="s">
        <v>407</v>
      </c>
      <c r="B31" t="s">
        <v>101</v>
      </c>
      <c r="C31" t="s">
        <v>47</v>
      </c>
      <c r="D31" t="s">
        <v>42</v>
      </c>
      <c r="E31" t="s">
        <v>42</v>
      </c>
      <c r="F31" t="s">
        <v>42</v>
      </c>
      <c r="G31" t="s">
        <v>42</v>
      </c>
      <c r="H31" t="s">
        <v>42</v>
      </c>
      <c r="I31" t="s">
        <v>42</v>
      </c>
      <c r="J31" t="s">
        <v>42</v>
      </c>
      <c r="K31" t="s">
        <v>42</v>
      </c>
      <c r="L31" t="s">
        <v>42</v>
      </c>
      <c r="M31" t="s">
        <v>42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T31" s="10" t="s">
        <v>42</v>
      </c>
      <c r="U31" s="10" t="s">
        <v>42</v>
      </c>
      <c r="V31" s="10" t="s">
        <v>42</v>
      </c>
      <c r="W31" s="10" t="s">
        <v>42</v>
      </c>
      <c r="X31" s="10" t="s">
        <v>42</v>
      </c>
    </row>
    <row r="32" spans="1:24" ht="16" x14ac:dyDescent="0.8">
      <c r="A32" t="s">
        <v>408</v>
      </c>
      <c r="B32" t="s">
        <v>102</v>
      </c>
      <c r="C32" t="s">
        <v>42</v>
      </c>
      <c r="D32">
        <v>2.74</v>
      </c>
      <c r="E32" t="s">
        <v>34</v>
      </c>
      <c r="F32">
        <f>1*10^4</f>
        <v>10000</v>
      </c>
      <c r="G32">
        <v>4</v>
      </c>
      <c r="H32" t="s">
        <v>33</v>
      </c>
      <c r="I32">
        <v>2.9</v>
      </c>
      <c r="J32" t="s">
        <v>35</v>
      </c>
      <c r="K32">
        <v>1800</v>
      </c>
      <c r="L32" t="s">
        <v>52</v>
      </c>
      <c r="M32">
        <v>2.6</v>
      </c>
      <c r="N32">
        <v>0.08</v>
      </c>
      <c r="O32" t="s">
        <v>38</v>
      </c>
      <c r="P32">
        <v>50</v>
      </c>
      <c r="Q32" s="13">
        <v>1.0000000000000001E-5</v>
      </c>
      <c r="R32">
        <f>Q32/P32</f>
        <v>2.0000000000000002E-7</v>
      </c>
      <c r="T32">
        <v>1.24</v>
      </c>
      <c r="U32">
        <v>7.4999999999999997E-2</v>
      </c>
      <c r="V32" t="s">
        <v>39</v>
      </c>
      <c r="W32">
        <v>5</v>
      </c>
      <c r="X32">
        <f t="shared" si="1"/>
        <v>1.4999999999999999E-2</v>
      </c>
    </row>
    <row r="33" spans="1:24" x14ac:dyDescent="0.75">
      <c r="A33" t="s">
        <v>409</v>
      </c>
      <c r="B33" t="s">
        <v>103</v>
      </c>
      <c r="C33" t="s">
        <v>47</v>
      </c>
      <c r="D33" t="s">
        <v>42</v>
      </c>
      <c r="E33" t="s">
        <v>42</v>
      </c>
      <c r="F33" t="s">
        <v>42</v>
      </c>
      <c r="G33" t="s">
        <v>42</v>
      </c>
      <c r="H33" t="s">
        <v>42</v>
      </c>
      <c r="I33" t="s">
        <v>42</v>
      </c>
      <c r="J33" t="s">
        <v>42</v>
      </c>
      <c r="K33" t="s">
        <v>42</v>
      </c>
      <c r="L33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</row>
    <row r="34" spans="1:24" x14ac:dyDescent="0.75">
      <c r="A34" t="s">
        <v>104</v>
      </c>
      <c r="B34" t="s">
        <v>105</v>
      </c>
      <c r="C34" t="s">
        <v>32</v>
      </c>
      <c r="D34">
        <v>1212</v>
      </c>
      <c r="E34" t="s">
        <v>33</v>
      </c>
      <c r="F34">
        <f>3.8*10^2</f>
        <v>380</v>
      </c>
      <c r="G34">
        <v>2.58</v>
      </c>
      <c r="H34" t="s">
        <v>34</v>
      </c>
      <c r="I34" t="s">
        <v>37</v>
      </c>
      <c r="J34" t="s">
        <v>37</v>
      </c>
      <c r="K34">
        <v>40</v>
      </c>
      <c r="L34" t="s">
        <v>36</v>
      </c>
      <c r="M34">
        <v>1</v>
      </c>
      <c r="N34">
        <v>2.72</v>
      </c>
      <c r="O34" t="s">
        <v>59</v>
      </c>
      <c r="P34">
        <v>10</v>
      </c>
      <c r="Q34">
        <v>0.05</v>
      </c>
      <c r="R34">
        <f>Q34/P34</f>
        <v>5.0000000000000001E-3</v>
      </c>
      <c r="T34">
        <v>27.3</v>
      </c>
      <c r="U34">
        <v>0.8</v>
      </c>
      <c r="V34" t="s">
        <v>39</v>
      </c>
      <c r="W34">
        <v>5</v>
      </c>
      <c r="X34">
        <f t="shared" si="1"/>
        <v>0.16</v>
      </c>
    </row>
    <row r="35" spans="1:24" x14ac:dyDescent="0.75">
      <c r="A35" t="s">
        <v>106</v>
      </c>
      <c r="B35" t="s">
        <v>107</v>
      </c>
      <c r="C35" t="s">
        <v>47</v>
      </c>
      <c r="D35">
        <v>340</v>
      </c>
      <c r="E35" t="s">
        <v>58</v>
      </c>
      <c r="F35">
        <f>8.04*10^0</f>
        <v>8.0399999999999991</v>
      </c>
      <c r="G35">
        <v>0.90500000000000003</v>
      </c>
      <c r="H35" t="s">
        <v>34</v>
      </c>
      <c r="I35" t="s">
        <v>108</v>
      </c>
      <c r="J35" t="s">
        <v>67</v>
      </c>
      <c r="K35" s="10" t="s">
        <v>42</v>
      </c>
      <c r="L35" t="s">
        <v>48</v>
      </c>
      <c r="M35" t="s">
        <v>37</v>
      </c>
      <c r="N35" s="11" t="s">
        <v>109</v>
      </c>
      <c r="O35" t="s">
        <v>44</v>
      </c>
      <c r="P35">
        <v>100</v>
      </c>
      <c r="Q35">
        <v>2.9000000000000001E-2</v>
      </c>
      <c r="R35">
        <v>2.9E-4</v>
      </c>
      <c r="T35">
        <v>121.2</v>
      </c>
      <c r="U35">
        <v>2.5</v>
      </c>
      <c r="V35" t="s">
        <v>39</v>
      </c>
      <c r="W35">
        <v>5</v>
      </c>
      <c r="X35">
        <f t="shared" si="1"/>
        <v>0.5</v>
      </c>
    </row>
    <row r="36" spans="1:24" x14ac:dyDescent="0.75">
      <c r="A36" t="s">
        <v>110</v>
      </c>
      <c r="B36" t="s">
        <v>111</v>
      </c>
      <c r="C36" t="s">
        <v>47</v>
      </c>
      <c r="D36">
        <v>14.2</v>
      </c>
      <c r="E36" t="s">
        <v>34</v>
      </c>
      <c r="F36">
        <f>1.05*10^2</f>
        <v>105</v>
      </c>
      <c r="G36">
        <v>2.02</v>
      </c>
      <c r="H36" t="s">
        <v>34</v>
      </c>
      <c r="I36" t="s">
        <v>37</v>
      </c>
      <c r="J36" t="s">
        <v>37</v>
      </c>
      <c r="K36">
        <v>1</v>
      </c>
      <c r="L36" t="s">
        <v>36</v>
      </c>
      <c r="M36" t="s">
        <v>37</v>
      </c>
      <c r="N36">
        <v>2.59</v>
      </c>
      <c r="O36" t="s">
        <v>59</v>
      </c>
      <c r="P36">
        <v>1000</v>
      </c>
      <c r="Q36">
        <v>0.02</v>
      </c>
      <c r="R36">
        <f>Q36/P36</f>
        <v>2.0000000000000002E-5</v>
      </c>
      <c r="T36">
        <v>32.4</v>
      </c>
      <c r="U36">
        <v>945</v>
      </c>
      <c r="V36" t="s">
        <v>3</v>
      </c>
      <c r="W36">
        <v>10</v>
      </c>
      <c r="X36">
        <f t="shared" si="1"/>
        <v>94.5</v>
      </c>
    </row>
    <row r="37" spans="1:24" x14ac:dyDescent="0.75">
      <c r="A37" t="s">
        <v>112</v>
      </c>
      <c r="B37" t="s">
        <v>113</v>
      </c>
      <c r="C37" t="s">
        <v>55</v>
      </c>
      <c r="D37">
        <v>0.52</v>
      </c>
      <c r="E37" t="s">
        <v>34</v>
      </c>
      <c r="F37">
        <f>5.01*10^4</f>
        <v>50100</v>
      </c>
      <c r="G37">
        <v>4.7</v>
      </c>
      <c r="H37" t="s">
        <v>33</v>
      </c>
      <c r="I37">
        <v>4.3</v>
      </c>
      <c r="J37" t="s">
        <v>35</v>
      </c>
      <c r="K37">
        <v>528</v>
      </c>
      <c r="L37" t="s">
        <v>52</v>
      </c>
      <c r="M37">
        <v>1.3</v>
      </c>
      <c r="N37">
        <v>1.1200000000000001</v>
      </c>
      <c r="O37" t="s">
        <v>38</v>
      </c>
      <c r="P37">
        <v>100</v>
      </c>
      <c r="Q37">
        <v>2.4E-2</v>
      </c>
      <c r="R37">
        <f>Q37/P37</f>
        <v>2.4000000000000001E-4</v>
      </c>
      <c r="T37">
        <v>25.3</v>
      </c>
      <c r="U37">
        <v>1.78E-2</v>
      </c>
      <c r="V37" t="s">
        <v>39</v>
      </c>
      <c r="W37">
        <v>5</v>
      </c>
      <c r="X37">
        <f t="shared" si="1"/>
        <v>3.5599999999999998E-3</v>
      </c>
    </row>
    <row r="38" spans="1:24" ht="16" x14ac:dyDescent="0.8">
      <c r="A38" t="s">
        <v>410</v>
      </c>
      <c r="B38" t="s">
        <v>114</v>
      </c>
      <c r="C38" t="s">
        <v>47</v>
      </c>
      <c r="D38">
        <v>6.6E-3</v>
      </c>
      <c r="E38" t="s">
        <v>34</v>
      </c>
      <c r="F38">
        <f>1*10^6</f>
        <v>1000000</v>
      </c>
      <c r="G38">
        <v>6</v>
      </c>
      <c r="H38" t="s">
        <v>33</v>
      </c>
      <c r="I38">
        <v>1</v>
      </c>
      <c r="J38" t="s">
        <v>35</v>
      </c>
      <c r="K38">
        <v>506</v>
      </c>
      <c r="L38" t="s">
        <v>52</v>
      </c>
      <c r="M38">
        <v>9</v>
      </c>
      <c r="N38">
        <v>-1.66</v>
      </c>
      <c r="O38" t="s">
        <v>38</v>
      </c>
      <c r="P38">
        <v>100</v>
      </c>
      <c r="Q38" s="13">
        <v>1.9999999999999999E-6</v>
      </c>
      <c r="R38">
        <f>Q38/P38</f>
        <v>2E-8</v>
      </c>
      <c r="T38">
        <v>33</v>
      </c>
      <c r="U38">
        <v>1000</v>
      </c>
      <c r="V38" t="s">
        <v>3</v>
      </c>
      <c r="W38">
        <v>10</v>
      </c>
      <c r="X38">
        <f t="shared" si="1"/>
        <v>100</v>
      </c>
    </row>
    <row r="39" spans="1:24" x14ac:dyDescent="0.75">
      <c r="A39" t="s">
        <v>115</v>
      </c>
      <c r="B39" t="s">
        <v>116</v>
      </c>
      <c r="C39" t="s">
        <v>55</v>
      </c>
      <c r="D39">
        <v>780</v>
      </c>
      <c r="E39" t="s">
        <v>33</v>
      </c>
      <c r="F39">
        <f>4.68*10^0</f>
        <v>4.68</v>
      </c>
      <c r="G39">
        <v>0.67</v>
      </c>
      <c r="H39" t="s">
        <v>34</v>
      </c>
      <c r="I39">
        <v>0.3</v>
      </c>
      <c r="J39" t="s">
        <v>81</v>
      </c>
      <c r="K39" s="10" t="s">
        <v>42</v>
      </c>
      <c r="L39" t="s">
        <v>48</v>
      </c>
      <c r="M39" t="s">
        <v>37</v>
      </c>
      <c r="N39">
        <v>1.47</v>
      </c>
      <c r="O39" t="s">
        <v>38</v>
      </c>
      <c r="P39">
        <v>100</v>
      </c>
      <c r="Q39">
        <v>6.7000000000000004E-2</v>
      </c>
      <c r="R39">
        <f>Q39/P39</f>
        <v>6.7000000000000002E-4</v>
      </c>
      <c r="T39">
        <v>3.5</v>
      </c>
      <c r="U39">
        <v>6.6</v>
      </c>
      <c r="V39" t="s">
        <v>39</v>
      </c>
      <c r="W39">
        <v>5</v>
      </c>
      <c r="X39">
        <f t="shared" si="1"/>
        <v>1.3199999999999998</v>
      </c>
    </row>
    <row r="40" spans="1:24" ht="16" x14ac:dyDescent="0.8">
      <c r="A40" t="s">
        <v>117</v>
      </c>
      <c r="B40" t="s">
        <v>118</v>
      </c>
      <c r="C40" t="s">
        <v>47</v>
      </c>
      <c r="D40">
        <v>8.9999999999999993E-3</v>
      </c>
      <c r="E40" t="s">
        <v>34</v>
      </c>
      <c r="F40">
        <f>3.55*10^5</f>
        <v>355000</v>
      </c>
      <c r="G40">
        <v>5.55</v>
      </c>
      <c r="H40" t="s">
        <v>33</v>
      </c>
      <c r="I40">
        <v>3</v>
      </c>
      <c r="J40" t="s">
        <v>35</v>
      </c>
      <c r="K40">
        <v>331</v>
      </c>
      <c r="L40" t="s">
        <v>52</v>
      </c>
      <c r="M40" t="s">
        <v>37</v>
      </c>
      <c r="N40">
        <v>-1.99</v>
      </c>
      <c r="O40" t="s">
        <v>38</v>
      </c>
      <c r="P40">
        <v>10</v>
      </c>
      <c r="Q40" s="13">
        <v>3.0000000000000001E-5</v>
      </c>
      <c r="R40">
        <f>Q40/P40</f>
        <v>3.0000000000000001E-6</v>
      </c>
      <c r="T40">
        <v>21.9</v>
      </c>
      <c r="U40">
        <v>5.2</v>
      </c>
      <c r="V40" t="s">
        <v>39</v>
      </c>
      <c r="W40">
        <v>5</v>
      </c>
      <c r="X40">
        <f t="shared" si="1"/>
        <v>1.04</v>
      </c>
    </row>
    <row r="41" spans="1:24" x14ac:dyDescent="0.75">
      <c r="A41" t="s">
        <v>119</v>
      </c>
      <c r="B41" t="s">
        <v>120</v>
      </c>
      <c r="C41" t="s">
        <v>55</v>
      </c>
      <c r="D41">
        <v>93</v>
      </c>
      <c r="E41" t="s">
        <v>58</v>
      </c>
      <c r="F41">
        <f>1.23*10^3</f>
        <v>1230</v>
      </c>
      <c r="G41" s="3">
        <v>3.09</v>
      </c>
      <c r="H41" s="3" t="s">
        <v>33</v>
      </c>
      <c r="I41" s="3" t="s">
        <v>37</v>
      </c>
      <c r="J41" s="3" t="s">
        <v>37</v>
      </c>
      <c r="K41" s="3">
        <v>28</v>
      </c>
      <c r="L41" s="3" t="s">
        <v>36</v>
      </c>
      <c r="M41" s="3">
        <v>1</v>
      </c>
      <c r="N41" s="3">
        <v>3.04</v>
      </c>
      <c r="O41" s="3" t="s">
        <v>44</v>
      </c>
      <c r="P41" s="3">
        <v>10</v>
      </c>
      <c r="Q41" s="3">
        <v>2.1000000000000001E-2</v>
      </c>
      <c r="R41" s="3">
        <v>2.1000000000000003E-3</v>
      </c>
      <c r="T41">
        <v>129</v>
      </c>
      <c r="U41">
        <v>0.75</v>
      </c>
      <c r="V41" t="s">
        <v>39</v>
      </c>
      <c r="W41">
        <v>5</v>
      </c>
      <c r="X41">
        <f t="shared" si="1"/>
        <v>0.15</v>
      </c>
    </row>
    <row r="42" spans="1:24" x14ac:dyDescent="0.75">
      <c r="A42" t="s">
        <v>121</v>
      </c>
      <c r="B42" t="s">
        <v>122</v>
      </c>
      <c r="C42" t="s">
        <v>55</v>
      </c>
      <c r="D42">
        <v>13</v>
      </c>
      <c r="E42" t="s">
        <v>34</v>
      </c>
      <c r="F42">
        <f>1*10^4</f>
        <v>10000</v>
      </c>
      <c r="G42">
        <v>4</v>
      </c>
      <c r="H42" t="s">
        <v>33</v>
      </c>
      <c r="I42">
        <v>12.5</v>
      </c>
      <c r="J42" t="s">
        <v>35</v>
      </c>
      <c r="K42">
        <v>393</v>
      </c>
      <c r="L42" t="s">
        <v>52</v>
      </c>
      <c r="M42">
        <v>0.5</v>
      </c>
      <c r="N42">
        <v>1.06</v>
      </c>
      <c r="O42" t="s">
        <v>38</v>
      </c>
      <c r="P42">
        <v>50</v>
      </c>
      <c r="Q42">
        <v>8.8000000000000005E-3</v>
      </c>
      <c r="R42">
        <f>Q42/P42</f>
        <v>1.7600000000000002E-4</v>
      </c>
      <c r="T42">
        <v>45</v>
      </c>
      <c r="U42">
        <v>192</v>
      </c>
      <c r="V42" t="s">
        <v>3</v>
      </c>
      <c r="W42">
        <v>10</v>
      </c>
      <c r="X42">
        <f t="shared" si="1"/>
        <v>19.2</v>
      </c>
    </row>
    <row r="43" spans="1:24" x14ac:dyDescent="0.75">
      <c r="A43" t="s">
        <v>411</v>
      </c>
      <c r="B43" t="s">
        <v>123</v>
      </c>
      <c r="C43" t="s">
        <v>42</v>
      </c>
      <c r="D43" t="s">
        <v>42</v>
      </c>
      <c r="E43" t="s">
        <v>42</v>
      </c>
      <c r="F43" t="s">
        <v>42</v>
      </c>
      <c r="G43" t="s">
        <v>42</v>
      </c>
      <c r="H43" t="s">
        <v>42</v>
      </c>
      <c r="I43" t="s">
        <v>42</v>
      </c>
      <c r="J43" t="s">
        <v>42</v>
      </c>
      <c r="K43" t="s">
        <v>42</v>
      </c>
      <c r="L43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</row>
    <row r="44" spans="1:24" x14ac:dyDescent="0.75">
      <c r="A44" t="s">
        <v>412</v>
      </c>
      <c r="B44" t="s">
        <v>124</v>
      </c>
      <c r="C44" t="s">
        <v>47</v>
      </c>
      <c r="D44" t="s">
        <v>42</v>
      </c>
      <c r="E44" t="s">
        <v>42</v>
      </c>
      <c r="F44" t="s">
        <v>42</v>
      </c>
      <c r="G44" t="s">
        <v>42</v>
      </c>
      <c r="H44" t="s">
        <v>42</v>
      </c>
      <c r="I44" t="s">
        <v>42</v>
      </c>
      <c r="J44" t="s">
        <v>42</v>
      </c>
      <c r="K44" t="s">
        <v>42</v>
      </c>
      <c r="L44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  <c r="R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</row>
    <row r="45" spans="1:24" x14ac:dyDescent="0.75">
      <c r="A45" t="s">
        <v>413</v>
      </c>
      <c r="B45" t="s">
        <v>125</v>
      </c>
      <c r="C45" t="s">
        <v>47</v>
      </c>
      <c r="D45">
        <v>0.09</v>
      </c>
      <c r="E45" t="s">
        <v>34</v>
      </c>
      <c r="F45">
        <f>1.05*10^6</f>
        <v>1050000</v>
      </c>
      <c r="G45">
        <v>6.02</v>
      </c>
      <c r="H45" t="s">
        <v>33</v>
      </c>
      <c r="I45" t="s">
        <v>37</v>
      </c>
      <c r="J45" t="s">
        <v>37</v>
      </c>
      <c r="K45" t="s">
        <v>37</v>
      </c>
      <c r="L45" t="s">
        <v>37</v>
      </c>
      <c r="M45" t="s">
        <v>37</v>
      </c>
      <c r="N45">
        <v>-2.46</v>
      </c>
      <c r="O45" t="s">
        <v>38</v>
      </c>
      <c r="P45">
        <v>1000</v>
      </c>
      <c r="Q45">
        <v>8.9999999999999993E-3</v>
      </c>
      <c r="R45">
        <f>Q45/P45</f>
        <v>8.9999999999999985E-6</v>
      </c>
      <c r="T45" t="s">
        <v>37</v>
      </c>
      <c r="U45" t="s">
        <v>126</v>
      </c>
      <c r="V45" t="s">
        <v>126</v>
      </c>
      <c r="W45" t="s">
        <v>126</v>
      </c>
      <c r="X45" t="s">
        <v>126</v>
      </c>
    </row>
    <row r="46" spans="1:24" x14ac:dyDescent="0.75">
      <c r="A46" t="s">
        <v>414</v>
      </c>
      <c r="B46" t="s">
        <v>127</v>
      </c>
      <c r="C46" t="s">
        <v>47</v>
      </c>
      <c r="D46" t="s">
        <v>42</v>
      </c>
      <c r="E46" t="s">
        <v>42</v>
      </c>
      <c r="F46" t="s">
        <v>42</v>
      </c>
      <c r="G46" t="s">
        <v>42</v>
      </c>
      <c r="H46" t="s">
        <v>42</v>
      </c>
      <c r="I46" t="s">
        <v>42</v>
      </c>
      <c r="J46" t="s">
        <v>42</v>
      </c>
      <c r="K46" t="s">
        <v>42</v>
      </c>
      <c r="L46" t="s">
        <v>42</v>
      </c>
      <c r="M46" t="s">
        <v>42</v>
      </c>
      <c r="N46" t="s">
        <v>42</v>
      </c>
      <c r="O46" t="s">
        <v>42</v>
      </c>
      <c r="P46" t="s">
        <v>42</v>
      </c>
      <c r="Q46" t="s">
        <v>42</v>
      </c>
      <c r="R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</row>
    <row r="47" spans="1:24" x14ac:dyDescent="0.75">
      <c r="A47" t="s">
        <v>415</v>
      </c>
      <c r="B47" t="s">
        <v>128</v>
      </c>
      <c r="C47" t="s">
        <v>47</v>
      </c>
      <c r="D47" t="s">
        <v>42</v>
      </c>
      <c r="E47" t="s">
        <v>42</v>
      </c>
      <c r="F47" t="s">
        <v>42</v>
      </c>
      <c r="G47" t="s">
        <v>42</v>
      </c>
      <c r="H47" t="s">
        <v>42</v>
      </c>
      <c r="I47" t="s">
        <v>42</v>
      </c>
      <c r="J47" t="s">
        <v>42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  <c r="R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</row>
    <row r="48" spans="1:24" x14ac:dyDescent="0.75">
      <c r="A48" t="s">
        <v>416</v>
      </c>
      <c r="B48" t="s">
        <v>129</v>
      </c>
      <c r="C48" t="s">
        <v>47</v>
      </c>
      <c r="D48" t="s">
        <v>42</v>
      </c>
      <c r="E48" t="s">
        <v>42</v>
      </c>
      <c r="F48" t="s">
        <v>42</v>
      </c>
      <c r="G48" t="s">
        <v>42</v>
      </c>
      <c r="H48" t="s">
        <v>42</v>
      </c>
      <c r="I48" t="s">
        <v>42</v>
      </c>
      <c r="J48" t="s">
        <v>42</v>
      </c>
      <c r="K48" t="s">
        <v>42</v>
      </c>
      <c r="L48" t="s">
        <v>42</v>
      </c>
      <c r="M48" t="s">
        <v>42</v>
      </c>
      <c r="N48" t="s">
        <v>42</v>
      </c>
      <c r="O48" t="s">
        <v>42</v>
      </c>
      <c r="P48" t="s">
        <v>42</v>
      </c>
      <c r="Q48" t="s">
        <v>42</v>
      </c>
      <c r="R48" t="s">
        <v>42</v>
      </c>
      <c r="T48" t="s">
        <v>42</v>
      </c>
      <c r="U48" t="s">
        <v>42</v>
      </c>
      <c r="V48" t="s">
        <v>42</v>
      </c>
      <c r="W48" t="s">
        <v>42</v>
      </c>
      <c r="X48" t="s">
        <v>42</v>
      </c>
    </row>
    <row r="49" spans="1:24" x14ac:dyDescent="0.75">
      <c r="A49" t="s">
        <v>417</v>
      </c>
      <c r="B49" t="s">
        <v>130</v>
      </c>
      <c r="C49" t="s">
        <v>47</v>
      </c>
      <c r="D49">
        <v>6.0000000000000001E-3</v>
      </c>
      <c r="E49" t="s">
        <v>34</v>
      </c>
      <c r="F49">
        <f>8.13*10^6</f>
        <v>8130000.0000000009</v>
      </c>
      <c r="G49">
        <v>6.91</v>
      </c>
      <c r="H49" t="s">
        <v>33</v>
      </c>
      <c r="I49" t="s">
        <v>37</v>
      </c>
      <c r="J49" t="s">
        <v>37</v>
      </c>
      <c r="K49">
        <v>3173</v>
      </c>
      <c r="L49" t="s">
        <v>52</v>
      </c>
      <c r="M49" t="s">
        <v>37</v>
      </c>
      <c r="N49">
        <v>-3.89</v>
      </c>
      <c r="O49" t="s">
        <v>38</v>
      </c>
      <c r="P49">
        <v>1000</v>
      </c>
      <c r="Q49">
        <v>2.7000000000000001E-3</v>
      </c>
      <c r="R49">
        <f>Q49/P49</f>
        <v>2.7E-6</v>
      </c>
      <c r="T49" t="s">
        <v>37</v>
      </c>
      <c r="U49">
        <v>176</v>
      </c>
      <c r="V49" t="s">
        <v>39</v>
      </c>
      <c r="W49">
        <v>5</v>
      </c>
      <c r="X49">
        <f t="shared" si="1"/>
        <v>35.200000000000003</v>
      </c>
    </row>
    <row r="50" spans="1:24" ht="16" x14ac:dyDescent="0.8">
      <c r="A50" t="s">
        <v>131</v>
      </c>
      <c r="B50" t="s">
        <v>132</v>
      </c>
      <c r="C50" t="s">
        <v>47</v>
      </c>
      <c r="D50">
        <v>2.0000000000000001E-4</v>
      </c>
      <c r="E50" t="s">
        <v>34</v>
      </c>
      <c r="F50">
        <f>3.98*10^4</f>
        <v>39800</v>
      </c>
      <c r="G50">
        <v>4.5999999999999996</v>
      </c>
      <c r="H50" t="s">
        <v>33</v>
      </c>
      <c r="I50">
        <v>17</v>
      </c>
      <c r="J50" t="s">
        <v>73</v>
      </c>
      <c r="K50">
        <v>1400</v>
      </c>
      <c r="L50" t="s">
        <v>52</v>
      </c>
      <c r="M50" t="s">
        <v>37</v>
      </c>
      <c r="N50">
        <v>-3.98</v>
      </c>
      <c r="O50" t="s">
        <v>38</v>
      </c>
      <c r="P50">
        <v>100</v>
      </c>
      <c r="Q50" s="15">
        <v>1.7E-6</v>
      </c>
      <c r="R50">
        <f>Q50/P50</f>
        <v>1.7E-8</v>
      </c>
      <c r="T50">
        <v>21</v>
      </c>
      <c r="U50">
        <v>0.16500000000000001</v>
      </c>
      <c r="V50" t="s">
        <v>39</v>
      </c>
      <c r="W50">
        <v>5</v>
      </c>
      <c r="X50">
        <f t="shared" si="1"/>
        <v>3.3000000000000002E-2</v>
      </c>
    </row>
    <row r="51" spans="1:24" x14ac:dyDescent="0.75">
      <c r="A51" t="s">
        <v>133</v>
      </c>
      <c r="B51" t="s">
        <v>134</v>
      </c>
      <c r="C51" t="s">
        <v>32</v>
      </c>
      <c r="D51">
        <v>250000</v>
      </c>
      <c r="E51" t="s">
        <v>33</v>
      </c>
      <c r="F51">
        <f>1.58*10^-2</f>
        <v>1.5800000000000002E-2</v>
      </c>
      <c r="G51">
        <v>-1.8</v>
      </c>
      <c r="H51" t="s">
        <v>34</v>
      </c>
      <c r="I51">
        <v>40</v>
      </c>
      <c r="J51" t="s">
        <v>67</v>
      </c>
      <c r="K51">
        <v>15</v>
      </c>
      <c r="L51" t="s">
        <v>36</v>
      </c>
      <c r="M51" t="s">
        <v>37</v>
      </c>
      <c r="N51">
        <v>1.94</v>
      </c>
      <c r="O51" t="s">
        <v>59</v>
      </c>
      <c r="P51">
        <v>10</v>
      </c>
      <c r="Q51">
        <v>25</v>
      </c>
      <c r="R51">
        <f>Q51/P51</f>
        <v>2.5</v>
      </c>
      <c r="T51">
        <v>3.9</v>
      </c>
      <c r="U51">
        <v>26.1</v>
      </c>
      <c r="V51" t="s">
        <v>39</v>
      </c>
      <c r="W51">
        <v>5</v>
      </c>
      <c r="X51">
        <f t="shared" si="1"/>
        <v>5.2200000000000006</v>
      </c>
    </row>
    <row r="52" spans="1:24" x14ac:dyDescent="0.75">
      <c r="A52" t="s">
        <v>135</v>
      </c>
      <c r="B52" t="s">
        <v>136</v>
      </c>
      <c r="C52" t="s">
        <v>55</v>
      </c>
      <c r="D52">
        <v>6.4</v>
      </c>
      <c r="E52" t="s">
        <v>34</v>
      </c>
      <c r="F52">
        <f>6.31*10^2</f>
        <v>631</v>
      </c>
      <c r="G52">
        <v>2.8</v>
      </c>
      <c r="H52" t="s">
        <v>58</v>
      </c>
      <c r="I52">
        <v>2.94</v>
      </c>
      <c r="J52" t="s">
        <v>35</v>
      </c>
      <c r="K52">
        <v>75</v>
      </c>
      <c r="L52" t="s">
        <v>36</v>
      </c>
      <c r="M52" t="s">
        <v>37</v>
      </c>
      <c r="N52">
        <v>1.39</v>
      </c>
      <c r="O52" t="s">
        <v>38</v>
      </c>
      <c r="P52">
        <v>50</v>
      </c>
      <c r="Q52">
        <v>3.2000000000000001E-2</v>
      </c>
      <c r="R52">
        <f>Q52/P52</f>
        <v>6.4000000000000005E-4</v>
      </c>
      <c r="T52">
        <v>18.7</v>
      </c>
      <c r="U52">
        <v>77.8</v>
      </c>
      <c r="V52" t="s">
        <v>39</v>
      </c>
      <c r="W52">
        <v>5</v>
      </c>
      <c r="X52">
        <f t="shared" si="1"/>
        <v>15.559999999999999</v>
      </c>
    </row>
    <row r="53" spans="1:24" x14ac:dyDescent="0.75">
      <c r="A53" t="s">
        <v>137</v>
      </c>
      <c r="B53" t="s">
        <v>138</v>
      </c>
      <c r="C53" t="s">
        <v>47</v>
      </c>
      <c r="D53">
        <v>0.14000000000000001</v>
      </c>
      <c r="E53" t="s">
        <v>34</v>
      </c>
      <c r="F53">
        <f>5.01*10^3</f>
        <v>5010</v>
      </c>
      <c r="G53">
        <v>3.7</v>
      </c>
      <c r="H53" t="s">
        <v>33</v>
      </c>
      <c r="I53" t="s">
        <v>37</v>
      </c>
      <c r="J53" t="s">
        <v>37</v>
      </c>
      <c r="K53">
        <v>35000</v>
      </c>
      <c r="L53" t="s">
        <v>139</v>
      </c>
      <c r="M53">
        <v>1</v>
      </c>
      <c r="N53">
        <v>-0.26</v>
      </c>
      <c r="O53" t="s">
        <v>38</v>
      </c>
      <c r="P53">
        <v>1000</v>
      </c>
      <c r="Q53">
        <v>1.1999999999999999E-3</v>
      </c>
      <c r="R53">
        <v>1.1999999999999999E-6</v>
      </c>
      <c r="T53" t="s">
        <v>37</v>
      </c>
      <c r="U53">
        <v>100</v>
      </c>
      <c r="V53" t="s">
        <v>3</v>
      </c>
      <c r="W53">
        <v>10</v>
      </c>
      <c r="X53">
        <f t="shared" si="1"/>
        <v>10</v>
      </c>
    </row>
    <row r="54" spans="1:24" x14ac:dyDescent="0.75">
      <c r="A54" t="s">
        <v>140</v>
      </c>
      <c r="B54" t="s">
        <v>141</v>
      </c>
      <c r="C54" t="s">
        <v>55</v>
      </c>
      <c r="D54">
        <v>15</v>
      </c>
      <c r="E54" t="s">
        <v>34</v>
      </c>
      <c r="F54">
        <f>2.29*10^4</f>
        <v>22900</v>
      </c>
      <c r="G54">
        <v>4.3600000000000003</v>
      </c>
      <c r="H54" t="s">
        <v>33</v>
      </c>
      <c r="I54">
        <v>3</v>
      </c>
      <c r="J54" t="s">
        <v>35</v>
      </c>
      <c r="K54">
        <v>330</v>
      </c>
      <c r="L54" t="s">
        <v>52</v>
      </c>
      <c r="M54">
        <v>1</v>
      </c>
      <c r="N54">
        <v>0.83</v>
      </c>
      <c r="O54" t="s">
        <v>38</v>
      </c>
      <c r="P54">
        <v>10</v>
      </c>
      <c r="Q54">
        <v>5.5999999999999999E-3</v>
      </c>
      <c r="R54">
        <f>Q54/P54</f>
        <v>5.5999999999999995E-4</v>
      </c>
      <c r="T54">
        <v>91.8</v>
      </c>
      <c r="U54">
        <v>0.2</v>
      </c>
      <c r="V54" t="s">
        <v>39</v>
      </c>
      <c r="W54">
        <v>5</v>
      </c>
      <c r="X54">
        <f t="shared" si="1"/>
        <v>0.04</v>
      </c>
    </row>
    <row r="55" spans="1:24" ht="16" x14ac:dyDescent="0.8">
      <c r="A55" t="s">
        <v>142</v>
      </c>
      <c r="B55" t="s">
        <v>143</v>
      </c>
      <c r="C55" t="s">
        <v>32</v>
      </c>
      <c r="D55">
        <v>0.05</v>
      </c>
      <c r="E55" t="s">
        <v>34</v>
      </c>
      <c r="F55">
        <f>1.58*10^4</f>
        <v>15800</v>
      </c>
      <c r="G55">
        <v>4.2</v>
      </c>
      <c r="H55" t="s">
        <v>33</v>
      </c>
      <c r="I55" t="s">
        <v>37</v>
      </c>
      <c r="J55" t="s">
        <v>37</v>
      </c>
      <c r="K55">
        <v>1276</v>
      </c>
      <c r="L55" t="s">
        <v>52</v>
      </c>
      <c r="M55">
        <v>2.4</v>
      </c>
      <c r="N55">
        <v>1.19</v>
      </c>
      <c r="O55" t="s">
        <v>38</v>
      </c>
      <c r="P55">
        <v>10</v>
      </c>
      <c r="Q55" s="13">
        <v>1E-4</v>
      </c>
      <c r="R55">
        <f>Q55/P55</f>
        <v>1.0000000000000001E-5</v>
      </c>
      <c r="T55">
        <v>64.599999999999994</v>
      </c>
      <c r="U55">
        <v>500</v>
      </c>
      <c r="V55" t="s">
        <v>39</v>
      </c>
      <c r="W55">
        <v>5</v>
      </c>
      <c r="X55">
        <f t="shared" si="1"/>
        <v>100</v>
      </c>
    </row>
    <row r="56" spans="1:24" x14ac:dyDescent="0.75">
      <c r="A56" t="s">
        <v>418</v>
      </c>
      <c r="B56" t="s">
        <v>144</v>
      </c>
      <c r="C56" t="s">
        <v>32</v>
      </c>
      <c r="D56" t="s">
        <v>42</v>
      </c>
      <c r="E56" t="s">
        <v>42</v>
      </c>
      <c r="F56" t="s">
        <v>42</v>
      </c>
      <c r="G56" t="s">
        <v>42</v>
      </c>
      <c r="H56" t="s">
        <v>42</v>
      </c>
      <c r="I56" t="s">
        <v>42</v>
      </c>
      <c r="J56" t="s">
        <v>42</v>
      </c>
      <c r="K56" t="s">
        <v>42</v>
      </c>
      <c r="L56" t="s">
        <v>42</v>
      </c>
      <c r="M56" t="s">
        <v>42</v>
      </c>
      <c r="N56" t="s">
        <v>42</v>
      </c>
      <c r="O56" t="s">
        <v>42</v>
      </c>
      <c r="P56" t="s">
        <v>42</v>
      </c>
      <c r="Q56" t="s">
        <v>42</v>
      </c>
      <c r="R56" t="s">
        <v>42</v>
      </c>
      <c r="T56">
        <v>17.899999999999999</v>
      </c>
      <c r="U56">
        <v>0.1</v>
      </c>
      <c r="V56" t="s">
        <v>3</v>
      </c>
      <c r="W56">
        <v>10</v>
      </c>
      <c r="X56">
        <f t="shared" si="1"/>
        <v>0.01</v>
      </c>
    </row>
    <row r="57" spans="1:24" x14ac:dyDescent="0.75">
      <c r="A57" t="s">
        <v>419</v>
      </c>
      <c r="B57" t="s">
        <v>145</v>
      </c>
      <c r="C57" t="s">
        <v>32</v>
      </c>
      <c r="D57">
        <v>1499</v>
      </c>
      <c r="E57" t="s">
        <v>33</v>
      </c>
      <c r="F57">
        <f>7.76*10^1</f>
        <v>77.599999999999994</v>
      </c>
      <c r="G57" s="3">
        <v>1.89</v>
      </c>
      <c r="H57" s="3" t="s">
        <v>34</v>
      </c>
      <c r="I57" s="3">
        <v>24</v>
      </c>
      <c r="J57" s="3" t="s">
        <v>73</v>
      </c>
      <c r="K57" s="12" t="s">
        <v>42</v>
      </c>
      <c r="L57" s="3" t="s">
        <v>48</v>
      </c>
      <c r="M57" s="3" t="s">
        <v>37</v>
      </c>
      <c r="N57" s="3">
        <v>1.97</v>
      </c>
      <c r="O57" s="3" t="s">
        <v>59</v>
      </c>
      <c r="P57" s="3">
        <v>100</v>
      </c>
      <c r="Q57" s="3">
        <v>6.0000000000000001E-3</v>
      </c>
      <c r="R57" s="3">
        <v>6.0000000000000002E-5</v>
      </c>
      <c r="T57">
        <v>15.8</v>
      </c>
      <c r="U57">
        <v>12.5</v>
      </c>
      <c r="V57" t="s">
        <v>39</v>
      </c>
      <c r="W57">
        <v>5</v>
      </c>
      <c r="X57">
        <f t="shared" si="1"/>
        <v>2.5</v>
      </c>
    </row>
    <row r="58" spans="1:24" x14ac:dyDescent="0.75">
      <c r="A58" t="s">
        <v>146</v>
      </c>
      <c r="B58" t="s">
        <v>147</v>
      </c>
      <c r="C58" t="s">
        <v>47</v>
      </c>
      <c r="D58">
        <v>25900</v>
      </c>
      <c r="E58" t="s">
        <v>33</v>
      </c>
      <c r="F58">
        <f>5.62*10^0</f>
        <v>5.62</v>
      </c>
      <c r="G58">
        <v>0.75</v>
      </c>
      <c r="H58" s="3" t="s">
        <v>34</v>
      </c>
      <c r="I58">
        <v>12.6</v>
      </c>
      <c r="J58" t="s">
        <v>35</v>
      </c>
      <c r="K58">
        <v>8</v>
      </c>
      <c r="L58" t="s">
        <v>36</v>
      </c>
      <c r="M58" t="s">
        <v>37</v>
      </c>
      <c r="N58">
        <v>2.1800000000000002</v>
      </c>
      <c r="O58" t="s">
        <v>59</v>
      </c>
      <c r="P58">
        <v>10</v>
      </c>
      <c r="Q58">
        <v>0.04</v>
      </c>
      <c r="R58">
        <f>Q58/P58</f>
        <v>4.0000000000000001E-3</v>
      </c>
      <c r="T58">
        <v>7.2</v>
      </c>
      <c r="U58">
        <v>2.87</v>
      </c>
      <c r="V58" t="s">
        <v>39</v>
      </c>
      <c r="W58">
        <v>5</v>
      </c>
      <c r="X58">
        <f t="shared" si="1"/>
        <v>0.57400000000000007</v>
      </c>
    </row>
    <row r="59" spans="1:24" x14ac:dyDescent="0.75">
      <c r="A59" t="s">
        <v>148</v>
      </c>
      <c r="B59" t="s">
        <v>149</v>
      </c>
      <c r="C59" t="s">
        <v>55</v>
      </c>
      <c r="D59">
        <v>28.95</v>
      </c>
      <c r="E59" t="s">
        <v>34</v>
      </c>
      <c r="F59">
        <f>4.79*10^2</f>
        <v>479</v>
      </c>
      <c r="G59" s="3">
        <v>2.68</v>
      </c>
      <c r="H59" s="3" t="s">
        <v>34</v>
      </c>
      <c r="I59" s="3">
        <v>10</v>
      </c>
      <c r="J59" s="3" t="s">
        <v>35</v>
      </c>
      <c r="K59" s="12" t="s">
        <v>42</v>
      </c>
      <c r="L59" s="3" t="s">
        <v>48</v>
      </c>
      <c r="M59" s="3" t="s">
        <v>37</v>
      </c>
      <c r="N59" s="3">
        <v>2.2599999999999998</v>
      </c>
      <c r="O59" s="3" t="s">
        <v>59</v>
      </c>
      <c r="P59" s="3">
        <v>100</v>
      </c>
      <c r="Q59" s="3">
        <v>5.6000000000000001E-2</v>
      </c>
      <c r="R59" s="3">
        <v>5.6000000000000006E-4</v>
      </c>
      <c r="T59">
        <v>44</v>
      </c>
      <c r="U59">
        <v>60</v>
      </c>
      <c r="V59" t="s">
        <v>39</v>
      </c>
      <c r="W59">
        <v>5</v>
      </c>
      <c r="X59">
        <f t="shared" si="1"/>
        <v>12</v>
      </c>
    </row>
    <row r="60" spans="1:24" x14ac:dyDescent="0.75">
      <c r="A60" t="s">
        <v>150</v>
      </c>
      <c r="B60" t="s">
        <v>151</v>
      </c>
      <c r="C60" t="s">
        <v>55</v>
      </c>
      <c r="D60">
        <v>4.3</v>
      </c>
      <c r="E60" t="s">
        <v>34</v>
      </c>
      <c r="F60">
        <f>3.89*10^3</f>
        <v>3890</v>
      </c>
      <c r="G60">
        <v>3.59</v>
      </c>
      <c r="H60" t="s">
        <v>33</v>
      </c>
      <c r="I60">
        <v>15.3</v>
      </c>
      <c r="J60" t="s">
        <v>73</v>
      </c>
      <c r="K60">
        <v>48</v>
      </c>
      <c r="L60" t="s">
        <v>36</v>
      </c>
      <c r="M60">
        <v>0.5</v>
      </c>
      <c r="N60">
        <v>1.79</v>
      </c>
      <c r="O60" t="s">
        <v>38</v>
      </c>
      <c r="P60">
        <v>100</v>
      </c>
      <c r="Q60">
        <v>0.01</v>
      </c>
      <c r="R60">
        <f>Q60/P60</f>
        <v>1E-4</v>
      </c>
      <c r="T60">
        <v>22.9</v>
      </c>
      <c r="U60">
        <v>8.8999999999999996E-2</v>
      </c>
      <c r="V60" t="s">
        <v>39</v>
      </c>
      <c r="W60">
        <v>5</v>
      </c>
      <c r="X60">
        <f t="shared" si="1"/>
        <v>1.78E-2</v>
      </c>
    </row>
    <row r="61" spans="1:24" x14ac:dyDescent="0.75">
      <c r="A61" t="s">
        <v>152</v>
      </c>
      <c r="B61" t="s">
        <v>153</v>
      </c>
      <c r="C61" t="s">
        <v>47</v>
      </c>
      <c r="D61">
        <v>39830</v>
      </c>
      <c r="E61" t="s">
        <v>33</v>
      </c>
      <c r="F61">
        <f>2.82*10^-1</f>
        <v>0.28199999999999997</v>
      </c>
      <c r="G61">
        <v>-0.54900000000000004</v>
      </c>
      <c r="H61" t="s">
        <v>34</v>
      </c>
      <c r="I61" t="s">
        <v>37</v>
      </c>
      <c r="J61" t="s">
        <v>37</v>
      </c>
      <c r="K61" s="10" t="s">
        <v>42</v>
      </c>
      <c r="L61" t="s">
        <v>48</v>
      </c>
      <c r="M61" t="s">
        <v>37</v>
      </c>
      <c r="N61">
        <v>4.8499999999999996</v>
      </c>
      <c r="O61" t="s">
        <v>44</v>
      </c>
      <c r="P61">
        <v>1000</v>
      </c>
      <c r="Q61">
        <v>2.4E-2</v>
      </c>
      <c r="R61">
        <f>Q61/P61</f>
        <v>2.4000000000000001E-5</v>
      </c>
      <c r="T61">
        <v>75</v>
      </c>
      <c r="U61">
        <v>0.2</v>
      </c>
      <c r="V61" t="s">
        <v>39</v>
      </c>
      <c r="W61">
        <v>5</v>
      </c>
      <c r="X61">
        <f t="shared" si="1"/>
        <v>0.04</v>
      </c>
    </row>
    <row r="62" spans="1:24" x14ac:dyDescent="0.75">
      <c r="A62" t="s">
        <v>154</v>
      </c>
      <c r="B62" t="s">
        <v>155</v>
      </c>
      <c r="C62" t="s">
        <v>32</v>
      </c>
      <c r="D62">
        <v>35.6</v>
      </c>
      <c r="E62" t="s">
        <v>34</v>
      </c>
      <c r="F62">
        <f>7.41*10^2</f>
        <v>741</v>
      </c>
      <c r="G62" s="3">
        <v>2.87</v>
      </c>
      <c r="H62" s="3" t="s">
        <v>58</v>
      </c>
      <c r="I62" s="3">
        <v>8.8000000000000007</v>
      </c>
      <c r="J62" s="3" t="s">
        <v>35</v>
      </c>
      <c r="K62" s="3">
        <v>9.4499999999999993</v>
      </c>
      <c r="L62" s="3" t="s">
        <v>36</v>
      </c>
      <c r="M62" s="3" t="s">
        <v>37</v>
      </c>
      <c r="N62" s="3">
        <v>2.65</v>
      </c>
      <c r="O62" s="3" t="s">
        <v>59</v>
      </c>
      <c r="P62" s="3">
        <v>100</v>
      </c>
      <c r="Q62" s="3">
        <v>2.7000000000000001E-3</v>
      </c>
      <c r="R62" s="3">
        <v>2.7000000000000002E-5</v>
      </c>
      <c r="T62">
        <v>229</v>
      </c>
      <c r="U62">
        <v>15.78</v>
      </c>
      <c r="V62" t="s">
        <v>39</v>
      </c>
      <c r="W62">
        <v>5</v>
      </c>
      <c r="X62">
        <f t="shared" si="1"/>
        <v>3.1559999999999997</v>
      </c>
    </row>
    <row r="63" spans="1:24" x14ac:dyDescent="0.75">
      <c r="A63" t="s">
        <v>156</v>
      </c>
      <c r="B63" t="s">
        <v>157</v>
      </c>
      <c r="C63" t="s">
        <v>55</v>
      </c>
      <c r="D63">
        <v>24</v>
      </c>
      <c r="E63" t="s">
        <v>34</v>
      </c>
      <c r="F63">
        <f>1*10^5</f>
        <v>100000</v>
      </c>
      <c r="G63">
        <v>5</v>
      </c>
      <c r="H63" t="s">
        <v>33</v>
      </c>
      <c r="I63">
        <v>8.6999999999999993</v>
      </c>
      <c r="J63" t="s">
        <v>35</v>
      </c>
      <c r="K63" t="s">
        <v>37</v>
      </c>
      <c r="L63" t="s">
        <v>37</v>
      </c>
      <c r="M63" t="s">
        <v>37</v>
      </c>
      <c r="N63" t="s">
        <v>37</v>
      </c>
      <c r="O63" t="s">
        <v>37</v>
      </c>
      <c r="P63">
        <v>1000</v>
      </c>
      <c r="Q63">
        <v>1E-3</v>
      </c>
      <c r="R63">
        <f>Q63/P63</f>
        <v>9.9999999999999995E-7</v>
      </c>
      <c r="T63">
        <v>1.1000000000000001</v>
      </c>
      <c r="U63">
        <v>2</v>
      </c>
      <c r="V63" t="s">
        <v>39</v>
      </c>
      <c r="W63">
        <v>5</v>
      </c>
      <c r="X63">
        <f t="shared" si="1"/>
        <v>0.4</v>
      </c>
    </row>
    <row r="64" spans="1:24" x14ac:dyDescent="0.75">
      <c r="A64" t="s">
        <v>158</v>
      </c>
      <c r="B64" t="s">
        <v>159</v>
      </c>
      <c r="C64" t="s">
        <v>55</v>
      </c>
      <c r="D64">
        <v>7.1</v>
      </c>
      <c r="E64" t="s">
        <v>34</v>
      </c>
      <c r="F64">
        <f>2*10^3</f>
        <v>2000</v>
      </c>
      <c r="G64">
        <v>3.3</v>
      </c>
      <c r="H64" t="s">
        <v>33</v>
      </c>
      <c r="I64">
        <v>1000</v>
      </c>
      <c r="J64" t="s">
        <v>67</v>
      </c>
      <c r="K64">
        <v>70</v>
      </c>
      <c r="L64" t="s">
        <v>36</v>
      </c>
      <c r="M64">
        <v>0.8</v>
      </c>
      <c r="N64">
        <v>2.09</v>
      </c>
      <c r="O64" t="s">
        <v>59</v>
      </c>
      <c r="P64">
        <v>10</v>
      </c>
      <c r="Q64">
        <v>7.7999999999999996E-3</v>
      </c>
      <c r="R64">
        <v>7.7999999999999999E-4</v>
      </c>
      <c r="T64">
        <v>97.7</v>
      </c>
      <c r="U64">
        <v>0.495</v>
      </c>
      <c r="V64" t="s">
        <v>39</v>
      </c>
      <c r="W64">
        <v>5</v>
      </c>
      <c r="X64">
        <f t="shared" si="1"/>
        <v>9.9000000000000005E-2</v>
      </c>
    </row>
    <row r="65" spans="1:24" ht="16" x14ac:dyDescent="0.8">
      <c r="A65" t="s">
        <v>160</v>
      </c>
      <c r="B65" t="s">
        <v>161</v>
      </c>
      <c r="C65" t="s">
        <v>47</v>
      </c>
      <c r="D65">
        <v>1E-3</v>
      </c>
      <c r="E65" t="s">
        <v>34</v>
      </c>
      <c r="F65">
        <f>1.74*10^6</f>
        <v>1740000</v>
      </c>
      <c r="G65">
        <v>6.24</v>
      </c>
      <c r="H65" t="s">
        <v>33</v>
      </c>
      <c r="I65">
        <v>30</v>
      </c>
      <c r="J65" t="s">
        <v>67</v>
      </c>
      <c r="K65">
        <v>3250</v>
      </c>
      <c r="L65" t="s">
        <v>52</v>
      </c>
      <c r="M65" t="s">
        <v>37</v>
      </c>
      <c r="N65">
        <v>-1.8</v>
      </c>
      <c r="O65" t="s">
        <v>38</v>
      </c>
      <c r="P65">
        <v>100</v>
      </c>
      <c r="Q65" s="13">
        <v>5.1999999999999997E-5</v>
      </c>
      <c r="R65">
        <f>Q65/P65</f>
        <v>5.2E-7</v>
      </c>
      <c r="T65">
        <v>19.2</v>
      </c>
      <c r="U65">
        <v>0.4</v>
      </c>
      <c r="V65" t="s">
        <v>39</v>
      </c>
      <c r="W65">
        <v>5</v>
      </c>
      <c r="X65">
        <f t="shared" si="1"/>
        <v>0.08</v>
      </c>
    </row>
    <row r="66" spans="1:24" x14ac:dyDescent="0.75">
      <c r="A66" t="s">
        <v>162</v>
      </c>
      <c r="B66" t="s">
        <v>163</v>
      </c>
      <c r="C66" t="s">
        <v>32</v>
      </c>
      <c r="D66">
        <v>50</v>
      </c>
      <c r="E66" t="s">
        <v>58</v>
      </c>
      <c r="F66">
        <f>5.01*10^2</f>
        <v>501</v>
      </c>
      <c r="G66">
        <v>2.7</v>
      </c>
      <c r="H66" t="s">
        <v>58</v>
      </c>
      <c r="I66">
        <v>20</v>
      </c>
      <c r="J66" t="s">
        <v>73</v>
      </c>
      <c r="K66">
        <v>144</v>
      </c>
      <c r="L66" t="s">
        <v>52</v>
      </c>
      <c r="M66">
        <v>1</v>
      </c>
      <c r="N66">
        <v>3.04</v>
      </c>
      <c r="O66" t="s">
        <v>44</v>
      </c>
      <c r="P66">
        <v>10</v>
      </c>
      <c r="Q66">
        <v>0.156</v>
      </c>
      <c r="R66">
        <v>1.5599999999999999E-2</v>
      </c>
      <c r="T66">
        <v>37.799999999999997</v>
      </c>
      <c r="U66">
        <v>4.42</v>
      </c>
      <c r="V66" t="s">
        <v>39</v>
      </c>
      <c r="W66">
        <v>5</v>
      </c>
      <c r="X66">
        <f t="shared" si="1"/>
        <v>0.88400000000000001</v>
      </c>
    </row>
    <row r="67" spans="1:24" x14ac:dyDescent="0.75">
      <c r="A67" t="s">
        <v>164</v>
      </c>
      <c r="B67" t="s">
        <v>165</v>
      </c>
      <c r="C67" t="s">
        <v>55</v>
      </c>
      <c r="D67">
        <v>5.8999999999999997E-2</v>
      </c>
      <c r="E67" t="s">
        <v>34</v>
      </c>
      <c r="F67">
        <f>4.47*10^4</f>
        <v>44700</v>
      </c>
      <c r="G67">
        <v>4.6500000000000004</v>
      </c>
      <c r="H67" t="s">
        <v>33</v>
      </c>
      <c r="I67">
        <v>0.1</v>
      </c>
      <c r="J67" t="s">
        <v>81</v>
      </c>
      <c r="K67">
        <v>3000</v>
      </c>
      <c r="L67" t="s">
        <v>52</v>
      </c>
      <c r="M67" t="s">
        <v>37</v>
      </c>
      <c r="N67">
        <v>1.0900000000000001</v>
      </c>
      <c r="O67" t="s">
        <v>38</v>
      </c>
      <c r="P67" s="14">
        <v>50</v>
      </c>
      <c r="Q67" s="14">
        <v>1.4E-3</v>
      </c>
      <c r="R67" s="14">
        <v>2.8E-5</v>
      </c>
      <c r="T67">
        <v>20</v>
      </c>
      <c r="U67">
        <v>8.15</v>
      </c>
      <c r="V67" t="s">
        <v>39</v>
      </c>
      <c r="W67">
        <v>5</v>
      </c>
      <c r="X67">
        <f t="shared" si="1"/>
        <v>1.6300000000000001</v>
      </c>
    </row>
    <row r="68" spans="1:24" x14ac:dyDescent="0.75">
      <c r="A68" t="s">
        <v>420</v>
      </c>
      <c r="B68" t="s">
        <v>166</v>
      </c>
      <c r="C68" t="s">
        <v>55</v>
      </c>
      <c r="D68">
        <v>2.4700000000000002</v>
      </c>
      <c r="E68" t="s">
        <v>34</v>
      </c>
      <c r="F68">
        <f>6.17*10^3</f>
        <v>6170</v>
      </c>
      <c r="G68">
        <v>3.79</v>
      </c>
      <c r="H68" t="s">
        <v>33</v>
      </c>
      <c r="I68" t="s">
        <v>37</v>
      </c>
      <c r="J68" t="s">
        <v>37</v>
      </c>
      <c r="K68">
        <v>160</v>
      </c>
      <c r="L68" t="s">
        <v>52</v>
      </c>
      <c r="M68">
        <v>1.4</v>
      </c>
      <c r="N68">
        <v>0.63</v>
      </c>
      <c r="O68" t="s">
        <v>38</v>
      </c>
      <c r="P68">
        <v>10</v>
      </c>
      <c r="Q68">
        <v>7.8E-2</v>
      </c>
      <c r="R68">
        <f>Q68/P68</f>
        <v>7.7999999999999996E-3</v>
      </c>
      <c r="T68">
        <v>61</v>
      </c>
      <c r="U68">
        <v>39</v>
      </c>
      <c r="V68" t="s">
        <v>39</v>
      </c>
      <c r="W68">
        <v>5</v>
      </c>
      <c r="X68">
        <f t="shared" si="1"/>
        <v>7.8</v>
      </c>
    </row>
    <row r="69" spans="1:24" x14ac:dyDescent="0.75">
      <c r="A69" t="s">
        <v>167</v>
      </c>
      <c r="B69" t="s">
        <v>168</v>
      </c>
      <c r="C69" t="s">
        <v>55</v>
      </c>
      <c r="D69">
        <v>24</v>
      </c>
      <c r="E69" t="s">
        <v>34</v>
      </c>
      <c r="F69">
        <f>3.24*10^3</f>
        <v>3240</v>
      </c>
      <c r="G69">
        <v>3.51</v>
      </c>
      <c r="H69" t="s">
        <v>33</v>
      </c>
      <c r="I69" s="4">
        <v>4.92</v>
      </c>
      <c r="J69" s="4" t="s">
        <v>35</v>
      </c>
      <c r="K69" s="4">
        <v>185</v>
      </c>
      <c r="L69" s="4" t="s">
        <v>52</v>
      </c>
      <c r="M69" s="4">
        <v>0.98</v>
      </c>
      <c r="N69" s="4">
        <v>-0.42</v>
      </c>
      <c r="O69" s="4" t="s">
        <v>38</v>
      </c>
      <c r="P69" s="16">
        <v>50</v>
      </c>
      <c r="Q69" s="17">
        <v>0.10100000000000001</v>
      </c>
      <c r="R69" s="18">
        <f>Q69/P69</f>
        <v>2.0200000000000001E-3</v>
      </c>
      <c r="T69" t="s">
        <v>37</v>
      </c>
      <c r="U69">
        <v>9.9</v>
      </c>
      <c r="V69" t="s">
        <v>39</v>
      </c>
      <c r="W69">
        <v>5</v>
      </c>
      <c r="X69">
        <f t="shared" si="1"/>
        <v>1.98</v>
      </c>
    </row>
    <row r="70" spans="1:24" ht="16" x14ac:dyDescent="0.8">
      <c r="A70" t="s">
        <v>169</v>
      </c>
      <c r="B70" t="s">
        <v>170</v>
      </c>
      <c r="C70" t="s">
        <v>47</v>
      </c>
      <c r="D70">
        <v>7.9</v>
      </c>
      <c r="E70" t="s">
        <v>34</v>
      </c>
      <c r="F70">
        <f>1.17*10^4</f>
        <v>11700</v>
      </c>
      <c r="G70">
        <v>4.07</v>
      </c>
      <c r="H70" t="s">
        <v>33</v>
      </c>
      <c r="I70">
        <v>4.13</v>
      </c>
      <c r="J70" t="s">
        <v>35</v>
      </c>
      <c r="K70">
        <v>215</v>
      </c>
      <c r="L70" t="s">
        <v>52</v>
      </c>
      <c r="M70">
        <v>0.86</v>
      </c>
      <c r="N70">
        <v>0.56999999999999995</v>
      </c>
      <c r="O70" t="s">
        <v>38</v>
      </c>
      <c r="P70">
        <v>100</v>
      </c>
      <c r="Q70" s="13">
        <v>1.5999999999999999E-6</v>
      </c>
      <c r="R70">
        <f>Q70/P70</f>
        <v>1.5999999999999998E-8</v>
      </c>
      <c r="T70">
        <v>5.94</v>
      </c>
      <c r="U70">
        <v>425</v>
      </c>
      <c r="V70" t="s">
        <v>3</v>
      </c>
      <c r="W70">
        <v>10</v>
      </c>
      <c r="X70">
        <f t="shared" si="1"/>
        <v>42.5</v>
      </c>
    </row>
    <row r="71" spans="1:24" x14ac:dyDescent="0.75">
      <c r="A71" t="s">
        <v>171</v>
      </c>
      <c r="B71" t="s">
        <v>172</v>
      </c>
      <c r="C71" t="s">
        <v>55</v>
      </c>
      <c r="D71">
        <v>530</v>
      </c>
      <c r="E71" t="s">
        <v>33</v>
      </c>
      <c r="F71">
        <f>7.94*10^2</f>
        <v>794</v>
      </c>
      <c r="G71">
        <v>2.9</v>
      </c>
      <c r="H71" t="s">
        <v>58</v>
      </c>
      <c r="I71">
        <v>1.8</v>
      </c>
      <c r="J71" t="s">
        <v>35</v>
      </c>
      <c r="K71">
        <v>163</v>
      </c>
      <c r="L71" t="s">
        <v>52</v>
      </c>
      <c r="M71">
        <v>0.7</v>
      </c>
      <c r="N71">
        <v>-0.44</v>
      </c>
      <c r="O71" t="s">
        <v>38</v>
      </c>
      <c r="P71">
        <v>10</v>
      </c>
      <c r="Q71">
        <v>1E-3</v>
      </c>
      <c r="R71">
        <f>Q71/P71</f>
        <v>1E-4</v>
      </c>
      <c r="T71">
        <v>49.2</v>
      </c>
      <c r="U71">
        <v>10</v>
      </c>
      <c r="V71" t="s">
        <v>39</v>
      </c>
      <c r="W71">
        <v>5</v>
      </c>
      <c r="X71">
        <f t="shared" ref="X71:X134" si="2">U71/W71</f>
        <v>2</v>
      </c>
    </row>
    <row r="72" spans="1:24" x14ac:dyDescent="0.75">
      <c r="A72" t="s">
        <v>173</v>
      </c>
      <c r="B72" t="s">
        <v>174</v>
      </c>
      <c r="C72" t="s">
        <v>55</v>
      </c>
      <c r="D72">
        <v>4.32</v>
      </c>
      <c r="E72" t="s">
        <v>34</v>
      </c>
      <c r="F72">
        <f>3.16*10^4</f>
        <v>31600</v>
      </c>
      <c r="G72">
        <v>4.5</v>
      </c>
      <c r="H72" t="s">
        <v>33</v>
      </c>
      <c r="I72">
        <v>2.65</v>
      </c>
      <c r="J72" t="s">
        <v>35</v>
      </c>
      <c r="K72">
        <v>428</v>
      </c>
      <c r="L72" t="s">
        <v>52</v>
      </c>
      <c r="M72">
        <v>3.8</v>
      </c>
      <c r="N72">
        <v>0.5</v>
      </c>
      <c r="O72" t="s">
        <v>38</v>
      </c>
      <c r="P72">
        <v>50</v>
      </c>
      <c r="Q72">
        <v>5.8000000000000003E-2</v>
      </c>
      <c r="R72">
        <f>Q72/P72</f>
        <v>1.16E-3</v>
      </c>
      <c r="T72">
        <v>25.5</v>
      </c>
      <c r="U72">
        <v>4.7</v>
      </c>
      <c r="V72" t="s">
        <v>39</v>
      </c>
      <c r="W72">
        <v>5</v>
      </c>
      <c r="X72">
        <f t="shared" si="2"/>
        <v>0.94000000000000006</v>
      </c>
    </row>
    <row r="73" spans="1:24" ht="16" x14ac:dyDescent="0.8">
      <c r="A73" t="s">
        <v>175</v>
      </c>
      <c r="B73" t="s">
        <v>176</v>
      </c>
      <c r="C73" t="s">
        <v>47</v>
      </c>
      <c r="D73">
        <v>1E-3</v>
      </c>
      <c r="E73" t="s">
        <v>34</v>
      </c>
      <c r="F73">
        <f>1.02*10^5</f>
        <v>102000</v>
      </c>
      <c r="G73">
        <v>5.01</v>
      </c>
      <c r="H73" t="s">
        <v>33</v>
      </c>
      <c r="I73" t="s">
        <v>37</v>
      </c>
      <c r="J73" t="s">
        <v>37</v>
      </c>
      <c r="K73">
        <v>1664</v>
      </c>
      <c r="L73" t="s">
        <v>52</v>
      </c>
      <c r="M73" t="s">
        <v>37</v>
      </c>
      <c r="N73">
        <v>0.52</v>
      </c>
      <c r="O73" t="s">
        <v>38</v>
      </c>
      <c r="P73" s="14">
        <v>10</v>
      </c>
      <c r="Q73" s="13">
        <v>1E-3</v>
      </c>
      <c r="R73" s="14">
        <v>1E-4</v>
      </c>
      <c r="T73" t="s">
        <v>37</v>
      </c>
      <c r="U73">
        <v>40</v>
      </c>
      <c r="V73" t="s">
        <v>3</v>
      </c>
      <c r="W73">
        <v>10</v>
      </c>
      <c r="X73">
        <f t="shared" si="2"/>
        <v>4</v>
      </c>
    </row>
    <row r="74" spans="1:24" ht="16" x14ac:dyDescent="0.8">
      <c r="A74" t="s">
        <v>177</v>
      </c>
      <c r="B74" t="s">
        <v>178</v>
      </c>
      <c r="C74" t="s">
        <v>47</v>
      </c>
      <c r="D74">
        <v>3.78</v>
      </c>
      <c r="E74" t="s">
        <v>34</v>
      </c>
      <c r="F74">
        <f>5.63*10^3</f>
        <v>5630</v>
      </c>
      <c r="G74">
        <v>3.75</v>
      </c>
      <c r="H74" t="s">
        <v>33</v>
      </c>
      <c r="I74">
        <v>54</v>
      </c>
      <c r="J74" t="s">
        <v>67</v>
      </c>
      <c r="K74">
        <v>321</v>
      </c>
      <c r="L74" t="s">
        <v>52</v>
      </c>
      <c r="M74">
        <v>3</v>
      </c>
      <c r="N74">
        <v>2.06</v>
      </c>
      <c r="O74" t="s">
        <v>59</v>
      </c>
      <c r="P74">
        <v>100</v>
      </c>
      <c r="Q74" s="13">
        <v>1.3999999999999999E-4</v>
      </c>
      <c r="R74">
        <f>Q74/P74</f>
        <v>1.3999999999999999E-6</v>
      </c>
      <c r="T74">
        <v>65</v>
      </c>
      <c r="U74">
        <v>0.32</v>
      </c>
      <c r="V74" t="s">
        <v>3</v>
      </c>
      <c r="W74">
        <v>10</v>
      </c>
      <c r="X74">
        <f t="shared" si="2"/>
        <v>3.2000000000000001E-2</v>
      </c>
    </row>
    <row r="75" spans="1:24" x14ac:dyDescent="0.75">
      <c r="A75" t="s">
        <v>421</v>
      </c>
      <c r="B75" t="s">
        <v>179</v>
      </c>
      <c r="C75" t="s">
        <v>47</v>
      </c>
      <c r="D75" t="s">
        <v>37</v>
      </c>
      <c r="E75" t="s">
        <v>37</v>
      </c>
      <c r="F75" t="s">
        <v>37</v>
      </c>
      <c r="G75" t="s">
        <v>37</v>
      </c>
      <c r="H75" t="s">
        <v>37</v>
      </c>
      <c r="I75" t="s">
        <v>37</v>
      </c>
      <c r="J75" t="s">
        <v>37</v>
      </c>
      <c r="K75" t="s">
        <v>37</v>
      </c>
      <c r="L75" t="s">
        <v>37</v>
      </c>
      <c r="M75" t="s">
        <v>37</v>
      </c>
      <c r="N75">
        <v>0.91</v>
      </c>
      <c r="O75" t="s">
        <v>38</v>
      </c>
      <c r="P75">
        <v>1000</v>
      </c>
      <c r="Q75">
        <v>6.0000000000000002E-5</v>
      </c>
      <c r="R75">
        <f>Q75/P75</f>
        <v>6.0000000000000008E-8</v>
      </c>
      <c r="T75">
        <v>266</v>
      </c>
      <c r="U75">
        <v>500</v>
      </c>
      <c r="V75" t="s">
        <v>3</v>
      </c>
      <c r="W75">
        <v>10</v>
      </c>
      <c r="X75">
        <f t="shared" si="2"/>
        <v>50</v>
      </c>
    </row>
    <row r="76" spans="1:24" x14ac:dyDescent="0.75">
      <c r="A76" t="s">
        <v>180</v>
      </c>
      <c r="B76" t="s">
        <v>181</v>
      </c>
      <c r="C76" t="s">
        <v>32</v>
      </c>
      <c r="D76">
        <v>2100</v>
      </c>
      <c r="E76" t="s">
        <v>33</v>
      </c>
      <c r="F76">
        <f>8.71*10^-1</f>
        <v>0.87100000000000011</v>
      </c>
      <c r="G76">
        <v>-0.06</v>
      </c>
      <c r="H76" t="s">
        <v>34</v>
      </c>
      <c r="I76">
        <v>15</v>
      </c>
      <c r="J76" t="s">
        <v>73</v>
      </c>
      <c r="K76" s="10" t="s">
        <v>42</v>
      </c>
      <c r="L76" t="s">
        <v>48</v>
      </c>
      <c r="M76" t="s">
        <v>37</v>
      </c>
      <c r="N76">
        <v>1.55</v>
      </c>
      <c r="O76" t="s">
        <v>38</v>
      </c>
      <c r="P76">
        <v>10</v>
      </c>
      <c r="Q76">
        <v>5.0000000000000001E-3</v>
      </c>
      <c r="R76">
        <f>Q76/P76</f>
        <v>5.0000000000000001E-4</v>
      </c>
      <c r="T76">
        <v>10</v>
      </c>
      <c r="U76">
        <v>8</v>
      </c>
      <c r="V76" t="s">
        <v>39</v>
      </c>
      <c r="W76">
        <v>5</v>
      </c>
      <c r="X76">
        <f t="shared" si="2"/>
        <v>1.6</v>
      </c>
    </row>
    <row r="77" spans="1:24" x14ac:dyDescent="0.75">
      <c r="A77" t="s">
        <v>182</v>
      </c>
      <c r="B77" t="s">
        <v>183</v>
      </c>
      <c r="C77" t="s">
        <v>47</v>
      </c>
      <c r="D77">
        <v>5200</v>
      </c>
      <c r="E77" t="s">
        <v>33</v>
      </c>
      <c r="F77">
        <f>5.75*10^-1</f>
        <v>0.57500000000000007</v>
      </c>
      <c r="G77">
        <v>-0.24</v>
      </c>
      <c r="H77" t="s">
        <v>34</v>
      </c>
      <c r="I77">
        <v>33.799999999999997</v>
      </c>
      <c r="J77" t="s">
        <v>67</v>
      </c>
      <c r="K77" s="10" t="s">
        <v>42</v>
      </c>
      <c r="L77" t="s">
        <v>48</v>
      </c>
      <c r="M77" t="s">
        <v>37</v>
      </c>
      <c r="N77">
        <v>1.87</v>
      </c>
      <c r="O77" t="s">
        <v>59</v>
      </c>
      <c r="P77">
        <v>50</v>
      </c>
      <c r="Q77">
        <v>3.1</v>
      </c>
      <c r="R77">
        <f>Q77/P77</f>
        <v>6.2E-2</v>
      </c>
      <c r="T77">
        <v>3.1</v>
      </c>
      <c r="U77">
        <v>1000</v>
      </c>
      <c r="V77" t="s">
        <v>3</v>
      </c>
      <c r="W77">
        <v>10</v>
      </c>
      <c r="X77">
        <f t="shared" si="2"/>
        <v>100</v>
      </c>
    </row>
    <row r="78" spans="1:24" x14ac:dyDescent="0.75">
      <c r="A78" t="s">
        <v>184</v>
      </c>
      <c r="B78" t="s">
        <v>185</v>
      </c>
      <c r="C78" t="s">
        <v>32</v>
      </c>
      <c r="D78">
        <v>6360</v>
      </c>
      <c r="E78" t="s">
        <v>33</v>
      </c>
      <c r="F78">
        <f>6.03*10^-2</f>
        <v>6.0300000000000006E-2</v>
      </c>
      <c r="G78">
        <v>-1.22</v>
      </c>
      <c r="H78" t="s">
        <v>34</v>
      </c>
      <c r="I78">
        <v>18</v>
      </c>
      <c r="J78" t="s">
        <v>73</v>
      </c>
      <c r="K78">
        <v>1.5</v>
      </c>
      <c r="L78" t="s">
        <v>36</v>
      </c>
      <c r="M78" t="s">
        <v>37</v>
      </c>
      <c r="N78">
        <v>2.5</v>
      </c>
      <c r="O78" t="s">
        <v>59</v>
      </c>
      <c r="P78">
        <v>100</v>
      </c>
      <c r="Q78">
        <v>8.94E-3</v>
      </c>
      <c r="R78">
        <f>Q78/P78</f>
        <v>8.9400000000000005E-5</v>
      </c>
      <c r="T78">
        <v>8.5</v>
      </c>
      <c r="U78">
        <v>0.20300000000000001</v>
      </c>
      <c r="V78" t="s">
        <v>39</v>
      </c>
      <c r="W78">
        <v>5</v>
      </c>
      <c r="X78">
        <f t="shared" si="2"/>
        <v>4.0600000000000004E-2</v>
      </c>
    </row>
    <row r="79" spans="1:24" x14ac:dyDescent="0.75">
      <c r="A79" t="s">
        <v>422</v>
      </c>
      <c r="B79" t="s">
        <v>186</v>
      </c>
      <c r="C79" t="s">
        <v>32</v>
      </c>
      <c r="D79">
        <v>40.5</v>
      </c>
      <c r="E79" t="s">
        <v>34</v>
      </c>
      <c r="F79">
        <f>1.51*10^3</f>
        <v>1510</v>
      </c>
      <c r="G79">
        <v>3.18</v>
      </c>
      <c r="H79" t="s">
        <v>33</v>
      </c>
      <c r="I79">
        <v>45</v>
      </c>
      <c r="J79" t="s">
        <v>67</v>
      </c>
      <c r="K79" t="s">
        <v>37</v>
      </c>
      <c r="L79" t="s">
        <v>37</v>
      </c>
      <c r="M79" t="s">
        <v>37</v>
      </c>
      <c r="N79">
        <v>3.23</v>
      </c>
      <c r="O79" t="s">
        <v>44</v>
      </c>
      <c r="P79" t="s">
        <v>37</v>
      </c>
      <c r="Q79" t="s">
        <v>37</v>
      </c>
      <c r="R79" t="s">
        <v>37</v>
      </c>
      <c r="T79" t="s">
        <v>37</v>
      </c>
      <c r="U79" t="s">
        <v>126</v>
      </c>
      <c r="V79" t="s">
        <v>126</v>
      </c>
      <c r="W79" t="s">
        <v>126</v>
      </c>
      <c r="X79" t="s">
        <v>126</v>
      </c>
    </row>
    <row r="80" spans="1:24" ht="16" x14ac:dyDescent="0.8">
      <c r="A80" t="s">
        <v>187</v>
      </c>
      <c r="B80" t="s">
        <v>188</v>
      </c>
      <c r="C80" t="s">
        <v>55</v>
      </c>
      <c r="D80">
        <v>0.13500000000000001</v>
      </c>
      <c r="E80" t="s">
        <v>34</v>
      </c>
      <c r="F80">
        <f>7.41*10^4</f>
        <v>74100</v>
      </c>
      <c r="G80">
        <v>4.87</v>
      </c>
      <c r="H80" t="s">
        <v>33</v>
      </c>
      <c r="I80">
        <v>4.5</v>
      </c>
      <c r="J80" t="s">
        <v>35</v>
      </c>
      <c r="K80">
        <v>1018</v>
      </c>
      <c r="L80" t="s">
        <v>52</v>
      </c>
      <c r="M80">
        <v>6</v>
      </c>
      <c r="N80">
        <v>1</v>
      </c>
      <c r="O80" t="s">
        <v>38</v>
      </c>
      <c r="P80">
        <v>10</v>
      </c>
      <c r="Q80" s="13">
        <v>6.8999999999999997E-4</v>
      </c>
      <c r="R80">
        <f t="shared" ref="R80:R85" si="3">Q80/P80</f>
        <v>6.8999999999999997E-5</v>
      </c>
      <c r="T80">
        <v>25.9</v>
      </c>
      <c r="U80">
        <v>0.17499999999999999</v>
      </c>
      <c r="V80" t="s">
        <v>39</v>
      </c>
      <c r="W80">
        <v>5</v>
      </c>
      <c r="X80">
        <f t="shared" si="2"/>
        <v>3.4999999999999996E-2</v>
      </c>
    </row>
    <row r="81" spans="1:24" x14ac:dyDescent="0.75">
      <c r="A81" t="s">
        <v>189</v>
      </c>
      <c r="B81" t="s">
        <v>190</v>
      </c>
      <c r="C81" t="s">
        <v>55</v>
      </c>
      <c r="D81">
        <v>1.8</v>
      </c>
      <c r="E81" t="s">
        <v>34</v>
      </c>
      <c r="F81">
        <f>1.32*10^4</f>
        <v>13200</v>
      </c>
      <c r="G81">
        <v>4.12</v>
      </c>
      <c r="H81" t="s">
        <v>33</v>
      </c>
      <c r="I81">
        <v>2</v>
      </c>
      <c r="J81" t="s">
        <v>35</v>
      </c>
      <c r="K81">
        <v>366</v>
      </c>
      <c r="L81" t="s">
        <v>52</v>
      </c>
      <c r="M81">
        <v>0.6</v>
      </c>
      <c r="N81">
        <v>-1.35</v>
      </c>
      <c r="O81" t="s">
        <v>38</v>
      </c>
      <c r="P81" s="4">
        <v>100</v>
      </c>
      <c r="Q81" s="19">
        <v>5.0000000000000001E-3</v>
      </c>
      <c r="R81" s="20">
        <f t="shared" si="3"/>
        <v>5.0000000000000002E-5</v>
      </c>
      <c r="T81">
        <v>16</v>
      </c>
      <c r="U81">
        <v>14.4</v>
      </c>
      <c r="V81" t="s">
        <v>39</v>
      </c>
      <c r="W81">
        <v>5</v>
      </c>
      <c r="X81">
        <f t="shared" si="2"/>
        <v>2.88</v>
      </c>
    </row>
    <row r="82" spans="1:24" x14ac:dyDescent="0.75">
      <c r="A82" t="s">
        <v>191</v>
      </c>
      <c r="B82" t="s">
        <v>192</v>
      </c>
      <c r="C82" t="s">
        <v>32</v>
      </c>
      <c r="D82">
        <v>51</v>
      </c>
      <c r="E82" t="s">
        <v>58</v>
      </c>
      <c r="F82">
        <f>3.16*10^3</f>
        <v>3160</v>
      </c>
      <c r="G82">
        <v>3.5</v>
      </c>
      <c r="H82" t="s">
        <v>33</v>
      </c>
      <c r="I82">
        <v>54</v>
      </c>
      <c r="J82" t="s">
        <v>67</v>
      </c>
      <c r="K82">
        <v>71.400000000000006</v>
      </c>
      <c r="L82" t="s">
        <v>36</v>
      </c>
      <c r="M82" t="s">
        <v>37</v>
      </c>
      <c r="N82">
        <v>2.4900000000000002</v>
      </c>
      <c r="O82" t="s">
        <v>59</v>
      </c>
      <c r="P82">
        <v>100</v>
      </c>
      <c r="Q82">
        <v>2.0400000000000001E-3</v>
      </c>
      <c r="R82">
        <f t="shared" si="3"/>
        <v>2.0400000000000001E-5</v>
      </c>
      <c r="T82">
        <v>39</v>
      </c>
      <c r="U82">
        <v>1.2</v>
      </c>
      <c r="V82" t="s">
        <v>39</v>
      </c>
      <c r="W82">
        <v>5</v>
      </c>
      <c r="X82">
        <f t="shared" si="2"/>
        <v>0.24</v>
      </c>
    </row>
    <row r="83" spans="1:24" x14ac:dyDescent="0.75">
      <c r="A83" t="s">
        <v>423</v>
      </c>
      <c r="B83" t="s">
        <v>193</v>
      </c>
      <c r="C83" t="s">
        <v>32</v>
      </c>
      <c r="D83">
        <v>0.78600000000000003</v>
      </c>
      <c r="E83" t="s">
        <v>34</v>
      </c>
      <c r="F83">
        <f>3.55*10^2</f>
        <v>355</v>
      </c>
      <c r="G83">
        <v>2.5499999999999998</v>
      </c>
      <c r="H83" t="s">
        <v>34</v>
      </c>
      <c r="I83">
        <v>2</v>
      </c>
      <c r="J83" t="s">
        <v>35</v>
      </c>
      <c r="K83" s="10" t="s">
        <v>42</v>
      </c>
      <c r="L83" t="s">
        <v>48</v>
      </c>
      <c r="M83" t="s">
        <v>37</v>
      </c>
      <c r="N83">
        <v>1.31</v>
      </c>
      <c r="O83" t="s">
        <v>38</v>
      </c>
      <c r="P83">
        <v>100</v>
      </c>
      <c r="Q83">
        <v>8.52E-4</v>
      </c>
      <c r="R83">
        <f t="shared" si="3"/>
        <v>8.5199999999999997E-6</v>
      </c>
      <c r="T83">
        <v>17.600000000000001</v>
      </c>
      <c r="U83">
        <v>491</v>
      </c>
      <c r="V83" t="s">
        <v>3</v>
      </c>
      <c r="W83">
        <v>10</v>
      </c>
      <c r="X83">
        <f t="shared" si="2"/>
        <v>49.1</v>
      </c>
    </row>
    <row r="84" spans="1:24" x14ac:dyDescent="0.75">
      <c r="A84" t="s">
        <v>194</v>
      </c>
      <c r="B84" t="s">
        <v>195</v>
      </c>
      <c r="C84" t="s">
        <v>55</v>
      </c>
      <c r="D84">
        <v>2.8</v>
      </c>
      <c r="E84" t="s">
        <v>34</v>
      </c>
      <c r="F84">
        <f>7.94*10^2</f>
        <v>794</v>
      </c>
      <c r="G84">
        <v>2.9</v>
      </c>
      <c r="H84" t="s">
        <v>58</v>
      </c>
      <c r="I84">
        <v>91.4</v>
      </c>
      <c r="J84" t="s">
        <v>67</v>
      </c>
      <c r="K84">
        <v>121</v>
      </c>
      <c r="L84" t="s">
        <v>52</v>
      </c>
      <c r="M84">
        <v>0.51</v>
      </c>
      <c r="N84">
        <v>3.2</v>
      </c>
      <c r="O84" t="s">
        <v>44</v>
      </c>
      <c r="P84" s="4">
        <v>100</v>
      </c>
      <c r="Q84" s="19">
        <v>2.9000000000000001E-2</v>
      </c>
      <c r="R84" s="21">
        <f t="shared" si="3"/>
        <v>2.9E-4</v>
      </c>
      <c r="T84">
        <v>138.80000000000001</v>
      </c>
      <c r="U84">
        <v>31.25</v>
      </c>
      <c r="V84" t="s">
        <v>39</v>
      </c>
      <c r="W84">
        <v>5</v>
      </c>
      <c r="X84">
        <f t="shared" si="2"/>
        <v>6.25</v>
      </c>
    </row>
    <row r="85" spans="1:24" x14ac:dyDescent="0.75">
      <c r="A85" t="s">
        <v>196</v>
      </c>
      <c r="B85" t="s">
        <v>197</v>
      </c>
      <c r="C85" t="s">
        <v>55</v>
      </c>
      <c r="D85">
        <v>16</v>
      </c>
      <c r="E85" t="s">
        <v>34</v>
      </c>
      <c r="F85">
        <f>2*10^3</f>
        <v>2000</v>
      </c>
      <c r="G85">
        <v>3.3</v>
      </c>
      <c r="H85" t="s">
        <v>33</v>
      </c>
      <c r="I85">
        <v>20.5</v>
      </c>
      <c r="J85" t="s">
        <v>73</v>
      </c>
      <c r="K85">
        <v>18</v>
      </c>
      <c r="L85" t="s">
        <v>36</v>
      </c>
      <c r="M85">
        <v>3.4</v>
      </c>
      <c r="N85">
        <v>3.23</v>
      </c>
      <c r="O85" t="s">
        <v>44</v>
      </c>
      <c r="P85" s="4">
        <v>100</v>
      </c>
      <c r="Q85" s="19">
        <v>0.13500000000000001</v>
      </c>
      <c r="R85" s="4">
        <f t="shared" si="3"/>
        <v>1.3500000000000001E-3</v>
      </c>
      <c r="T85">
        <v>118.8</v>
      </c>
      <c r="U85">
        <v>11.42</v>
      </c>
      <c r="V85" t="s">
        <v>39</v>
      </c>
      <c r="W85">
        <v>5</v>
      </c>
      <c r="X85">
        <f t="shared" si="2"/>
        <v>2.2839999999999998</v>
      </c>
    </row>
    <row r="86" spans="1:24" x14ac:dyDescent="0.75">
      <c r="A86" t="s">
        <v>424</v>
      </c>
      <c r="B86" t="s">
        <v>198</v>
      </c>
      <c r="C86" t="s">
        <v>42</v>
      </c>
      <c r="D86" t="s">
        <v>37</v>
      </c>
      <c r="E86" t="s">
        <v>37</v>
      </c>
      <c r="F86" t="s">
        <v>37</v>
      </c>
      <c r="G86" t="s">
        <v>37</v>
      </c>
      <c r="H86" t="s">
        <v>37</v>
      </c>
      <c r="I86" t="s">
        <v>37</v>
      </c>
      <c r="J86" t="s">
        <v>37</v>
      </c>
      <c r="K86" t="s">
        <v>37</v>
      </c>
      <c r="L86" t="s">
        <v>37</v>
      </c>
      <c r="M86" t="s">
        <v>37</v>
      </c>
      <c r="N86">
        <v>1.86</v>
      </c>
      <c r="O86" t="s">
        <v>59</v>
      </c>
      <c r="P86" t="s">
        <v>37</v>
      </c>
      <c r="Q86" t="s">
        <v>37</v>
      </c>
      <c r="R86" t="s">
        <v>37</v>
      </c>
      <c r="T86" t="s">
        <v>37</v>
      </c>
      <c r="U86" t="s">
        <v>126</v>
      </c>
      <c r="V86" t="s">
        <v>126</v>
      </c>
      <c r="W86" t="s">
        <v>126</v>
      </c>
      <c r="X86" t="s">
        <v>126</v>
      </c>
    </row>
    <row r="87" spans="1:24" x14ac:dyDescent="0.75">
      <c r="A87" t="s">
        <v>199</v>
      </c>
      <c r="B87" t="s">
        <v>200</v>
      </c>
      <c r="C87" t="s">
        <v>55</v>
      </c>
      <c r="D87">
        <v>2.56</v>
      </c>
      <c r="E87" t="s">
        <v>34</v>
      </c>
      <c r="F87">
        <f>7.24*10^2</f>
        <v>724</v>
      </c>
      <c r="G87">
        <v>2.86</v>
      </c>
      <c r="H87" t="s">
        <v>58</v>
      </c>
      <c r="I87">
        <v>29</v>
      </c>
      <c r="J87" t="s">
        <v>73</v>
      </c>
      <c r="K87">
        <v>52.1</v>
      </c>
      <c r="L87" t="s">
        <v>36</v>
      </c>
      <c r="M87">
        <v>0.4</v>
      </c>
      <c r="N87">
        <v>1.84</v>
      </c>
      <c r="O87" t="s">
        <v>59</v>
      </c>
      <c r="P87">
        <v>100</v>
      </c>
      <c r="Q87">
        <v>2.86E-2</v>
      </c>
      <c r="R87">
        <f>Q87/P87</f>
        <v>2.8600000000000001E-4</v>
      </c>
      <c r="T87">
        <v>52.6</v>
      </c>
      <c r="U87">
        <v>5</v>
      </c>
      <c r="V87" t="s">
        <v>39</v>
      </c>
      <c r="W87">
        <v>5</v>
      </c>
      <c r="X87">
        <f t="shared" si="2"/>
        <v>1</v>
      </c>
    </row>
    <row r="88" spans="1:24" x14ac:dyDescent="0.75">
      <c r="A88" t="s">
        <v>201</v>
      </c>
      <c r="B88" t="s">
        <v>202</v>
      </c>
      <c r="C88" t="s">
        <v>47</v>
      </c>
      <c r="D88">
        <v>3200</v>
      </c>
      <c r="E88" t="s">
        <v>33</v>
      </c>
      <c r="F88">
        <f>1.58*10^1</f>
        <v>15.8</v>
      </c>
      <c r="G88">
        <v>1.2</v>
      </c>
      <c r="H88" t="s">
        <v>34</v>
      </c>
      <c r="I88">
        <v>31.4</v>
      </c>
      <c r="J88" t="s">
        <v>67</v>
      </c>
      <c r="K88" t="s">
        <v>37</v>
      </c>
      <c r="L88" t="s">
        <v>37</v>
      </c>
      <c r="M88" t="s">
        <v>37</v>
      </c>
      <c r="N88">
        <v>4.24</v>
      </c>
      <c r="O88" t="s">
        <v>44</v>
      </c>
      <c r="P88">
        <v>100</v>
      </c>
      <c r="Q88">
        <v>3.2</v>
      </c>
      <c r="R88">
        <f>Q88/P88</f>
        <v>3.2000000000000001E-2</v>
      </c>
      <c r="T88">
        <v>130</v>
      </c>
      <c r="U88">
        <v>185.6</v>
      </c>
      <c r="V88" t="s">
        <v>3</v>
      </c>
      <c r="W88">
        <v>10</v>
      </c>
      <c r="X88">
        <f t="shared" si="2"/>
        <v>18.559999999999999</v>
      </c>
    </row>
    <row r="89" spans="1:24" x14ac:dyDescent="0.75">
      <c r="A89" t="s">
        <v>425</v>
      </c>
      <c r="B89" t="s">
        <v>203</v>
      </c>
      <c r="C89" t="s">
        <v>32</v>
      </c>
      <c r="D89">
        <v>6500</v>
      </c>
      <c r="E89" t="s">
        <v>33</v>
      </c>
      <c r="F89">
        <f>1.1*10^0</f>
        <v>1.1000000000000001</v>
      </c>
      <c r="G89">
        <v>0.04</v>
      </c>
      <c r="H89" t="s">
        <v>34</v>
      </c>
      <c r="I89">
        <v>10.5</v>
      </c>
      <c r="J89" t="s">
        <v>35</v>
      </c>
      <c r="K89">
        <v>62.1</v>
      </c>
      <c r="L89" t="s">
        <v>36</v>
      </c>
      <c r="M89" t="s">
        <v>37</v>
      </c>
      <c r="N89">
        <v>1.03</v>
      </c>
      <c r="O89" t="s">
        <v>38</v>
      </c>
      <c r="P89">
        <v>10</v>
      </c>
      <c r="Q89">
        <v>56</v>
      </c>
      <c r="R89">
        <f>56/P89</f>
        <v>5.6</v>
      </c>
      <c r="T89">
        <v>3</v>
      </c>
      <c r="U89">
        <v>3.05</v>
      </c>
      <c r="V89" t="s">
        <v>39</v>
      </c>
      <c r="W89">
        <v>5</v>
      </c>
      <c r="X89">
        <f t="shared" si="2"/>
        <v>0.61</v>
      </c>
    </row>
    <row r="90" spans="1:24" x14ac:dyDescent="0.75">
      <c r="A90" t="s">
        <v>204</v>
      </c>
      <c r="B90" t="s">
        <v>205</v>
      </c>
      <c r="C90" t="s">
        <v>55</v>
      </c>
      <c r="D90">
        <v>41.9</v>
      </c>
      <c r="E90" t="s">
        <v>34</v>
      </c>
      <c r="F90">
        <f>7.41*10^3</f>
        <v>7410</v>
      </c>
      <c r="G90">
        <v>3.87</v>
      </c>
      <c r="H90" t="s">
        <v>33</v>
      </c>
      <c r="I90">
        <v>1</v>
      </c>
      <c r="J90" t="s">
        <v>35</v>
      </c>
      <c r="K90">
        <v>250</v>
      </c>
      <c r="L90" t="s">
        <v>52</v>
      </c>
      <c r="M90" t="s">
        <v>37</v>
      </c>
      <c r="N90">
        <v>1.54</v>
      </c>
      <c r="O90" t="s">
        <v>38</v>
      </c>
      <c r="P90">
        <v>10</v>
      </c>
      <c r="Q90">
        <v>2.3E-2</v>
      </c>
      <c r="R90">
        <f t="shared" ref="R90:R95" si="4">Q90/P90</f>
        <v>2.3E-3</v>
      </c>
      <c r="T90">
        <v>94</v>
      </c>
      <c r="U90">
        <v>8.82</v>
      </c>
      <c r="V90" t="s">
        <v>39</v>
      </c>
      <c r="W90">
        <v>5</v>
      </c>
      <c r="X90">
        <f t="shared" si="2"/>
        <v>1.764</v>
      </c>
    </row>
    <row r="91" spans="1:24" x14ac:dyDescent="0.75">
      <c r="A91" t="s">
        <v>206</v>
      </c>
      <c r="B91" t="s">
        <v>207</v>
      </c>
      <c r="C91" t="s">
        <v>55</v>
      </c>
      <c r="D91">
        <v>8.01</v>
      </c>
      <c r="E91" t="s">
        <v>34</v>
      </c>
      <c r="F91">
        <f>1.48*10^3</f>
        <v>1480</v>
      </c>
      <c r="G91">
        <v>3.17</v>
      </c>
      <c r="H91" t="s">
        <v>33</v>
      </c>
      <c r="I91">
        <v>90.5</v>
      </c>
      <c r="J91" t="s">
        <v>67</v>
      </c>
      <c r="K91">
        <v>100</v>
      </c>
      <c r="L91" t="s">
        <v>52</v>
      </c>
      <c r="M91">
        <v>0.5</v>
      </c>
      <c r="N91">
        <v>2.29</v>
      </c>
      <c r="O91" t="s">
        <v>59</v>
      </c>
      <c r="P91">
        <v>10</v>
      </c>
      <c r="Q91">
        <v>0.18</v>
      </c>
      <c r="R91">
        <f t="shared" si="4"/>
        <v>1.7999999999999999E-2</v>
      </c>
      <c r="T91">
        <v>105</v>
      </c>
      <c r="U91">
        <v>12.9</v>
      </c>
      <c r="V91" t="s">
        <v>39</v>
      </c>
      <c r="W91">
        <v>5</v>
      </c>
      <c r="X91">
        <f t="shared" si="2"/>
        <v>2.58</v>
      </c>
    </row>
    <row r="92" spans="1:24" x14ac:dyDescent="0.75">
      <c r="A92" t="s">
        <v>208</v>
      </c>
      <c r="B92" t="s">
        <v>209</v>
      </c>
      <c r="C92" t="s">
        <v>55</v>
      </c>
      <c r="D92">
        <v>3.44</v>
      </c>
      <c r="E92" t="s">
        <v>34</v>
      </c>
      <c r="F92">
        <f>1.35*10^3</f>
        <v>1350</v>
      </c>
      <c r="G92">
        <v>3.13</v>
      </c>
      <c r="H92" t="s">
        <v>33</v>
      </c>
      <c r="I92">
        <v>4.4000000000000004</v>
      </c>
      <c r="J92" t="s">
        <v>35</v>
      </c>
      <c r="K92">
        <v>36</v>
      </c>
      <c r="L92" t="s">
        <v>36</v>
      </c>
      <c r="M92">
        <v>0.73</v>
      </c>
      <c r="N92">
        <v>2.57</v>
      </c>
      <c r="O92" t="s">
        <v>59</v>
      </c>
      <c r="P92">
        <v>50</v>
      </c>
      <c r="Q92">
        <v>3.5999999999999997E-2</v>
      </c>
      <c r="R92">
        <f t="shared" si="4"/>
        <v>7.1999999999999994E-4</v>
      </c>
      <c r="T92">
        <v>181.5</v>
      </c>
      <c r="U92">
        <v>21.3</v>
      </c>
      <c r="V92" t="s">
        <v>39</v>
      </c>
      <c r="W92">
        <v>5</v>
      </c>
      <c r="X92">
        <f t="shared" si="2"/>
        <v>4.26</v>
      </c>
    </row>
    <row r="93" spans="1:24" x14ac:dyDescent="0.75">
      <c r="A93" t="s">
        <v>426</v>
      </c>
      <c r="B93" t="s">
        <v>210</v>
      </c>
      <c r="C93" t="s">
        <v>55</v>
      </c>
      <c r="D93">
        <v>0.8</v>
      </c>
      <c r="E93" t="s">
        <v>34</v>
      </c>
      <c r="F93">
        <f>1.05*10^3</f>
        <v>1050</v>
      </c>
      <c r="G93">
        <v>3.02</v>
      </c>
      <c r="H93" t="s">
        <v>33</v>
      </c>
      <c r="I93">
        <v>0.02</v>
      </c>
      <c r="J93" t="s">
        <v>81</v>
      </c>
      <c r="K93">
        <v>56</v>
      </c>
      <c r="L93" t="s">
        <v>36</v>
      </c>
      <c r="M93">
        <v>0.6</v>
      </c>
      <c r="N93">
        <v>0.72</v>
      </c>
      <c r="O93" t="s">
        <v>38</v>
      </c>
      <c r="P93">
        <v>50</v>
      </c>
      <c r="Q93">
        <v>2E-3</v>
      </c>
      <c r="R93">
        <f t="shared" si="4"/>
        <v>4.0000000000000003E-5</v>
      </c>
      <c r="T93">
        <v>3</v>
      </c>
      <c r="U93">
        <v>5.18</v>
      </c>
      <c r="V93" t="s">
        <v>39</v>
      </c>
      <c r="W93">
        <v>5</v>
      </c>
      <c r="X93">
        <f t="shared" si="2"/>
        <v>1.036</v>
      </c>
    </row>
    <row r="94" spans="1:24" x14ac:dyDescent="0.75">
      <c r="A94" t="s">
        <v>427</v>
      </c>
      <c r="B94" t="s">
        <v>211</v>
      </c>
      <c r="C94" t="s">
        <v>55</v>
      </c>
      <c r="D94">
        <v>360</v>
      </c>
      <c r="E94" t="s">
        <v>58</v>
      </c>
      <c r="F94">
        <f>1.41*10^1</f>
        <v>14.1</v>
      </c>
      <c r="G94">
        <v>1.1499999999999999</v>
      </c>
      <c r="H94" t="s">
        <v>34</v>
      </c>
      <c r="I94">
        <v>0.56999999999999995</v>
      </c>
      <c r="J94" t="s">
        <v>81</v>
      </c>
      <c r="K94" t="s">
        <v>37</v>
      </c>
      <c r="L94" t="s">
        <v>37</v>
      </c>
      <c r="M94" t="s">
        <v>37</v>
      </c>
      <c r="N94">
        <v>0.61</v>
      </c>
      <c r="O94" t="s">
        <v>38</v>
      </c>
      <c r="P94">
        <v>1000</v>
      </c>
      <c r="Q94">
        <v>38</v>
      </c>
      <c r="R94">
        <f t="shared" si="4"/>
        <v>3.7999999999999999E-2</v>
      </c>
      <c r="T94" t="s">
        <v>37</v>
      </c>
      <c r="U94" t="s">
        <v>37</v>
      </c>
      <c r="V94" t="s">
        <v>37</v>
      </c>
      <c r="W94" t="s">
        <v>37</v>
      </c>
      <c r="X94" t="s">
        <v>37</v>
      </c>
    </row>
    <row r="95" spans="1:24" x14ac:dyDescent="0.75">
      <c r="A95" t="s">
        <v>212</v>
      </c>
      <c r="B95" t="s">
        <v>213</v>
      </c>
      <c r="C95" t="s">
        <v>32</v>
      </c>
      <c r="D95">
        <v>3293</v>
      </c>
      <c r="E95" t="s">
        <v>33</v>
      </c>
      <c r="F95">
        <f>1.66*10^-1</f>
        <v>0.16600000000000001</v>
      </c>
      <c r="G95" t="s">
        <v>214</v>
      </c>
      <c r="H95" t="s">
        <v>34</v>
      </c>
      <c r="I95" s="11" t="s">
        <v>215</v>
      </c>
      <c r="J95" t="s">
        <v>73</v>
      </c>
      <c r="K95" s="10" t="s">
        <v>42</v>
      </c>
      <c r="L95" t="s">
        <v>48</v>
      </c>
      <c r="M95" t="s">
        <v>37</v>
      </c>
      <c r="N95">
        <v>2.95</v>
      </c>
      <c r="O95" t="s">
        <v>44</v>
      </c>
      <c r="P95">
        <v>100</v>
      </c>
      <c r="Q95">
        <v>1E-3</v>
      </c>
      <c r="R95">
        <f t="shared" si="4"/>
        <v>1.0000000000000001E-5</v>
      </c>
      <c r="T95" t="s">
        <v>37</v>
      </c>
      <c r="U95">
        <v>2.75</v>
      </c>
      <c r="V95" t="s">
        <v>39</v>
      </c>
      <c r="W95">
        <v>5</v>
      </c>
      <c r="X95">
        <f t="shared" si="2"/>
        <v>0.55000000000000004</v>
      </c>
    </row>
    <row r="96" spans="1:24" x14ac:dyDescent="0.75">
      <c r="A96" t="s">
        <v>428</v>
      </c>
      <c r="B96" t="s">
        <v>216</v>
      </c>
      <c r="C96" t="s">
        <v>32</v>
      </c>
      <c r="D96">
        <v>375</v>
      </c>
      <c r="E96" t="s">
        <v>58</v>
      </c>
      <c r="F96">
        <f>1.86*10^0</f>
        <v>1.86</v>
      </c>
      <c r="G96">
        <v>0.27</v>
      </c>
      <c r="H96" t="s">
        <v>34</v>
      </c>
      <c r="I96">
        <v>0.2</v>
      </c>
      <c r="J96" t="s">
        <v>81</v>
      </c>
      <c r="K96">
        <v>17</v>
      </c>
      <c r="L96" t="s">
        <v>36</v>
      </c>
      <c r="M96">
        <v>2</v>
      </c>
      <c r="N96">
        <v>2.41</v>
      </c>
      <c r="O96" t="s">
        <v>59</v>
      </c>
      <c r="P96">
        <v>100</v>
      </c>
      <c r="Q96">
        <v>0.86</v>
      </c>
      <c r="R96">
        <v>8.6E-3</v>
      </c>
      <c r="T96">
        <v>17</v>
      </c>
      <c r="U96">
        <v>415</v>
      </c>
      <c r="V96" t="s">
        <v>3</v>
      </c>
      <c r="W96">
        <v>10</v>
      </c>
      <c r="X96">
        <f t="shared" si="2"/>
        <v>41.5</v>
      </c>
    </row>
    <row r="97" spans="1:24" x14ac:dyDescent="0.75">
      <c r="A97" t="s">
        <v>217</v>
      </c>
      <c r="B97" t="s">
        <v>218</v>
      </c>
      <c r="C97" t="s">
        <v>55</v>
      </c>
      <c r="D97">
        <v>4.7000000000000002E-3</v>
      </c>
      <c r="E97" t="s">
        <v>34</v>
      </c>
      <c r="F97">
        <f>8.51*10^3</f>
        <v>8510</v>
      </c>
      <c r="G97">
        <v>3.93</v>
      </c>
      <c r="H97" t="s">
        <v>33</v>
      </c>
      <c r="I97" t="s">
        <v>37</v>
      </c>
      <c r="J97" t="s">
        <v>37</v>
      </c>
      <c r="K97">
        <v>35000</v>
      </c>
      <c r="L97" t="s">
        <v>139</v>
      </c>
      <c r="M97" t="s">
        <v>37</v>
      </c>
      <c r="N97">
        <v>-2.31</v>
      </c>
      <c r="O97" t="s">
        <v>38</v>
      </c>
      <c r="P97">
        <v>1000</v>
      </c>
      <c r="Q97">
        <v>0.01</v>
      </c>
      <c r="R97">
        <v>1.0000000000000001E-5</v>
      </c>
      <c r="T97" t="s">
        <v>37</v>
      </c>
      <c r="U97">
        <v>1000</v>
      </c>
      <c r="V97" t="s">
        <v>3</v>
      </c>
      <c r="W97">
        <v>10</v>
      </c>
      <c r="X97">
        <f t="shared" si="2"/>
        <v>100</v>
      </c>
    </row>
    <row r="98" spans="1:24" x14ac:dyDescent="0.75">
      <c r="A98" t="s">
        <v>219</v>
      </c>
      <c r="B98" t="s">
        <v>220</v>
      </c>
      <c r="C98" t="s">
        <v>55</v>
      </c>
      <c r="D98">
        <v>184</v>
      </c>
      <c r="E98" t="s">
        <v>58</v>
      </c>
      <c r="F98">
        <f>3.63*10^2</f>
        <v>363</v>
      </c>
      <c r="G98">
        <v>2.56</v>
      </c>
      <c r="H98" t="s">
        <v>34</v>
      </c>
      <c r="I98">
        <v>7.8</v>
      </c>
      <c r="J98" t="s">
        <v>35</v>
      </c>
      <c r="K98" t="s">
        <v>221</v>
      </c>
      <c r="L98" t="s">
        <v>36</v>
      </c>
      <c r="M98" t="s">
        <v>222</v>
      </c>
      <c r="N98">
        <v>0.26</v>
      </c>
      <c r="O98" t="s">
        <v>38</v>
      </c>
      <c r="P98">
        <v>1000</v>
      </c>
      <c r="Q98">
        <v>0.87</v>
      </c>
      <c r="R98">
        <f>Q98/P98</f>
        <v>8.7000000000000001E-4</v>
      </c>
      <c r="T98">
        <v>6.4</v>
      </c>
      <c r="U98">
        <v>106.6</v>
      </c>
      <c r="V98" t="s">
        <v>39</v>
      </c>
      <c r="W98">
        <v>5</v>
      </c>
      <c r="X98">
        <f t="shared" si="2"/>
        <v>21.32</v>
      </c>
    </row>
    <row r="99" spans="1:24" x14ac:dyDescent="0.75">
      <c r="A99" t="s">
        <v>223</v>
      </c>
      <c r="B99" t="s">
        <v>224</v>
      </c>
      <c r="C99" t="s">
        <v>47</v>
      </c>
      <c r="D99">
        <v>610</v>
      </c>
      <c r="E99" t="s">
        <v>33</v>
      </c>
      <c r="F99">
        <f>3.72*10^2</f>
        <v>372</v>
      </c>
      <c r="G99">
        <v>0.56999999999999995</v>
      </c>
      <c r="H99" t="s">
        <v>34</v>
      </c>
      <c r="I99">
        <v>30</v>
      </c>
      <c r="J99" t="s">
        <v>67</v>
      </c>
      <c r="K99">
        <v>0.61</v>
      </c>
      <c r="L99" t="s">
        <v>36</v>
      </c>
      <c r="M99" t="s">
        <v>37</v>
      </c>
      <c r="N99">
        <v>3.69</v>
      </c>
      <c r="O99" t="s">
        <v>44</v>
      </c>
      <c r="P99">
        <v>10</v>
      </c>
      <c r="Q99">
        <v>1.8</v>
      </c>
      <c r="R99">
        <f>Q99/P99</f>
        <v>0.18</v>
      </c>
      <c r="T99">
        <v>174</v>
      </c>
      <c r="U99">
        <v>0.17799999999999999</v>
      </c>
      <c r="V99" t="s">
        <v>39</v>
      </c>
      <c r="W99">
        <v>5</v>
      </c>
      <c r="X99">
        <f t="shared" si="2"/>
        <v>3.56E-2</v>
      </c>
    </row>
    <row r="100" spans="1:24" x14ac:dyDescent="0.75">
      <c r="A100" t="s">
        <v>429</v>
      </c>
      <c r="B100" t="s">
        <v>225</v>
      </c>
      <c r="C100" t="s">
        <v>47</v>
      </c>
      <c r="D100" t="s">
        <v>42</v>
      </c>
      <c r="E100" t="s">
        <v>42</v>
      </c>
      <c r="F100" t="s">
        <v>42</v>
      </c>
      <c r="G100" t="s">
        <v>42</v>
      </c>
      <c r="H100" t="s">
        <v>42</v>
      </c>
      <c r="I100" t="s">
        <v>42</v>
      </c>
      <c r="J100" t="s">
        <v>42</v>
      </c>
      <c r="K100" t="s">
        <v>42</v>
      </c>
      <c r="L100" t="s">
        <v>42</v>
      </c>
      <c r="M100" t="s">
        <v>42</v>
      </c>
      <c r="N100" t="s">
        <v>42</v>
      </c>
      <c r="O100" t="s">
        <v>42</v>
      </c>
      <c r="P100" t="s">
        <v>42</v>
      </c>
      <c r="Q100" t="s">
        <v>42</v>
      </c>
      <c r="R100" t="s">
        <v>42</v>
      </c>
      <c r="T100" t="s">
        <v>42</v>
      </c>
      <c r="U100" t="s">
        <v>42</v>
      </c>
      <c r="V100" t="s">
        <v>42</v>
      </c>
      <c r="W100" t="s">
        <v>42</v>
      </c>
      <c r="X100" t="s">
        <v>42</v>
      </c>
    </row>
    <row r="101" spans="1:24" x14ac:dyDescent="0.75">
      <c r="A101" t="s">
        <v>430</v>
      </c>
      <c r="B101" t="s">
        <v>226</v>
      </c>
      <c r="C101" t="s">
        <v>47</v>
      </c>
      <c r="D101" t="s">
        <v>42</v>
      </c>
      <c r="E101" t="s">
        <v>42</v>
      </c>
      <c r="F101" t="s">
        <v>42</v>
      </c>
      <c r="G101" t="s">
        <v>42</v>
      </c>
      <c r="H101" t="s">
        <v>42</v>
      </c>
      <c r="I101" t="s">
        <v>42</v>
      </c>
      <c r="J101" t="s">
        <v>42</v>
      </c>
      <c r="K101" t="s">
        <v>42</v>
      </c>
      <c r="L101" t="s">
        <v>42</v>
      </c>
      <c r="M101" t="s">
        <v>42</v>
      </c>
      <c r="N101" t="s">
        <v>42</v>
      </c>
      <c r="O101" t="s">
        <v>42</v>
      </c>
      <c r="P101" t="s">
        <v>42</v>
      </c>
      <c r="Q101" t="s">
        <v>42</v>
      </c>
      <c r="R101" t="s">
        <v>42</v>
      </c>
      <c r="T101" t="s">
        <v>42</v>
      </c>
      <c r="U101" t="s">
        <v>42</v>
      </c>
      <c r="V101" t="s">
        <v>42</v>
      </c>
      <c r="W101" t="s">
        <v>42</v>
      </c>
      <c r="X101" t="s">
        <v>42</v>
      </c>
    </row>
    <row r="102" spans="1:24" x14ac:dyDescent="0.75">
      <c r="A102" t="s">
        <v>227</v>
      </c>
      <c r="B102" t="s">
        <v>228</v>
      </c>
      <c r="C102" t="s">
        <v>47</v>
      </c>
      <c r="D102">
        <v>0.2</v>
      </c>
      <c r="E102" t="s">
        <v>34</v>
      </c>
      <c r="F102">
        <f>4.47*10^4</f>
        <v>44700</v>
      </c>
      <c r="G102">
        <v>4.6500000000000004</v>
      </c>
      <c r="H102" t="s">
        <v>33</v>
      </c>
      <c r="I102">
        <v>1.4</v>
      </c>
      <c r="J102" t="s">
        <v>35</v>
      </c>
      <c r="K102" t="s">
        <v>229</v>
      </c>
      <c r="L102" t="s">
        <v>36</v>
      </c>
      <c r="M102" t="s">
        <v>37</v>
      </c>
      <c r="N102">
        <v>0.27</v>
      </c>
      <c r="O102" t="s">
        <v>38</v>
      </c>
      <c r="P102">
        <v>100</v>
      </c>
      <c r="Q102">
        <v>1.8E-3</v>
      </c>
      <c r="R102">
        <f>Q102/P102</f>
        <v>1.8E-5</v>
      </c>
      <c r="T102">
        <v>5.97</v>
      </c>
      <c r="U102">
        <v>6.6</v>
      </c>
      <c r="V102" t="s">
        <v>39</v>
      </c>
      <c r="W102">
        <v>5</v>
      </c>
      <c r="X102">
        <f t="shared" si="2"/>
        <v>1.3199999999999998</v>
      </c>
    </row>
    <row r="103" spans="1:24" x14ac:dyDescent="0.75">
      <c r="A103" t="s">
        <v>230</v>
      </c>
      <c r="B103" t="s">
        <v>231</v>
      </c>
      <c r="C103" t="s">
        <v>55</v>
      </c>
      <c r="D103">
        <v>17.8</v>
      </c>
      <c r="E103" t="s">
        <v>34</v>
      </c>
      <c r="F103">
        <f>1.58*10^3</f>
        <v>1580</v>
      </c>
      <c r="G103">
        <v>3.2</v>
      </c>
      <c r="H103" t="s">
        <v>33</v>
      </c>
      <c r="I103">
        <v>54</v>
      </c>
      <c r="J103" t="s">
        <v>67</v>
      </c>
      <c r="K103">
        <v>10</v>
      </c>
      <c r="L103" t="s">
        <v>36</v>
      </c>
      <c r="M103" t="s">
        <v>37</v>
      </c>
      <c r="N103">
        <v>2.35</v>
      </c>
      <c r="O103" t="s">
        <v>59</v>
      </c>
      <c r="P103">
        <v>50</v>
      </c>
      <c r="Q103">
        <v>1.89</v>
      </c>
      <c r="R103">
        <v>3.78E-2</v>
      </c>
      <c r="T103">
        <v>15.5</v>
      </c>
      <c r="U103">
        <v>3.37</v>
      </c>
      <c r="V103" t="s">
        <v>39</v>
      </c>
      <c r="W103">
        <v>5</v>
      </c>
      <c r="X103">
        <f t="shared" si="2"/>
        <v>0.67400000000000004</v>
      </c>
    </row>
    <row r="104" spans="1:24" x14ac:dyDescent="0.75">
      <c r="A104" t="s">
        <v>232</v>
      </c>
      <c r="B104" t="s">
        <v>233</v>
      </c>
      <c r="C104" t="s">
        <v>32</v>
      </c>
      <c r="D104">
        <v>70.2</v>
      </c>
      <c r="E104" t="s">
        <v>58</v>
      </c>
      <c r="F104">
        <f>3.16*10^2</f>
        <v>316</v>
      </c>
      <c r="G104">
        <v>2.5</v>
      </c>
      <c r="H104" t="s">
        <v>34</v>
      </c>
      <c r="I104">
        <v>40</v>
      </c>
      <c r="J104" t="s">
        <v>67</v>
      </c>
      <c r="K104">
        <v>177</v>
      </c>
      <c r="L104" t="s">
        <v>52</v>
      </c>
      <c r="M104" t="s">
        <v>37</v>
      </c>
      <c r="N104">
        <v>2.61</v>
      </c>
      <c r="O104" t="s">
        <v>59</v>
      </c>
      <c r="P104">
        <v>10</v>
      </c>
      <c r="Q104">
        <v>5.1999999999999998E-2</v>
      </c>
      <c r="R104">
        <f t="shared" ref="R104:R109" si="5">Q104/P104</f>
        <v>5.1999999999999998E-3</v>
      </c>
      <c r="T104">
        <v>23</v>
      </c>
      <c r="U104">
        <v>1000</v>
      </c>
      <c r="V104" t="s">
        <v>3</v>
      </c>
      <c r="W104">
        <v>10</v>
      </c>
      <c r="X104">
        <f t="shared" si="2"/>
        <v>100</v>
      </c>
    </row>
    <row r="105" spans="1:24" x14ac:dyDescent="0.75">
      <c r="A105" t="s">
        <v>234</v>
      </c>
      <c r="B105" t="s">
        <v>235</v>
      </c>
      <c r="C105" t="s">
        <v>32</v>
      </c>
      <c r="D105">
        <v>0.93</v>
      </c>
      <c r="E105" t="s">
        <v>34</v>
      </c>
      <c r="F105">
        <f>8.71*10^3</f>
        <v>8710</v>
      </c>
      <c r="G105">
        <v>3.94</v>
      </c>
      <c r="H105" t="s">
        <v>33</v>
      </c>
      <c r="I105">
        <v>8.8000000000000007</v>
      </c>
      <c r="J105" t="s">
        <v>35</v>
      </c>
      <c r="K105">
        <v>70.5</v>
      </c>
      <c r="L105" t="s">
        <v>36</v>
      </c>
      <c r="M105">
        <v>0.49</v>
      </c>
      <c r="N105">
        <v>3.03</v>
      </c>
      <c r="O105" t="s">
        <v>44</v>
      </c>
      <c r="P105">
        <v>10</v>
      </c>
      <c r="Q105">
        <v>0.69</v>
      </c>
      <c r="R105">
        <f t="shared" si="5"/>
        <v>6.8999999999999992E-2</v>
      </c>
      <c r="T105">
        <v>123</v>
      </c>
      <c r="U105">
        <v>3.34</v>
      </c>
      <c r="V105" t="s">
        <v>39</v>
      </c>
      <c r="W105">
        <v>5</v>
      </c>
      <c r="X105">
        <f t="shared" si="2"/>
        <v>0.66799999999999993</v>
      </c>
    </row>
    <row r="106" spans="1:24" x14ac:dyDescent="0.75">
      <c r="A106" t="s">
        <v>236</v>
      </c>
      <c r="B106" t="s">
        <v>237</v>
      </c>
      <c r="C106" t="s">
        <v>32</v>
      </c>
      <c r="D106">
        <v>6.2</v>
      </c>
      <c r="E106" t="s">
        <v>34</v>
      </c>
      <c r="F106">
        <f>2.19*10^2</f>
        <v>219</v>
      </c>
      <c r="G106">
        <v>2.34</v>
      </c>
      <c r="H106" t="s">
        <v>34</v>
      </c>
      <c r="I106">
        <v>0.36</v>
      </c>
      <c r="J106" t="s">
        <v>81</v>
      </c>
      <c r="K106">
        <v>11</v>
      </c>
      <c r="L106" t="s">
        <v>36</v>
      </c>
      <c r="M106" t="s">
        <v>37</v>
      </c>
      <c r="N106">
        <v>0.24</v>
      </c>
      <c r="O106" t="s">
        <v>38</v>
      </c>
      <c r="P106">
        <v>100</v>
      </c>
      <c r="Q106">
        <v>1.4E-2</v>
      </c>
      <c r="R106">
        <f t="shared" si="5"/>
        <v>1.4000000000000001E-4</v>
      </c>
      <c r="T106">
        <v>1.3</v>
      </c>
      <c r="U106">
        <v>8.9</v>
      </c>
      <c r="V106" t="s">
        <v>39</v>
      </c>
      <c r="W106">
        <v>5</v>
      </c>
      <c r="X106">
        <f t="shared" si="2"/>
        <v>1.78</v>
      </c>
    </row>
    <row r="107" spans="1:24" x14ac:dyDescent="0.75">
      <c r="A107" t="s">
        <v>431</v>
      </c>
      <c r="B107" t="s">
        <v>238</v>
      </c>
      <c r="C107" t="s">
        <v>55</v>
      </c>
      <c r="D107">
        <v>2</v>
      </c>
      <c r="E107" t="s">
        <v>34</v>
      </c>
      <c r="F107">
        <f>2.51*10^3</f>
        <v>2510</v>
      </c>
      <c r="G107">
        <v>3.4</v>
      </c>
      <c r="H107" t="s">
        <v>33</v>
      </c>
      <c r="I107">
        <v>0.85</v>
      </c>
      <c r="J107" t="s">
        <v>81</v>
      </c>
      <c r="K107">
        <v>220</v>
      </c>
      <c r="L107" t="s">
        <v>52</v>
      </c>
      <c r="M107">
        <v>0.37</v>
      </c>
      <c r="N107">
        <v>0</v>
      </c>
      <c r="O107" t="s">
        <v>38</v>
      </c>
      <c r="P107">
        <v>100</v>
      </c>
      <c r="Q107">
        <v>1.2999999999999999E-2</v>
      </c>
      <c r="R107">
        <f t="shared" si="5"/>
        <v>1.2999999999999999E-4</v>
      </c>
      <c r="T107">
        <v>1</v>
      </c>
      <c r="U107">
        <v>469</v>
      </c>
      <c r="V107" t="s">
        <v>3</v>
      </c>
      <c r="W107">
        <v>10</v>
      </c>
      <c r="X107">
        <f t="shared" si="2"/>
        <v>46.9</v>
      </c>
    </row>
    <row r="108" spans="1:24" ht="16" x14ac:dyDescent="0.8">
      <c r="A108" t="s">
        <v>432</v>
      </c>
      <c r="B108" t="s">
        <v>239</v>
      </c>
      <c r="C108" t="s">
        <v>47</v>
      </c>
      <c r="D108">
        <v>5.0000000000000001E-3</v>
      </c>
      <c r="E108" t="s">
        <v>34</v>
      </c>
      <c r="F108">
        <f>3.16*10^5</f>
        <v>316000</v>
      </c>
      <c r="G108">
        <v>5.5</v>
      </c>
      <c r="H108" t="s">
        <v>33</v>
      </c>
      <c r="I108">
        <v>0.24</v>
      </c>
      <c r="J108" t="s">
        <v>81</v>
      </c>
      <c r="K108">
        <v>4982</v>
      </c>
      <c r="L108" t="s">
        <v>52</v>
      </c>
      <c r="M108" t="s">
        <v>37</v>
      </c>
      <c r="N108">
        <v>-2.09</v>
      </c>
      <c r="O108" t="s">
        <v>38</v>
      </c>
      <c r="P108">
        <v>10</v>
      </c>
      <c r="Q108" s="13">
        <v>2.2000000000000001E-6</v>
      </c>
      <c r="R108">
        <f t="shared" si="5"/>
        <v>2.2000000000000001E-7</v>
      </c>
      <c r="T108">
        <v>26.9</v>
      </c>
      <c r="U108">
        <v>0.22</v>
      </c>
      <c r="V108" t="s">
        <v>4</v>
      </c>
      <c r="W108">
        <v>10</v>
      </c>
      <c r="X108">
        <f t="shared" si="2"/>
        <v>2.1999999999999999E-2</v>
      </c>
    </row>
    <row r="109" spans="1:24" x14ac:dyDescent="0.75">
      <c r="A109" t="s">
        <v>240</v>
      </c>
      <c r="B109" t="s">
        <v>241</v>
      </c>
      <c r="C109" t="s">
        <v>32</v>
      </c>
      <c r="D109">
        <v>2.9</v>
      </c>
      <c r="E109" t="s">
        <v>34</v>
      </c>
      <c r="F109">
        <f>4.9*10^1</f>
        <v>49</v>
      </c>
      <c r="G109">
        <v>1.69</v>
      </c>
      <c r="H109" t="s">
        <v>34</v>
      </c>
      <c r="I109">
        <v>91</v>
      </c>
      <c r="J109" t="s">
        <v>67</v>
      </c>
      <c r="K109">
        <v>18</v>
      </c>
      <c r="L109" t="s">
        <v>36</v>
      </c>
      <c r="M109" t="s">
        <v>37</v>
      </c>
      <c r="N109">
        <v>3.02</v>
      </c>
      <c r="O109" t="s">
        <v>44</v>
      </c>
      <c r="P109">
        <v>10</v>
      </c>
      <c r="Q109">
        <v>0.01</v>
      </c>
      <c r="R109">
        <f t="shared" si="5"/>
        <v>1E-3</v>
      </c>
      <c r="T109">
        <v>39.799999999999997</v>
      </c>
      <c r="U109">
        <v>1000</v>
      </c>
      <c r="V109" t="s">
        <v>39</v>
      </c>
      <c r="W109">
        <v>5</v>
      </c>
      <c r="X109">
        <f t="shared" si="2"/>
        <v>200</v>
      </c>
    </row>
    <row r="110" spans="1:24" x14ac:dyDescent="0.75">
      <c r="A110" t="s">
        <v>433</v>
      </c>
      <c r="B110" t="s">
        <v>242</v>
      </c>
      <c r="C110" t="s">
        <v>47</v>
      </c>
      <c r="D110">
        <v>8.52</v>
      </c>
      <c r="E110" t="s">
        <v>34</v>
      </c>
      <c r="F110">
        <f>3.16*10^3</f>
        <v>3160</v>
      </c>
      <c r="G110">
        <v>3.5</v>
      </c>
      <c r="H110" t="s">
        <v>33</v>
      </c>
      <c r="I110">
        <v>21</v>
      </c>
      <c r="J110" t="s">
        <v>73</v>
      </c>
      <c r="K110">
        <v>1300</v>
      </c>
      <c r="L110" t="s">
        <v>52</v>
      </c>
      <c r="M110" t="s">
        <v>37</v>
      </c>
      <c r="N110">
        <v>2.87</v>
      </c>
      <c r="O110" t="s">
        <v>44</v>
      </c>
      <c r="P110">
        <v>10</v>
      </c>
      <c r="Q110">
        <v>2.9</v>
      </c>
      <c r="R110">
        <v>0.28999999999999998</v>
      </c>
      <c r="T110">
        <v>148</v>
      </c>
      <c r="U110">
        <v>68</v>
      </c>
      <c r="V110" t="s">
        <v>3</v>
      </c>
      <c r="W110">
        <v>10</v>
      </c>
      <c r="X110">
        <f t="shared" si="2"/>
        <v>6.8</v>
      </c>
    </row>
    <row r="111" spans="1:24" x14ac:dyDescent="0.75">
      <c r="A111" t="s">
        <v>243</v>
      </c>
      <c r="B111" t="s">
        <v>244</v>
      </c>
      <c r="C111" t="s">
        <v>32</v>
      </c>
      <c r="D111">
        <v>63.8</v>
      </c>
      <c r="E111" t="s">
        <v>58</v>
      </c>
      <c r="F111">
        <f>1*10^3</f>
        <v>1000</v>
      </c>
      <c r="G111">
        <v>3</v>
      </c>
      <c r="H111" t="s">
        <v>58</v>
      </c>
      <c r="I111">
        <v>13</v>
      </c>
      <c r="J111" t="s">
        <v>35</v>
      </c>
      <c r="K111">
        <v>49</v>
      </c>
      <c r="L111" t="s">
        <v>36</v>
      </c>
      <c r="M111">
        <v>8</v>
      </c>
      <c r="N111">
        <v>2.11</v>
      </c>
      <c r="O111" t="s">
        <v>59</v>
      </c>
      <c r="P111">
        <v>10</v>
      </c>
      <c r="Q111">
        <v>0.01</v>
      </c>
      <c r="R111">
        <f>Q111/P111</f>
        <v>1E-3</v>
      </c>
      <c r="T111">
        <v>48</v>
      </c>
      <c r="U111">
        <v>6.78</v>
      </c>
      <c r="V111" t="s">
        <v>39</v>
      </c>
      <c r="W111">
        <v>5</v>
      </c>
      <c r="X111">
        <f t="shared" si="2"/>
        <v>1.3560000000000001</v>
      </c>
    </row>
    <row r="112" spans="1:24" x14ac:dyDescent="0.75">
      <c r="A112" t="s">
        <v>245</v>
      </c>
      <c r="B112" t="s">
        <v>246</v>
      </c>
      <c r="C112" t="s">
        <v>55</v>
      </c>
      <c r="D112">
        <v>4.2</v>
      </c>
      <c r="E112" t="s">
        <v>34</v>
      </c>
      <c r="F112">
        <f>1.58*10^3</f>
        <v>1580</v>
      </c>
      <c r="G112">
        <v>3.2</v>
      </c>
      <c r="H112" t="s">
        <v>33</v>
      </c>
      <c r="I112" s="10" t="s">
        <v>42</v>
      </c>
      <c r="J112" t="s">
        <v>67</v>
      </c>
      <c r="K112">
        <v>48</v>
      </c>
      <c r="L112" t="s">
        <v>36</v>
      </c>
      <c r="M112">
        <v>1</v>
      </c>
      <c r="N112">
        <v>1.22</v>
      </c>
      <c r="O112" t="s">
        <v>38</v>
      </c>
      <c r="P112">
        <v>50</v>
      </c>
      <c r="Q112">
        <v>0.5</v>
      </c>
      <c r="R112">
        <f>Q112/P112</f>
        <v>0.01</v>
      </c>
      <c r="T112">
        <v>13.6</v>
      </c>
      <c r="U112">
        <v>16</v>
      </c>
      <c r="V112" t="s">
        <v>39</v>
      </c>
      <c r="W112">
        <v>5</v>
      </c>
      <c r="X112">
        <f t="shared" si="2"/>
        <v>3.2</v>
      </c>
    </row>
    <row r="113" spans="1:24" x14ac:dyDescent="0.75">
      <c r="A113" t="s">
        <v>247</v>
      </c>
      <c r="B113" t="s">
        <v>248</v>
      </c>
      <c r="C113" t="s">
        <v>32</v>
      </c>
      <c r="D113">
        <v>29390</v>
      </c>
      <c r="E113" t="s">
        <v>33</v>
      </c>
      <c r="F113">
        <f>1.55*10^-1</f>
        <v>0.15500000000000003</v>
      </c>
      <c r="G113">
        <v>-0.81</v>
      </c>
      <c r="H113" t="s">
        <v>34</v>
      </c>
      <c r="I113">
        <v>13.5</v>
      </c>
      <c r="J113" t="s">
        <v>35</v>
      </c>
      <c r="K113">
        <v>1</v>
      </c>
      <c r="L113" t="s">
        <v>36</v>
      </c>
      <c r="M113" t="s">
        <v>37</v>
      </c>
      <c r="N113">
        <v>2.98</v>
      </c>
      <c r="O113" t="s">
        <v>44</v>
      </c>
      <c r="P113">
        <v>10</v>
      </c>
      <c r="Q113">
        <v>15</v>
      </c>
      <c r="R113">
        <v>1.5</v>
      </c>
      <c r="T113">
        <v>25</v>
      </c>
      <c r="U113">
        <v>325</v>
      </c>
      <c r="V113" t="s">
        <v>3</v>
      </c>
      <c r="W113">
        <v>10</v>
      </c>
      <c r="X113">
        <f t="shared" si="2"/>
        <v>32.5</v>
      </c>
    </row>
    <row r="114" spans="1:24" x14ac:dyDescent="0.75">
      <c r="A114" t="s">
        <v>434</v>
      </c>
      <c r="B114" t="s">
        <v>249</v>
      </c>
      <c r="C114" t="s">
        <v>32</v>
      </c>
      <c r="D114">
        <v>250000</v>
      </c>
      <c r="E114" t="s">
        <v>33</v>
      </c>
      <c r="F114">
        <f>6.46*10^-1</f>
        <v>0.64600000000000002</v>
      </c>
      <c r="G114">
        <v>-0.19</v>
      </c>
      <c r="H114" t="s">
        <v>34</v>
      </c>
      <c r="I114">
        <v>92</v>
      </c>
      <c r="J114" t="s">
        <v>67</v>
      </c>
      <c r="K114">
        <v>3</v>
      </c>
      <c r="L114" t="s">
        <v>36</v>
      </c>
      <c r="M114">
        <v>1.1000000000000001</v>
      </c>
      <c r="N114">
        <v>2.94</v>
      </c>
      <c r="O114" t="s">
        <v>44</v>
      </c>
      <c r="P114">
        <v>10</v>
      </c>
      <c r="Q114">
        <v>22.7</v>
      </c>
      <c r="R114">
        <v>2.27</v>
      </c>
      <c r="T114">
        <v>21</v>
      </c>
      <c r="U114">
        <v>10.8</v>
      </c>
      <c r="V114" t="s">
        <v>39</v>
      </c>
      <c r="W114">
        <v>5</v>
      </c>
      <c r="X114">
        <f t="shared" si="2"/>
        <v>2.16</v>
      </c>
    </row>
    <row r="115" spans="1:24" x14ac:dyDescent="0.75">
      <c r="A115" t="s">
        <v>398</v>
      </c>
      <c r="B115" t="s">
        <v>250</v>
      </c>
      <c r="C115" t="s">
        <v>55</v>
      </c>
      <c r="D115">
        <v>0.248</v>
      </c>
      <c r="E115" t="s">
        <v>34</v>
      </c>
      <c r="F115">
        <f>3.55*10^6</f>
        <v>3550000</v>
      </c>
      <c r="G115">
        <v>6.55</v>
      </c>
      <c r="H115" t="s">
        <v>33</v>
      </c>
      <c r="I115">
        <v>5.7</v>
      </c>
      <c r="J115" t="s">
        <v>35</v>
      </c>
      <c r="K115">
        <v>992</v>
      </c>
      <c r="L115" t="s">
        <v>52</v>
      </c>
      <c r="M115">
        <v>0.6</v>
      </c>
      <c r="N115">
        <v>-2.33</v>
      </c>
      <c r="O115" t="s">
        <v>38</v>
      </c>
      <c r="P115">
        <v>50</v>
      </c>
      <c r="Q115">
        <v>7.6000000000000004E-4</v>
      </c>
      <c r="R115">
        <f>Q115/P115</f>
        <v>1.52E-5</v>
      </c>
      <c r="T115">
        <v>15</v>
      </c>
      <c r="U115">
        <v>302</v>
      </c>
      <c r="V115" t="s">
        <v>3</v>
      </c>
      <c r="W115">
        <v>10</v>
      </c>
      <c r="X115">
        <f t="shared" si="2"/>
        <v>30.2</v>
      </c>
    </row>
    <row r="116" spans="1:24" x14ac:dyDescent="0.75">
      <c r="A116" t="s">
        <v>435</v>
      </c>
      <c r="B116" t="s">
        <v>251</v>
      </c>
      <c r="C116" t="s">
        <v>42</v>
      </c>
      <c r="D116" t="s">
        <v>42</v>
      </c>
      <c r="E116" t="s">
        <v>42</v>
      </c>
      <c r="F116" t="s">
        <v>42</v>
      </c>
      <c r="G116" t="s">
        <v>42</v>
      </c>
      <c r="H116" t="s">
        <v>42</v>
      </c>
      <c r="I116" t="s">
        <v>42</v>
      </c>
      <c r="J116" t="s">
        <v>42</v>
      </c>
      <c r="K116" t="s">
        <v>42</v>
      </c>
      <c r="L116" t="s">
        <v>42</v>
      </c>
      <c r="M116" t="s">
        <v>42</v>
      </c>
      <c r="N116" t="s">
        <v>42</v>
      </c>
      <c r="O116" t="s">
        <v>42</v>
      </c>
      <c r="P116" t="s">
        <v>42</v>
      </c>
      <c r="Q116" t="s">
        <v>42</v>
      </c>
      <c r="R116" t="s">
        <v>42</v>
      </c>
      <c r="T116">
        <v>15</v>
      </c>
      <c r="U116">
        <v>4.0599999999999996</v>
      </c>
      <c r="V116" t="s">
        <v>39</v>
      </c>
      <c r="W116">
        <v>5</v>
      </c>
      <c r="X116">
        <f t="shared" si="2"/>
        <v>0.81199999999999994</v>
      </c>
    </row>
    <row r="117" spans="1:24" x14ac:dyDescent="0.75">
      <c r="A117" t="s">
        <v>436</v>
      </c>
      <c r="B117" t="s">
        <v>252</v>
      </c>
      <c r="C117" t="s">
        <v>55</v>
      </c>
      <c r="D117">
        <v>26000</v>
      </c>
      <c r="E117" t="s">
        <v>33</v>
      </c>
      <c r="F117">
        <f>5.13*10^1</f>
        <v>51.3</v>
      </c>
      <c r="G117">
        <v>1.71</v>
      </c>
      <c r="H117" t="s">
        <v>34</v>
      </c>
      <c r="I117">
        <v>24.8</v>
      </c>
      <c r="J117" t="s">
        <v>73</v>
      </c>
      <c r="K117">
        <v>15</v>
      </c>
      <c r="L117" t="s">
        <v>36</v>
      </c>
      <c r="M117" t="s">
        <v>37</v>
      </c>
      <c r="N117">
        <v>2.42</v>
      </c>
      <c r="O117" t="s">
        <v>59</v>
      </c>
      <c r="P117">
        <v>100</v>
      </c>
      <c r="Q117">
        <v>1.2</v>
      </c>
      <c r="R117">
        <f>Q117/P117</f>
        <v>1.2E-2</v>
      </c>
      <c r="T117">
        <v>14.1</v>
      </c>
      <c r="U117">
        <v>35.630000000000003</v>
      </c>
      <c r="V117" t="s">
        <v>39</v>
      </c>
      <c r="W117">
        <v>5</v>
      </c>
      <c r="X117">
        <f t="shared" si="2"/>
        <v>7.1260000000000003</v>
      </c>
    </row>
    <row r="118" spans="1:24" x14ac:dyDescent="0.75">
      <c r="A118" t="s">
        <v>437</v>
      </c>
      <c r="B118" t="s">
        <v>253</v>
      </c>
      <c r="C118" t="s">
        <v>42</v>
      </c>
      <c r="D118" t="s">
        <v>37</v>
      </c>
      <c r="E118" t="s">
        <v>37</v>
      </c>
      <c r="F118" t="s">
        <v>37</v>
      </c>
      <c r="G118" t="s">
        <v>37</v>
      </c>
      <c r="H118" t="s">
        <v>37</v>
      </c>
      <c r="I118" t="s">
        <v>37</v>
      </c>
      <c r="J118" t="s">
        <v>37</v>
      </c>
      <c r="K118" t="s">
        <v>37</v>
      </c>
      <c r="L118" t="s">
        <v>37</v>
      </c>
      <c r="M118" t="s">
        <v>37</v>
      </c>
      <c r="N118">
        <v>4.38</v>
      </c>
      <c r="O118" t="s">
        <v>44</v>
      </c>
      <c r="P118">
        <v>1000</v>
      </c>
      <c r="Q118">
        <v>852</v>
      </c>
      <c r="R118">
        <v>0.85199999999999998</v>
      </c>
      <c r="T118" s="5">
        <v>51</v>
      </c>
      <c r="U118" t="s">
        <v>37</v>
      </c>
      <c r="V118" t="s">
        <v>37</v>
      </c>
      <c r="W118" t="s">
        <v>37</v>
      </c>
      <c r="X118" t="s">
        <v>37</v>
      </c>
    </row>
    <row r="119" spans="1:24" x14ac:dyDescent="0.75">
      <c r="A119" t="s">
        <v>254</v>
      </c>
      <c r="B119" t="s">
        <v>255</v>
      </c>
      <c r="C119" t="s">
        <v>32</v>
      </c>
      <c r="D119">
        <v>1770</v>
      </c>
      <c r="E119" t="s">
        <v>33</v>
      </c>
      <c r="F119">
        <f>7.08*10^0</f>
        <v>7.08</v>
      </c>
      <c r="G119">
        <v>0.85</v>
      </c>
      <c r="H119" t="s">
        <v>34</v>
      </c>
      <c r="I119">
        <v>10.5</v>
      </c>
      <c r="J119" t="s">
        <v>35</v>
      </c>
      <c r="K119">
        <v>75</v>
      </c>
      <c r="L119" t="s">
        <v>36</v>
      </c>
      <c r="M119" t="s">
        <v>37</v>
      </c>
      <c r="N119">
        <v>2.16</v>
      </c>
      <c r="O119" t="s">
        <v>59</v>
      </c>
      <c r="P119">
        <v>10</v>
      </c>
      <c r="Q119">
        <v>0.1</v>
      </c>
      <c r="R119">
        <f>Q119/P119</f>
        <v>0.01</v>
      </c>
      <c r="T119">
        <v>11.1</v>
      </c>
      <c r="U119">
        <v>22.4</v>
      </c>
      <c r="V119" t="s">
        <v>39</v>
      </c>
      <c r="W119">
        <v>5</v>
      </c>
      <c r="X119">
        <f t="shared" si="2"/>
        <v>4.4799999999999995</v>
      </c>
    </row>
    <row r="120" spans="1:24" x14ac:dyDescent="0.75">
      <c r="A120" t="s">
        <v>438</v>
      </c>
      <c r="B120" t="s">
        <v>256</v>
      </c>
      <c r="C120" t="s">
        <v>32</v>
      </c>
      <c r="D120">
        <v>399.9</v>
      </c>
      <c r="E120" t="s">
        <v>58</v>
      </c>
      <c r="F120" t="s">
        <v>37</v>
      </c>
      <c r="G120" t="s">
        <v>37</v>
      </c>
      <c r="H120" t="s">
        <v>37</v>
      </c>
      <c r="I120" t="s">
        <v>37</v>
      </c>
      <c r="J120" t="s">
        <v>37</v>
      </c>
      <c r="K120" t="s">
        <v>37</v>
      </c>
      <c r="L120" t="s">
        <v>37</v>
      </c>
      <c r="M120" t="s">
        <v>37</v>
      </c>
      <c r="N120">
        <v>2.97</v>
      </c>
      <c r="O120" t="s">
        <v>44</v>
      </c>
      <c r="P120">
        <v>1000</v>
      </c>
      <c r="Q120">
        <v>73.2</v>
      </c>
      <c r="R120">
        <v>7.3200000000000001E-2</v>
      </c>
      <c r="T120">
        <v>31.1</v>
      </c>
      <c r="U120">
        <v>100</v>
      </c>
      <c r="V120" t="s">
        <v>39</v>
      </c>
      <c r="W120">
        <v>5</v>
      </c>
      <c r="X120">
        <f t="shared" si="2"/>
        <v>20</v>
      </c>
    </row>
    <row r="121" spans="1:24" x14ac:dyDescent="0.75">
      <c r="A121" t="s">
        <v>257</v>
      </c>
      <c r="B121" t="s">
        <v>258</v>
      </c>
      <c r="C121" t="s">
        <v>32</v>
      </c>
      <c r="D121">
        <v>450</v>
      </c>
      <c r="E121" t="s">
        <v>58</v>
      </c>
      <c r="F121">
        <f>3.09*10^2</f>
        <v>309</v>
      </c>
      <c r="G121">
        <v>2.4900000000000002</v>
      </c>
      <c r="H121" t="s">
        <v>34</v>
      </c>
      <c r="I121">
        <v>216</v>
      </c>
      <c r="J121" t="s">
        <v>67</v>
      </c>
      <c r="K121" s="10" t="s">
        <v>42</v>
      </c>
      <c r="L121" t="s">
        <v>48</v>
      </c>
      <c r="M121" t="s">
        <v>37</v>
      </c>
      <c r="N121">
        <v>1.75</v>
      </c>
      <c r="O121" t="s">
        <v>38</v>
      </c>
      <c r="P121">
        <v>10</v>
      </c>
      <c r="Q121">
        <v>0.1</v>
      </c>
      <c r="R121">
        <f>Q121/P121</f>
        <v>0.01</v>
      </c>
      <c r="T121">
        <v>6.8</v>
      </c>
      <c r="U121">
        <v>2.31</v>
      </c>
      <c r="V121" t="s">
        <v>39</v>
      </c>
      <c r="W121">
        <v>5</v>
      </c>
      <c r="X121">
        <f t="shared" si="2"/>
        <v>0.46200000000000002</v>
      </c>
    </row>
    <row r="122" spans="1:24" x14ac:dyDescent="0.75">
      <c r="A122" t="s">
        <v>259</v>
      </c>
      <c r="B122" t="s">
        <v>260</v>
      </c>
      <c r="C122" t="s">
        <v>55</v>
      </c>
      <c r="D122">
        <v>30.4</v>
      </c>
      <c r="E122" t="s">
        <v>34</v>
      </c>
      <c r="F122">
        <f>7.08*10^3</f>
        <v>7080</v>
      </c>
      <c r="G122">
        <v>3.85</v>
      </c>
      <c r="H122" t="s">
        <v>33</v>
      </c>
      <c r="I122">
        <v>8</v>
      </c>
      <c r="J122" t="s">
        <v>35</v>
      </c>
      <c r="K122">
        <v>105.1</v>
      </c>
      <c r="L122" t="s">
        <v>52</v>
      </c>
      <c r="M122">
        <v>1</v>
      </c>
      <c r="N122">
        <v>2.0299999999999998</v>
      </c>
      <c r="O122" t="s">
        <v>59</v>
      </c>
      <c r="P122">
        <v>100</v>
      </c>
      <c r="Q122">
        <v>0.16</v>
      </c>
      <c r="R122">
        <f>Q122/P122</f>
        <v>1.6000000000000001E-3</v>
      </c>
      <c r="T122">
        <v>134.69999999999999</v>
      </c>
      <c r="U122">
        <v>20</v>
      </c>
      <c r="V122" t="s">
        <v>39</v>
      </c>
      <c r="W122">
        <v>5</v>
      </c>
      <c r="X122">
        <f t="shared" si="2"/>
        <v>4</v>
      </c>
    </row>
    <row r="123" spans="1:24" x14ac:dyDescent="0.75">
      <c r="A123" t="s">
        <v>261</v>
      </c>
      <c r="B123" t="s">
        <v>262</v>
      </c>
      <c r="C123" t="s">
        <v>32</v>
      </c>
      <c r="D123">
        <v>60</v>
      </c>
      <c r="E123" t="s">
        <v>58</v>
      </c>
      <c r="F123">
        <f>4.37*10^2</f>
        <v>437</v>
      </c>
      <c r="G123">
        <v>2.64</v>
      </c>
      <c r="H123" t="s">
        <v>34</v>
      </c>
      <c r="I123">
        <v>90</v>
      </c>
      <c r="J123" t="s">
        <v>67</v>
      </c>
      <c r="K123">
        <v>75</v>
      </c>
      <c r="L123" t="s">
        <v>36</v>
      </c>
      <c r="M123" t="s">
        <v>37</v>
      </c>
      <c r="N123">
        <v>2.72</v>
      </c>
      <c r="O123" t="s">
        <v>59</v>
      </c>
      <c r="P123">
        <v>100</v>
      </c>
      <c r="Q123">
        <v>1.7999999999999999E-2</v>
      </c>
      <c r="R123">
        <f>Q123/P123</f>
        <v>1.7999999999999998E-4</v>
      </c>
      <c r="T123" t="s">
        <v>37</v>
      </c>
      <c r="U123">
        <v>840</v>
      </c>
      <c r="V123" t="s">
        <v>3</v>
      </c>
      <c r="W123">
        <v>10</v>
      </c>
      <c r="X123">
        <f t="shared" si="2"/>
        <v>84</v>
      </c>
    </row>
    <row r="124" spans="1:24" x14ac:dyDescent="0.75">
      <c r="A124" t="s">
        <v>263</v>
      </c>
      <c r="B124" t="s">
        <v>264</v>
      </c>
      <c r="C124" t="s">
        <v>265</v>
      </c>
      <c r="D124">
        <v>27</v>
      </c>
      <c r="E124" t="s">
        <v>34</v>
      </c>
      <c r="F124">
        <f>1.51*10^3</f>
        <v>1510</v>
      </c>
      <c r="G124">
        <v>3.18</v>
      </c>
      <c r="H124" t="s">
        <v>33</v>
      </c>
      <c r="I124">
        <v>1.6</v>
      </c>
      <c r="J124" t="s">
        <v>35</v>
      </c>
      <c r="K124">
        <v>75</v>
      </c>
      <c r="L124" t="s">
        <v>36</v>
      </c>
      <c r="M124">
        <v>1</v>
      </c>
      <c r="N124">
        <v>1.82</v>
      </c>
      <c r="O124" t="s">
        <v>59</v>
      </c>
      <c r="P124">
        <v>50</v>
      </c>
      <c r="Q124">
        <v>1E-4</v>
      </c>
      <c r="R124">
        <v>1.9999999999999999E-6</v>
      </c>
      <c r="T124">
        <v>35</v>
      </c>
      <c r="U124">
        <v>0.161</v>
      </c>
      <c r="V124" t="s">
        <v>39</v>
      </c>
      <c r="W124">
        <v>5</v>
      </c>
      <c r="X124">
        <f t="shared" si="2"/>
        <v>3.2199999999999999E-2</v>
      </c>
    </row>
    <row r="125" spans="1:24" x14ac:dyDescent="0.75">
      <c r="A125" t="s">
        <v>439</v>
      </c>
      <c r="B125" t="s">
        <v>266</v>
      </c>
      <c r="C125" t="s">
        <v>265</v>
      </c>
      <c r="D125" t="s">
        <v>42</v>
      </c>
      <c r="E125" t="s">
        <v>42</v>
      </c>
      <c r="F125" t="s">
        <v>42</v>
      </c>
      <c r="G125" t="s">
        <v>42</v>
      </c>
      <c r="H125" t="s">
        <v>42</v>
      </c>
      <c r="I125" t="s">
        <v>42</v>
      </c>
      <c r="J125" t="s">
        <v>42</v>
      </c>
      <c r="K125" t="s">
        <v>42</v>
      </c>
      <c r="L125" t="s">
        <v>42</v>
      </c>
      <c r="M125" t="s">
        <v>42</v>
      </c>
      <c r="N125" t="s">
        <v>42</v>
      </c>
      <c r="O125" t="s">
        <v>42</v>
      </c>
      <c r="P125" t="s">
        <v>42</v>
      </c>
      <c r="Q125" t="s">
        <v>42</v>
      </c>
      <c r="R125" t="s">
        <v>42</v>
      </c>
      <c r="T125" t="s">
        <v>42</v>
      </c>
      <c r="U125" t="s">
        <v>42</v>
      </c>
      <c r="V125" t="s">
        <v>42</v>
      </c>
      <c r="W125" t="s">
        <v>42</v>
      </c>
      <c r="X125" t="s">
        <v>42</v>
      </c>
    </row>
    <row r="126" spans="1:24" x14ac:dyDescent="0.75">
      <c r="A126" t="s">
        <v>440</v>
      </c>
      <c r="B126" t="s">
        <v>267</v>
      </c>
      <c r="C126" t="s">
        <v>265</v>
      </c>
      <c r="D126" t="s">
        <v>37</v>
      </c>
      <c r="F126">
        <f>5.01*10^0</f>
        <v>5.01</v>
      </c>
      <c r="G126">
        <v>0.7</v>
      </c>
      <c r="H126" t="s">
        <v>34</v>
      </c>
      <c r="I126" t="s">
        <v>37</v>
      </c>
      <c r="J126" t="s">
        <v>37</v>
      </c>
      <c r="K126" t="s">
        <v>37</v>
      </c>
      <c r="L126" t="s">
        <v>37</v>
      </c>
      <c r="M126" t="s">
        <v>37</v>
      </c>
      <c r="N126">
        <v>2.2000000000000002</v>
      </c>
      <c r="O126" t="s">
        <v>59</v>
      </c>
      <c r="P126">
        <v>1000</v>
      </c>
      <c r="Q126">
        <v>5.6000000000000001E-2</v>
      </c>
      <c r="R126">
        <f>Q126/P126</f>
        <v>5.5999999999999999E-5</v>
      </c>
      <c r="T126" t="s">
        <v>37</v>
      </c>
      <c r="U126">
        <v>78</v>
      </c>
      <c r="V126" t="s">
        <v>3</v>
      </c>
      <c r="W126">
        <v>10</v>
      </c>
      <c r="X126">
        <f t="shared" si="2"/>
        <v>7.8</v>
      </c>
    </row>
    <row r="127" spans="1:24" x14ac:dyDescent="0.75">
      <c r="A127" t="s">
        <v>399</v>
      </c>
      <c r="B127" t="s">
        <v>268</v>
      </c>
      <c r="C127" t="s">
        <v>47</v>
      </c>
      <c r="D127">
        <v>3.3</v>
      </c>
      <c r="E127" t="s">
        <v>34</v>
      </c>
      <c r="F127">
        <f>5.25*10^3</f>
        <v>5250</v>
      </c>
      <c r="G127">
        <v>3.72</v>
      </c>
      <c r="H127" t="s">
        <v>33</v>
      </c>
      <c r="I127" t="s">
        <v>37</v>
      </c>
      <c r="J127" t="s">
        <v>37</v>
      </c>
      <c r="K127">
        <v>11</v>
      </c>
      <c r="L127" t="s">
        <v>36</v>
      </c>
      <c r="M127" t="s">
        <v>37</v>
      </c>
      <c r="N127">
        <v>3</v>
      </c>
      <c r="O127" t="s">
        <v>44</v>
      </c>
      <c r="P127">
        <v>100</v>
      </c>
      <c r="Q127">
        <v>6.4999999999999997E-3</v>
      </c>
      <c r="R127">
        <f>Q127/P127</f>
        <v>6.4999999999999994E-5</v>
      </c>
      <c r="T127">
        <v>68</v>
      </c>
      <c r="U127">
        <v>0.64</v>
      </c>
      <c r="V127" t="s">
        <v>39</v>
      </c>
      <c r="W127">
        <v>5</v>
      </c>
      <c r="X127">
        <f t="shared" si="2"/>
        <v>0.128</v>
      </c>
    </row>
    <row r="128" spans="1:24" x14ac:dyDescent="0.75">
      <c r="A128" t="s">
        <v>269</v>
      </c>
      <c r="B128" t="s">
        <v>270</v>
      </c>
      <c r="C128" t="s">
        <v>32</v>
      </c>
      <c r="D128">
        <v>328</v>
      </c>
      <c r="E128" t="s">
        <v>58</v>
      </c>
      <c r="F128">
        <f>3.02*10^2</f>
        <v>302</v>
      </c>
      <c r="G128">
        <v>2.48</v>
      </c>
      <c r="H128" t="s">
        <v>34</v>
      </c>
      <c r="I128">
        <v>16.2</v>
      </c>
      <c r="J128" t="s">
        <v>73</v>
      </c>
      <c r="K128" s="10" t="s">
        <v>42</v>
      </c>
      <c r="L128" t="s">
        <v>48</v>
      </c>
      <c r="M128" t="s">
        <v>37</v>
      </c>
      <c r="N128">
        <v>2.42</v>
      </c>
      <c r="O128" t="s">
        <v>59</v>
      </c>
      <c r="P128">
        <v>100</v>
      </c>
      <c r="Q128">
        <v>0.25</v>
      </c>
      <c r="R128">
        <v>2.5000000000000001E-3</v>
      </c>
      <c r="T128">
        <v>22.4</v>
      </c>
      <c r="U128">
        <v>23.66</v>
      </c>
      <c r="V128" t="s">
        <v>39</v>
      </c>
      <c r="W128">
        <v>5</v>
      </c>
      <c r="X128">
        <f t="shared" si="2"/>
        <v>4.7320000000000002</v>
      </c>
    </row>
    <row r="129" spans="1:24" x14ac:dyDescent="0.75">
      <c r="A129" t="s">
        <v>441</v>
      </c>
      <c r="B129" t="s">
        <v>271</v>
      </c>
      <c r="C129" t="s">
        <v>32</v>
      </c>
      <c r="D129">
        <v>480</v>
      </c>
      <c r="E129" t="s">
        <v>58</v>
      </c>
      <c r="F129">
        <f>1.12*10^3</f>
        <v>1120</v>
      </c>
      <c r="G129" s="3">
        <v>3.05</v>
      </c>
      <c r="H129" s="3" t="s">
        <v>33</v>
      </c>
      <c r="I129" s="3">
        <v>9</v>
      </c>
      <c r="J129" t="s">
        <v>35</v>
      </c>
      <c r="K129" s="3">
        <v>68.8</v>
      </c>
      <c r="L129" t="s">
        <v>36</v>
      </c>
      <c r="M129" s="3">
        <v>1.5</v>
      </c>
      <c r="N129" s="3">
        <v>2.3199999999999998</v>
      </c>
      <c r="O129" t="s">
        <v>59</v>
      </c>
      <c r="P129" s="22">
        <v>10</v>
      </c>
      <c r="Q129" s="22">
        <v>1.2E-2</v>
      </c>
      <c r="R129" s="22">
        <f t="shared" ref="R129" si="6">Q129/P129</f>
        <v>1.2000000000000001E-3</v>
      </c>
      <c r="T129">
        <v>21</v>
      </c>
      <c r="U129">
        <v>140</v>
      </c>
      <c r="V129" t="s">
        <v>3</v>
      </c>
      <c r="W129">
        <v>10</v>
      </c>
      <c r="X129">
        <f t="shared" si="2"/>
        <v>14</v>
      </c>
    </row>
    <row r="130" spans="1:24" x14ac:dyDescent="0.75">
      <c r="A130" t="s">
        <v>442</v>
      </c>
      <c r="B130" t="s">
        <v>272</v>
      </c>
      <c r="C130" t="s">
        <v>42</v>
      </c>
      <c r="D130">
        <v>212461</v>
      </c>
      <c r="E130" t="s">
        <v>33</v>
      </c>
      <c r="F130">
        <f>1.29*10^-2</f>
        <v>1.29E-2</v>
      </c>
      <c r="G130">
        <v>-1.89</v>
      </c>
      <c r="H130" t="s">
        <v>34</v>
      </c>
      <c r="I130" t="s">
        <v>37</v>
      </c>
      <c r="J130" t="s">
        <v>37</v>
      </c>
      <c r="K130" t="s">
        <v>37</v>
      </c>
      <c r="L130" t="s">
        <v>37</v>
      </c>
      <c r="M130" t="s">
        <v>37</v>
      </c>
      <c r="N130">
        <v>7.22</v>
      </c>
      <c r="O130" t="s">
        <v>44</v>
      </c>
      <c r="P130">
        <v>1000</v>
      </c>
      <c r="Q130">
        <v>21.7</v>
      </c>
      <c r="R130">
        <f>Q130/P130</f>
        <v>2.1700000000000001E-2</v>
      </c>
      <c r="T130" t="s">
        <v>37</v>
      </c>
      <c r="U130">
        <v>50</v>
      </c>
      <c r="V130" t="s">
        <v>39</v>
      </c>
      <c r="W130">
        <v>5</v>
      </c>
      <c r="X130">
        <f t="shared" si="2"/>
        <v>10</v>
      </c>
    </row>
    <row r="131" spans="1:24" x14ac:dyDescent="0.75">
      <c r="A131" t="s">
        <v>443</v>
      </c>
      <c r="B131" t="s">
        <v>273</v>
      </c>
      <c r="C131" t="s">
        <v>32</v>
      </c>
      <c r="D131">
        <v>360000</v>
      </c>
      <c r="E131" t="s">
        <v>33</v>
      </c>
      <c r="F131" t="s">
        <v>37</v>
      </c>
      <c r="G131" t="s">
        <v>37</v>
      </c>
      <c r="H131" t="s">
        <v>37</v>
      </c>
      <c r="I131" t="s">
        <v>37</v>
      </c>
      <c r="J131" t="s">
        <v>37</v>
      </c>
      <c r="K131" t="s">
        <v>37</v>
      </c>
      <c r="L131" t="s">
        <v>37</v>
      </c>
      <c r="M131" t="s">
        <v>37</v>
      </c>
      <c r="N131">
        <v>6.88</v>
      </c>
      <c r="O131" t="s">
        <v>44</v>
      </c>
      <c r="P131">
        <v>1000</v>
      </c>
      <c r="Q131">
        <v>16.600000000000001</v>
      </c>
      <c r="R131">
        <f>Q131/P131</f>
        <v>1.66E-2</v>
      </c>
      <c r="T131" t="s">
        <v>37</v>
      </c>
      <c r="U131">
        <v>27.8</v>
      </c>
      <c r="V131" t="s">
        <v>39</v>
      </c>
      <c r="W131">
        <v>5</v>
      </c>
      <c r="X131">
        <f t="shared" si="2"/>
        <v>5.5600000000000005</v>
      </c>
    </row>
    <row r="132" spans="1:24" x14ac:dyDescent="0.75">
      <c r="A132" t="s">
        <v>274</v>
      </c>
      <c r="B132" t="s">
        <v>275</v>
      </c>
      <c r="C132" t="s">
        <v>55</v>
      </c>
      <c r="D132">
        <v>0.49199999999999999</v>
      </c>
      <c r="E132" t="s">
        <v>34</v>
      </c>
      <c r="F132">
        <f>2*10^4</f>
        <v>20000</v>
      </c>
      <c r="G132">
        <v>4.3</v>
      </c>
      <c r="H132" t="s">
        <v>33</v>
      </c>
      <c r="I132">
        <v>3.9</v>
      </c>
      <c r="J132" t="s">
        <v>35</v>
      </c>
      <c r="K132">
        <v>530</v>
      </c>
      <c r="L132" t="s">
        <v>52</v>
      </c>
      <c r="M132">
        <v>0.53</v>
      </c>
      <c r="N132">
        <v>0.91</v>
      </c>
      <c r="O132" t="s">
        <v>38</v>
      </c>
      <c r="P132">
        <v>100</v>
      </c>
      <c r="Q132">
        <v>0.22500000000000001</v>
      </c>
      <c r="R132">
        <v>2.2500000000000003E-3</v>
      </c>
      <c r="T132">
        <v>62</v>
      </c>
      <c r="U132">
        <v>37.5</v>
      </c>
      <c r="V132" t="s">
        <v>39</v>
      </c>
      <c r="W132">
        <v>5</v>
      </c>
      <c r="X132">
        <f t="shared" si="2"/>
        <v>7.5</v>
      </c>
    </row>
    <row r="133" spans="1:24" x14ac:dyDescent="0.75">
      <c r="A133" t="s">
        <v>276</v>
      </c>
      <c r="B133" t="s">
        <v>277</v>
      </c>
      <c r="C133" t="s">
        <v>32</v>
      </c>
      <c r="D133">
        <v>10700</v>
      </c>
      <c r="E133" t="s">
        <v>33</v>
      </c>
      <c r="F133">
        <f>5.62*10^1</f>
        <v>56.2</v>
      </c>
      <c r="G133">
        <v>1.75</v>
      </c>
      <c r="H133" t="s">
        <v>34</v>
      </c>
      <c r="I133">
        <v>41</v>
      </c>
      <c r="J133" t="s">
        <v>67</v>
      </c>
      <c r="K133">
        <v>10</v>
      </c>
      <c r="L133" t="s">
        <v>36</v>
      </c>
      <c r="M133" t="s">
        <v>37</v>
      </c>
      <c r="N133">
        <v>2.96</v>
      </c>
      <c r="O133" t="s">
        <v>44</v>
      </c>
      <c r="P133">
        <v>100</v>
      </c>
      <c r="Q133">
        <v>1.61E-2</v>
      </c>
      <c r="R133">
        <v>1.6100000000000001E-4</v>
      </c>
      <c r="T133">
        <v>19</v>
      </c>
      <c r="U133">
        <v>15.95</v>
      </c>
      <c r="V133" t="s">
        <v>39</v>
      </c>
      <c r="W133">
        <v>5</v>
      </c>
      <c r="X133">
        <f t="shared" si="2"/>
        <v>3.19</v>
      </c>
    </row>
    <row r="134" spans="1:24" x14ac:dyDescent="0.75">
      <c r="A134" t="s">
        <v>444</v>
      </c>
      <c r="B134" t="s">
        <v>278</v>
      </c>
      <c r="C134" t="s">
        <v>32</v>
      </c>
      <c r="D134">
        <v>2790</v>
      </c>
      <c r="E134" t="s">
        <v>33</v>
      </c>
      <c r="F134">
        <f>1.35*10^-2</f>
        <v>1.3500000000000002E-2</v>
      </c>
      <c r="G134">
        <v>-1.87</v>
      </c>
      <c r="H134" t="s">
        <v>34</v>
      </c>
      <c r="I134">
        <v>115</v>
      </c>
      <c r="J134" t="s">
        <v>67</v>
      </c>
      <c r="K134">
        <v>1</v>
      </c>
      <c r="L134" t="s">
        <v>36</v>
      </c>
      <c r="M134" t="s">
        <v>37</v>
      </c>
      <c r="N134">
        <v>3.28</v>
      </c>
      <c r="O134" t="s">
        <v>44</v>
      </c>
      <c r="P134">
        <v>10</v>
      </c>
      <c r="Q134">
        <v>0.02</v>
      </c>
      <c r="R134">
        <f>Q134/P134</f>
        <v>2E-3</v>
      </c>
      <c r="T134">
        <v>13.3</v>
      </c>
      <c r="U134">
        <v>0.83</v>
      </c>
      <c r="V134" t="s">
        <v>39</v>
      </c>
      <c r="W134">
        <v>5</v>
      </c>
      <c r="X134">
        <f t="shared" si="2"/>
        <v>0.16599999999999998</v>
      </c>
    </row>
    <row r="135" spans="1:24" x14ac:dyDescent="0.75">
      <c r="A135" t="s">
        <v>279</v>
      </c>
      <c r="B135" t="s">
        <v>280</v>
      </c>
      <c r="C135" t="s">
        <v>55</v>
      </c>
      <c r="D135">
        <v>132</v>
      </c>
      <c r="E135" t="s">
        <v>58</v>
      </c>
      <c r="F135">
        <f>7.76*10^2</f>
        <v>776</v>
      </c>
      <c r="G135">
        <v>2.89</v>
      </c>
      <c r="H135" t="s">
        <v>58</v>
      </c>
      <c r="I135">
        <v>12</v>
      </c>
      <c r="J135" t="s">
        <v>35</v>
      </c>
      <c r="K135" t="s">
        <v>37</v>
      </c>
      <c r="L135" t="s">
        <v>37</v>
      </c>
      <c r="M135" t="s">
        <v>37</v>
      </c>
      <c r="N135">
        <v>1.99</v>
      </c>
      <c r="O135" t="s">
        <v>59</v>
      </c>
      <c r="P135" s="14">
        <v>50</v>
      </c>
      <c r="Q135" s="14">
        <v>0.2</v>
      </c>
      <c r="R135" s="14">
        <v>4.0000000000000001E-3</v>
      </c>
      <c r="T135">
        <v>35</v>
      </c>
      <c r="U135">
        <v>10.3</v>
      </c>
      <c r="V135" t="s">
        <v>39</v>
      </c>
      <c r="W135">
        <v>5</v>
      </c>
      <c r="X135">
        <f t="shared" ref="X135:X198" si="7">U135/W135</f>
        <v>2.06</v>
      </c>
    </row>
    <row r="136" spans="1:24" ht="16" x14ac:dyDescent="0.8">
      <c r="A136" t="s">
        <v>445</v>
      </c>
      <c r="B136" t="s">
        <v>281</v>
      </c>
      <c r="C136" t="s">
        <v>32</v>
      </c>
      <c r="D136">
        <v>39</v>
      </c>
      <c r="E136" t="s">
        <v>34</v>
      </c>
      <c r="F136">
        <f>1.86*10^3</f>
        <v>1860</v>
      </c>
      <c r="G136">
        <v>3.27</v>
      </c>
      <c r="H136" t="s">
        <v>33</v>
      </c>
      <c r="I136" t="s">
        <v>37</v>
      </c>
      <c r="J136" t="s">
        <v>37</v>
      </c>
      <c r="K136">
        <v>98</v>
      </c>
      <c r="L136" t="s">
        <v>36</v>
      </c>
      <c r="M136" t="s">
        <v>37</v>
      </c>
      <c r="N136">
        <v>1.97</v>
      </c>
      <c r="O136" t="s">
        <v>59</v>
      </c>
      <c r="P136">
        <v>100</v>
      </c>
      <c r="Q136" s="13">
        <v>0.08</v>
      </c>
      <c r="R136">
        <f t="shared" ref="R136:R141" si="8">Q136/P136</f>
        <v>8.0000000000000004E-4</v>
      </c>
      <c r="T136">
        <v>32.200000000000003</v>
      </c>
      <c r="U136">
        <v>41.7</v>
      </c>
      <c r="V136" t="s">
        <v>39</v>
      </c>
      <c r="W136">
        <v>5</v>
      </c>
      <c r="X136">
        <f t="shared" si="7"/>
        <v>8.34</v>
      </c>
    </row>
    <row r="137" spans="1:24" x14ac:dyDescent="0.75">
      <c r="A137" t="s">
        <v>282</v>
      </c>
      <c r="B137" t="s">
        <v>283</v>
      </c>
      <c r="C137" t="s">
        <v>32</v>
      </c>
      <c r="D137">
        <v>7500</v>
      </c>
      <c r="E137" t="s">
        <v>33</v>
      </c>
      <c r="F137">
        <f>4.07*10^0</f>
        <v>4.07</v>
      </c>
      <c r="G137">
        <v>0.61</v>
      </c>
      <c r="H137" t="s">
        <v>34</v>
      </c>
      <c r="I137">
        <v>65</v>
      </c>
      <c r="J137" t="s">
        <v>67</v>
      </c>
      <c r="K137" s="10" t="s">
        <v>42</v>
      </c>
      <c r="L137" t="s">
        <v>48</v>
      </c>
      <c r="M137" t="s">
        <v>37</v>
      </c>
      <c r="N137">
        <v>3.44</v>
      </c>
      <c r="O137" t="s">
        <v>44</v>
      </c>
      <c r="P137">
        <v>10</v>
      </c>
      <c r="Q137">
        <v>5.2</v>
      </c>
      <c r="R137">
        <f t="shared" si="8"/>
        <v>0.52</v>
      </c>
      <c r="T137">
        <v>19.3</v>
      </c>
      <c r="U137">
        <v>0.1</v>
      </c>
      <c r="V137" t="s">
        <v>39</v>
      </c>
      <c r="W137">
        <v>5</v>
      </c>
      <c r="X137">
        <f t="shared" si="7"/>
        <v>0.02</v>
      </c>
    </row>
    <row r="138" spans="1:24" x14ac:dyDescent="0.75">
      <c r="A138" t="s">
        <v>446</v>
      </c>
      <c r="B138" t="s">
        <v>284</v>
      </c>
      <c r="C138" t="s">
        <v>32</v>
      </c>
      <c r="D138">
        <v>1.1299999999999999</v>
      </c>
      <c r="E138" t="s">
        <v>34</v>
      </c>
      <c r="F138">
        <f>5.37*10^3</f>
        <v>5370</v>
      </c>
      <c r="G138">
        <v>3.73</v>
      </c>
      <c r="H138" t="s">
        <v>33</v>
      </c>
      <c r="I138">
        <v>5.9</v>
      </c>
      <c r="J138" t="s">
        <v>35</v>
      </c>
      <c r="K138">
        <v>66.099999999999994</v>
      </c>
      <c r="L138" t="s">
        <v>36</v>
      </c>
      <c r="M138">
        <v>0.6</v>
      </c>
      <c r="N138">
        <v>2.27</v>
      </c>
      <c r="O138" t="s">
        <v>59</v>
      </c>
      <c r="P138">
        <v>100</v>
      </c>
      <c r="Q138">
        <v>1.54E-2</v>
      </c>
      <c r="R138">
        <f t="shared" si="8"/>
        <v>1.54E-4</v>
      </c>
      <c r="T138">
        <v>98.2</v>
      </c>
      <c r="U138">
        <v>2.66</v>
      </c>
      <c r="V138" t="s">
        <v>39</v>
      </c>
      <c r="W138">
        <v>5</v>
      </c>
      <c r="X138">
        <f t="shared" si="7"/>
        <v>0.53200000000000003</v>
      </c>
    </row>
    <row r="139" spans="1:24" x14ac:dyDescent="0.75">
      <c r="A139" t="s">
        <v>285</v>
      </c>
      <c r="B139" t="s">
        <v>286</v>
      </c>
      <c r="C139" t="s">
        <v>55</v>
      </c>
      <c r="D139">
        <v>3400</v>
      </c>
      <c r="E139" t="s">
        <v>33</v>
      </c>
      <c r="F139">
        <f>4.47*10^0</f>
        <v>4.47</v>
      </c>
      <c r="G139">
        <v>0.65</v>
      </c>
      <c r="H139" t="s">
        <v>34</v>
      </c>
      <c r="I139">
        <v>25</v>
      </c>
      <c r="J139" t="s">
        <v>73</v>
      </c>
      <c r="K139">
        <v>0.8</v>
      </c>
      <c r="L139" t="s">
        <v>36</v>
      </c>
      <c r="M139" t="s">
        <v>37</v>
      </c>
      <c r="N139">
        <v>4.58</v>
      </c>
      <c r="O139" t="s">
        <v>44</v>
      </c>
      <c r="P139">
        <v>100</v>
      </c>
      <c r="Q139">
        <v>3.06</v>
      </c>
      <c r="R139">
        <f t="shared" si="8"/>
        <v>3.0600000000000002E-2</v>
      </c>
      <c r="T139">
        <v>75</v>
      </c>
      <c r="U139">
        <v>1000</v>
      </c>
      <c r="V139" t="s">
        <v>3</v>
      </c>
      <c r="W139">
        <v>10</v>
      </c>
      <c r="X139">
        <f t="shared" si="7"/>
        <v>100</v>
      </c>
    </row>
    <row r="140" spans="1:24" x14ac:dyDescent="0.75">
      <c r="A140" t="s">
        <v>287</v>
      </c>
      <c r="B140" t="s">
        <v>288</v>
      </c>
      <c r="C140" t="s">
        <v>32</v>
      </c>
      <c r="D140">
        <v>0.11600000000000001</v>
      </c>
      <c r="E140" t="s">
        <v>34</v>
      </c>
      <c r="F140">
        <f>7.24*10^4</f>
        <v>72400</v>
      </c>
      <c r="G140">
        <v>4.8600000000000003</v>
      </c>
      <c r="H140" t="s">
        <v>33</v>
      </c>
      <c r="I140" t="s">
        <v>37</v>
      </c>
      <c r="J140" t="s">
        <v>37</v>
      </c>
      <c r="K140">
        <v>1637</v>
      </c>
      <c r="L140" t="s">
        <v>52</v>
      </c>
      <c r="M140">
        <v>6</v>
      </c>
      <c r="N140">
        <v>0.23</v>
      </c>
      <c r="O140" t="s">
        <v>38</v>
      </c>
      <c r="P140">
        <v>10</v>
      </c>
      <c r="Q140">
        <v>1.2999999999999999E-2</v>
      </c>
      <c r="R140">
        <f t="shared" si="8"/>
        <v>1.2999999999999999E-3</v>
      </c>
      <c r="T140">
        <v>73</v>
      </c>
      <c r="U140">
        <v>0.125</v>
      </c>
      <c r="V140" t="s">
        <v>39</v>
      </c>
      <c r="W140">
        <v>5</v>
      </c>
      <c r="X140">
        <f t="shared" si="7"/>
        <v>2.5000000000000001E-2</v>
      </c>
    </row>
    <row r="141" spans="1:24" x14ac:dyDescent="0.75">
      <c r="A141" t="s">
        <v>447</v>
      </c>
      <c r="B141" t="s">
        <v>289</v>
      </c>
      <c r="C141" t="s">
        <v>55</v>
      </c>
      <c r="D141">
        <v>73</v>
      </c>
      <c r="E141" t="s">
        <v>58</v>
      </c>
      <c r="F141">
        <f>5.25*10^3</f>
        <v>5250</v>
      </c>
      <c r="G141">
        <v>3.72</v>
      </c>
      <c r="H141" t="s">
        <v>33</v>
      </c>
      <c r="I141">
        <v>2</v>
      </c>
      <c r="J141" t="s">
        <v>35</v>
      </c>
      <c r="K141">
        <v>320</v>
      </c>
      <c r="L141" t="s">
        <v>52</v>
      </c>
      <c r="M141">
        <v>3</v>
      </c>
      <c r="N141">
        <v>1.28</v>
      </c>
      <c r="O141" t="s">
        <v>38</v>
      </c>
      <c r="P141">
        <v>100</v>
      </c>
      <c r="Q141">
        <v>0.06</v>
      </c>
      <c r="R141">
        <f t="shared" si="8"/>
        <v>5.9999999999999995E-4</v>
      </c>
      <c r="T141">
        <v>89.7</v>
      </c>
      <c r="U141">
        <v>331.5</v>
      </c>
      <c r="V141" t="s">
        <v>3</v>
      </c>
      <c r="W141">
        <v>10</v>
      </c>
      <c r="X141">
        <f t="shared" si="7"/>
        <v>33.15</v>
      </c>
    </row>
    <row r="142" spans="1:24" x14ac:dyDescent="0.75">
      <c r="A142" t="s">
        <v>290</v>
      </c>
      <c r="B142" t="s">
        <v>291</v>
      </c>
      <c r="C142" t="s">
        <v>55</v>
      </c>
      <c r="D142">
        <v>0.3</v>
      </c>
      <c r="E142" t="s">
        <v>34</v>
      </c>
      <c r="F142">
        <f>4.79*10^4</f>
        <v>47900</v>
      </c>
      <c r="G142">
        <v>4.68</v>
      </c>
      <c r="H142" t="s">
        <v>33</v>
      </c>
      <c r="I142">
        <v>5.3</v>
      </c>
      <c r="J142" t="s">
        <v>35</v>
      </c>
      <c r="K142">
        <v>226</v>
      </c>
      <c r="L142" t="s">
        <v>52</v>
      </c>
      <c r="M142" t="s">
        <v>292</v>
      </c>
      <c r="N142">
        <v>0.49</v>
      </c>
      <c r="O142" t="s">
        <v>38</v>
      </c>
      <c r="P142">
        <v>10</v>
      </c>
      <c r="Q142">
        <v>0.05</v>
      </c>
      <c r="R142">
        <v>5.0000000000000001E-3</v>
      </c>
      <c r="T142">
        <v>37.799999999999997</v>
      </c>
      <c r="U142">
        <v>3.3</v>
      </c>
      <c r="V142" t="s">
        <v>39</v>
      </c>
      <c r="W142">
        <v>5</v>
      </c>
      <c r="X142">
        <f t="shared" si="7"/>
        <v>0.65999999999999992</v>
      </c>
    </row>
    <row r="143" spans="1:24" x14ac:dyDescent="0.75">
      <c r="A143" t="s">
        <v>293</v>
      </c>
      <c r="B143" t="s">
        <v>294</v>
      </c>
      <c r="C143" t="s">
        <v>32</v>
      </c>
      <c r="D143">
        <v>0.33</v>
      </c>
      <c r="E143" t="s">
        <v>34</v>
      </c>
      <c r="F143">
        <f>2.51*10^5</f>
        <v>250999.99999999997</v>
      </c>
      <c r="G143">
        <v>5.4</v>
      </c>
      <c r="H143" t="s">
        <v>33</v>
      </c>
      <c r="I143">
        <v>4</v>
      </c>
      <c r="J143" t="s">
        <v>35</v>
      </c>
      <c r="K143">
        <v>5100</v>
      </c>
      <c r="L143" t="s">
        <v>139</v>
      </c>
      <c r="M143">
        <v>5.0999999999999996</v>
      </c>
      <c r="N143">
        <v>-0.28000000000000003</v>
      </c>
      <c r="O143" t="s">
        <v>38</v>
      </c>
      <c r="P143">
        <v>10</v>
      </c>
      <c r="Q143">
        <v>3.0000000000000001E-3</v>
      </c>
      <c r="R143">
        <f>Q143/P143</f>
        <v>3.0000000000000003E-4</v>
      </c>
      <c r="T143">
        <v>100.6</v>
      </c>
      <c r="U143">
        <v>33.450000000000003</v>
      </c>
      <c r="V143" t="s">
        <v>39</v>
      </c>
      <c r="W143">
        <v>5</v>
      </c>
      <c r="X143">
        <f t="shared" si="7"/>
        <v>6.69</v>
      </c>
    </row>
    <row r="144" spans="1:24" x14ac:dyDescent="0.75">
      <c r="A144" t="s">
        <v>448</v>
      </c>
      <c r="B144" t="s">
        <v>295</v>
      </c>
      <c r="C144" t="s">
        <v>32</v>
      </c>
      <c r="D144">
        <v>408</v>
      </c>
      <c r="E144" t="s">
        <v>58</v>
      </c>
      <c r="F144">
        <f>2.5*10^-1</f>
        <v>0.25</v>
      </c>
      <c r="G144">
        <v>-0.60199999999999998</v>
      </c>
      <c r="H144" t="s">
        <v>34</v>
      </c>
      <c r="I144" t="s">
        <v>37</v>
      </c>
      <c r="J144" t="s">
        <v>37</v>
      </c>
      <c r="K144" t="s">
        <v>37</v>
      </c>
      <c r="L144" t="s">
        <v>37</v>
      </c>
      <c r="M144" t="s">
        <v>37</v>
      </c>
      <c r="N144">
        <v>1.56</v>
      </c>
      <c r="O144" t="s">
        <v>38</v>
      </c>
      <c r="P144">
        <v>100</v>
      </c>
      <c r="Q144">
        <v>2E-3</v>
      </c>
      <c r="R144">
        <f>Q144/P144</f>
        <v>2.0000000000000002E-5</v>
      </c>
      <c r="T144">
        <v>5.9</v>
      </c>
      <c r="U144">
        <v>115.5</v>
      </c>
      <c r="V144" t="s">
        <v>39</v>
      </c>
      <c r="W144">
        <v>5</v>
      </c>
      <c r="X144">
        <f t="shared" si="7"/>
        <v>23.1</v>
      </c>
    </row>
    <row r="145" spans="1:24" x14ac:dyDescent="0.75">
      <c r="A145" t="s">
        <v>296</v>
      </c>
      <c r="B145" t="s">
        <v>297</v>
      </c>
      <c r="C145" t="s">
        <v>47</v>
      </c>
      <c r="D145">
        <v>0.2</v>
      </c>
      <c r="E145" t="s">
        <v>34</v>
      </c>
      <c r="F145">
        <f>1.26*10^6</f>
        <v>1260000</v>
      </c>
      <c r="G145">
        <v>6.1</v>
      </c>
      <c r="H145" t="s">
        <v>33</v>
      </c>
      <c r="I145">
        <v>23</v>
      </c>
      <c r="J145" t="s">
        <v>73</v>
      </c>
      <c r="K145">
        <v>300</v>
      </c>
      <c r="L145" t="s">
        <v>52</v>
      </c>
      <c r="M145" t="s">
        <v>37</v>
      </c>
      <c r="N145">
        <v>-1.62</v>
      </c>
      <c r="O145" t="s">
        <v>38</v>
      </c>
      <c r="P145">
        <v>100</v>
      </c>
      <c r="Q145">
        <v>2.0000000000000002E-5</v>
      </c>
      <c r="R145">
        <v>2.0000000000000002E-7</v>
      </c>
      <c r="T145">
        <v>42</v>
      </c>
      <c r="U145">
        <v>1440</v>
      </c>
      <c r="V145" t="s">
        <v>3</v>
      </c>
      <c r="W145">
        <v>10</v>
      </c>
      <c r="X145">
        <f t="shared" si="7"/>
        <v>144</v>
      </c>
    </row>
    <row r="146" spans="1:24" x14ac:dyDescent="0.75">
      <c r="A146" t="s">
        <v>298</v>
      </c>
      <c r="B146" t="s">
        <v>299</v>
      </c>
      <c r="C146" t="s">
        <v>47</v>
      </c>
      <c r="D146">
        <v>15.2</v>
      </c>
      <c r="E146" t="s">
        <v>34</v>
      </c>
      <c r="F146">
        <f>6.31*10^2</f>
        <v>631</v>
      </c>
      <c r="G146">
        <v>2.8</v>
      </c>
      <c r="H146" t="s">
        <v>58</v>
      </c>
      <c r="I146">
        <v>4</v>
      </c>
      <c r="J146" t="s">
        <v>35</v>
      </c>
      <c r="K146">
        <v>79</v>
      </c>
      <c r="L146" t="s">
        <v>36</v>
      </c>
      <c r="M146" t="s">
        <v>37</v>
      </c>
      <c r="N146">
        <v>0.48</v>
      </c>
      <c r="O146" t="s">
        <v>38</v>
      </c>
      <c r="P146">
        <v>50</v>
      </c>
      <c r="Q146">
        <v>7.7999999999999999E-4</v>
      </c>
      <c r="R146">
        <f>Q146/P146</f>
        <v>1.56E-5</v>
      </c>
      <c r="T146">
        <v>9.6</v>
      </c>
      <c r="U146">
        <v>0.81</v>
      </c>
      <c r="V146" t="s">
        <v>39</v>
      </c>
      <c r="W146">
        <v>5</v>
      </c>
      <c r="X146">
        <f t="shared" si="7"/>
        <v>0.16200000000000001</v>
      </c>
    </row>
    <row r="147" spans="1:24" x14ac:dyDescent="0.75">
      <c r="A147" t="s">
        <v>449</v>
      </c>
      <c r="B147" t="s">
        <v>300</v>
      </c>
      <c r="C147" t="s">
        <v>47</v>
      </c>
      <c r="D147" t="s">
        <v>42</v>
      </c>
      <c r="E147" t="s">
        <v>42</v>
      </c>
      <c r="F147" t="s">
        <v>42</v>
      </c>
      <c r="G147" t="s">
        <v>42</v>
      </c>
      <c r="H147" t="s">
        <v>42</v>
      </c>
      <c r="I147" t="s">
        <v>42</v>
      </c>
      <c r="J147" t="s">
        <v>42</v>
      </c>
      <c r="K147" t="s">
        <v>42</v>
      </c>
      <c r="L147" t="s">
        <v>42</v>
      </c>
      <c r="M147" t="s">
        <v>42</v>
      </c>
      <c r="N147" t="s">
        <v>42</v>
      </c>
      <c r="O147" t="s">
        <v>42</v>
      </c>
      <c r="P147" t="s">
        <v>42</v>
      </c>
      <c r="Q147" t="s">
        <v>42</v>
      </c>
      <c r="R147" t="s">
        <v>42</v>
      </c>
      <c r="T147" t="s">
        <v>42</v>
      </c>
      <c r="U147" t="s">
        <v>42</v>
      </c>
      <c r="V147" t="s">
        <v>42</v>
      </c>
      <c r="W147" t="s">
        <v>42</v>
      </c>
      <c r="X147" t="s">
        <v>42</v>
      </c>
    </row>
    <row r="148" spans="1:24" x14ac:dyDescent="0.75">
      <c r="A148" t="s">
        <v>301</v>
      </c>
      <c r="B148" t="s">
        <v>302</v>
      </c>
      <c r="C148" t="s">
        <v>47</v>
      </c>
      <c r="D148">
        <v>1.5</v>
      </c>
      <c r="E148" t="s">
        <v>34</v>
      </c>
      <c r="F148">
        <f>2.4*10^3</f>
        <v>2400</v>
      </c>
      <c r="G148">
        <v>3.38</v>
      </c>
      <c r="H148" t="s">
        <v>33</v>
      </c>
      <c r="I148" t="s">
        <v>37</v>
      </c>
      <c r="J148" t="s">
        <v>37</v>
      </c>
      <c r="K148">
        <v>1610</v>
      </c>
      <c r="L148" t="s">
        <v>52</v>
      </c>
      <c r="M148" t="s">
        <v>37</v>
      </c>
      <c r="N148">
        <v>0.73</v>
      </c>
      <c r="O148" t="s">
        <v>38</v>
      </c>
      <c r="P148">
        <v>1000</v>
      </c>
      <c r="Q148">
        <v>8.0999999999999996E-4</v>
      </c>
      <c r="R148">
        <f>Q148/P148</f>
        <v>8.0999999999999997E-7</v>
      </c>
      <c r="T148" t="s">
        <v>37</v>
      </c>
      <c r="U148">
        <v>40.4</v>
      </c>
      <c r="V148" t="s">
        <v>3</v>
      </c>
      <c r="W148">
        <v>10</v>
      </c>
      <c r="X148">
        <f t="shared" si="7"/>
        <v>4.04</v>
      </c>
    </row>
    <row r="149" spans="1:24" x14ac:dyDescent="0.75">
      <c r="A149" t="s">
        <v>450</v>
      </c>
      <c r="B149" t="s">
        <v>303</v>
      </c>
      <c r="C149" t="s">
        <v>304</v>
      </c>
      <c r="D149">
        <v>14.3</v>
      </c>
      <c r="E149" t="s">
        <v>34</v>
      </c>
      <c r="F149">
        <f>5.62*10^4</f>
        <v>56200</v>
      </c>
      <c r="G149">
        <v>4.75</v>
      </c>
      <c r="H149" t="s">
        <v>33</v>
      </c>
      <c r="I149" t="s">
        <v>37</v>
      </c>
      <c r="J149" t="s">
        <v>37</v>
      </c>
      <c r="K149" t="s">
        <v>305</v>
      </c>
      <c r="L149" t="s">
        <v>52</v>
      </c>
      <c r="M149" t="s">
        <v>37</v>
      </c>
      <c r="N149">
        <v>-1.06</v>
      </c>
      <c r="O149" t="s">
        <v>38</v>
      </c>
      <c r="P149" s="22">
        <v>1000</v>
      </c>
      <c r="Q149" s="22">
        <v>0.24</v>
      </c>
      <c r="R149" s="22">
        <f t="shared" ref="R149" si="9">Q149/P149</f>
        <v>2.3999999999999998E-4</v>
      </c>
      <c r="T149" t="s">
        <v>37</v>
      </c>
      <c r="U149" t="s">
        <v>37</v>
      </c>
      <c r="V149" t="s">
        <v>37</v>
      </c>
      <c r="W149" t="s">
        <v>37</v>
      </c>
      <c r="X149" t="s">
        <v>37</v>
      </c>
    </row>
    <row r="150" spans="1:24" x14ac:dyDescent="0.75">
      <c r="A150" t="s">
        <v>306</v>
      </c>
      <c r="B150" t="s">
        <v>307</v>
      </c>
      <c r="C150" t="s">
        <v>47</v>
      </c>
      <c r="D150">
        <v>3100</v>
      </c>
      <c r="E150" t="s">
        <v>33</v>
      </c>
      <c r="F150">
        <f>5.01*10^1</f>
        <v>50.099999999999994</v>
      </c>
      <c r="G150">
        <v>1.7</v>
      </c>
      <c r="H150" t="s">
        <v>34</v>
      </c>
      <c r="I150">
        <v>29.6</v>
      </c>
      <c r="J150" t="s">
        <v>73</v>
      </c>
      <c r="K150">
        <v>24</v>
      </c>
      <c r="L150" t="s">
        <v>36</v>
      </c>
      <c r="M150" t="s">
        <v>37</v>
      </c>
      <c r="N150">
        <v>1.35</v>
      </c>
      <c r="O150" t="s">
        <v>38</v>
      </c>
      <c r="P150">
        <v>10</v>
      </c>
      <c r="Q150">
        <v>8.9999999999999998E-4</v>
      </c>
      <c r="R150">
        <f>Q150/P150</f>
        <v>8.9999999999999992E-5</v>
      </c>
      <c r="T150">
        <v>9</v>
      </c>
      <c r="U150">
        <v>5.46</v>
      </c>
      <c r="V150" t="s">
        <v>39</v>
      </c>
      <c r="W150">
        <v>5</v>
      </c>
      <c r="X150">
        <f t="shared" si="7"/>
        <v>1.0920000000000001</v>
      </c>
    </row>
    <row r="151" spans="1:24" x14ac:dyDescent="0.75">
      <c r="A151" t="s">
        <v>451</v>
      </c>
      <c r="B151" t="s">
        <v>308</v>
      </c>
      <c r="C151" t="s">
        <v>42</v>
      </c>
      <c r="D151" t="s">
        <v>37</v>
      </c>
      <c r="E151" t="s">
        <v>37</v>
      </c>
      <c r="F151" t="s">
        <v>37</v>
      </c>
      <c r="G151" t="s">
        <v>37</v>
      </c>
      <c r="H151" t="s">
        <v>37</v>
      </c>
      <c r="I151" t="s">
        <v>37</v>
      </c>
      <c r="J151" t="s">
        <v>37</v>
      </c>
      <c r="K151" t="s">
        <v>37</v>
      </c>
      <c r="L151" t="s">
        <v>37</v>
      </c>
      <c r="M151" t="s">
        <v>37</v>
      </c>
      <c r="N151" t="s">
        <v>37</v>
      </c>
      <c r="O151" t="s">
        <v>37</v>
      </c>
      <c r="P151" t="s">
        <v>37</v>
      </c>
      <c r="Q151" t="s">
        <v>37</v>
      </c>
      <c r="R151" t="s">
        <v>37</v>
      </c>
      <c r="T151" t="s">
        <v>42</v>
      </c>
      <c r="U151" t="s">
        <v>42</v>
      </c>
      <c r="V151" t="s">
        <v>42</v>
      </c>
      <c r="W151" t="s">
        <v>42</v>
      </c>
      <c r="X151" t="s">
        <v>42</v>
      </c>
    </row>
    <row r="152" spans="1:24" x14ac:dyDescent="0.75">
      <c r="A152" t="s">
        <v>452</v>
      </c>
      <c r="B152" t="s">
        <v>309</v>
      </c>
      <c r="C152" t="s">
        <v>47</v>
      </c>
      <c r="D152">
        <v>11</v>
      </c>
      <c r="E152" t="s">
        <v>34</v>
      </c>
      <c r="F152">
        <f>1.58*10^4</f>
        <v>15800</v>
      </c>
      <c r="G152">
        <v>4.2</v>
      </c>
      <c r="H152" t="s">
        <v>33</v>
      </c>
      <c r="I152" t="s">
        <v>37</v>
      </c>
      <c r="J152" t="s">
        <v>37</v>
      </c>
      <c r="K152">
        <v>741</v>
      </c>
      <c r="L152" t="s">
        <v>52</v>
      </c>
      <c r="M152" t="s">
        <v>37</v>
      </c>
      <c r="N152">
        <v>1.53</v>
      </c>
      <c r="O152" t="s">
        <v>38</v>
      </c>
      <c r="P152">
        <v>50</v>
      </c>
      <c r="Q152">
        <v>8.0000000000000007E-5</v>
      </c>
      <c r="R152">
        <f>Q152/P152</f>
        <v>1.6000000000000001E-6</v>
      </c>
      <c r="T152">
        <v>39</v>
      </c>
      <c r="U152" t="s">
        <v>37</v>
      </c>
      <c r="V152" t="s">
        <v>37</v>
      </c>
      <c r="W152" t="s">
        <v>37</v>
      </c>
      <c r="X152" t="s">
        <v>37</v>
      </c>
    </row>
    <row r="153" spans="1:24" x14ac:dyDescent="0.75">
      <c r="A153" t="s">
        <v>453</v>
      </c>
      <c r="B153" t="s">
        <v>310</v>
      </c>
      <c r="C153" t="s">
        <v>42</v>
      </c>
      <c r="D153" t="s">
        <v>42</v>
      </c>
      <c r="E153" t="s">
        <v>42</v>
      </c>
      <c r="F153" t="s">
        <v>42</v>
      </c>
      <c r="G153" t="s">
        <v>42</v>
      </c>
      <c r="H153" t="s">
        <v>42</v>
      </c>
      <c r="I153" t="s">
        <v>42</v>
      </c>
      <c r="J153" t="s">
        <v>42</v>
      </c>
      <c r="K153" t="s">
        <v>42</v>
      </c>
      <c r="L153" t="s">
        <v>42</v>
      </c>
      <c r="M153" t="s">
        <v>42</v>
      </c>
      <c r="N153" t="s">
        <v>42</v>
      </c>
      <c r="O153" t="s">
        <v>42</v>
      </c>
      <c r="P153" t="s">
        <v>42</v>
      </c>
      <c r="Q153" t="s">
        <v>42</v>
      </c>
      <c r="R153" t="s">
        <v>42</v>
      </c>
      <c r="T153" t="s">
        <v>42</v>
      </c>
      <c r="U153" t="s">
        <v>42</v>
      </c>
      <c r="V153" t="s">
        <v>42</v>
      </c>
      <c r="W153" t="s">
        <v>42</v>
      </c>
      <c r="X153" t="s">
        <v>42</v>
      </c>
    </row>
    <row r="154" spans="1:24" x14ac:dyDescent="0.75">
      <c r="A154" t="s">
        <v>454</v>
      </c>
      <c r="C154" t="s">
        <v>47</v>
      </c>
      <c r="D154" t="s">
        <v>42</v>
      </c>
      <c r="E154" t="s">
        <v>42</v>
      </c>
      <c r="F154" t="s">
        <v>42</v>
      </c>
      <c r="G154" t="s">
        <v>42</v>
      </c>
      <c r="H154" t="s">
        <v>42</v>
      </c>
      <c r="I154" t="s">
        <v>42</v>
      </c>
      <c r="J154" t="s">
        <v>42</v>
      </c>
      <c r="K154" t="s">
        <v>42</v>
      </c>
      <c r="L154" t="s">
        <v>42</v>
      </c>
      <c r="M154" t="s">
        <v>42</v>
      </c>
      <c r="N154" t="s">
        <v>42</v>
      </c>
      <c r="O154" t="s">
        <v>42</v>
      </c>
      <c r="P154" t="s">
        <v>42</v>
      </c>
      <c r="Q154" t="s">
        <v>42</v>
      </c>
      <c r="R154" t="s">
        <v>42</v>
      </c>
      <c r="T154" t="s">
        <v>42</v>
      </c>
      <c r="U154" t="s">
        <v>42</v>
      </c>
      <c r="V154" t="s">
        <v>42</v>
      </c>
      <c r="W154" t="s">
        <v>42</v>
      </c>
      <c r="X154" t="s">
        <v>42</v>
      </c>
    </row>
    <row r="155" spans="1:24" x14ac:dyDescent="0.75">
      <c r="A155" t="s">
        <v>455</v>
      </c>
      <c r="B155" t="s">
        <v>311</v>
      </c>
      <c r="C155" t="s">
        <v>42</v>
      </c>
      <c r="D155" t="s">
        <v>42</v>
      </c>
      <c r="E155" t="s">
        <v>42</v>
      </c>
      <c r="F155" t="s">
        <v>42</v>
      </c>
      <c r="G155" t="s">
        <v>42</v>
      </c>
      <c r="H155" t="s">
        <v>42</v>
      </c>
      <c r="I155" t="s">
        <v>42</v>
      </c>
      <c r="J155" t="s">
        <v>42</v>
      </c>
      <c r="K155" t="s">
        <v>42</v>
      </c>
      <c r="L155" t="s">
        <v>42</v>
      </c>
      <c r="M155" t="s">
        <v>42</v>
      </c>
      <c r="N155" t="s">
        <v>42</v>
      </c>
      <c r="O155" t="s">
        <v>42</v>
      </c>
      <c r="P155" t="s">
        <v>42</v>
      </c>
      <c r="Q155" t="s">
        <v>42</v>
      </c>
      <c r="R155" t="s">
        <v>42</v>
      </c>
      <c r="T155" t="s">
        <v>42</v>
      </c>
      <c r="U155" t="s">
        <v>42</v>
      </c>
      <c r="V155" t="s">
        <v>42</v>
      </c>
      <c r="W155" t="s">
        <v>42</v>
      </c>
      <c r="X155" t="s">
        <v>42</v>
      </c>
    </row>
    <row r="156" spans="1:24" x14ac:dyDescent="0.75">
      <c r="A156" t="s">
        <v>312</v>
      </c>
      <c r="B156" t="s">
        <v>313</v>
      </c>
      <c r="C156" t="s">
        <v>55</v>
      </c>
      <c r="D156">
        <v>26.5</v>
      </c>
      <c r="E156" t="s">
        <v>34</v>
      </c>
      <c r="F156">
        <f>3.16*10^3</f>
        <v>3160</v>
      </c>
      <c r="G156">
        <v>3.5</v>
      </c>
      <c r="H156" t="s">
        <v>33</v>
      </c>
      <c r="I156">
        <v>2</v>
      </c>
      <c r="J156" t="s">
        <v>35</v>
      </c>
      <c r="K156">
        <v>371</v>
      </c>
      <c r="L156" t="s">
        <v>52</v>
      </c>
      <c r="M156">
        <v>3.4</v>
      </c>
      <c r="N156">
        <v>1.55</v>
      </c>
      <c r="O156" t="s">
        <v>38</v>
      </c>
      <c r="P156">
        <v>10</v>
      </c>
      <c r="Q156">
        <v>0.01</v>
      </c>
      <c r="R156">
        <f>Q156/P156</f>
        <v>1E-3</v>
      </c>
      <c r="T156">
        <v>68.8</v>
      </c>
      <c r="U156">
        <v>4.2</v>
      </c>
      <c r="V156" t="s">
        <v>39</v>
      </c>
      <c r="W156">
        <v>5</v>
      </c>
      <c r="X156">
        <f t="shared" si="7"/>
        <v>0.84000000000000008</v>
      </c>
    </row>
    <row r="157" spans="1:24" x14ac:dyDescent="0.75">
      <c r="A157" t="s">
        <v>456</v>
      </c>
      <c r="B157" t="s">
        <v>314</v>
      </c>
      <c r="C157" t="s">
        <v>55</v>
      </c>
      <c r="D157" t="s">
        <v>42</v>
      </c>
      <c r="E157" t="s">
        <v>42</v>
      </c>
      <c r="F157" t="s">
        <v>42</v>
      </c>
      <c r="G157" t="s">
        <v>42</v>
      </c>
      <c r="H157" t="s">
        <v>42</v>
      </c>
      <c r="I157" t="s">
        <v>42</v>
      </c>
      <c r="J157" t="s">
        <v>42</v>
      </c>
      <c r="K157" t="s">
        <v>42</v>
      </c>
      <c r="L157" t="s">
        <v>42</v>
      </c>
      <c r="M157" t="s">
        <v>42</v>
      </c>
      <c r="N157" t="s">
        <v>42</v>
      </c>
      <c r="O157" t="s">
        <v>42</v>
      </c>
      <c r="P157" t="s">
        <v>42</v>
      </c>
      <c r="Q157" t="s">
        <v>42</v>
      </c>
      <c r="R157" t="s">
        <v>42</v>
      </c>
      <c r="T157">
        <v>273</v>
      </c>
      <c r="U157">
        <v>1.25</v>
      </c>
      <c r="V157" t="s">
        <v>39</v>
      </c>
      <c r="W157">
        <v>5</v>
      </c>
      <c r="X157">
        <f t="shared" si="7"/>
        <v>0.25</v>
      </c>
    </row>
    <row r="158" spans="1:24" x14ac:dyDescent="0.75">
      <c r="A158" t="s">
        <v>457</v>
      </c>
      <c r="B158" t="s">
        <v>315</v>
      </c>
      <c r="C158" t="s">
        <v>55</v>
      </c>
      <c r="D158">
        <v>7</v>
      </c>
      <c r="E158" t="s">
        <v>34</v>
      </c>
      <c r="F158" t="s">
        <v>37</v>
      </c>
      <c r="G158" t="s">
        <v>37</v>
      </c>
      <c r="H158" t="s">
        <v>37</v>
      </c>
      <c r="I158" t="s">
        <v>37</v>
      </c>
      <c r="J158" t="s">
        <v>37</v>
      </c>
      <c r="K158" t="s">
        <v>37</v>
      </c>
      <c r="L158" t="s">
        <v>37</v>
      </c>
      <c r="M158" t="s">
        <v>37</v>
      </c>
      <c r="N158">
        <v>1.22</v>
      </c>
      <c r="O158" t="s">
        <v>38</v>
      </c>
      <c r="P158">
        <v>1000</v>
      </c>
      <c r="Q158">
        <v>2</v>
      </c>
      <c r="R158">
        <f>Q158/P158</f>
        <v>2E-3</v>
      </c>
      <c r="T158">
        <v>13.5</v>
      </c>
      <c r="U158">
        <v>500</v>
      </c>
      <c r="V158" t="s">
        <v>3</v>
      </c>
      <c r="W158">
        <v>10</v>
      </c>
      <c r="X158">
        <f t="shared" si="7"/>
        <v>50</v>
      </c>
    </row>
    <row r="159" spans="1:24" x14ac:dyDescent="0.75">
      <c r="A159" t="s">
        <v>316</v>
      </c>
      <c r="B159" t="s">
        <v>317</v>
      </c>
      <c r="C159" t="s">
        <v>32</v>
      </c>
      <c r="D159">
        <v>33</v>
      </c>
      <c r="E159" t="s">
        <v>34</v>
      </c>
      <c r="F159">
        <f>2.19*10^3</f>
        <v>2190</v>
      </c>
      <c r="G159">
        <v>3.34</v>
      </c>
      <c r="H159" t="s">
        <v>33</v>
      </c>
      <c r="I159">
        <v>56</v>
      </c>
      <c r="J159" t="s">
        <v>67</v>
      </c>
      <c r="K159">
        <v>85</v>
      </c>
      <c r="L159" t="s">
        <v>36</v>
      </c>
      <c r="M159" t="s">
        <v>37</v>
      </c>
      <c r="N159">
        <v>0.59</v>
      </c>
      <c r="O159" t="s">
        <v>38</v>
      </c>
      <c r="P159" s="14">
        <v>10</v>
      </c>
      <c r="Q159" s="14">
        <v>0.08</v>
      </c>
      <c r="R159" s="14">
        <v>8.0000000000000002E-3</v>
      </c>
      <c r="T159" t="s">
        <v>37</v>
      </c>
      <c r="U159">
        <v>153</v>
      </c>
      <c r="V159" t="s">
        <v>3</v>
      </c>
      <c r="W159">
        <v>10</v>
      </c>
      <c r="X159">
        <f t="shared" si="7"/>
        <v>15.3</v>
      </c>
    </row>
    <row r="160" spans="1:24" x14ac:dyDescent="0.75">
      <c r="A160" t="s">
        <v>458</v>
      </c>
      <c r="B160" t="s">
        <v>318</v>
      </c>
      <c r="C160" t="s">
        <v>55</v>
      </c>
      <c r="D160">
        <v>1005000</v>
      </c>
      <c r="E160" t="s">
        <v>33</v>
      </c>
      <c r="F160">
        <f>5.01*10^-2</f>
        <v>5.0099999999999999E-2</v>
      </c>
      <c r="G160">
        <v>-1.3</v>
      </c>
      <c r="H160" t="s">
        <v>34</v>
      </c>
      <c r="I160">
        <v>12</v>
      </c>
      <c r="J160" t="s">
        <v>35</v>
      </c>
      <c r="K160">
        <v>54</v>
      </c>
      <c r="L160" t="s">
        <v>36</v>
      </c>
      <c r="M160" t="s">
        <v>37</v>
      </c>
      <c r="N160">
        <v>1.5</v>
      </c>
      <c r="O160" t="s">
        <v>38</v>
      </c>
      <c r="P160">
        <v>10</v>
      </c>
      <c r="Q160">
        <v>6.3</v>
      </c>
      <c r="R160">
        <f>Q160/P160</f>
        <v>0.63</v>
      </c>
      <c r="T160">
        <v>20</v>
      </c>
      <c r="U160">
        <v>362</v>
      </c>
      <c r="V160" t="s">
        <v>39</v>
      </c>
      <c r="W160">
        <v>5</v>
      </c>
      <c r="X160">
        <f t="shared" si="7"/>
        <v>72.400000000000006</v>
      </c>
    </row>
    <row r="161" spans="1:24" x14ac:dyDescent="0.75">
      <c r="A161" t="s">
        <v>319</v>
      </c>
      <c r="B161" t="s">
        <v>320</v>
      </c>
      <c r="C161" t="s">
        <v>32</v>
      </c>
      <c r="D161">
        <v>0.63</v>
      </c>
      <c r="E161" t="s">
        <v>34</v>
      </c>
      <c r="F161">
        <f>6.03*10^4</f>
        <v>60300</v>
      </c>
      <c r="G161">
        <v>4.78</v>
      </c>
      <c r="H161" t="s">
        <v>33</v>
      </c>
      <c r="I161" t="s">
        <v>321</v>
      </c>
      <c r="J161" t="s">
        <v>81</v>
      </c>
      <c r="K161">
        <v>583</v>
      </c>
      <c r="L161" t="s">
        <v>52</v>
      </c>
      <c r="M161" t="s">
        <v>37</v>
      </c>
      <c r="N161">
        <v>2.67</v>
      </c>
      <c r="O161" t="s">
        <v>59</v>
      </c>
      <c r="P161">
        <v>10</v>
      </c>
      <c r="Q161">
        <v>1.9E-2</v>
      </c>
      <c r="R161">
        <f>Q161/P161</f>
        <v>1.9E-3</v>
      </c>
      <c r="T161">
        <v>85</v>
      </c>
      <c r="U161">
        <v>1.95</v>
      </c>
      <c r="V161" t="s">
        <v>39</v>
      </c>
      <c r="W161">
        <v>5</v>
      </c>
      <c r="X161">
        <f t="shared" si="7"/>
        <v>0.39</v>
      </c>
    </row>
    <row r="162" spans="1:24" x14ac:dyDescent="0.75">
      <c r="A162" t="s">
        <v>322</v>
      </c>
      <c r="B162" t="s">
        <v>323</v>
      </c>
      <c r="C162" t="s">
        <v>55</v>
      </c>
      <c r="D162">
        <v>150</v>
      </c>
      <c r="E162" t="s">
        <v>58</v>
      </c>
      <c r="F162">
        <f>5.25*10^3</f>
        <v>5250</v>
      </c>
      <c r="G162">
        <v>3.72</v>
      </c>
      <c r="H162" t="s">
        <v>33</v>
      </c>
      <c r="I162">
        <v>6</v>
      </c>
      <c r="J162" t="s">
        <v>35</v>
      </c>
      <c r="K162">
        <v>116</v>
      </c>
      <c r="L162" t="s">
        <v>52</v>
      </c>
      <c r="M162">
        <v>8</v>
      </c>
      <c r="N162">
        <v>1.58</v>
      </c>
      <c r="O162" t="s">
        <v>38</v>
      </c>
      <c r="P162">
        <v>10</v>
      </c>
      <c r="Q162">
        <v>6.8000000000000005E-2</v>
      </c>
      <c r="R162">
        <v>6.8000000000000005E-3</v>
      </c>
      <c r="T162">
        <v>35.200000000000003</v>
      </c>
      <c r="U162">
        <v>6.47</v>
      </c>
      <c r="V162" t="s">
        <v>39</v>
      </c>
      <c r="W162">
        <v>5</v>
      </c>
      <c r="X162">
        <f t="shared" si="7"/>
        <v>1.294</v>
      </c>
    </row>
    <row r="163" spans="1:24" x14ac:dyDescent="0.75">
      <c r="A163" t="s">
        <v>324</v>
      </c>
      <c r="B163" t="s">
        <v>325</v>
      </c>
      <c r="C163" t="s">
        <v>47</v>
      </c>
      <c r="D163">
        <v>1800</v>
      </c>
      <c r="E163" t="s">
        <v>33</v>
      </c>
      <c r="F163">
        <f>1.38*10^0</f>
        <v>1.38</v>
      </c>
      <c r="G163">
        <v>0.14000000000000001</v>
      </c>
      <c r="H163" t="s">
        <v>34</v>
      </c>
      <c r="I163" t="s">
        <v>37</v>
      </c>
      <c r="J163" t="s">
        <v>37</v>
      </c>
      <c r="K163" s="10" t="s">
        <v>42</v>
      </c>
      <c r="L163" t="s">
        <v>48</v>
      </c>
      <c r="M163" t="s">
        <v>37</v>
      </c>
      <c r="N163">
        <v>3.65</v>
      </c>
      <c r="O163" t="s">
        <v>44</v>
      </c>
      <c r="P163">
        <v>100</v>
      </c>
      <c r="Q163">
        <v>1.6E-2</v>
      </c>
      <c r="R163">
        <f>Q163/P163</f>
        <v>1.6000000000000001E-4</v>
      </c>
      <c r="T163">
        <v>28</v>
      </c>
      <c r="U163" t="s">
        <v>37</v>
      </c>
      <c r="V163" t="s">
        <v>37</v>
      </c>
      <c r="W163" t="s">
        <v>37</v>
      </c>
      <c r="X163" t="s">
        <v>37</v>
      </c>
    </row>
    <row r="164" spans="1:24" x14ac:dyDescent="0.75">
      <c r="A164" t="s">
        <v>326</v>
      </c>
      <c r="B164" t="s">
        <v>327</v>
      </c>
      <c r="C164" t="s">
        <v>32</v>
      </c>
      <c r="D164">
        <v>9</v>
      </c>
      <c r="E164" t="s">
        <v>34</v>
      </c>
      <c r="F164">
        <f>1.86*10^3</f>
        <v>1860</v>
      </c>
      <c r="G164">
        <v>3.27</v>
      </c>
      <c r="H164" t="s">
        <v>33</v>
      </c>
      <c r="I164">
        <v>21</v>
      </c>
      <c r="J164" t="s">
        <v>73</v>
      </c>
      <c r="K164">
        <v>49</v>
      </c>
      <c r="L164" t="s">
        <v>36</v>
      </c>
      <c r="M164">
        <v>42</v>
      </c>
      <c r="N164">
        <v>1.87</v>
      </c>
      <c r="O164" t="s">
        <v>59</v>
      </c>
      <c r="P164">
        <v>100</v>
      </c>
      <c r="Q164">
        <v>0.34</v>
      </c>
      <c r="R164">
        <f>Q164/P164</f>
        <v>3.4000000000000002E-3</v>
      </c>
      <c r="T164">
        <v>233</v>
      </c>
      <c r="U164">
        <v>1.4</v>
      </c>
      <c r="V164" t="s">
        <v>39</v>
      </c>
      <c r="W164">
        <v>5</v>
      </c>
      <c r="X164">
        <f t="shared" si="7"/>
        <v>0.27999999999999997</v>
      </c>
    </row>
    <row r="165" spans="1:24" x14ac:dyDescent="0.75">
      <c r="A165" t="s">
        <v>328</v>
      </c>
      <c r="B165" t="s">
        <v>329</v>
      </c>
      <c r="C165" t="s">
        <v>32</v>
      </c>
      <c r="D165">
        <v>13.2</v>
      </c>
      <c r="E165" t="s">
        <v>34</v>
      </c>
      <c r="F165">
        <f>3.02*10^4</f>
        <v>30200</v>
      </c>
      <c r="G165">
        <v>4.4800000000000004</v>
      </c>
      <c r="H165" t="s">
        <v>33</v>
      </c>
      <c r="I165">
        <v>0.94</v>
      </c>
      <c r="J165" t="s">
        <v>81</v>
      </c>
      <c r="K165">
        <v>700</v>
      </c>
      <c r="L165" t="s">
        <v>52</v>
      </c>
      <c r="M165">
        <v>1.7</v>
      </c>
      <c r="N165">
        <v>0.76</v>
      </c>
      <c r="O165" t="s">
        <v>38</v>
      </c>
      <c r="P165">
        <v>100</v>
      </c>
      <c r="Q165">
        <v>4.4999999999999998E-2</v>
      </c>
      <c r="R165">
        <f>Q165/P165</f>
        <v>4.4999999999999999E-4</v>
      </c>
      <c r="T165">
        <v>9.8000000000000007</v>
      </c>
      <c r="U165">
        <v>71.8</v>
      </c>
      <c r="V165" t="s">
        <v>3</v>
      </c>
      <c r="W165">
        <v>10</v>
      </c>
      <c r="X165">
        <f t="shared" si="7"/>
        <v>7.18</v>
      </c>
    </row>
    <row r="166" spans="1:24" x14ac:dyDescent="0.75">
      <c r="A166" t="s">
        <v>330</v>
      </c>
      <c r="B166" t="s">
        <v>331</v>
      </c>
      <c r="C166" t="s">
        <v>55</v>
      </c>
      <c r="D166">
        <v>22.5</v>
      </c>
      <c r="E166" t="s">
        <v>34</v>
      </c>
      <c r="F166">
        <f>1*10^2</f>
        <v>100</v>
      </c>
      <c r="G166">
        <v>2</v>
      </c>
      <c r="H166" t="s">
        <v>34</v>
      </c>
      <c r="I166" t="s">
        <v>37</v>
      </c>
      <c r="J166" t="s">
        <v>37</v>
      </c>
      <c r="K166">
        <v>43.9</v>
      </c>
      <c r="L166" t="s">
        <v>36</v>
      </c>
      <c r="M166">
        <v>0.47</v>
      </c>
      <c r="N166">
        <v>-7.0000000000000007E-2</v>
      </c>
      <c r="O166" t="s">
        <v>38</v>
      </c>
      <c r="P166">
        <v>10</v>
      </c>
      <c r="Q166">
        <v>0.308</v>
      </c>
      <c r="R166">
        <v>3.0800000000000001E-2</v>
      </c>
      <c r="T166">
        <v>0.77</v>
      </c>
      <c r="U166">
        <v>5.3</v>
      </c>
      <c r="V166" t="s">
        <v>39</v>
      </c>
      <c r="W166">
        <v>5</v>
      </c>
      <c r="X166">
        <f t="shared" si="7"/>
        <v>1.06</v>
      </c>
    </row>
    <row r="167" spans="1:24" x14ac:dyDescent="0.75">
      <c r="A167" t="s">
        <v>459</v>
      </c>
      <c r="B167" t="s">
        <v>332</v>
      </c>
      <c r="C167" t="s">
        <v>55</v>
      </c>
      <c r="D167">
        <v>50.6</v>
      </c>
      <c r="E167" t="s">
        <v>58</v>
      </c>
      <c r="F167">
        <f>1.1*10^3</f>
        <v>1100</v>
      </c>
      <c r="G167">
        <v>3.04</v>
      </c>
      <c r="H167" t="s">
        <v>33</v>
      </c>
      <c r="I167" s="10" t="s">
        <v>42</v>
      </c>
      <c r="J167" t="s">
        <v>67</v>
      </c>
      <c r="K167">
        <v>45</v>
      </c>
      <c r="L167" t="s">
        <v>36</v>
      </c>
      <c r="M167" t="s">
        <v>37</v>
      </c>
      <c r="N167">
        <v>1.73</v>
      </c>
      <c r="O167" t="s">
        <v>38</v>
      </c>
      <c r="P167">
        <v>100</v>
      </c>
      <c r="Q167">
        <v>3.4000000000000002E-2</v>
      </c>
      <c r="R167">
        <v>3.4000000000000002E-4</v>
      </c>
      <c r="T167">
        <v>131</v>
      </c>
      <c r="U167">
        <v>62.5</v>
      </c>
      <c r="V167" t="s">
        <v>39</v>
      </c>
      <c r="W167">
        <v>5</v>
      </c>
      <c r="X167">
        <f t="shared" si="7"/>
        <v>12.5</v>
      </c>
    </row>
    <row r="168" spans="1:24" x14ac:dyDescent="0.75">
      <c r="A168" t="s">
        <v>333</v>
      </c>
      <c r="B168" t="s">
        <v>334</v>
      </c>
      <c r="C168" t="s">
        <v>47</v>
      </c>
      <c r="D168">
        <v>270</v>
      </c>
      <c r="E168" t="s">
        <v>58</v>
      </c>
      <c r="F168">
        <f>6.46*10^-1</f>
        <v>0.64600000000000002</v>
      </c>
      <c r="G168">
        <v>-0.19</v>
      </c>
      <c r="H168" t="s">
        <v>34</v>
      </c>
      <c r="I168">
        <v>6</v>
      </c>
      <c r="J168" t="s">
        <v>35</v>
      </c>
      <c r="K168" s="10" t="s">
        <v>42</v>
      </c>
      <c r="L168" t="s">
        <v>48</v>
      </c>
      <c r="M168" t="s">
        <v>37</v>
      </c>
      <c r="N168">
        <v>1.33</v>
      </c>
      <c r="O168" t="s">
        <v>38</v>
      </c>
      <c r="P168">
        <v>100</v>
      </c>
      <c r="Q168">
        <v>2.5000000000000001E-2</v>
      </c>
      <c r="R168">
        <f>Q168/P168</f>
        <v>2.5000000000000001E-4</v>
      </c>
      <c r="T168">
        <v>22.6</v>
      </c>
      <c r="U168">
        <v>1.3859999999999999</v>
      </c>
      <c r="V168" t="s">
        <v>39</v>
      </c>
      <c r="W168">
        <v>5</v>
      </c>
      <c r="X168">
        <f t="shared" si="7"/>
        <v>0.2772</v>
      </c>
    </row>
    <row r="169" spans="1:24" x14ac:dyDescent="0.75">
      <c r="A169" t="s">
        <v>335</v>
      </c>
      <c r="B169" t="s">
        <v>336</v>
      </c>
      <c r="C169" t="s">
        <v>55</v>
      </c>
      <c r="D169">
        <v>1.9</v>
      </c>
      <c r="E169" t="s">
        <v>34</v>
      </c>
      <c r="F169">
        <f>9.77*10^3</f>
        <v>9770</v>
      </c>
      <c r="G169">
        <v>3.99</v>
      </c>
      <c r="H169" t="s">
        <v>33</v>
      </c>
      <c r="I169">
        <v>2</v>
      </c>
      <c r="J169" t="s">
        <v>35</v>
      </c>
      <c r="K169">
        <v>706</v>
      </c>
      <c r="L169" t="s">
        <v>52</v>
      </c>
      <c r="M169" t="s">
        <v>37</v>
      </c>
      <c r="N169">
        <v>0.05</v>
      </c>
      <c r="O169" t="s">
        <v>38</v>
      </c>
      <c r="P169">
        <v>50</v>
      </c>
      <c r="Q169">
        <v>4.0000000000000001E-3</v>
      </c>
      <c r="R169">
        <f>Q169/P169</f>
        <v>8.0000000000000007E-5</v>
      </c>
      <c r="T169">
        <v>33.299999999999997</v>
      </c>
      <c r="U169">
        <v>23.1</v>
      </c>
      <c r="V169" t="s">
        <v>39</v>
      </c>
      <c r="W169">
        <v>5</v>
      </c>
      <c r="X169">
        <f t="shared" si="7"/>
        <v>4.62</v>
      </c>
    </row>
    <row r="170" spans="1:24" x14ac:dyDescent="0.75">
      <c r="A170" t="s">
        <v>460</v>
      </c>
      <c r="B170" t="s">
        <v>337</v>
      </c>
      <c r="C170" t="s">
        <v>32</v>
      </c>
      <c r="D170">
        <v>8.2000000000000003E-2</v>
      </c>
      <c r="E170" t="s">
        <v>34</v>
      </c>
      <c r="F170">
        <f>3.09*10^3</f>
        <v>3090</v>
      </c>
      <c r="G170">
        <v>3.49</v>
      </c>
      <c r="H170" t="s">
        <v>33</v>
      </c>
      <c r="I170">
        <v>0.1</v>
      </c>
      <c r="J170" t="s">
        <v>81</v>
      </c>
      <c r="K170" t="s">
        <v>37</v>
      </c>
      <c r="L170" t="s">
        <v>37</v>
      </c>
      <c r="M170" t="s">
        <v>37</v>
      </c>
      <c r="N170">
        <v>0.06</v>
      </c>
      <c r="O170" t="s">
        <v>38</v>
      </c>
      <c r="P170">
        <v>100</v>
      </c>
      <c r="Q170">
        <v>2.3000000000000001E-4</v>
      </c>
      <c r="R170">
        <f>Q170/P170</f>
        <v>2.3E-6</v>
      </c>
      <c r="T170">
        <v>1.2</v>
      </c>
      <c r="U170">
        <v>250</v>
      </c>
      <c r="V170" t="s">
        <v>39</v>
      </c>
      <c r="W170">
        <v>5</v>
      </c>
      <c r="X170">
        <f t="shared" si="7"/>
        <v>50</v>
      </c>
    </row>
    <row r="171" spans="1:24" x14ac:dyDescent="0.75">
      <c r="A171" t="s">
        <v>461</v>
      </c>
      <c r="B171" t="s">
        <v>338</v>
      </c>
      <c r="C171" t="s">
        <v>47</v>
      </c>
      <c r="D171">
        <v>0.96</v>
      </c>
      <c r="E171" t="s">
        <v>34</v>
      </c>
      <c r="F171">
        <f>3.89*10^5</f>
        <v>389000</v>
      </c>
      <c r="G171">
        <v>5.59</v>
      </c>
      <c r="H171" t="s">
        <v>33</v>
      </c>
      <c r="I171">
        <v>1</v>
      </c>
      <c r="J171" t="s">
        <v>35</v>
      </c>
      <c r="K171">
        <v>471</v>
      </c>
      <c r="L171" t="s">
        <v>52</v>
      </c>
      <c r="M171" t="s">
        <v>37</v>
      </c>
      <c r="N171">
        <v>-0.43</v>
      </c>
      <c r="O171" t="s">
        <v>38</v>
      </c>
      <c r="P171">
        <v>1000</v>
      </c>
      <c r="Q171">
        <v>1.4E-3</v>
      </c>
      <c r="R171">
        <f>Q171/P171</f>
        <v>1.3999999999999999E-6</v>
      </c>
      <c r="T171">
        <v>12</v>
      </c>
      <c r="U171">
        <v>0.25</v>
      </c>
      <c r="V171" t="s">
        <v>39</v>
      </c>
      <c r="W171">
        <v>5</v>
      </c>
      <c r="X171">
        <f t="shared" si="7"/>
        <v>0.05</v>
      </c>
    </row>
    <row r="172" spans="1:24" x14ac:dyDescent="0.75">
      <c r="A172" t="s">
        <v>462</v>
      </c>
      <c r="B172" t="s">
        <v>339</v>
      </c>
      <c r="C172" t="s">
        <v>47</v>
      </c>
      <c r="D172">
        <v>10.7</v>
      </c>
      <c r="E172" t="s">
        <v>34</v>
      </c>
      <c r="F172">
        <f>2.09*10^4</f>
        <v>20900</v>
      </c>
      <c r="G172">
        <v>4.32</v>
      </c>
      <c r="H172" t="s">
        <v>33</v>
      </c>
      <c r="I172">
        <v>1</v>
      </c>
      <c r="J172" t="s">
        <v>35</v>
      </c>
      <c r="K172">
        <v>471</v>
      </c>
      <c r="L172" t="s">
        <v>52</v>
      </c>
      <c r="M172" t="s">
        <v>37</v>
      </c>
      <c r="N172">
        <v>-0.47</v>
      </c>
      <c r="O172" t="s">
        <v>38</v>
      </c>
      <c r="P172">
        <v>1000</v>
      </c>
      <c r="Q172">
        <v>1.4E-3</v>
      </c>
      <c r="R172">
        <f>Q172/P172</f>
        <v>1.3999999999999999E-6</v>
      </c>
      <c r="T172">
        <v>12</v>
      </c>
      <c r="U172">
        <v>0.25</v>
      </c>
      <c r="V172" t="s">
        <v>39</v>
      </c>
      <c r="W172">
        <v>5</v>
      </c>
      <c r="X172">
        <f t="shared" si="7"/>
        <v>0.05</v>
      </c>
    </row>
    <row r="173" spans="1:24" x14ac:dyDescent="0.75">
      <c r="A173" t="s">
        <v>340</v>
      </c>
      <c r="B173" t="s">
        <v>341</v>
      </c>
      <c r="C173" t="s">
        <v>55</v>
      </c>
      <c r="D173">
        <v>110</v>
      </c>
      <c r="E173" t="s">
        <v>58</v>
      </c>
      <c r="F173">
        <f>6.92*10^2</f>
        <v>692</v>
      </c>
      <c r="G173">
        <v>2.84</v>
      </c>
      <c r="H173" t="s">
        <v>58</v>
      </c>
      <c r="I173">
        <v>6.7</v>
      </c>
      <c r="J173" t="s">
        <v>35</v>
      </c>
      <c r="K173" s="10" t="s">
        <v>42</v>
      </c>
      <c r="L173" t="s">
        <v>48</v>
      </c>
      <c r="M173" t="s">
        <v>37</v>
      </c>
      <c r="N173">
        <v>2.17</v>
      </c>
      <c r="O173" t="s">
        <v>59</v>
      </c>
      <c r="P173">
        <v>100</v>
      </c>
      <c r="Q173">
        <v>0.94</v>
      </c>
      <c r="R173">
        <v>9.3999999999999986E-3</v>
      </c>
      <c r="T173">
        <v>31.4</v>
      </c>
      <c r="U173">
        <v>4.12</v>
      </c>
      <c r="V173" t="s">
        <v>39</v>
      </c>
      <c r="W173">
        <v>5</v>
      </c>
      <c r="X173">
        <f t="shared" si="7"/>
        <v>0.82400000000000007</v>
      </c>
    </row>
    <row r="174" spans="1:24" x14ac:dyDescent="0.75">
      <c r="A174" t="s">
        <v>400</v>
      </c>
      <c r="B174" t="s">
        <v>342</v>
      </c>
      <c r="C174" t="s">
        <v>55</v>
      </c>
      <c r="D174" t="s">
        <v>42</v>
      </c>
      <c r="E174" t="s">
        <v>42</v>
      </c>
      <c r="F174" t="s">
        <v>42</v>
      </c>
      <c r="G174" t="s">
        <v>42</v>
      </c>
      <c r="H174" t="s">
        <v>42</v>
      </c>
      <c r="I174" t="s">
        <v>42</v>
      </c>
      <c r="J174" t="s">
        <v>42</v>
      </c>
      <c r="K174" t="s">
        <v>42</v>
      </c>
      <c r="L174" t="s">
        <v>42</v>
      </c>
      <c r="M174" t="s">
        <v>42</v>
      </c>
      <c r="N174" t="s">
        <v>42</v>
      </c>
      <c r="O174" t="s">
        <v>42</v>
      </c>
      <c r="P174" t="s">
        <v>42</v>
      </c>
      <c r="Q174" t="s">
        <v>42</v>
      </c>
      <c r="R174" t="s">
        <v>42</v>
      </c>
      <c r="T174" t="s">
        <v>42</v>
      </c>
      <c r="U174" t="s">
        <v>42</v>
      </c>
      <c r="V174" t="s">
        <v>42</v>
      </c>
      <c r="W174" t="s">
        <v>42</v>
      </c>
      <c r="X174" t="s">
        <v>42</v>
      </c>
    </row>
    <row r="175" spans="1:24" x14ac:dyDescent="0.75">
      <c r="A175" t="s">
        <v>343</v>
      </c>
      <c r="B175" t="s">
        <v>344</v>
      </c>
      <c r="C175" t="s">
        <v>55</v>
      </c>
      <c r="D175">
        <v>1.56</v>
      </c>
      <c r="E175" t="s">
        <v>34</v>
      </c>
      <c r="F175">
        <f>1.58*10^3</f>
        <v>1580</v>
      </c>
      <c r="G175">
        <v>3.2</v>
      </c>
      <c r="H175" t="s">
        <v>33</v>
      </c>
      <c r="I175" t="s">
        <v>37</v>
      </c>
      <c r="J175" t="s">
        <v>37</v>
      </c>
      <c r="K175">
        <v>160</v>
      </c>
      <c r="L175" t="s">
        <v>52</v>
      </c>
      <c r="M175" t="s">
        <v>37</v>
      </c>
      <c r="N175">
        <v>1.06</v>
      </c>
      <c r="O175" t="s">
        <v>38</v>
      </c>
      <c r="P175">
        <v>50</v>
      </c>
      <c r="Q175">
        <v>8.9899999999999994E-2</v>
      </c>
      <c r="R175">
        <f t="shared" ref="R175:R182" si="10">Q175/P175</f>
        <v>1.7979999999999999E-3</v>
      </c>
      <c r="T175">
        <v>19</v>
      </c>
      <c r="U175">
        <v>16</v>
      </c>
      <c r="V175" t="s">
        <v>39</v>
      </c>
      <c r="W175">
        <v>5</v>
      </c>
      <c r="X175">
        <f t="shared" si="7"/>
        <v>3.2</v>
      </c>
    </row>
    <row r="176" spans="1:24" x14ac:dyDescent="0.75">
      <c r="A176" t="s">
        <v>345</v>
      </c>
      <c r="B176" t="s">
        <v>346</v>
      </c>
      <c r="C176" t="s">
        <v>47</v>
      </c>
      <c r="D176">
        <v>0.37</v>
      </c>
      <c r="E176" t="s">
        <v>34</v>
      </c>
      <c r="F176">
        <f>2.34*10^5</f>
        <v>234000</v>
      </c>
      <c r="G176">
        <v>5.37</v>
      </c>
      <c r="H176" t="s">
        <v>33</v>
      </c>
      <c r="I176">
        <v>1.6</v>
      </c>
      <c r="J176" t="s">
        <v>35</v>
      </c>
      <c r="K176">
        <v>1379</v>
      </c>
      <c r="L176" t="s">
        <v>52</v>
      </c>
      <c r="M176">
        <v>0.9</v>
      </c>
      <c r="N176">
        <v>-0.2</v>
      </c>
      <c r="O176" t="s">
        <v>38</v>
      </c>
      <c r="P176">
        <v>100</v>
      </c>
      <c r="Q176">
        <v>1.5E-5</v>
      </c>
      <c r="R176">
        <f t="shared" si="10"/>
        <v>1.4999999999999999E-7</v>
      </c>
      <c r="T176">
        <v>4.2</v>
      </c>
      <c r="U176">
        <v>500</v>
      </c>
      <c r="V176" t="s">
        <v>3</v>
      </c>
      <c r="W176">
        <v>10</v>
      </c>
      <c r="X176">
        <f t="shared" si="7"/>
        <v>50</v>
      </c>
    </row>
    <row r="177" spans="1:24" x14ac:dyDescent="0.75">
      <c r="A177" t="s">
        <v>347</v>
      </c>
      <c r="B177" t="s">
        <v>348</v>
      </c>
      <c r="C177" t="s">
        <v>32</v>
      </c>
      <c r="D177">
        <v>3200</v>
      </c>
      <c r="E177" t="s">
        <v>33</v>
      </c>
      <c r="F177">
        <f>9.77*10^-2</f>
        <v>9.7699999999999995E-2</v>
      </c>
      <c r="G177">
        <v>-1.01</v>
      </c>
      <c r="H177" t="s">
        <v>34</v>
      </c>
      <c r="I177" t="s">
        <v>37</v>
      </c>
      <c r="J177" t="s">
        <v>37</v>
      </c>
      <c r="K177" s="10" t="s">
        <v>42</v>
      </c>
      <c r="L177" t="s">
        <v>48</v>
      </c>
      <c r="M177" t="s">
        <v>37</v>
      </c>
      <c r="N177">
        <v>2.84</v>
      </c>
      <c r="O177" t="s">
        <v>44</v>
      </c>
      <c r="P177">
        <v>100</v>
      </c>
      <c r="Q177">
        <v>2.5999999999999999E-3</v>
      </c>
      <c r="R177">
        <f t="shared" si="10"/>
        <v>2.5999999999999998E-5</v>
      </c>
      <c r="T177">
        <v>13</v>
      </c>
      <c r="U177">
        <v>1.07</v>
      </c>
      <c r="V177" t="s">
        <v>39</v>
      </c>
      <c r="W177">
        <v>5</v>
      </c>
      <c r="X177">
        <f t="shared" si="7"/>
        <v>0.21400000000000002</v>
      </c>
    </row>
    <row r="178" spans="1:24" x14ac:dyDescent="0.75">
      <c r="A178" t="s">
        <v>349</v>
      </c>
      <c r="B178" t="s">
        <v>350</v>
      </c>
      <c r="C178" t="s">
        <v>55</v>
      </c>
      <c r="D178">
        <v>4.7E-2</v>
      </c>
      <c r="E178" t="s">
        <v>34</v>
      </c>
      <c r="F178">
        <f>1.26*10^5</f>
        <v>126000</v>
      </c>
      <c r="G178">
        <v>5.0999999999999996</v>
      </c>
      <c r="H178" t="s">
        <v>33</v>
      </c>
      <c r="I178">
        <v>5</v>
      </c>
      <c r="J178" t="s">
        <v>35</v>
      </c>
      <c r="K178">
        <v>5040</v>
      </c>
      <c r="L178" t="s">
        <v>139</v>
      </c>
      <c r="M178" t="s">
        <v>37</v>
      </c>
      <c r="N178">
        <v>-0.8</v>
      </c>
      <c r="O178" t="s">
        <v>38</v>
      </c>
      <c r="P178">
        <v>10</v>
      </c>
      <c r="Q178">
        <v>1.4E-2</v>
      </c>
      <c r="R178">
        <f t="shared" si="10"/>
        <v>1.4E-3</v>
      </c>
      <c r="T178">
        <v>169.3</v>
      </c>
      <c r="U178">
        <v>2.67</v>
      </c>
      <c r="V178" t="s">
        <v>39</v>
      </c>
      <c r="W178">
        <v>5</v>
      </c>
      <c r="X178">
        <f t="shared" si="7"/>
        <v>0.53400000000000003</v>
      </c>
    </row>
    <row r="179" spans="1:24" x14ac:dyDescent="0.75">
      <c r="A179" t="s">
        <v>463</v>
      </c>
      <c r="B179" t="s">
        <v>351</v>
      </c>
      <c r="C179" t="s">
        <v>32</v>
      </c>
      <c r="D179">
        <v>0.61</v>
      </c>
      <c r="E179" t="s">
        <v>34</v>
      </c>
      <c r="F179">
        <f>4.07*10^4</f>
        <v>40700</v>
      </c>
      <c r="G179">
        <v>4.6100000000000003</v>
      </c>
      <c r="H179" t="s">
        <v>33</v>
      </c>
      <c r="I179">
        <v>1.55</v>
      </c>
      <c r="J179" t="s">
        <v>35</v>
      </c>
      <c r="K179">
        <v>380</v>
      </c>
      <c r="L179" t="s">
        <v>52</v>
      </c>
      <c r="M179" t="s">
        <v>37</v>
      </c>
      <c r="N179">
        <v>0.19</v>
      </c>
      <c r="O179" t="s">
        <v>38</v>
      </c>
      <c r="P179">
        <v>10</v>
      </c>
      <c r="Q179">
        <v>2.3E-2</v>
      </c>
      <c r="R179">
        <f t="shared" si="10"/>
        <v>2.3E-3</v>
      </c>
      <c r="T179">
        <v>1.8</v>
      </c>
      <c r="U179">
        <v>250</v>
      </c>
      <c r="V179" t="s">
        <v>39</v>
      </c>
      <c r="W179">
        <v>5</v>
      </c>
      <c r="X179">
        <f t="shared" si="7"/>
        <v>50</v>
      </c>
    </row>
    <row r="180" spans="1:24" x14ac:dyDescent="0.75">
      <c r="A180" t="s">
        <v>352</v>
      </c>
      <c r="B180" t="s">
        <v>353</v>
      </c>
      <c r="C180" t="s">
        <v>32</v>
      </c>
      <c r="D180">
        <v>7300</v>
      </c>
      <c r="E180" t="s">
        <v>33</v>
      </c>
      <c r="F180">
        <f>3.41*10^-2</f>
        <v>3.4100000000000005E-2</v>
      </c>
      <c r="G180">
        <v>-1.46</v>
      </c>
      <c r="H180" t="s">
        <v>34</v>
      </c>
      <c r="I180">
        <v>4</v>
      </c>
      <c r="J180" t="s">
        <v>35</v>
      </c>
      <c r="K180" s="10" t="s">
        <v>42</v>
      </c>
      <c r="L180" t="s">
        <v>48</v>
      </c>
      <c r="M180" t="s">
        <v>37</v>
      </c>
      <c r="N180">
        <v>2.41</v>
      </c>
      <c r="O180" t="s">
        <v>59</v>
      </c>
      <c r="P180">
        <v>10</v>
      </c>
      <c r="Q180">
        <v>0.63</v>
      </c>
      <c r="R180">
        <f t="shared" si="10"/>
        <v>6.3E-2</v>
      </c>
      <c r="T180">
        <v>10.8</v>
      </c>
      <c r="U180">
        <v>1000</v>
      </c>
      <c r="V180" t="s">
        <v>3</v>
      </c>
      <c r="W180">
        <v>10</v>
      </c>
      <c r="X180">
        <f t="shared" si="7"/>
        <v>100</v>
      </c>
    </row>
    <row r="181" spans="1:24" x14ac:dyDescent="0.75">
      <c r="A181" t="s">
        <v>354</v>
      </c>
      <c r="B181" t="s">
        <v>355</v>
      </c>
      <c r="C181" t="s">
        <v>55</v>
      </c>
      <c r="D181">
        <v>14</v>
      </c>
      <c r="E181" t="s">
        <v>34</v>
      </c>
      <c r="F181">
        <f>2*10^3</f>
        <v>2000</v>
      </c>
      <c r="G181">
        <v>3.3</v>
      </c>
      <c r="H181" t="s">
        <v>33</v>
      </c>
      <c r="I181">
        <v>17.3</v>
      </c>
      <c r="J181" t="s">
        <v>73</v>
      </c>
      <c r="K181" t="s">
        <v>37</v>
      </c>
      <c r="L181" t="s">
        <v>37</v>
      </c>
      <c r="M181" t="s">
        <v>37</v>
      </c>
      <c r="N181">
        <v>2.54</v>
      </c>
      <c r="O181" t="s">
        <v>59</v>
      </c>
      <c r="P181">
        <v>50</v>
      </c>
      <c r="Q181">
        <v>0.16500000000000001</v>
      </c>
      <c r="R181">
        <f t="shared" si="10"/>
        <v>3.3E-3</v>
      </c>
      <c r="T181">
        <v>100</v>
      </c>
      <c r="U181">
        <v>1.4</v>
      </c>
      <c r="V181" t="s">
        <v>39</v>
      </c>
      <c r="W181">
        <v>5</v>
      </c>
      <c r="X181">
        <f t="shared" si="7"/>
        <v>0.27999999999999997</v>
      </c>
    </row>
    <row r="182" spans="1:24" x14ac:dyDescent="0.75">
      <c r="A182" t="s">
        <v>356</v>
      </c>
      <c r="B182" t="s">
        <v>357</v>
      </c>
      <c r="C182" t="s">
        <v>47</v>
      </c>
      <c r="D182">
        <v>29</v>
      </c>
      <c r="E182" t="s">
        <v>34</v>
      </c>
      <c r="F182">
        <f>1.58*10^4</f>
        <v>15800</v>
      </c>
      <c r="G182">
        <v>4.2</v>
      </c>
      <c r="H182" t="s">
        <v>33</v>
      </c>
      <c r="I182">
        <v>5.0999999999999996</v>
      </c>
      <c r="J182" t="s">
        <v>35</v>
      </c>
      <c r="K182">
        <v>114</v>
      </c>
      <c r="L182" t="s">
        <v>52</v>
      </c>
      <c r="M182">
        <v>4.5999999999999996</v>
      </c>
      <c r="N182">
        <v>0.27</v>
      </c>
      <c r="O182" t="s">
        <v>38</v>
      </c>
      <c r="P182">
        <v>100</v>
      </c>
      <c r="Q182">
        <v>7.5000000000000002E-4</v>
      </c>
      <c r="R182">
        <f t="shared" si="10"/>
        <v>7.5000000000000002E-6</v>
      </c>
      <c r="T182">
        <v>2.8</v>
      </c>
      <c r="U182">
        <v>9.33</v>
      </c>
      <c r="V182" t="s">
        <v>39</v>
      </c>
      <c r="W182">
        <v>5</v>
      </c>
      <c r="X182">
        <f t="shared" si="7"/>
        <v>1.8660000000000001</v>
      </c>
    </row>
    <row r="183" spans="1:24" x14ac:dyDescent="0.75">
      <c r="A183" t="s">
        <v>464</v>
      </c>
      <c r="B183" t="s">
        <v>358</v>
      </c>
      <c r="C183" t="s">
        <v>47</v>
      </c>
      <c r="D183">
        <v>14.5</v>
      </c>
      <c r="E183" t="s">
        <v>34</v>
      </c>
      <c r="F183">
        <f>7.94*10^3</f>
        <v>7940</v>
      </c>
      <c r="G183">
        <v>3.9</v>
      </c>
      <c r="H183" t="s">
        <v>33</v>
      </c>
      <c r="I183">
        <v>16</v>
      </c>
      <c r="J183" t="s">
        <v>73</v>
      </c>
      <c r="K183">
        <v>114</v>
      </c>
      <c r="L183" t="s">
        <v>52</v>
      </c>
      <c r="M183" t="s">
        <v>37</v>
      </c>
      <c r="N183">
        <v>-0.47</v>
      </c>
      <c r="O183" t="s">
        <v>38</v>
      </c>
      <c r="P183" t="s">
        <v>37</v>
      </c>
      <c r="Q183" t="s">
        <v>37</v>
      </c>
      <c r="R183" t="s">
        <v>37</v>
      </c>
      <c r="T183" t="s">
        <v>37</v>
      </c>
      <c r="U183" t="s">
        <v>37</v>
      </c>
      <c r="V183" t="s">
        <v>37</v>
      </c>
      <c r="W183" t="s">
        <v>37</v>
      </c>
      <c r="X183" t="s">
        <v>37</v>
      </c>
    </row>
    <row r="184" spans="1:24" x14ac:dyDescent="0.75">
      <c r="A184" t="s">
        <v>465</v>
      </c>
      <c r="B184" t="s">
        <v>359</v>
      </c>
      <c r="C184" t="s">
        <v>47</v>
      </c>
      <c r="D184">
        <v>0.76</v>
      </c>
      <c r="E184" t="s">
        <v>34</v>
      </c>
      <c r="F184">
        <f>2*10^4</f>
        <v>20000</v>
      </c>
      <c r="G184">
        <v>4.3</v>
      </c>
      <c r="H184" t="s">
        <v>33</v>
      </c>
      <c r="I184">
        <v>11</v>
      </c>
      <c r="J184" t="s">
        <v>35</v>
      </c>
      <c r="K184">
        <v>115</v>
      </c>
      <c r="L184" t="s">
        <v>52</v>
      </c>
      <c r="M184" t="s">
        <v>37</v>
      </c>
      <c r="N184">
        <v>-0.51</v>
      </c>
      <c r="O184" t="s">
        <v>38</v>
      </c>
      <c r="P184" t="s">
        <v>37</v>
      </c>
      <c r="Q184" t="s">
        <v>37</v>
      </c>
      <c r="R184" t="s">
        <v>37</v>
      </c>
      <c r="T184" t="s">
        <v>37</v>
      </c>
      <c r="U184" t="s">
        <v>37</v>
      </c>
      <c r="V184" t="s">
        <v>37</v>
      </c>
      <c r="W184" t="s">
        <v>37</v>
      </c>
      <c r="X184" t="s">
        <v>37</v>
      </c>
    </row>
    <row r="185" spans="1:24" x14ac:dyDescent="0.75">
      <c r="A185" t="s">
        <v>360</v>
      </c>
      <c r="B185" t="s">
        <v>361</v>
      </c>
      <c r="C185" t="s">
        <v>47</v>
      </c>
      <c r="D185">
        <v>29.9</v>
      </c>
      <c r="E185" t="s">
        <v>34</v>
      </c>
      <c r="F185">
        <f>3.24*10^2</f>
        <v>324</v>
      </c>
      <c r="G185">
        <v>2.5099999999999998</v>
      </c>
      <c r="H185" t="s">
        <v>34</v>
      </c>
      <c r="I185">
        <v>0.78</v>
      </c>
      <c r="J185" t="s">
        <v>81</v>
      </c>
      <c r="K185" s="10" t="s">
        <v>42</v>
      </c>
      <c r="L185" t="s">
        <v>48</v>
      </c>
      <c r="M185" t="s">
        <v>37</v>
      </c>
      <c r="N185">
        <v>-0.24</v>
      </c>
      <c r="O185" t="s">
        <v>38</v>
      </c>
      <c r="P185">
        <v>100</v>
      </c>
      <c r="Q185">
        <v>0.1</v>
      </c>
      <c r="R185">
        <f>Q185/P185</f>
        <v>1E-3</v>
      </c>
      <c r="T185">
        <v>0.7</v>
      </c>
      <c r="U185">
        <v>100</v>
      </c>
      <c r="V185" t="s">
        <v>39</v>
      </c>
      <c r="W185">
        <v>5</v>
      </c>
      <c r="X185">
        <f t="shared" si="7"/>
        <v>20</v>
      </c>
    </row>
    <row r="186" spans="1:24" x14ac:dyDescent="0.75">
      <c r="A186" t="s">
        <v>466</v>
      </c>
      <c r="B186" t="s">
        <v>362</v>
      </c>
      <c r="C186" t="s">
        <v>47</v>
      </c>
      <c r="D186" t="s">
        <v>42</v>
      </c>
      <c r="E186" t="s">
        <v>42</v>
      </c>
      <c r="F186" t="s">
        <v>42</v>
      </c>
      <c r="G186" t="s">
        <v>42</v>
      </c>
      <c r="H186" t="s">
        <v>42</v>
      </c>
      <c r="I186" t="s">
        <v>42</v>
      </c>
      <c r="J186" t="s">
        <v>42</v>
      </c>
      <c r="K186" t="s">
        <v>42</v>
      </c>
      <c r="L186" t="s">
        <v>42</v>
      </c>
      <c r="M186" t="s">
        <v>42</v>
      </c>
      <c r="N186" t="s">
        <v>42</v>
      </c>
      <c r="O186" t="s">
        <v>42</v>
      </c>
      <c r="P186" t="s">
        <v>42</v>
      </c>
      <c r="Q186" t="s">
        <v>42</v>
      </c>
      <c r="R186" t="s">
        <v>42</v>
      </c>
      <c r="T186" t="s">
        <v>42</v>
      </c>
      <c r="U186" t="s">
        <v>42</v>
      </c>
      <c r="V186" t="s">
        <v>42</v>
      </c>
      <c r="W186" t="s">
        <v>42</v>
      </c>
      <c r="X186" t="s">
        <v>42</v>
      </c>
    </row>
    <row r="187" spans="1:24" x14ac:dyDescent="0.75">
      <c r="A187" t="s">
        <v>467</v>
      </c>
      <c r="B187" t="s">
        <v>363</v>
      </c>
      <c r="C187" t="s">
        <v>47</v>
      </c>
      <c r="D187" t="s">
        <v>42</v>
      </c>
      <c r="E187" t="s">
        <v>42</v>
      </c>
      <c r="F187" t="s">
        <v>42</v>
      </c>
      <c r="G187" t="s">
        <v>42</v>
      </c>
      <c r="H187" t="s">
        <v>42</v>
      </c>
      <c r="I187" t="s">
        <v>42</v>
      </c>
      <c r="J187" t="s">
        <v>42</v>
      </c>
      <c r="K187" t="s">
        <v>42</v>
      </c>
      <c r="L187" t="s">
        <v>42</v>
      </c>
      <c r="M187" t="s">
        <v>42</v>
      </c>
      <c r="N187" t="s">
        <v>42</v>
      </c>
      <c r="O187" t="s">
        <v>42</v>
      </c>
      <c r="P187" t="s">
        <v>42</v>
      </c>
      <c r="Q187" t="s">
        <v>42</v>
      </c>
      <c r="R187" t="s">
        <v>42</v>
      </c>
      <c r="T187" t="s">
        <v>42</v>
      </c>
      <c r="U187" t="s">
        <v>42</v>
      </c>
      <c r="V187" t="s">
        <v>42</v>
      </c>
      <c r="W187" t="s">
        <v>42</v>
      </c>
      <c r="X187" t="s">
        <v>42</v>
      </c>
    </row>
    <row r="188" spans="1:24" x14ac:dyDescent="0.75">
      <c r="A188" t="s">
        <v>468</v>
      </c>
      <c r="B188" t="s">
        <v>364</v>
      </c>
      <c r="C188" t="s">
        <v>47</v>
      </c>
      <c r="D188" t="s">
        <v>42</v>
      </c>
      <c r="E188" t="s">
        <v>42</v>
      </c>
      <c r="F188" t="s">
        <v>42</v>
      </c>
      <c r="G188" t="s">
        <v>42</v>
      </c>
      <c r="H188" t="s">
        <v>42</v>
      </c>
      <c r="I188" t="s">
        <v>42</v>
      </c>
      <c r="J188" t="s">
        <v>42</v>
      </c>
      <c r="K188" t="s">
        <v>42</v>
      </c>
      <c r="L188" t="s">
        <v>42</v>
      </c>
      <c r="M188" t="s">
        <v>42</v>
      </c>
      <c r="N188" t="s">
        <v>42</v>
      </c>
      <c r="O188" t="s">
        <v>42</v>
      </c>
      <c r="P188" t="s">
        <v>42</v>
      </c>
      <c r="Q188" t="s">
        <v>42</v>
      </c>
      <c r="R188" t="s">
        <v>42</v>
      </c>
      <c r="T188">
        <v>14.2</v>
      </c>
      <c r="U188">
        <v>1000</v>
      </c>
      <c r="V188" t="s">
        <v>3</v>
      </c>
      <c r="W188">
        <v>10</v>
      </c>
      <c r="X188">
        <f t="shared" si="7"/>
        <v>100</v>
      </c>
    </row>
    <row r="189" spans="1:24" x14ac:dyDescent="0.75">
      <c r="A189" t="s">
        <v>469</v>
      </c>
      <c r="B189" t="s">
        <v>365</v>
      </c>
      <c r="C189" t="s">
        <v>47</v>
      </c>
      <c r="D189" t="s">
        <v>42</v>
      </c>
      <c r="E189" t="s">
        <v>42</v>
      </c>
      <c r="F189" t="s">
        <v>42</v>
      </c>
      <c r="G189" t="s">
        <v>42</v>
      </c>
      <c r="H189" t="s">
        <v>42</v>
      </c>
      <c r="I189" t="s">
        <v>42</v>
      </c>
      <c r="J189" t="s">
        <v>42</v>
      </c>
      <c r="K189" t="s">
        <v>42</v>
      </c>
      <c r="L189" t="s">
        <v>42</v>
      </c>
      <c r="M189" t="s">
        <v>42</v>
      </c>
      <c r="N189" t="s">
        <v>42</v>
      </c>
      <c r="O189" t="s">
        <v>42</v>
      </c>
      <c r="P189" t="s">
        <v>42</v>
      </c>
      <c r="Q189" t="s">
        <v>42</v>
      </c>
      <c r="R189" t="s">
        <v>42</v>
      </c>
      <c r="T189" t="s">
        <v>42</v>
      </c>
      <c r="U189" t="s">
        <v>42</v>
      </c>
      <c r="V189" t="s">
        <v>42</v>
      </c>
      <c r="W189" t="s">
        <v>42</v>
      </c>
      <c r="X189" t="s">
        <v>42</v>
      </c>
    </row>
    <row r="190" spans="1:24" x14ac:dyDescent="0.75">
      <c r="A190" t="s">
        <v>366</v>
      </c>
      <c r="B190" t="s">
        <v>367</v>
      </c>
      <c r="C190" t="s">
        <v>55</v>
      </c>
      <c r="D190">
        <v>405</v>
      </c>
      <c r="E190" t="s">
        <v>58</v>
      </c>
      <c r="F190">
        <f>7.76*10^2</f>
        <v>776</v>
      </c>
      <c r="G190">
        <v>2.89</v>
      </c>
      <c r="H190" t="s">
        <v>58</v>
      </c>
      <c r="I190">
        <v>0.8</v>
      </c>
      <c r="J190" t="s">
        <v>81</v>
      </c>
      <c r="K190">
        <v>79</v>
      </c>
      <c r="L190" t="s">
        <v>36</v>
      </c>
      <c r="M190" t="s">
        <v>37</v>
      </c>
      <c r="N190">
        <v>-0.28000000000000003</v>
      </c>
      <c r="O190" t="s">
        <v>38</v>
      </c>
      <c r="P190">
        <v>10</v>
      </c>
      <c r="Q190">
        <v>2.0000000000000001E-4</v>
      </c>
      <c r="R190">
        <f>Q190/P190</f>
        <v>2.0000000000000002E-5</v>
      </c>
      <c r="T190">
        <v>52.4</v>
      </c>
      <c r="U190">
        <v>5</v>
      </c>
      <c r="V190" t="s">
        <v>39</v>
      </c>
      <c r="W190">
        <v>5</v>
      </c>
      <c r="X190">
        <f t="shared" si="7"/>
        <v>1</v>
      </c>
    </row>
    <row r="191" spans="1:24" x14ac:dyDescent="0.75">
      <c r="A191" t="s">
        <v>470</v>
      </c>
      <c r="B191" t="s">
        <v>368</v>
      </c>
      <c r="C191" t="s">
        <v>47</v>
      </c>
      <c r="D191">
        <v>1.0300000000000001E-3</v>
      </c>
      <c r="E191" t="s">
        <v>34</v>
      </c>
      <c r="F191">
        <f>1.05*10^7</f>
        <v>10500000</v>
      </c>
      <c r="G191">
        <v>7.02</v>
      </c>
      <c r="H191" t="s">
        <v>33</v>
      </c>
      <c r="I191">
        <v>1</v>
      </c>
      <c r="J191" t="s">
        <v>35</v>
      </c>
      <c r="K191">
        <v>1979</v>
      </c>
      <c r="L191" t="s">
        <v>52</v>
      </c>
      <c r="M191" t="s">
        <v>37</v>
      </c>
      <c r="N191">
        <v>-0.69</v>
      </c>
      <c r="O191" t="s">
        <v>38</v>
      </c>
      <c r="P191">
        <v>50</v>
      </c>
      <c r="Q191">
        <v>2.0999999999999999E-5</v>
      </c>
      <c r="R191">
        <f>Q191/P191</f>
        <v>4.2E-7</v>
      </c>
      <c r="T191">
        <v>3.5</v>
      </c>
      <c r="U191">
        <v>1.44</v>
      </c>
      <c r="V191" t="s">
        <v>39</v>
      </c>
      <c r="W191">
        <v>5</v>
      </c>
      <c r="X191">
        <f t="shared" si="7"/>
        <v>0.28799999999999998</v>
      </c>
    </row>
    <row r="192" spans="1:24" x14ac:dyDescent="0.75">
      <c r="A192" t="s">
        <v>369</v>
      </c>
      <c r="B192" t="s">
        <v>370</v>
      </c>
      <c r="C192" t="s">
        <v>55</v>
      </c>
      <c r="D192">
        <v>36</v>
      </c>
      <c r="E192" t="s">
        <v>34</v>
      </c>
      <c r="F192">
        <f>5.01*10^3</f>
        <v>5010</v>
      </c>
      <c r="G192">
        <v>3.7</v>
      </c>
      <c r="H192" t="s">
        <v>33</v>
      </c>
      <c r="I192">
        <v>42.6</v>
      </c>
      <c r="J192" t="s">
        <v>67</v>
      </c>
      <c r="K192">
        <v>78</v>
      </c>
      <c r="L192" t="s">
        <v>36</v>
      </c>
      <c r="M192">
        <v>2</v>
      </c>
      <c r="N192">
        <v>1.86</v>
      </c>
      <c r="O192" t="s">
        <v>59</v>
      </c>
      <c r="P192">
        <v>10</v>
      </c>
      <c r="Q192">
        <v>0.01</v>
      </c>
      <c r="R192">
        <v>1E-3</v>
      </c>
      <c r="T192">
        <v>47.1</v>
      </c>
      <c r="U192">
        <v>10</v>
      </c>
      <c r="V192" t="s">
        <v>39</v>
      </c>
      <c r="W192">
        <v>5</v>
      </c>
      <c r="X192">
        <f t="shared" si="7"/>
        <v>2</v>
      </c>
    </row>
    <row r="193" spans="1:24" x14ac:dyDescent="0.75">
      <c r="A193" t="s">
        <v>371</v>
      </c>
      <c r="B193" t="s">
        <v>372</v>
      </c>
      <c r="C193" t="s">
        <v>32</v>
      </c>
      <c r="D193">
        <v>6.6</v>
      </c>
      <c r="E193" t="s">
        <v>34</v>
      </c>
      <c r="F193">
        <f>2.51*10^3</f>
        <v>2510</v>
      </c>
      <c r="G193">
        <v>3.4</v>
      </c>
      <c r="H193" t="s">
        <v>33</v>
      </c>
      <c r="I193">
        <v>6</v>
      </c>
      <c r="J193" t="s">
        <v>35</v>
      </c>
      <c r="K193">
        <v>34</v>
      </c>
      <c r="L193" t="s">
        <v>36</v>
      </c>
      <c r="M193">
        <v>0.8</v>
      </c>
      <c r="N193">
        <v>2.19</v>
      </c>
      <c r="O193" t="s">
        <v>59</v>
      </c>
      <c r="P193">
        <v>100</v>
      </c>
      <c r="Q193">
        <v>1.2E-2</v>
      </c>
      <c r="R193">
        <v>1.2E-4</v>
      </c>
      <c r="T193">
        <v>21.8</v>
      </c>
      <c r="U193">
        <v>141.69999999999999</v>
      </c>
      <c r="V193" t="s">
        <v>3</v>
      </c>
      <c r="W193">
        <v>10</v>
      </c>
      <c r="X193">
        <f t="shared" si="7"/>
        <v>14.169999999999998</v>
      </c>
    </row>
    <row r="194" spans="1:24" x14ac:dyDescent="0.75">
      <c r="A194" t="s">
        <v>471</v>
      </c>
      <c r="B194" t="s">
        <v>373</v>
      </c>
      <c r="C194" t="s">
        <v>32</v>
      </c>
      <c r="D194">
        <v>327.10000000000002</v>
      </c>
      <c r="E194" t="s">
        <v>58</v>
      </c>
      <c r="F194">
        <f>2*10^2</f>
        <v>200</v>
      </c>
      <c r="G194">
        <v>2.2999999999999998</v>
      </c>
      <c r="H194" t="s">
        <v>34</v>
      </c>
      <c r="I194" t="s">
        <v>37</v>
      </c>
      <c r="J194" t="s">
        <v>37</v>
      </c>
      <c r="K194" t="s">
        <v>37</v>
      </c>
      <c r="L194" t="s">
        <v>37</v>
      </c>
      <c r="M194" t="s">
        <v>37</v>
      </c>
      <c r="N194">
        <v>3.07</v>
      </c>
      <c r="O194" t="s">
        <v>44</v>
      </c>
      <c r="P194">
        <v>1000</v>
      </c>
      <c r="Q194">
        <v>0.14000000000000001</v>
      </c>
      <c r="R194">
        <v>1.4000000000000001E-4</v>
      </c>
      <c r="T194">
        <v>28.6</v>
      </c>
      <c r="U194">
        <v>120</v>
      </c>
      <c r="V194" t="s">
        <v>3</v>
      </c>
      <c r="W194">
        <v>10</v>
      </c>
      <c r="X194">
        <f t="shared" si="7"/>
        <v>12</v>
      </c>
    </row>
    <row r="195" spans="1:24" x14ac:dyDescent="0.75">
      <c r="A195" t="s">
        <v>374</v>
      </c>
      <c r="B195" t="s">
        <v>375</v>
      </c>
      <c r="C195" t="s">
        <v>32</v>
      </c>
      <c r="D195">
        <v>25</v>
      </c>
      <c r="E195" t="s">
        <v>34</v>
      </c>
      <c r="F195">
        <f>4.57*10^3</f>
        <v>4570</v>
      </c>
      <c r="G195">
        <v>3.66</v>
      </c>
      <c r="H195" t="s">
        <v>33</v>
      </c>
      <c r="I195">
        <v>27</v>
      </c>
      <c r="J195" t="s">
        <v>73</v>
      </c>
      <c r="K195">
        <v>72.400000000000006</v>
      </c>
      <c r="L195" t="s">
        <v>36</v>
      </c>
      <c r="M195">
        <v>0.5</v>
      </c>
      <c r="N195">
        <v>2.21</v>
      </c>
      <c r="O195" t="s">
        <v>59</v>
      </c>
      <c r="P195">
        <v>100</v>
      </c>
      <c r="Q195">
        <v>1.6000000000000001E-3</v>
      </c>
      <c r="R195">
        <f t="shared" ref="R195:R206" si="11">Q195/P195</f>
        <v>1.5999999999999999E-5</v>
      </c>
      <c r="T195">
        <v>52</v>
      </c>
      <c r="U195">
        <v>170</v>
      </c>
      <c r="V195" t="s">
        <v>3</v>
      </c>
      <c r="W195">
        <v>10</v>
      </c>
      <c r="X195">
        <f t="shared" si="7"/>
        <v>17</v>
      </c>
    </row>
    <row r="196" spans="1:24" x14ac:dyDescent="0.75">
      <c r="A196" t="s">
        <v>376</v>
      </c>
      <c r="B196" t="s">
        <v>377</v>
      </c>
      <c r="C196" t="s">
        <v>55</v>
      </c>
      <c r="D196">
        <v>156.6</v>
      </c>
      <c r="E196" t="s">
        <v>58</v>
      </c>
      <c r="F196">
        <f>3.63*10^3</f>
        <v>3630</v>
      </c>
      <c r="G196">
        <v>3.56</v>
      </c>
      <c r="H196" t="s">
        <v>33</v>
      </c>
      <c r="I196">
        <v>2</v>
      </c>
      <c r="J196" t="s">
        <v>35</v>
      </c>
      <c r="K196">
        <v>35.700000000000003</v>
      </c>
      <c r="L196" t="s">
        <v>36</v>
      </c>
      <c r="M196">
        <v>0.189</v>
      </c>
      <c r="N196">
        <v>2.4700000000000002</v>
      </c>
      <c r="O196" t="s">
        <v>59</v>
      </c>
      <c r="P196">
        <v>100</v>
      </c>
      <c r="Q196">
        <v>0.19</v>
      </c>
      <c r="R196">
        <f t="shared" si="11"/>
        <v>1.9E-3</v>
      </c>
      <c r="T196">
        <v>430</v>
      </c>
      <c r="U196">
        <v>8.1999999999999993</v>
      </c>
      <c r="V196" t="s">
        <v>39</v>
      </c>
      <c r="W196">
        <v>5</v>
      </c>
      <c r="X196">
        <f t="shared" si="7"/>
        <v>1.64</v>
      </c>
    </row>
    <row r="197" spans="1:24" x14ac:dyDescent="0.75">
      <c r="A197" t="s">
        <v>378</v>
      </c>
      <c r="B197" t="s">
        <v>379</v>
      </c>
      <c r="C197" t="s">
        <v>47</v>
      </c>
      <c r="D197">
        <v>1.83</v>
      </c>
      <c r="E197" t="s">
        <v>34</v>
      </c>
      <c r="F197">
        <f>3.98*10^4</f>
        <v>39800</v>
      </c>
      <c r="G197">
        <v>4.5999999999999996</v>
      </c>
      <c r="H197" t="s">
        <v>33</v>
      </c>
      <c r="I197" t="s">
        <v>37</v>
      </c>
      <c r="J197" t="s">
        <v>37</v>
      </c>
      <c r="K197" t="s">
        <v>37</v>
      </c>
      <c r="L197" t="s">
        <v>37</v>
      </c>
      <c r="M197" t="s">
        <v>37</v>
      </c>
      <c r="N197">
        <v>-0.42</v>
      </c>
      <c r="O197" t="s">
        <v>38</v>
      </c>
      <c r="P197">
        <v>1000</v>
      </c>
      <c r="Q197">
        <v>1.6E-2</v>
      </c>
      <c r="R197">
        <f t="shared" si="11"/>
        <v>1.5999999999999999E-5</v>
      </c>
      <c r="T197" t="s">
        <v>37</v>
      </c>
      <c r="U197" t="s">
        <v>37</v>
      </c>
      <c r="V197" t="s">
        <v>37</v>
      </c>
      <c r="W197" t="s">
        <v>37</v>
      </c>
      <c r="X197" t="s">
        <v>37</v>
      </c>
    </row>
    <row r="198" spans="1:24" x14ac:dyDescent="0.75">
      <c r="A198" t="s">
        <v>380</v>
      </c>
      <c r="B198" t="s">
        <v>381</v>
      </c>
      <c r="C198" t="s">
        <v>47</v>
      </c>
      <c r="D198">
        <v>30</v>
      </c>
      <c r="E198" t="s">
        <v>34</v>
      </c>
      <c r="F198">
        <f>2.45*10^2</f>
        <v>245.00000000000003</v>
      </c>
      <c r="G198">
        <v>2.39</v>
      </c>
      <c r="H198" t="s">
        <v>34</v>
      </c>
      <c r="I198">
        <v>1.6</v>
      </c>
      <c r="J198" t="s">
        <v>35</v>
      </c>
      <c r="K198">
        <v>96.5</v>
      </c>
      <c r="L198" t="s">
        <v>36</v>
      </c>
      <c r="M198" t="s">
        <v>37</v>
      </c>
      <c r="N198">
        <v>1.94</v>
      </c>
      <c r="O198" t="s">
        <v>59</v>
      </c>
      <c r="P198">
        <v>10</v>
      </c>
      <c r="Q198">
        <v>1.2E-2</v>
      </c>
      <c r="R198">
        <f t="shared" si="11"/>
        <v>1.2000000000000001E-3</v>
      </c>
      <c r="T198">
        <v>724</v>
      </c>
      <c r="U198">
        <v>2.1</v>
      </c>
      <c r="V198" t="s">
        <v>39</v>
      </c>
      <c r="W198">
        <v>5</v>
      </c>
      <c r="X198">
        <f t="shared" si="7"/>
        <v>0.42000000000000004</v>
      </c>
    </row>
    <row r="199" spans="1:24" x14ac:dyDescent="0.75">
      <c r="A199" t="s">
        <v>382</v>
      </c>
      <c r="B199" t="s">
        <v>383</v>
      </c>
      <c r="C199" t="s">
        <v>47</v>
      </c>
      <c r="D199">
        <v>184</v>
      </c>
      <c r="E199" t="s">
        <v>58</v>
      </c>
      <c r="F199">
        <f>1.82*10^1</f>
        <v>18.2</v>
      </c>
      <c r="G199">
        <v>1.26</v>
      </c>
      <c r="H199" t="s">
        <v>34</v>
      </c>
      <c r="I199">
        <v>1000</v>
      </c>
      <c r="J199" t="s">
        <v>67</v>
      </c>
      <c r="K199" s="10" t="s">
        <v>42</v>
      </c>
      <c r="L199" t="s">
        <v>48</v>
      </c>
      <c r="M199" t="s">
        <v>37</v>
      </c>
      <c r="N199">
        <v>1.1000000000000001</v>
      </c>
      <c r="O199" t="s">
        <v>38</v>
      </c>
      <c r="P199">
        <v>10</v>
      </c>
      <c r="Q199">
        <v>1.9000000000000001E-4</v>
      </c>
      <c r="R199">
        <f t="shared" si="11"/>
        <v>1.9000000000000001E-5</v>
      </c>
      <c r="T199">
        <v>8.1</v>
      </c>
      <c r="U199">
        <v>0.185</v>
      </c>
      <c r="V199" t="s">
        <v>39</v>
      </c>
      <c r="W199">
        <v>5</v>
      </c>
      <c r="X199">
        <f t="shared" ref="X199:X209" si="12">U199/W199</f>
        <v>3.6999999999999998E-2</v>
      </c>
    </row>
    <row r="200" spans="1:24" x14ac:dyDescent="0.75">
      <c r="A200" t="s">
        <v>384</v>
      </c>
      <c r="B200" t="s">
        <v>385</v>
      </c>
      <c r="C200" t="s">
        <v>47</v>
      </c>
      <c r="D200">
        <v>4100</v>
      </c>
      <c r="E200" t="s">
        <v>33</v>
      </c>
      <c r="F200">
        <f>7.41*10^-1</f>
        <v>0.7410000000000001</v>
      </c>
      <c r="G200">
        <v>-0.13</v>
      </c>
      <c r="H200" t="s">
        <v>34</v>
      </c>
      <c r="I200">
        <v>30.6</v>
      </c>
      <c r="J200" t="s">
        <v>67</v>
      </c>
      <c r="K200" s="10" t="s">
        <v>42</v>
      </c>
      <c r="L200" t="s">
        <v>48</v>
      </c>
      <c r="M200" t="s">
        <v>37</v>
      </c>
      <c r="N200">
        <v>3.58</v>
      </c>
      <c r="O200" t="s">
        <v>44</v>
      </c>
      <c r="P200">
        <v>100</v>
      </c>
      <c r="Q200">
        <v>0.01</v>
      </c>
      <c r="R200">
        <f t="shared" si="11"/>
        <v>1E-4</v>
      </c>
      <c r="T200">
        <v>39</v>
      </c>
      <c r="U200">
        <v>5.34</v>
      </c>
      <c r="V200" t="s">
        <v>39</v>
      </c>
      <c r="W200">
        <v>5</v>
      </c>
      <c r="X200">
        <f t="shared" si="12"/>
        <v>1.0680000000000001</v>
      </c>
    </row>
    <row r="201" spans="1:24" x14ac:dyDescent="0.75">
      <c r="A201" t="s">
        <v>472</v>
      </c>
      <c r="B201" t="s">
        <v>386</v>
      </c>
      <c r="C201" t="s">
        <v>32</v>
      </c>
      <c r="D201">
        <v>436</v>
      </c>
      <c r="E201" t="s">
        <v>58</v>
      </c>
      <c r="F201">
        <f>1.05*10^-2</f>
        <v>1.0500000000000001E-2</v>
      </c>
      <c r="G201">
        <v>-1.98</v>
      </c>
      <c r="H201" t="s">
        <v>34</v>
      </c>
      <c r="I201">
        <v>21.3</v>
      </c>
      <c r="J201" t="s">
        <v>73</v>
      </c>
      <c r="K201" s="10" t="s">
        <v>42</v>
      </c>
      <c r="L201" t="s">
        <v>48</v>
      </c>
      <c r="M201" t="s">
        <v>37</v>
      </c>
      <c r="N201">
        <v>2.46</v>
      </c>
      <c r="O201" t="s">
        <v>59</v>
      </c>
      <c r="P201">
        <v>100</v>
      </c>
      <c r="Q201">
        <v>8.0000000000000004E-4</v>
      </c>
      <c r="R201">
        <f t="shared" si="11"/>
        <v>7.9999999999999996E-6</v>
      </c>
      <c r="T201">
        <v>17</v>
      </c>
      <c r="U201">
        <v>1000</v>
      </c>
      <c r="V201" t="s">
        <v>3</v>
      </c>
      <c r="W201">
        <v>10</v>
      </c>
      <c r="X201">
        <f t="shared" si="12"/>
        <v>100</v>
      </c>
    </row>
    <row r="202" spans="1:24" x14ac:dyDescent="0.75">
      <c r="A202" t="s">
        <v>473</v>
      </c>
      <c r="B202" t="s">
        <v>387</v>
      </c>
      <c r="C202" t="s">
        <v>55</v>
      </c>
      <c r="D202">
        <v>18.5</v>
      </c>
      <c r="E202" t="s">
        <v>34</v>
      </c>
      <c r="F202">
        <f>2.51*10^1</f>
        <v>25.099999999999998</v>
      </c>
      <c r="G202">
        <v>1.4</v>
      </c>
      <c r="H202" t="s">
        <v>34</v>
      </c>
      <c r="I202">
        <v>3</v>
      </c>
      <c r="J202" t="s">
        <v>35</v>
      </c>
      <c r="K202">
        <v>75</v>
      </c>
      <c r="L202" t="s">
        <v>36</v>
      </c>
      <c r="M202" t="s">
        <v>37</v>
      </c>
      <c r="N202">
        <v>0.5</v>
      </c>
      <c r="O202" t="s">
        <v>38</v>
      </c>
      <c r="P202">
        <v>100</v>
      </c>
      <c r="Q202">
        <v>0.18</v>
      </c>
      <c r="R202">
        <f t="shared" si="11"/>
        <v>1.8E-3</v>
      </c>
      <c r="T202">
        <v>2</v>
      </c>
      <c r="U202">
        <v>1.6</v>
      </c>
      <c r="V202" t="s">
        <v>39</v>
      </c>
      <c r="W202">
        <v>5</v>
      </c>
      <c r="X202">
        <f t="shared" si="12"/>
        <v>0.32</v>
      </c>
    </row>
    <row r="203" spans="1:24" x14ac:dyDescent="0.75">
      <c r="A203" t="s">
        <v>388</v>
      </c>
      <c r="B203" t="s">
        <v>389</v>
      </c>
      <c r="C203" t="s">
        <v>55</v>
      </c>
      <c r="D203">
        <v>0.9</v>
      </c>
      <c r="E203" t="s">
        <v>34</v>
      </c>
      <c r="F203">
        <f>7.94*10^3</f>
        <v>7940</v>
      </c>
      <c r="G203">
        <v>3.9</v>
      </c>
      <c r="H203" t="s">
        <v>33</v>
      </c>
      <c r="I203">
        <v>14</v>
      </c>
      <c r="J203" t="s">
        <v>73</v>
      </c>
      <c r="K203">
        <v>74</v>
      </c>
      <c r="L203" t="s">
        <v>36</v>
      </c>
      <c r="M203">
        <v>0.38</v>
      </c>
      <c r="N203" t="s">
        <v>37</v>
      </c>
      <c r="O203" t="s">
        <v>37</v>
      </c>
      <c r="P203">
        <v>10</v>
      </c>
      <c r="Q203">
        <v>9.7999999999999997E-3</v>
      </c>
      <c r="R203">
        <f t="shared" si="11"/>
        <v>9.7999999999999997E-4</v>
      </c>
      <c r="T203">
        <v>6</v>
      </c>
      <c r="U203">
        <v>1000</v>
      </c>
      <c r="V203" t="s">
        <v>3</v>
      </c>
      <c r="W203">
        <v>10</v>
      </c>
      <c r="X203">
        <f t="shared" si="12"/>
        <v>100</v>
      </c>
    </row>
    <row r="204" spans="1:24" x14ac:dyDescent="0.75">
      <c r="A204" t="s">
        <v>474</v>
      </c>
      <c r="B204" t="s">
        <v>390</v>
      </c>
      <c r="C204" t="s">
        <v>42</v>
      </c>
      <c r="D204" t="s">
        <v>37</v>
      </c>
      <c r="E204" t="s">
        <v>37</v>
      </c>
      <c r="F204" t="s">
        <v>37</v>
      </c>
      <c r="G204" t="s">
        <v>37</v>
      </c>
      <c r="H204" t="s">
        <v>37</v>
      </c>
      <c r="I204" t="s">
        <v>37</v>
      </c>
      <c r="J204" t="s">
        <v>37</v>
      </c>
      <c r="K204" t="s">
        <v>37</v>
      </c>
      <c r="L204" t="s">
        <v>37</v>
      </c>
      <c r="M204" t="s">
        <v>37</v>
      </c>
      <c r="N204">
        <v>1.1499999999999999</v>
      </c>
      <c r="O204" t="s">
        <v>38</v>
      </c>
      <c r="P204">
        <v>1000</v>
      </c>
      <c r="Q204">
        <v>5.75</v>
      </c>
      <c r="R204">
        <f t="shared" si="11"/>
        <v>5.7499999999999999E-3</v>
      </c>
      <c r="T204" t="s">
        <v>37</v>
      </c>
      <c r="U204" t="s">
        <v>37</v>
      </c>
      <c r="V204" t="s">
        <v>37</v>
      </c>
      <c r="W204" t="s">
        <v>37</v>
      </c>
      <c r="X204" t="s">
        <v>37</v>
      </c>
    </row>
    <row r="205" spans="1:24" x14ac:dyDescent="0.75">
      <c r="A205" t="s">
        <v>475</v>
      </c>
      <c r="B205" t="s">
        <v>391</v>
      </c>
      <c r="C205" t="s">
        <v>32</v>
      </c>
      <c r="D205">
        <v>4.0999999999999996</v>
      </c>
      <c r="E205" t="s">
        <v>34</v>
      </c>
      <c r="F205">
        <f>1.15*10^4</f>
        <v>11500</v>
      </c>
      <c r="G205">
        <v>4.0599999999999996</v>
      </c>
      <c r="H205" t="s">
        <v>33</v>
      </c>
      <c r="I205">
        <v>104</v>
      </c>
      <c r="J205" t="s">
        <v>67</v>
      </c>
      <c r="K205">
        <v>1400</v>
      </c>
      <c r="L205" t="s">
        <v>52</v>
      </c>
      <c r="M205" t="s">
        <v>37</v>
      </c>
      <c r="N205">
        <v>0.61</v>
      </c>
      <c r="O205" t="s">
        <v>38</v>
      </c>
      <c r="P205">
        <v>10</v>
      </c>
      <c r="Q205">
        <v>1.2999999999999999E-2</v>
      </c>
      <c r="R205">
        <f t="shared" si="11"/>
        <v>1.2999999999999999E-3</v>
      </c>
      <c r="T205">
        <v>46</v>
      </c>
      <c r="U205">
        <v>13.62</v>
      </c>
      <c r="V205" t="s">
        <v>39</v>
      </c>
      <c r="W205">
        <v>5</v>
      </c>
      <c r="X205">
        <f t="shared" si="12"/>
        <v>2.7239999999999998</v>
      </c>
    </row>
    <row r="206" spans="1:24" x14ac:dyDescent="0.75">
      <c r="A206" t="s">
        <v>392</v>
      </c>
      <c r="B206" t="s">
        <v>393</v>
      </c>
      <c r="C206" t="s">
        <v>55</v>
      </c>
      <c r="D206">
        <v>596</v>
      </c>
      <c r="E206" t="s">
        <v>33</v>
      </c>
      <c r="F206">
        <f>2.51*10^1</f>
        <v>25.099999999999998</v>
      </c>
      <c r="G206">
        <v>1.4</v>
      </c>
      <c r="H206" t="s">
        <v>34</v>
      </c>
      <c r="I206">
        <v>92</v>
      </c>
      <c r="J206" t="s">
        <v>67</v>
      </c>
      <c r="K206">
        <v>3.1</v>
      </c>
      <c r="L206" t="s">
        <v>36</v>
      </c>
      <c r="M206" t="s">
        <v>37</v>
      </c>
      <c r="N206">
        <v>3.89</v>
      </c>
      <c r="O206" t="s">
        <v>44</v>
      </c>
      <c r="P206">
        <v>50</v>
      </c>
      <c r="Q206">
        <v>8.1000000000000003E-2</v>
      </c>
      <c r="R206">
        <f t="shared" si="11"/>
        <v>1.6200000000000001E-3</v>
      </c>
      <c r="T206">
        <v>130</v>
      </c>
      <c r="U206">
        <v>250</v>
      </c>
      <c r="V206" t="s">
        <v>39</v>
      </c>
      <c r="W206">
        <v>5</v>
      </c>
      <c r="X206">
        <f t="shared" si="12"/>
        <v>50</v>
      </c>
    </row>
    <row r="207" spans="1:24" x14ac:dyDescent="0.75">
      <c r="A207" t="s">
        <v>394</v>
      </c>
      <c r="B207" t="s">
        <v>395</v>
      </c>
      <c r="C207" t="s">
        <v>55</v>
      </c>
      <c r="D207">
        <v>0.61</v>
      </c>
      <c r="E207" t="s">
        <v>34</v>
      </c>
      <c r="F207">
        <f>3.16*10^4</f>
        <v>31600</v>
      </c>
      <c r="G207">
        <v>4.5</v>
      </c>
      <c r="H207" t="s">
        <v>33</v>
      </c>
      <c r="I207">
        <v>1.1000000000000001</v>
      </c>
      <c r="J207" t="s">
        <v>35</v>
      </c>
      <c r="K207">
        <v>431</v>
      </c>
      <c r="L207" t="s">
        <v>52</v>
      </c>
      <c r="M207" t="s">
        <v>37</v>
      </c>
      <c r="N207">
        <v>0.15</v>
      </c>
      <c r="O207" t="s">
        <v>38</v>
      </c>
      <c r="P207">
        <v>100</v>
      </c>
      <c r="Q207">
        <v>3.0000000000000001E-3</v>
      </c>
      <c r="R207">
        <v>3.0000000000000001E-5</v>
      </c>
      <c r="T207">
        <v>1.69</v>
      </c>
      <c r="U207">
        <v>3.5</v>
      </c>
      <c r="V207" t="s">
        <v>39</v>
      </c>
      <c r="W207">
        <v>5</v>
      </c>
      <c r="X207">
        <f t="shared" si="12"/>
        <v>0.7</v>
      </c>
    </row>
    <row r="208" spans="1:24" x14ac:dyDescent="0.75">
      <c r="A208" t="s">
        <v>476</v>
      </c>
      <c r="B208" t="s">
        <v>396</v>
      </c>
      <c r="C208" t="s">
        <v>55</v>
      </c>
      <c r="D208">
        <v>21000</v>
      </c>
      <c r="E208" t="s">
        <v>33</v>
      </c>
      <c r="F208" t="s">
        <v>37</v>
      </c>
      <c r="G208" t="s">
        <v>37</v>
      </c>
      <c r="H208" t="s">
        <v>37</v>
      </c>
      <c r="I208">
        <v>210</v>
      </c>
      <c r="J208" t="s">
        <v>67</v>
      </c>
      <c r="K208" t="s">
        <v>37</v>
      </c>
      <c r="L208" t="s">
        <v>37</v>
      </c>
      <c r="M208" t="s">
        <v>37</v>
      </c>
      <c r="N208">
        <v>3.57</v>
      </c>
      <c r="O208" t="s">
        <v>44</v>
      </c>
      <c r="P208">
        <v>50</v>
      </c>
      <c r="Q208">
        <v>3.2</v>
      </c>
      <c r="R208">
        <v>6.4000000000000001E-2</v>
      </c>
      <c r="T208">
        <v>70</v>
      </c>
      <c r="U208">
        <v>1000</v>
      </c>
      <c r="V208" t="s">
        <v>3</v>
      </c>
      <c r="W208">
        <v>10</v>
      </c>
      <c r="X208">
        <f t="shared" si="12"/>
        <v>100</v>
      </c>
    </row>
    <row r="209" spans="1:24" x14ac:dyDescent="0.75">
      <c r="A209" t="s">
        <v>477</v>
      </c>
      <c r="B209" t="s">
        <v>397</v>
      </c>
      <c r="C209" t="s">
        <v>55</v>
      </c>
      <c r="D209">
        <v>0.68100000000000005</v>
      </c>
      <c r="E209" t="s">
        <v>34</v>
      </c>
      <c r="F209">
        <f>5.75*10^3</f>
        <v>5750</v>
      </c>
      <c r="G209">
        <v>3.76</v>
      </c>
      <c r="H209" t="s">
        <v>33</v>
      </c>
      <c r="I209">
        <v>3</v>
      </c>
      <c r="J209" t="s">
        <v>35</v>
      </c>
      <c r="K209">
        <v>115</v>
      </c>
      <c r="L209" t="s">
        <v>52</v>
      </c>
      <c r="M209">
        <v>0.4</v>
      </c>
      <c r="N209">
        <v>0.71</v>
      </c>
      <c r="O209" t="s">
        <v>38</v>
      </c>
      <c r="P209">
        <v>100</v>
      </c>
      <c r="Q209">
        <v>4.0000000000000001E-3</v>
      </c>
      <c r="R209">
        <v>4.0000000000000003E-5</v>
      </c>
      <c r="T209">
        <v>6</v>
      </c>
      <c r="U209">
        <v>66.7</v>
      </c>
      <c r="V209" t="s">
        <v>39</v>
      </c>
      <c r="W209">
        <v>5</v>
      </c>
      <c r="X209">
        <f t="shared" si="12"/>
        <v>13.34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Read me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nvangroeningen</dc:creator>
  <cp:keywords/>
  <dc:description/>
  <cp:lastModifiedBy>Flo Christ</cp:lastModifiedBy>
  <cp:revision/>
  <dcterms:created xsi:type="dcterms:W3CDTF">2022-07-12T06:34:32Z</dcterms:created>
  <dcterms:modified xsi:type="dcterms:W3CDTF">2023-10-01T10:18:21Z</dcterms:modified>
  <cp:category/>
  <cp:contentStatus/>
</cp:coreProperties>
</file>