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268" documentId="8_{1CDD6921-98D4-4333-B61B-C2FF6EF60AF1}" xr6:coauthVersionLast="47" xr6:coauthVersionMax="47" xr10:uidLastSave="{A60AD504-71D6-4101-B0C2-9D8A79165A84}"/>
  <bookViews>
    <workbookView xWindow="57480" yWindow="-120" windowWidth="29040" windowHeight="15720" firstSheet="1" activeTab="1" xr2:uid="{00000000-000D-0000-FFFF-FFFF00000000}"/>
  </bookViews>
  <sheets>
    <sheet name="Read me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6" i="1" l="1"/>
  <c r="Y56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8" i="1"/>
  <c r="Y29" i="1"/>
  <c r="Y30" i="1"/>
  <c r="Y32" i="1"/>
  <c r="Y34" i="1"/>
  <c r="Y35" i="1"/>
  <c r="Y36" i="1"/>
  <c r="Y37" i="1"/>
  <c r="Y38" i="1"/>
  <c r="Y39" i="1"/>
  <c r="Y40" i="1"/>
  <c r="Y41" i="1"/>
  <c r="Y42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80" i="1"/>
  <c r="Y81" i="1"/>
  <c r="Y82" i="1"/>
  <c r="Y83" i="1"/>
  <c r="Y84" i="1"/>
  <c r="Y85" i="1"/>
  <c r="Y87" i="1"/>
  <c r="Y88" i="1"/>
  <c r="Y89" i="1"/>
  <c r="Y90" i="1"/>
  <c r="Y91" i="1"/>
  <c r="Y92" i="1"/>
  <c r="Y93" i="1"/>
  <c r="Y95" i="1"/>
  <c r="Y96" i="1"/>
  <c r="Y97" i="1"/>
  <c r="Y98" i="1"/>
  <c r="Y99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7" i="1"/>
  <c r="Y119" i="1"/>
  <c r="Y120" i="1"/>
  <c r="Y121" i="1"/>
  <c r="Y122" i="1"/>
  <c r="Y123" i="1"/>
  <c r="Y124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8" i="1"/>
  <c r="Y150" i="1"/>
  <c r="Y156" i="1"/>
  <c r="Y157" i="1"/>
  <c r="Y158" i="1"/>
  <c r="Y159" i="1"/>
  <c r="Y160" i="1"/>
  <c r="Y161" i="1"/>
  <c r="Y162" i="1"/>
  <c r="Y164" i="1"/>
  <c r="Y165" i="1"/>
  <c r="Y166" i="1"/>
  <c r="Y167" i="1"/>
  <c r="Y168" i="1"/>
  <c r="Y169" i="1"/>
  <c r="Y170" i="1"/>
  <c r="Y171" i="1"/>
  <c r="Y172" i="1"/>
  <c r="Y173" i="1"/>
  <c r="Y175" i="1"/>
  <c r="Y176" i="1"/>
  <c r="Y177" i="1"/>
  <c r="Y178" i="1"/>
  <c r="Y179" i="1"/>
  <c r="Y180" i="1"/>
  <c r="Y181" i="1"/>
  <c r="Y182" i="1"/>
  <c r="Y185" i="1"/>
  <c r="Y188" i="1"/>
  <c r="Y190" i="1"/>
  <c r="Y191" i="1"/>
  <c r="Y192" i="1"/>
  <c r="Y193" i="1"/>
  <c r="Y194" i="1"/>
  <c r="Y195" i="1"/>
  <c r="Y196" i="1"/>
  <c r="Y198" i="1"/>
  <c r="Y199" i="1"/>
  <c r="Y200" i="1"/>
  <c r="Y201" i="1"/>
  <c r="Y202" i="1"/>
  <c r="Y203" i="1"/>
  <c r="Y205" i="1"/>
  <c r="Y206" i="1"/>
  <c r="Y207" i="1"/>
  <c r="Y208" i="1"/>
  <c r="Y209" i="1"/>
  <c r="Y7" i="1"/>
  <c r="Y5" i="1"/>
  <c r="Y4" i="1"/>
  <c r="Y2" i="1"/>
  <c r="Y3" i="1"/>
  <c r="S203" i="1"/>
  <c r="S157" i="1"/>
  <c r="S130" i="1"/>
  <c r="S129" i="1"/>
  <c r="G129" i="1"/>
  <c r="S125" i="1"/>
  <c r="G125" i="1"/>
  <c r="S92" i="1"/>
  <c r="G92" i="1"/>
  <c r="S73" i="1"/>
  <c r="S10" i="1"/>
  <c r="S94" i="1"/>
  <c r="G94" i="1"/>
  <c r="G209" i="1"/>
  <c r="G206" i="1"/>
  <c r="S205" i="1"/>
  <c r="G205" i="1"/>
  <c r="S204" i="1"/>
  <c r="G204" i="1"/>
  <c r="S202" i="1"/>
  <c r="G202" i="1"/>
  <c r="S201" i="1"/>
  <c r="G201" i="1"/>
  <c r="S200" i="1"/>
  <c r="G200" i="1"/>
  <c r="S199" i="1"/>
  <c r="G199" i="1"/>
  <c r="S198" i="1"/>
  <c r="G198" i="1"/>
  <c r="S197" i="1"/>
  <c r="G197" i="1"/>
  <c r="S196" i="1"/>
  <c r="G196" i="1"/>
  <c r="S195" i="1"/>
  <c r="G195" i="1"/>
  <c r="S194" i="1"/>
  <c r="G194" i="1"/>
  <c r="G193" i="1"/>
  <c r="G192" i="1"/>
  <c r="G191" i="1"/>
  <c r="S190" i="1"/>
  <c r="G190" i="1"/>
  <c r="S189" i="1"/>
  <c r="G189" i="1"/>
  <c r="S184" i="1"/>
  <c r="G184" i="1"/>
  <c r="G183" i="1"/>
  <c r="G182" i="1"/>
  <c r="S181" i="1"/>
  <c r="G181" i="1"/>
  <c r="S180" i="1"/>
  <c r="G180" i="1"/>
  <c r="S179" i="1"/>
  <c r="G179" i="1"/>
  <c r="S178" i="1"/>
  <c r="G178" i="1"/>
  <c r="S177" i="1"/>
  <c r="G177" i="1"/>
  <c r="S176" i="1"/>
  <c r="G176" i="1"/>
  <c r="S175" i="1"/>
  <c r="G175" i="1"/>
  <c r="S174" i="1"/>
  <c r="G174" i="1"/>
  <c r="G172" i="1"/>
  <c r="S171" i="1"/>
  <c r="G171" i="1"/>
  <c r="S170" i="1"/>
  <c r="G170" i="1"/>
  <c r="S169" i="1"/>
  <c r="G169" i="1"/>
  <c r="S168" i="1"/>
  <c r="G168" i="1"/>
  <c r="S167" i="1"/>
  <c r="G167" i="1"/>
  <c r="G166" i="1"/>
  <c r="G165" i="1"/>
  <c r="S164" i="1"/>
  <c r="G164" i="1"/>
  <c r="S163" i="1"/>
  <c r="G163" i="1"/>
  <c r="S162" i="1"/>
  <c r="G162" i="1"/>
  <c r="G161" i="1"/>
  <c r="S160" i="1"/>
  <c r="G160" i="1"/>
  <c r="S159" i="1"/>
  <c r="G159" i="1"/>
  <c r="G158" i="1"/>
  <c r="S155" i="1"/>
  <c r="G155" i="1"/>
  <c r="S151" i="1"/>
  <c r="G151" i="1"/>
  <c r="S149" i="1"/>
  <c r="G149" i="1"/>
  <c r="S148" i="1"/>
  <c r="G148" i="1"/>
  <c r="S147" i="1"/>
  <c r="G147" i="1"/>
  <c r="S145" i="1"/>
  <c r="G145" i="1"/>
  <c r="G144" i="1"/>
  <c r="S143" i="1"/>
  <c r="G143" i="1"/>
  <c r="S142" i="1"/>
  <c r="G142" i="1"/>
  <c r="G141" i="1"/>
  <c r="S140" i="1"/>
  <c r="G140" i="1"/>
  <c r="S139" i="1"/>
  <c r="G139" i="1"/>
  <c r="S138" i="1"/>
  <c r="G138" i="1"/>
  <c r="S137" i="1"/>
  <c r="G137" i="1"/>
  <c r="S136" i="1"/>
  <c r="G136" i="1"/>
  <c r="S135" i="1"/>
  <c r="G135" i="1"/>
  <c r="G134" i="1"/>
  <c r="S133" i="1"/>
  <c r="G133" i="1"/>
  <c r="G132" i="1"/>
  <c r="G131" i="1"/>
  <c r="S128" i="1"/>
  <c r="G128" i="1"/>
  <c r="G127" i="1"/>
  <c r="S126" i="1"/>
  <c r="G126" i="1"/>
  <c r="G123" i="1"/>
  <c r="S122" i="1"/>
  <c r="G122" i="1"/>
  <c r="S121" i="1"/>
  <c r="G121" i="1"/>
  <c r="S120" i="1"/>
  <c r="G120" i="1"/>
  <c r="S118" i="1"/>
  <c r="G118" i="1"/>
  <c r="S116" i="1"/>
  <c r="G116" i="1"/>
  <c r="S114" i="1"/>
  <c r="G114" i="1"/>
  <c r="G113" i="1"/>
  <c r="G112" i="1"/>
  <c r="S111" i="1"/>
  <c r="G111" i="1"/>
  <c r="S110" i="1"/>
  <c r="G110" i="1"/>
  <c r="G109" i="1"/>
  <c r="S108" i="1"/>
  <c r="G108" i="1"/>
  <c r="S107" i="1"/>
  <c r="G107" i="1"/>
  <c r="S106" i="1"/>
  <c r="G106" i="1"/>
  <c r="S105" i="1"/>
  <c r="G105" i="1"/>
  <c r="S104" i="1"/>
  <c r="G104" i="1"/>
  <c r="S103" i="1"/>
  <c r="G103" i="1"/>
  <c r="G102" i="1"/>
  <c r="S101" i="1"/>
  <c r="G101" i="1"/>
  <c r="S98" i="1"/>
  <c r="G98" i="1"/>
  <c r="S48" i="1"/>
  <c r="S8" i="1"/>
  <c r="S97" i="1"/>
  <c r="G97" i="1"/>
  <c r="G96" i="1"/>
  <c r="G95" i="1"/>
  <c r="S93" i="1"/>
  <c r="G93" i="1"/>
  <c r="S91" i="1"/>
  <c r="G91" i="1"/>
  <c r="S90" i="1"/>
  <c r="G90" i="1"/>
  <c r="S89" i="1"/>
  <c r="G89" i="1"/>
  <c r="S88" i="1"/>
  <c r="G88" i="1"/>
  <c r="S87" i="1"/>
  <c r="G87" i="1"/>
  <c r="S86" i="1"/>
  <c r="G86" i="1"/>
  <c r="S85" i="1"/>
  <c r="G85" i="1"/>
  <c r="S83" i="1"/>
  <c r="G83" i="1"/>
  <c r="S82" i="1"/>
  <c r="G82" i="1"/>
  <c r="S81" i="1"/>
  <c r="G81" i="1"/>
  <c r="S80" i="1"/>
  <c r="G80" i="1"/>
  <c r="S79" i="1"/>
  <c r="G79" i="1"/>
  <c r="S78" i="1"/>
  <c r="G78" i="1"/>
  <c r="G77" i="1"/>
  <c r="S76" i="1"/>
  <c r="G76" i="1"/>
  <c r="S75" i="1"/>
  <c r="G75" i="1"/>
  <c r="S74" i="1"/>
  <c r="G74" i="1"/>
  <c r="S72" i="1"/>
  <c r="G72" i="1"/>
  <c r="G71" i="1"/>
  <c r="S70" i="1"/>
  <c r="G70" i="1"/>
  <c r="S69" i="1"/>
  <c r="G69" i="1"/>
  <c r="S68" i="1"/>
  <c r="G68" i="1"/>
  <c r="S67" i="1"/>
  <c r="G67" i="1"/>
  <c r="S66" i="1"/>
  <c r="G66" i="1"/>
  <c r="G65" i="1"/>
  <c r="S63" i="1"/>
  <c r="S61" i="1"/>
  <c r="S59" i="1"/>
  <c r="S58" i="1"/>
  <c r="S56" i="1"/>
  <c r="S53" i="1"/>
  <c r="S52" i="1"/>
  <c r="S50" i="1"/>
  <c r="S49" i="1"/>
  <c r="S47" i="1"/>
  <c r="S43" i="1"/>
  <c r="S40" i="1"/>
  <c r="S38" i="1"/>
  <c r="S37" i="1"/>
  <c r="S36" i="1"/>
  <c r="S35" i="1"/>
  <c r="S34" i="1"/>
  <c r="S32" i="1"/>
  <c r="S30" i="1"/>
  <c r="S28" i="1"/>
  <c r="S27" i="1"/>
  <c r="S26" i="1"/>
  <c r="S24" i="1"/>
  <c r="S23" i="1"/>
  <c r="S21" i="1"/>
  <c r="S20" i="1"/>
  <c r="S19" i="1"/>
  <c r="S17" i="1"/>
  <c r="S13" i="1"/>
  <c r="S12" i="1"/>
  <c r="S5" i="1"/>
  <c r="S4" i="1"/>
  <c r="G64" i="1"/>
  <c r="G63" i="1"/>
  <c r="G62" i="1"/>
  <c r="G6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3" i="1"/>
  <c r="G40" i="1"/>
  <c r="G39" i="1"/>
  <c r="G38" i="1"/>
  <c r="G37" i="1"/>
  <c r="G36" i="1"/>
  <c r="G35" i="1"/>
  <c r="G34" i="1"/>
  <c r="G33" i="1"/>
  <c r="G32" i="1"/>
  <c r="G30" i="1"/>
  <c r="G28" i="1"/>
  <c r="G27" i="1"/>
  <c r="G26" i="1"/>
  <c r="G24" i="1"/>
  <c r="G23" i="1"/>
  <c r="G22" i="1"/>
  <c r="G21" i="1"/>
  <c r="G20" i="1"/>
  <c r="G19" i="1"/>
  <c r="G17" i="1"/>
  <c r="G16" i="1"/>
  <c r="G15" i="1"/>
  <c r="G13" i="1"/>
  <c r="G12" i="1"/>
  <c r="G11" i="1"/>
  <c r="G9" i="1"/>
  <c r="G8" i="1"/>
  <c r="G7" i="1"/>
  <c r="G5" i="1"/>
  <c r="G4" i="1"/>
  <c r="G2" i="1"/>
  <c r="G208" i="1"/>
  <c r="G6" i="1"/>
</calcChain>
</file>

<file path=xl/sharedStrings.xml><?xml version="1.0" encoding="utf-8"?>
<sst xmlns="http://schemas.openxmlformats.org/spreadsheetml/2006/main" count="2777" uniqueCount="552">
  <si>
    <t>For trigger values (PNEC water):</t>
  </si>
  <si>
    <t>Effect</t>
  </si>
  <si>
    <t>trigger</t>
  </si>
  <si>
    <t>LC50</t>
  </si>
  <si>
    <t>EC50</t>
  </si>
  <si>
    <t>EC10</t>
  </si>
  <si>
    <t xml:space="preserve">NOEC </t>
  </si>
  <si>
    <t>PS: all NOEC from PPDB and EFSA are chronic</t>
  </si>
  <si>
    <t>PPP_compound</t>
  </si>
  <si>
    <t>CAS_number</t>
  </si>
  <si>
    <t>Product_type</t>
  </si>
  <si>
    <t>Solubility - In water at 20 °C (mg l⁻¹)</t>
  </si>
  <si>
    <t>Solubility_level</t>
  </si>
  <si>
    <t>P</t>
  </si>
  <si>
    <t>Log P</t>
  </si>
  <si>
    <t>Log P interpretation</t>
  </si>
  <si>
    <t>DT₅₀ in water (days)</t>
  </si>
  <si>
    <t>DT₅₀ interpretation</t>
  </si>
  <si>
    <t>BCF (l kg⁻¹)</t>
  </si>
  <si>
    <t>BCF Interpretation</t>
  </si>
  <si>
    <t>CT₅₀ (days)</t>
  </si>
  <si>
    <t>GUS leaching potential index</t>
  </si>
  <si>
    <t>GUS Interpretation</t>
  </si>
  <si>
    <t>AF</t>
  </si>
  <si>
    <t>lowest EC50 or  NOEC for water (mg/l)</t>
  </si>
  <si>
    <t>PNEC_water (mg/L)</t>
  </si>
  <si>
    <t>DT₅₀ in soils (days)</t>
  </si>
  <si>
    <t>lowest EC50 or  NOEC for soil (mg/kg)</t>
  </si>
  <si>
    <t>Trigger value</t>
  </si>
  <si>
    <t>PNEC_soil (mg/kg)</t>
  </si>
  <si>
    <t>Glyphosate</t>
  </si>
  <si>
    <t>1071-83-6</t>
  </si>
  <si>
    <t>Herbicide</t>
  </si>
  <si>
    <t>high</t>
  </si>
  <si>
    <t>low</t>
  </si>
  <si>
    <t>Moderately fast</t>
  </si>
  <si>
    <t>Low potential</t>
  </si>
  <si>
    <t>n.a.</t>
  </si>
  <si>
    <t>Low</t>
  </si>
  <si>
    <t>NOEC</t>
  </si>
  <si>
    <t>AMPA</t>
  </si>
  <si>
    <t>1066-51-9</t>
  </si>
  <si>
    <t>-</t>
  </si>
  <si>
    <t>94-75-7</t>
  </si>
  <si>
    <t>High</t>
  </si>
  <si>
    <t>Acetamiprid</t>
  </si>
  <si>
    <t>135410-20-7</t>
  </si>
  <si>
    <t>Insecticide</t>
  </si>
  <si>
    <t>Low risk</t>
  </si>
  <si>
    <t>190604-92-3</t>
  </si>
  <si>
    <t>Aclonifen</t>
  </si>
  <si>
    <t>74070-46-5</t>
  </si>
  <si>
    <t>Threshold for concern</t>
  </si>
  <si>
    <t>Ametoctradin</t>
  </si>
  <si>
    <t>865318-97-4</t>
  </si>
  <si>
    <t>Fungicide</t>
  </si>
  <si>
    <t>Atrazine</t>
  </si>
  <si>
    <t>1912-24-9</t>
  </si>
  <si>
    <t>moderate</t>
  </si>
  <si>
    <t>Transition state</t>
  </si>
  <si>
    <t>Azadirachtin</t>
  </si>
  <si>
    <t>11141-17-6</t>
  </si>
  <si>
    <t>Azoxystrobin</t>
  </si>
  <si>
    <t>131860-33-8</t>
  </si>
  <si>
    <t>1185255-09-7</t>
  </si>
  <si>
    <t>Bentazone</t>
  </si>
  <si>
    <t>25057-89-0</t>
  </si>
  <si>
    <t>Stable</t>
  </si>
  <si>
    <t>Bifenthrin</t>
  </si>
  <si>
    <t>82657-04-3</t>
  </si>
  <si>
    <t>Bixafen</t>
  </si>
  <si>
    <t>581809-46-3</t>
  </si>
  <si>
    <t xml:space="preserve">Fungicide </t>
  </si>
  <si>
    <t>Slow</t>
  </si>
  <si>
    <t>1655498-06-8</t>
  </si>
  <si>
    <t>Boscalid</t>
  </si>
  <si>
    <t>188425-85-6</t>
  </si>
  <si>
    <t>Bromoxynil</t>
  </si>
  <si>
    <t>1689-84-5</t>
  </si>
  <si>
    <t>Captan</t>
  </si>
  <si>
    <t>133-06-2</t>
  </si>
  <si>
    <t>Fast</t>
  </si>
  <si>
    <t>85-40-5</t>
  </si>
  <si>
    <t>Carbendazim</t>
  </si>
  <si>
    <t>10605-21-7</t>
  </si>
  <si>
    <t>Carfentrazone</t>
  </si>
  <si>
    <t>128621-72-7</t>
  </si>
  <si>
    <t>128639-02-1</t>
  </si>
  <si>
    <t>Chlorantraniliprole</t>
  </si>
  <si>
    <t>500008-45-7</t>
  </si>
  <si>
    <t>Chloridazon</t>
  </si>
  <si>
    <t>1698-60-8</t>
  </si>
  <si>
    <t>Chlorothalonil</t>
  </si>
  <si>
    <t>1897-45-6</t>
  </si>
  <si>
    <t>28343-61-5</t>
  </si>
  <si>
    <t>Chlorotoluron</t>
  </si>
  <si>
    <t>15545-48-9</t>
  </si>
  <si>
    <t>Chlorpropham</t>
  </si>
  <si>
    <t>101-21-3</t>
  </si>
  <si>
    <t>Chlorpyrifos</t>
  </si>
  <si>
    <t>2921-88-2</t>
  </si>
  <si>
    <t>6515-38-4</t>
  </si>
  <si>
    <t>5598-13-0</t>
  </si>
  <si>
    <t>58997-13-0</t>
  </si>
  <si>
    <t>Clomazone</t>
  </si>
  <si>
    <t>81777-89-1</t>
  </si>
  <si>
    <t>Clothianidin</t>
  </si>
  <si>
    <t>210880-92-5</t>
  </si>
  <si>
    <t>40.3</t>
  </si>
  <si>
    <t>3,4</t>
  </si>
  <si>
    <t>Cyantraniliprole</t>
  </si>
  <si>
    <t>736994-63-1</t>
  </si>
  <si>
    <t>Cyflufenamide</t>
  </si>
  <si>
    <t>180409-60-3</t>
  </si>
  <si>
    <t>68359-37-5</t>
  </si>
  <si>
    <t>Cymoxanil</t>
  </si>
  <si>
    <t>57966-95-7</t>
  </si>
  <si>
    <t>Cypermethrin</t>
  </si>
  <si>
    <t>52315-07-8</t>
  </si>
  <si>
    <t>Cyproconazole</t>
  </si>
  <si>
    <t>94361-06-5</t>
  </si>
  <si>
    <t>Cyprodinil</t>
  </si>
  <si>
    <t>121552-61-2</t>
  </si>
  <si>
    <t>195157-66-5</t>
  </si>
  <si>
    <t>53-19-0</t>
  </si>
  <si>
    <t>72-54-8</t>
  </si>
  <si>
    <t>n.a</t>
  </si>
  <si>
    <t>72-55-9</t>
  </si>
  <si>
    <t>3424-82-6</t>
  </si>
  <si>
    <t>789-02-6</t>
  </si>
  <si>
    <t>50-29-3</t>
  </si>
  <si>
    <t>Deltamethrin</t>
  </si>
  <si>
    <t>52918-63-5</t>
  </si>
  <si>
    <t>Dicamba</t>
  </si>
  <si>
    <t>1918-00-9</t>
  </si>
  <si>
    <t>Dicloran</t>
  </si>
  <si>
    <t>99-30-9</t>
  </si>
  <si>
    <t>Dieldrin</t>
  </si>
  <si>
    <t>60-57-1</t>
  </si>
  <si>
    <t>High potential</t>
  </si>
  <si>
    <t>Difenoconazole</t>
  </si>
  <si>
    <t>119446-68-3</t>
  </si>
  <si>
    <t>Diflufenican</t>
  </si>
  <si>
    <t>83164-33-4</t>
  </si>
  <si>
    <t>36701-89-0</t>
  </si>
  <si>
    <t>163515-14-8</t>
  </si>
  <si>
    <t>Dimethoate</t>
  </si>
  <si>
    <t>60-51-5</t>
  </si>
  <si>
    <t>Dimethomorph</t>
  </si>
  <si>
    <t>110488-70-5</t>
  </si>
  <si>
    <t>Dimoxystrobin</t>
  </si>
  <si>
    <t>149961-52-4</t>
  </si>
  <si>
    <t>Dinotefuran</t>
  </si>
  <si>
    <t>165252-70-0</t>
  </si>
  <si>
    <t>Diuron</t>
  </si>
  <si>
    <t>330-54-1</t>
  </si>
  <si>
    <t>Emamectin</t>
  </si>
  <si>
    <t>155569-91-8</t>
  </si>
  <si>
    <t>Epoxiconazole</t>
  </si>
  <si>
    <t>133855-98-8</t>
  </si>
  <si>
    <t>Esfenvalerate</t>
  </si>
  <si>
    <t>66230-04-4</t>
  </si>
  <si>
    <t>Ethofumesate</t>
  </si>
  <si>
    <t>26225-79-6</t>
  </si>
  <si>
    <t>Famoxadone</t>
  </si>
  <si>
    <t>131807-57-3</t>
  </si>
  <si>
    <t>114369-43-6</t>
  </si>
  <si>
    <t>Fenhexamid</t>
  </si>
  <si>
    <t>126833-17-8</t>
  </si>
  <si>
    <t>Fenoxycarb</t>
  </si>
  <si>
    <t>79127-80-3</t>
  </si>
  <si>
    <t>Fenpropidin</t>
  </si>
  <si>
    <t>67306-00-7</t>
  </si>
  <si>
    <t>Fenpropimorph</t>
  </si>
  <si>
    <t>67564-91-4</t>
  </si>
  <si>
    <t>Fenvalerate</t>
  </si>
  <si>
    <t>51630-58-1</t>
  </si>
  <si>
    <t>Fipronil</t>
  </si>
  <si>
    <t>120068-37-3</t>
  </si>
  <si>
    <t>120068-36-2</t>
  </si>
  <si>
    <t>Flazasulfuron</t>
  </si>
  <si>
    <t>104040-78-0</t>
  </si>
  <si>
    <t>Flonicamid</t>
  </si>
  <si>
    <t>158062-67-0</t>
  </si>
  <si>
    <t>Florasulam</t>
  </si>
  <si>
    <t>145701-23-1</t>
  </si>
  <si>
    <t>83066-88-0</t>
  </si>
  <si>
    <t>Fluazinam</t>
  </si>
  <si>
    <t>79622-59-6</t>
  </si>
  <si>
    <t>Fludioxonil</t>
  </si>
  <si>
    <t>131341-86-1</t>
  </si>
  <si>
    <t>Flufenacet</t>
  </si>
  <si>
    <t>142459-58-3</t>
  </si>
  <si>
    <t>103361-09-7</t>
  </si>
  <si>
    <t>Fluopicolide</t>
  </si>
  <si>
    <t>239110-15-7</t>
  </si>
  <si>
    <t>Fluopyram</t>
  </si>
  <si>
    <t>658066-35-4</t>
  </si>
  <si>
    <t>360-64-5</t>
  </si>
  <si>
    <t>Fluoxastrobin</t>
  </si>
  <si>
    <t>361377-29-9</t>
  </si>
  <si>
    <t>Flupyradifurone</t>
  </si>
  <si>
    <t>951659-40-8</t>
  </si>
  <si>
    <t>69377-81-7</t>
  </si>
  <si>
    <t>Flusilazole</t>
  </si>
  <si>
    <t>85509-19-9</t>
  </si>
  <si>
    <t>Flutolanil</t>
  </si>
  <si>
    <t>66332-96-5</t>
  </si>
  <si>
    <t>Fluxapyroxad</t>
  </si>
  <si>
    <t>907204-31-3</t>
  </si>
  <si>
    <t>133-07-3</t>
  </si>
  <si>
    <t>85-41-6</t>
  </si>
  <si>
    <t>Foramsulfuron</t>
  </si>
  <si>
    <t>173159-57-4</t>
  </si>
  <si>
    <t>-0.78</t>
  </si>
  <si>
    <t>25,2</t>
  </si>
  <si>
    <t>95977-29-0</t>
  </si>
  <si>
    <t>Hexachlorobenzene</t>
  </si>
  <si>
    <t>118-74-1</t>
  </si>
  <si>
    <t>Imazalil</t>
  </si>
  <si>
    <t>35554-44-0</t>
  </si>
  <si>
    <t>56.3</t>
  </si>
  <si>
    <t>35.2</t>
  </si>
  <si>
    <t>Imidacloprid</t>
  </si>
  <si>
    <t>138261-41-3</t>
  </si>
  <si>
    <t>155802-61-2</t>
  </si>
  <si>
    <t>115970-17-7</t>
  </si>
  <si>
    <t>Indoxacarb</t>
  </si>
  <si>
    <t>173584-44-6</t>
  </si>
  <si>
    <t>77.3</t>
  </si>
  <si>
    <t>Iprovalicarb</t>
  </si>
  <si>
    <t>140923-17-7</t>
  </si>
  <si>
    <t>Isoproturon</t>
  </si>
  <si>
    <t>34123-59-6</t>
  </si>
  <si>
    <t>Isoxaben</t>
  </si>
  <si>
    <t>82558-50-7</t>
  </si>
  <si>
    <t>Isoxaflutole</t>
  </si>
  <si>
    <t>141112-29-0</t>
  </si>
  <si>
    <t>143390-89-0</t>
  </si>
  <si>
    <t>91465-08-6</t>
  </si>
  <si>
    <t>Lenacil</t>
  </si>
  <si>
    <t>2164-08-1</t>
  </si>
  <si>
    <t>58-89-9</t>
  </si>
  <si>
    <t>Linuron</t>
  </si>
  <si>
    <t>330-55-2</t>
  </si>
  <si>
    <t>Mandipropamid</t>
  </si>
  <si>
    <t>374726-62-2</t>
  </si>
  <si>
    <t>MCPA</t>
  </si>
  <si>
    <t>94-74-6</t>
  </si>
  <si>
    <t>16484-77-8</t>
  </si>
  <si>
    <t>131-72-6</t>
  </si>
  <si>
    <t>3687-22-7</t>
  </si>
  <si>
    <t>70630-17-0</t>
  </si>
  <si>
    <t>87764-37-2</t>
  </si>
  <si>
    <t>Metamitron</t>
  </si>
  <si>
    <t>41394-05-2</t>
  </si>
  <si>
    <t>36993-94-9</t>
  </si>
  <si>
    <t>Metazachlor</t>
  </si>
  <si>
    <t>67129-08-2</t>
  </si>
  <si>
    <t>Metconazole</t>
  </si>
  <si>
    <t>125116-23-6</t>
  </si>
  <si>
    <t>Methabenzthiazuron</t>
  </si>
  <si>
    <t>18691-97-9</t>
  </si>
  <si>
    <t>Methiocarb</t>
  </si>
  <si>
    <t>2032-65-7</t>
  </si>
  <si>
    <t xml:space="preserve">Insecticide </t>
  </si>
  <si>
    <t>2179-25-1</t>
  </si>
  <si>
    <t>2635-10-1</t>
  </si>
  <si>
    <t>161050-58-4</t>
  </si>
  <si>
    <t>Metobromuron</t>
  </si>
  <si>
    <t>3060-89-7</t>
  </si>
  <si>
    <t>51218-45-2</t>
  </si>
  <si>
    <t>171118-09-5</t>
  </si>
  <si>
    <t>152019-73-3</t>
  </si>
  <si>
    <t>Metrafenone</t>
  </si>
  <si>
    <t>220899-03-6</t>
  </si>
  <si>
    <t>Metribuzin</t>
  </si>
  <si>
    <t>21087-64-9</t>
  </si>
  <si>
    <t>74223-64-6</t>
  </si>
  <si>
    <t>Myclobutanil</t>
  </si>
  <si>
    <t>88671-89-0</t>
  </si>
  <si>
    <t>41643-35-0</t>
  </si>
  <si>
    <t>Nicosulfuron</t>
  </si>
  <si>
    <t>111991-09-4</t>
  </si>
  <si>
    <t>19044-88-3</t>
  </si>
  <si>
    <t>Oxadixyl</t>
  </si>
  <si>
    <t>77732-09-3</t>
  </si>
  <si>
    <t>Oxyfluorfen</t>
  </si>
  <si>
    <t>42874-03-3</t>
  </si>
  <si>
    <t>66246-88-6</t>
  </si>
  <si>
    <t>Pencycuron</t>
  </si>
  <si>
    <t>66063-05-6</t>
  </si>
  <si>
    <t>90% in 3 days</t>
  </si>
  <si>
    <t>Pendimethalin</t>
  </si>
  <si>
    <t>40487-42-1</t>
  </si>
  <si>
    <t>219714-96-2</t>
  </si>
  <si>
    <t>Permethrin</t>
  </si>
  <si>
    <t>52645-53-1</t>
  </si>
  <si>
    <t>Phosmet</t>
  </si>
  <si>
    <t>732-11-6</t>
  </si>
  <si>
    <t>3735-33-9</t>
  </si>
  <si>
    <t>Phoxim</t>
  </si>
  <si>
    <t>14816-18-3</t>
  </si>
  <si>
    <t>51-03-6</t>
  </si>
  <si>
    <t>Other</t>
  </si>
  <si>
    <t>260 (threshold for concern)</t>
  </si>
  <si>
    <t>Pirimicarb</t>
  </si>
  <si>
    <t>23103-98-2</t>
  </si>
  <si>
    <t>30614-22-3</t>
  </si>
  <si>
    <t>29232-93-7</t>
  </si>
  <si>
    <t>42487-72-9</t>
  </si>
  <si>
    <t>67018-59-1</t>
  </si>
  <si>
    <t>Prochloraz</t>
  </si>
  <si>
    <t>67747-09-5</t>
  </si>
  <si>
    <t>139520-94-8</t>
  </si>
  <si>
    <t>139542-32-8</t>
  </si>
  <si>
    <t>Prometryn</t>
  </si>
  <si>
    <t>7287-19-6</t>
  </si>
  <si>
    <t>25606-41-1</t>
  </si>
  <si>
    <t>Propaquizafop</t>
  </si>
  <si>
    <t>111479-05-1</t>
  </si>
  <si>
    <t>&lt;1</t>
  </si>
  <si>
    <t>Propiconazole</t>
  </si>
  <si>
    <t>60207-90-1</t>
  </si>
  <si>
    <t>Propoxur</t>
  </si>
  <si>
    <t>114-26-1</t>
  </si>
  <si>
    <t>Propyzamide</t>
  </si>
  <si>
    <t>23950-58-5</t>
  </si>
  <si>
    <t>Prosulfocarb</t>
  </si>
  <si>
    <t>52888-80-9</t>
  </si>
  <si>
    <t>Prothioconazole</t>
  </si>
  <si>
    <t>178928-70-6</t>
  </si>
  <si>
    <t>120983-64-4</t>
  </si>
  <si>
    <t>Pymetrozine</t>
  </si>
  <si>
    <t>123312-89-0</t>
  </si>
  <si>
    <t>Pyraclostrobin</t>
  </si>
  <si>
    <t>175013-18-0</t>
  </si>
  <si>
    <t>129630-19-9</t>
  </si>
  <si>
    <t>121-21-1</t>
  </si>
  <si>
    <t>121-29-9</t>
  </si>
  <si>
    <t>Pyrimethanil</t>
  </si>
  <si>
    <t>53112-28-0</t>
  </si>
  <si>
    <t>81261-84-9</t>
  </si>
  <si>
    <t>Pyriofenone</t>
  </si>
  <si>
    <t>688046-61-9</t>
  </si>
  <si>
    <t>Pyriproxyfen</t>
  </si>
  <si>
    <t>95737-68-1</t>
  </si>
  <si>
    <t>Pyroxsulam</t>
  </si>
  <si>
    <t>422556-08-9</t>
  </si>
  <si>
    <t>Quinoxyfen</t>
  </si>
  <si>
    <t>124495-18-7</t>
  </si>
  <si>
    <t>100646-51-3</t>
  </si>
  <si>
    <t>Rimsulfuron</t>
  </si>
  <si>
    <t>122931-48-0</t>
  </si>
  <si>
    <t>Sedaxane</t>
  </si>
  <si>
    <t>874967-67-6</t>
  </si>
  <si>
    <t>Spinetoram</t>
  </si>
  <si>
    <t>935545-74-7</t>
  </si>
  <si>
    <t>131929-60-7</t>
  </si>
  <si>
    <t>131929-63-0</t>
  </si>
  <si>
    <t>Spirotetramat</t>
  </si>
  <si>
    <t>203313-25-1</t>
  </si>
  <si>
    <t>203312-38-3</t>
  </si>
  <si>
    <t>1172614-86-6</t>
  </si>
  <si>
    <t>1172134-11-0</t>
  </si>
  <si>
    <t>1172134-12-1</t>
  </si>
  <si>
    <t>Spiroxamine</t>
  </si>
  <si>
    <t>118134-30-8</t>
  </si>
  <si>
    <t>102851-06-9</t>
  </si>
  <si>
    <t>Tebuconazole</t>
  </si>
  <si>
    <t>107534-96-3</t>
  </si>
  <si>
    <t>Terbuthylazine</t>
  </si>
  <si>
    <t>5915-41-3</t>
  </si>
  <si>
    <t>30125-63-4</t>
  </si>
  <si>
    <t>Terbutryn</t>
  </si>
  <si>
    <t>886-50-0</t>
  </si>
  <si>
    <t>Tetraconazole</t>
  </si>
  <si>
    <t>112281-77-3</t>
  </si>
  <si>
    <t>Tetramethrin</t>
  </si>
  <si>
    <t>7696-12-0</t>
  </si>
  <si>
    <t>Thiabendazole</t>
  </si>
  <si>
    <t>148-79-8</t>
  </si>
  <si>
    <t>Thiacloprid</t>
  </si>
  <si>
    <t>111988-49-9</t>
  </si>
  <si>
    <t>Thiamethoxam</t>
  </si>
  <si>
    <t>153719-23-4</t>
  </si>
  <si>
    <t>317815-83-1</t>
  </si>
  <si>
    <t>23564-05-8</t>
  </si>
  <si>
    <t>Tolylfluanid</t>
  </si>
  <si>
    <t>731-27-1</t>
  </si>
  <si>
    <t>66840-71-9 </t>
  </si>
  <si>
    <t>2303-17-5</t>
  </si>
  <si>
    <t>Tricyclazole</t>
  </si>
  <si>
    <t>41814-78-2</t>
  </si>
  <si>
    <t>Trifloxystrobin</t>
  </si>
  <si>
    <t>141517-21-7</t>
  </si>
  <si>
    <t>252913-85-2</t>
  </si>
  <si>
    <t>156052-68-5</t>
  </si>
  <si>
    <t>meptyldinocap</t>
  </si>
  <si>
    <t>methoxyfenozide</t>
  </si>
  <si>
    <t>Pyrimethanil_M605F002</t>
  </si>
  <si>
    <t>Acetamiprid: Acetamiprid-N-desmethyl</t>
  </si>
  <si>
    <t>Azoxystrobin-O-demethyl (CyPM)</t>
  </si>
  <si>
    <t>Bixafen desmethyl</t>
  </si>
  <si>
    <t>captan THPI  (1,2,3,6-tetrahydrophthalimide, CAS: 85-40-5)</t>
  </si>
  <si>
    <t>Carfentrazone-ethyl</t>
  </si>
  <si>
    <t>Chlorothalonil 4-hydroxy</t>
  </si>
  <si>
    <t>Chlorpyrifos/-methyl: TCPy</t>
  </si>
  <si>
    <t>Chlorpyrifos-methyl</t>
  </si>
  <si>
    <t>chlorpyrifos-methyl -desmethyl</t>
  </si>
  <si>
    <t>Cyfluthrin (beta-cyfluthrin)</t>
  </si>
  <si>
    <t>Cyprodinil  metabolite CGA304075</t>
  </si>
  <si>
    <t>DDD o,p'</t>
  </si>
  <si>
    <t>DDD p,p'</t>
  </si>
  <si>
    <t>DDE p,p'</t>
  </si>
  <si>
    <t>DDE, o,p'</t>
  </si>
  <si>
    <t>DDT o,p'</t>
  </si>
  <si>
    <t>DDT p,p'</t>
  </si>
  <si>
    <t>Diflufenican AE-B107137</t>
  </si>
  <si>
    <t>Dimethenamid (P)</t>
  </si>
  <si>
    <t>fenbuconazole</t>
  </si>
  <si>
    <t>Fipronil sulfone</t>
  </si>
  <si>
    <t>Fluazifop (P) (only free)</t>
  </si>
  <si>
    <t>flumioxazine</t>
  </si>
  <si>
    <t>Fluopyram benzamide</t>
  </si>
  <si>
    <t>Fluroxypyr (only free)</t>
  </si>
  <si>
    <t>folpet</t>
  </si>
  <si>
    <t>folpet PHI (Phthalimide, CAS: 85-41-6)</t>
  </si>
  <si>
    <t>Haloxyfop-P (Haloxyfop-R) (free)</t>
  </si>
  <si>
    <t>Imidacloprid (5-hydroxy)</t>
  </si>
  <si>
    <t>Imidacloprid (desnitro-)</t>
  </si>
  <si>
    <t>Kresoxim-methyl</t>
  </si>
  <si>
    <t>lambda-Cyhalothrin</t>
  </si>
  <si>
    <t>Lindane (gamma-HCH)</t>
  </si>
  <si>
    <t>Mecoprop (P)</t>
  </si>
  <si>
    <t>meptyldinocap phenol (CAS 3687-22-7)</t>
  </si>
  <si>
    <t>Metalaxyl (M)</t>
  </si>
  <si>
    <t>Metalaxyl Metabolite CGA 62826 (87764-37-2)</t>
  </si>
  <si>
    <t>Metamitron-desamino</t>
  </si>
  <si>
    <t>Methiocarb sulfon</t>
  </si>
  <si>
    <t>Methiocarb sulfoxide</t>
  </si>
  <si>
    <t>Metolachlor (S)</t>
  </si>
  <si>
    <t>Metolachlor ethane sulfonic acid (ESA (Ref: CGA 354743))</t>
  </si>
  <si>
    <t>Metolachlor oxanilic acid (OA (Ref: CGA 51202))</t>
  </si>
  <si>
    <t>Metsulfuron-methyl</t>
  </si>
  <si>
    <t>Napropamide (M)</t>
  </si>
  <si>
    <t>Oryzalin</t>
  </si>
  <si>
    <t>Penconazole</t>
  </si>
  <si>
    <t>Penoxulam</t>
  </si>
  <si>
    <t>Phosmet oxon</t>
  </si>
  <si>
    <t>Piperonyl butoxide</t>
  </si>
  <si>
    <t>Pirimicarb desmethyl-</t>
  </si>
  <si>
    <t>Pirimiphos-methyl</t>
  </si>
  <si>
    <t>Pirimiphos-methyl metabolite DEAMPY (2-diethylamino-6-methyl pyrimidin-4-ol)</t>
  </si>
  <si>
    <t>Pirimiphos-methyl-desmethyl</t>
  </si>
  <si>
    <t>Pirimiphos-methyl-N-desethyl</t>
  </si>
  <si>
    <t>Prochloraz BTS 44595 (M201-04)</t>
  </si>
  <si>
    <t>Prochloraz BTS 44596 (M201-03)</t>
  </si>
  <si>
    <t>Propamocarb (hydrochloride)</t>
  </si>
  <si>
    <t>Prothioconazole desthio</t>
  </si>
  <si>
    <t>Pyraflufen-ethyl</t>
  </si>
  <si>
    <t>Pyrethrin I</t>
  </si>
  <si>
    <t>Pyrethrin II</t>
  </si>
  <si>
    <t>Quizalofop (P) free acid</t>
  </si>
  <si>
    <t>Spinosyn A</t>
  </si>
  <si>
    <t>Spinosyn D</t>
  </si>
  <si>
    <t>Spirotetramat-enol</t>
  </si>
  <si>
    <t>Spirotetramat-enol-glucoside</t>
  </si>
  <si>
    <t>Spirotetramat-keto-hydroxy</t>
  </si>
  <si>
    <t>Spirotetramat-mono-hydroxy</t>
  </si>
  <si>
    <t>tau-Fluvalinate</t>
  </si>
  <si>
    <t>Terbuthylazine-desethyl</t>
  </si>
  <si>
    <t>Thiencarbazone-methyl</t>
  </si>
  <si>
    <t>Thiophanate-methyl</t>
  </si>
  <si>
    <t>Tolylfluanid metabolite DMST (dimethylaminosulfotoluidide)</t>
  </si>
  <si>
    <t>Tri-allate</t>
  </si>
  <si>
    <t>Trifloxystrobin metabolite CGA 321113</t>
  </si>
  <si>
    <t>Zoxamid</t>
  </si>
  <si>
    <t>X2,4-D (free)</t>
  </si>
  <si>
    <t>2_4_D_free</t>
  </si>
  <si>
    <t>Acetamiprid_N_desmethyl</t>
  </si>
  <si>
    <t>Azoxystrobin_O_demethyl</t>
  </si>
  <si>
    <t>Bixafen_desmethyl</t>
  </si>
  <si>
    <t>Captan_THPI_1_2_3_6_tetrahydrophthalimide</t>
  </si>
  <si>
    <t>Carfentrazone_ethyl</t>
  </si>
  <si>
    <t>Chlorothalonil_4_hydroxy</t>
  </si>
  <si>
    <t>Chlorpyrifos_methyl</t>
  </si>
  <si>
    <t>Chlorpyrifos_methyl_desmethyl</t>
  </si>
  <si>
    <t>Chlorpyrifos_methyl_TCPy</t>
  </si>
  <si>
    <t>Cyfluthrin_beta_cyfluthrin</t>
  </si>
  <si>
    <t>Cyprodinil_metabolite</t>
  </si>
  <si>
    <t>DDD_o_p</t>
  </si>
  <si>
    <t>DDD_p_p</t>
  </si>
  <si>
    <t>DDE_o_p</t>
  </si>
  <si>
    <t>DDE_p_p</t>
  </si>
  <si>
    <t>DDT_o_p</t>
  </si>
  <si>
    <t>DDT_p_p</t>
  </si>
  <si>
    <t>DEAMPY</t>
  </si>
  <si>
    <t>Diflufenican_AE_B107137</t>
  </si>
  <si>
    <t>Dimethenamid_P</t>
  </si>
  <si>
    <t>Fenbuconazole</t>
  </si>
  <si>
    <t>Fipronil_sulfone</t>
  </si>
  <si>
    <t>Flopet PHI</t>
  </si>
  <si>
    <t>Fluazifop_P_only_free</t>
  </si>
  <si>
    <t>Fluopyram_benzamide</t>
  </si>
  <si>
    <t>Fluroxypyr_only_free</t>
  </si>
  <si>
    <t>Folpet</t>
  </si>
  <si>
    <t>Imidacloprid_5_hydroxy</t>
  </si>
  <si>
    <t>Imidacloprid_desnitro</t>
  </si>
  <si>
    <t>Kresoxim_methyl</t>
  </si>
  <si>
    <t>Lambda_Cyhalothrin</t>
  </si>
  <si>
    <t>Lindane_gamma_HCH</t>
  </si>
  <si>
    <t>Mecoprop_P</t>
  </si>
  <si>
    <t>Meptyldinocap_phenol</t>
  </si>
  <si>
    <t>Metalaxyl_M</t>
  </si>
  <si>
    <t>Metalaxyl_Metabolite</t>
  </si>
  <si>
    <t>Metamitron_desamino</t>
  </si>
  <si>
    <t>Methiocarb_sulfon</t>
  </si>
  <si>
    <t>Methiocarb_sulfoxide</t>
  </si>
  <si>
    <t>Methoxyfenozide</t>
  </si>
  <si>
    <t>Metolachlor_ethane_sulfonic_acid</t>
  </si>
  <si>
    <t>Metolachlor_oxanilic_acid</t>
  </si>
  <si>
    <t>Metolachlor_S</t>
  </si>
  <si>
    <t>Metsulfuron_methyl</t>
  </si>
  <si>
    <t>Napropamide_M</t>
  </si>
  <si>
    <t>Phosmet_oxon</t>
  </si>
  <si>
    <t>Piperonyl_butoxide</t>
  </si>
  <si>
    <t>Pirimicarb_desmethyl</t>
  </si>
  <si>
    <t>Pirimiphos_methyl</t>
  </si>
  <si>
    <t>Pirimiphos_methyl_N_desethyl</t>
  </si>
  <si>
    <t>Prochloraz_BTS_44595_M201_04</t>
  </si>
  <si>
    <t>Prochloraz_BTS_44596_M201_03</t>
  </si>
  <si>
    <t>Propamocarb_hydrochloride</t>
  </si>
  <si>
    <t>Prothioconazole_desthio</t>
  </si>
  <si>
    <t>Pyraflufen_ethyl</t>
  </si>
  <si>
    <t>Pyrethrin_I</t>
  </si>
  <si>
    <t>Pyrethrin_II</t>
  </si>
  <si>
    <t>Spinosyn_A</t>
  </si>
  <si>
    <t>Spinosyn_D</t>
  </si>
  <si>
    <t>Spirotetramat_enol</t>
  </si>
  <si>
    <t>Spirotetramat_enol_glucoside</t>
  </si>
  <si>
    <t>Spirotetramat_keto_hydroxy</t>
  </si>
  <si>
    <t>Spirotetramat_mono_hydroxy</t>
  </si>
  <si>
    <t>tau_Fluvinate</t>
  </si>
  <si>
    <t>Terbuthylazine_desethyl</t>
  </si>
  <si>
    <t>Thiencarbazone_methyl</t>
  </si>
  <si>
    <t>Thiophanate_methyl</t>
  </si>
  <si>
    <t>Tolylfluanid_metabolite_DMST</t>
  </si>
  <si>
    <t>Tri_allate</t>
  </si>
  <si>
    <t>Trifloxystrobin_metabolite_CGA_321113</t>
  </si>
  <si>
    <t>NA</t>
  </si>
  <si>
    <t>PPP_compound_clean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</si>
</sst>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charset val="1"/>
    </font>
    <font>
      <sz val="11"/>
      <name val="Calibri"/>
      <family val="2"/>
      <scheme val="minor"/>
    </font>
    <font>
      <sz val="12"/>
      <color theme="1"/>
      <name val="Calibri"/>
      <charset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5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applyNumberFormat="1"/>
    <xf numFmtId="0" fontId="0" fillId="0" borderId="0" xfId="0" quotePrefix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BAFD-3048-4F4D-8B7D-83DBFE44E9F8}">
  <sheetPr codeName="Tabelle1"/>
  <dimension ref="A3:C9"/>
  <sheetViews>
    <sheetView workbookViewId="0">
      <selection activeCell="H13" sqref="H13"/>
    </sheetView>
  </sheetViews>
  <sheetFormatPr baseColWidth="10" defaultColWidth="8.7265625" defaultRowHeight="14.75" x14ac:dyDescent="0.75"/>
  <sheetData>
    <row r="3" spans="1:3" ht="18.5" x14ac:dyDescent="0.9">
      <c r="A3" s="6" t="s">
        <v>0</v>
      </c>
    </row>
    <row r="5" spans="1:3" x14ac:dyDescent="0.75">
      <c r="A5" s="7" t="s">
        <v>1</v>
      </c>
      <c r="B5" s="8" t="s">
        <v>2</v>
      </c>
    </row>
    <row r="6" spans="1:3" x14ac:dyDescent="0.75">
      <c r="A6" t="s">
        <v>3</v>
      </c>
      <c r="B6" s="9">
        <v>10</v>
      </c>
    </row>
    <row r="7" spans="1:3" x14ac:dyDescent="0.75">
      <c r="A7" t="s">
        <v>4</v>
      </c>
      <c r="B7" s="9">
        <v>10</v>
      </c>
    </row>
    <row r="8" spans="1:3" x14ac:dyDescent="0.75">
      <c r="A8" t="s">
        <v>5</v>
      </c>
      <c r="B8" s="9">
        <v>5</v>
      </c>
    </row>
    <row r="9" spans="1:3" x14ac:dyDescent="0.75">
      <c r="A9" t="s">
        <v>6</v>
      </c>
      <c r="B9" s="9">
        <v>5</v>
      </c>
      <c r="C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09"/>
  <sheetViews>
    <sheetView tabSelected="1" workbookViewId="0">
      <pane xSplit="1" topLeftCell="B1" activePane="topRight" state="frozen"/>
      <selection pane="topRight" activeCell="K1" sqref="K1:K1048576"/>
    </sheetView>
  </sheetViews>
  <sheetFormatPr baseColWidth="10" defaultColWidth="8.7265625" defaultRowHeight="14.75" x14ac:dyDescent="0.75"/>
  <cols>
    <col min="1" max="1" width="32.1328125" customWidth="1"/>
    <col min="2" max="2" width="19.86328125" customWidth="1"/>
    <col min="3" max="3" width="12.40625" bestFit="1" customWidth="1"/>
    <col min="4" max="4" width="14.54296875" customWidth="1"/>
    <col min="5" max="5" width="20.7265625" bestFit="1" customWidth="1"/>
    <col min="6" max="6" width="22.26953125" customWidth="1"/>
    <col min="7" max="7" width="13.1328125" customWidth="1"/>
    <col min="8" max="8" width="15.40625" bestFit="1" customWidth="1"/>
    <col min="9" max="9" width="15.40625" customWidth="1"/>
    <col min="10" max="10" width="19.86328125" bestFit="1" customWidth="1"/>
    <col min="11" max="11" width="19.86328125" customWidth="1"/>
    <col min="12" max="12" width="27" bestFit="1" customWidth="1"/>
    <col min="13" max="13" width="27" customWidth="1"/>
    <col min="14" max="14" width="13" customWidth="1"/>
    <col min="15" max="15" width="20.26953125" bestFit="1" customWidth="1"/>
    <col min="16" max="16" width="20.26953125" customWidth="1"/>
    <col min="18" max="18" width="15" customWidth="1"/>
    <col min="19" max="19" width="13" customWidth="1"/>
    <col min="20" max="20" width="2.7265625" customWidth="1"/>
    <col min="21" max="21" width="11.40625" customWidth="1"/>
    <col min="22" max="23" width="14.26953125" customWidth="1"/>
    <col min="25" max="25" width="10.1328125" customWidth="1"/>
  </cols>
  <sheetData>
    <row r="1" spans="1:25" s="1" customFormat="1" ht="44.25" x14ac:dyDescent="0.75">
      <c r="A1" s="2" t="s">
        <v>8</v>
      </c>
      <c r="B1" s="1" t="s">
        <v>551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/>
      <c r="U1" s="2" t="s">
        <v>26</v>
      </c>
      <c r="V1" s="2" t="s">
        <v>27</v>
      </c>
      <c r="W1" s="2" t="s">
        <v>1</v>
      </c>
      <c r="X1" s="2" t="s">
        <v>28</v>
      </c>
      <c r="Y1" s="2" t="s">
        <v>29</v>
      </c>
    </row>
    <row r="2" spans="1:25" x14ac:dyDescent="0.75">
      <c r="A2" t="s">
        <v>45</v>
      </c>
      <c r="B2" t="s">
        <v>45</v>
      </c>
      <c r="C2" t="s">
        <v>46</v>
      </c>
      <c r="D2" t="s">
        <v>47</v>
      </c>
      <c r="E2">
        <v>2950</v>
      </c>
      <c r="F2" t="s">
        <v>33</v>
      </c>
      <c r="G2">
        <f>6.31*1000</f>
        <v>6310</v>
      </c>
      <c r="H2">
        <v>0.8</v>
      </c>
      <c r="I2" t="s">
        <v>34</v>
      </c>
      <c r="J2">
        <v>4.7</v>
      </c>
      <c r="K2" t="s">
        <v>35</v>
      </c>
      <c r="L2" s="10" t="s">
        <v>42</v>
      </c>
      <c r="M2" t="s">
        <v>48</v>
      </c>
      <c r="O2">
        <v>0.94</v>
      </c>
      <c r="P2" t="s">
        <v>38</v>
      </c>
      <c r="Q2">
        <v>100</v>
      </c>
      <c r="R2">
        <v>1</v>
      </c>
      <c r="S2">
        <v>0.01</v>
      </c>
      <c r="U2">
        <v>18.05</v>
      </c>
      <c r="V2">
        <v>21.31</v>
      </c>
      <c r="W2" t="s">
        <v>39</v>
      </c>
      <c r="X2">
        <v>5</v>
      </c>
      <c r="Y2">
        <f>V2/X2</f>
        <v>4.2619999999999996</v>
      </c>
    </row>
    <row r="3" spans="1:25" x14ac:dyDescent="0.75">
      <c r="A3" t="s">
        <v>401</v>
      </c>
      <c r="B3" t="s">
        <v>480</v>
      </c>
      <c r="C3" t="s">
        <v>49</v>
      </c>
      <c r="D3" t="s">
        <v>47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U3">
        <v>419</v>
      </c>
      <c r="V3">
        <v>28.12</v>
      </c>
      <c r="W3" t="s">
        <v>39</v>
      </c>
      <c r="X3">
        <v>5</v>
      </c>
      <c r="Y3">
        <f>V3/X3</f>
        <v>5.6240000000000006</v>
      </c>
    </row>
    <row r="4" spans="1:25" x14ac:dyDescent="0.75">
      <c r="A4" t="s">
        <v>50</v>
      </c>
      <c r="B4" t="s">
        <v>50</v>
      </c>
      <c r="C4" t="s">
        <v>51</v>
      </c>
      <c r="D4" t="s">
        <v>32</v>
      </c>
      <c r="E4">
        <v>1.4</v>
      </c>
      <c r="F4" t="s">
        <v>34</v>
      </c>
      <c r="G4">
        <f>2.34*10^4</f>
        <v>23400</v>
      </c>
      <c r="H4">
        <v>4.37</v>
      </c>
      <c r="I4" t="s">
        <v>33</v>
      </c>
      <c r="J4">
        <v>4.2</v>
      </c>
      <c r="K4" t="s">
        <v>35</v>
      </c>
      <c r="L4">
        <v>2896</v>
      </c>
      <c r="M4" t="s">
        <v>52</v>
      </c>
      <c r="N4">
        <v>2</v>
      </c>
      <c r="O4">
        <v>0.28000000000000003</v>
      </c>
      <c r="P4" t="s">
        <v>38</v>
      </c>
      <c r="Q4">
        <v>100</v>
      </c>
      <c r="R4">
        <v>5.0000000000000001E-3</v>
      </c>
      <c r="S4">
        <f>R4/Q4</f>
        <v>5.0000000000000002E-5</v>
      </c>
      <c r="U4">
        <v>28.8</v>
      </c>
      <c r="V4">
        <v>10</v>
      </c>
      <c r="W4" t="s">
        <v>39</v>
      </c>
      <c r="X4">
        <v>5</v>
      </c>
      <c r="Y4">
        <f>V4/X4</f>
        <v>2</v>
      </c>
    </row>
    <row r="5" spans="1:25" x14ac:dyDescent="0.75">
      <c r="A5" t="s">
        <v>53</v>
      </c>
      <c r="B5" t="s">
        <v>53</v>
      </c>
      <c r="C5" t="s">
        <v>54</v>
      </c>
      <c r="D5" t="s">
        <v>55</v>
      </c>
      <c r="E5">
        <v>0.15</v>
      </c>
      <c r="F5" t="s">
        <v>34</v>
      </c>
      <c r="G5">
        <f>2.51*10^4</f>
        <v>25099.999999999996</v>
      </c>
      <c r="H5">
        <v>4.4000000000000004</v>
      </c>
      <c r="I5" t="s">
        <v>33</v>
      </c>
      <c r="J5">
        <v>1</v>
      </c>
      <c r="K5" t="s">
        <v>35</v>
      </c>
      <c r="L5">
        <v>219</v>
      </c>
      <c r="M5" t="s">
        <v>52</v>
      </c>
      <c r="N5">
        <v>0.52</v>
      </c>
      <c r="O5">
        <v>0.55000000000000004</v>
      </c>
      <c r="P5" t="s">
        <v>38</v>
      </c>
      <c r="Q5">
        <v>50</v>
      </c>
      <c r="R5">
        <v>4.3999999999999997E-2</v>
      </c>
      <c r="S5">
        <f>R5/Q5</f>
        <v>8.7999999999999992E-4</v>
      </c>
      <c r="U5">
        <v>12.96</v>
      </c>
      <c r="V5">
        <v>0.27</v>
      </c>
      <c r="W5" t="s">
        <v>39</v>
      </c>
      <c r="X5">
        <v>5</v>
      </c>
      <c r="Y5">
        <f>V5/X5</f>
        <v>5.4000000000000006E-2</v>
      </c>
    </row>
    <row r="6" spans="1:25" x14ac:dyDescent="0.75">
      <c r="A6" t="s">
        <v>40</v>
      </c>
      <c r="B6" t="s">
        <v>40</v>
      </c>
      <c r="C6" t="s">
        <v>41</v>
      </c>
      <c r="D6" t="s">
        <v>42</v>
      </c>
      <c r="E6">
        <v>1466561</v>
      </c>
      <c r="F6" t="s">
        <v>33</v>
      </c>
      <c r="G6">
        <f>2.34*10^-2</f>
        <v>2.3400000000000001E-2</v>
      </c>
      <c r="H6">
        <v>-1.63</v>
      </c>
      <c r="I6" t="s">
        <v>34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>
        <v>0.04</v>
      </c>
      <c r="P6" t="s">
        <v>38</v>
      </c>
      <c r="Q6">
        <v>1000</v>
      </c>
      <c r="R6">
        <v>12</v>
      </c>
      <c r="S6">
        <v>1.2E-2</v>
      </c>
      <c r="U6" t="s">
        <v>42</v>
      </c>
      <c r="V6" t="s">
        <v>42</v>
      </c>
      <c r="X6" t="s">
        <v>42</v>
      </c>
      <c r="Y6" t="s">
        <v>42</v>
      </c>
    </row>
    <row r="7" spans="1:25" x14ac:dyDescent="0.75">
      <c r="A7" t="s">
        <v>56</v>
      </c>
      <c r="B7" t="s">
        <v>56</v>
      </c>
      <c r="C7" t="s">
        <v>57</v>
      </c>
      <c r="D7" t="s">
        <v>32</v>
      </c>
      <c r="E7">
        <v>35</v>
      </c>
      <c r="F7" t="s">
        <v>34</v>
      </c>
      <c r="G7">
        <f>5.01*10^2</f>
        <v>501</v>
      </c>
      <c r="H7">
        <v>2.7</v>
      </c>
      <c r="I7" t="s">
        <v>58</v>
      </c>
      <c r="J7" t="s">
        <v>37</v>
      </c>
      <c r="K7" t="s">
        <v>37</v>
      </c>
      <c r="L7">
        <v>4.3</v>
      </c>
      <c r="M7" t="s">
        <v>36</v>
      </c>
      <c r="N7" t="s">
        <v>37</v>
      </c>
      <c r="O7">
        <v>2.57</v>
      </c>
      <c r="P7" t="s">
        <v>59</v>
      </c>
      <c r="Q7">
        <v>10</v>
      </c>
      <c r="R7">
        <v>0.1</v>
      </c>
      <c r="S7">
        <v>0.01</v>
      </c>
      <c r="U7">
        <v>80.400000000000006</v>
      </c>
      <c r="V7">
        <v>45</v>
      </c>
      <c r="W7" t="s">
        <v>39</v>
      </c>
      <c r="X7">
        <v>5</v>
      </c>
      <c r="Y7">
        <f>V7/X7</f>
        <v>9</v>
      </c>
    </row>
    <row r="8" spans="1:25" x14ac:dyDescent="0.75">
      <c r="A8" t="s">
        <v>60</v>
      </c>
      <c r="B8" t="s">
        <v>550</v>
      </c>
      <c r="C8" t="s">
        <v>61</v>
      </c>
      <c r="D8" t="s">
        <v>47</v>
      </c>
      <c r="E8">
        <v>2900</v>
      </c>
      <c r="F8" t="s">
        <v>33</v>
      </c>
      <c r="G8">
        <f>9.77*10^0</f>
        <v>9.77</v>
      </c>
      <c r="H8">
        <v>0.99</v>
      </c>
      <c r="I8" t="s">
        <v>34</v>
      </c>
      <c r="J8">
        <v>10.6</v>
      </c>
      <c r="K8" t="s">
        <v>35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>
        <v>100</v>
      </c>
      <c r="R8">
        <v>1.6000000000000001E-3</v>
      </c>
      <c r="S8">
        <f>R8/Q8</f>
        <v>1.5999999999999999E-5</v>
      </c>
      <c r="U8">
        <v>19.7</v>
      </c>
      <c r="V8">
        <v>20.399999999999999</v>
      </c>
      <c r="W8" t="s">
        <v>39</v>
      </c>
      <c r="X8">
        <v>5</v>
      </c>
      <c r="Y8">
        <f t="shared" ref="Y8:Y70" si="0">V8/X8</f>
        <v>4.08</v>
      </c>
    </row>
    <row r="9" spans="1:25" x14ac:dyDescent="0.75">
      <c r="A9" t="s">
        <v>62</v>
      </c>
      <c r="B9" t="s">
        <v>62</v>
      </c>
      <c r="C9" t="s">
        <v>63</v>
      </c>
      <c r="D9" t="s">
        <v>55</v>
      </c>
      <c r="E9">
        <v>6.7</v>
      </c>
      <c r="F9" t="s">
        <v>34</v>
      </c>
      <c r="G9">
        <f>3.16*10^2</f>
        <v>316</v>
      </c>
      <c r="H9">
        <v>2.5</v>
      </c>
      <c r="I9" t="s">
        <v>34</v>
      </c>
      <c r="J9">
        <v>6.1</v>
      </c>
      <c r="K9" t="s">
        <v>35</v>
      </c>
      <c r="L9" s="10" t="s">
        <v>42</v>
      </c>
      <c r="M9" t="s">
        <v>48</v>
      </c>
      <c r="O9">
        <v>3.1</v>
      </c>
      <c r="P9" t="s">
        <v>44</v>
      </c>
      <c r="Q9">
        <v>10</v>
      </c>
      <c r="R9">
        <v>4.3999999999999997E-2</v>
      </c>
      <c r="S9">
        <v>4.3999999999999994E-3</v>
      </c>
      <c r="U9">
        <v>29</v>
      </c>
      <c r="V9">
        <v>79</v>
      </c>
      <c r="W9" t="s">
        <v>3</v>
      </c>
      <c r="X9">
        <v>10</v>
      </c>
      <c r="Y9">
        <f t="shared" si="0"/>
        <v>7.9</v>
      </c>
    </row>
    <row r="10" spans="1:25" x14ac:dyDescent="0.75">
      <c r="A10" t="s">
        <v>402</v>
      </c>
      <c r="B10" t="s">
        <v>481</v>
      </c>
      <c r="C10" t="s">
        <v>64</v>
      </c>
      <c r="D10" t="s">
        <v>42</v>
      </c>
      <c r="E10">
        <v>57</v>
      </c>
      <c r="F10" t="s">
        <v>58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>
        <v>2.4700000000000002</v>
      </c>
      <c r="P10" t="s">
        <v>59</v>
      </c>
      <c r="Q10">
        <v>1000</v>
      </c>
      <c r="R10">
        <v>40.700000000000003</v>
      </c>
      <c r="S10">
        <f>R10/Q10</f>
        <v>4.07E-2</v>
      </c>
      <c r="U10" t="s">
        <v>37</v>
      </c>
      <c r="V10">
        <v>1000</v>
      </c>
      <c r="W10" t="s">
        <v>3</v>
      </c>
      <c r="X10">
        <v>10</v>
      </c>
      <c r="Y10">
        <f t="shared" si="0"/>
        <v>100</v>
      </c>
    </row>
    <row r="11" spans="1:25" x14ac:dyDescent="0.75">
      <c r="A11" t="s">
        <v>65</v>
      </c>
      <c r="B11" t="s">
        <v>65</v>
      </c>
      <c r="C11" t="s">
        <v>66</v>
      </c>
      <c r="D11" t="s">
        <v>32</v>
      </c>
      <c r="E11">
        <v>7112</v>
      </c>
      <c r="F11" t="s">
        <v>33</v>
      </c>
      <c r="G11">
        <f>3.47*10^-1</f>
        <v>0.34700000000000003</v>
      </c>
      <c r="H11">
        <v>-0.46</v>
      </c>
      <c r="I11" t="s">
        <v>34</v>
      </c>
      <c r="J11">
        <v>80</v>
      </c>
      <c r="K11" t="s">
        <v>67</v>
      </c>
      <c r="L11">
        <v>21</v>
      </c>
      <c r="M11" t="s">
        <v>36</v>
      </c>
      <c r="O11">
        <v>1.95</v>
      </c>
      <c r="P11" t="s">
        <v>59</v>
      </c>
      <c r="Q11">
        <v>10</v>
      </c>
      <c r="R11">
        <v>25.7</v>
      </c>
      <c r="S11">
        <v>2.57</v>
      </c>
      <c r="U11">
        <v>262</v>
      </c>
      <c r="V11">
        <v>3</v>
      </c>
      <c r="W11" t="s">
        <v>39</v>
      </c>
      <c r="X11">
        <v>5</v>
      </c>
      <c r="Y11">
        <f t="shared" si="0"/>
        <v>0.6</v>
      </c>
    </row>
    <row r="12" spans="1:25" ht="16" x14ac:dyDescent="0.8">
      <c r="A12" t="s">
        <v>68</v>
      </c>
      <c r="B12" t="s">
        <v>68</v>
      </c>
      <c r="C12" t="s">
        <v>69</v>
      </c>
      <c r="D12" t="s">
        <v>47</v>
      </c>
      <c r="E12">
        <v>1E-3</v>
      </c>
      <c r="F12" t="s">
        <v>34</v>
      </c>
      <c r="G12">
        <f>3.98*10^6</f>
        <v>3980000</v>
      </c>
      <c r="H12">
        <v>6.6</v>
      </c>
      <c r="I12" t="s">
        <v>33</v>
      </c>
      <c r="J12">
        <v>8</v>
      </c>
      <c r="K12" t="s">
        <v>35</v>
      </c>
      <c r="L12">
        <v>1703</v>
      </c>
      <c r="M12" t="s">
        <v>52</v>
      </c>
      <c r="N12" t="s">
        <v>37</v>
      </c>
      <c r="O12">
        <v>-2.66</v>
      </c>
      <c r="P12" t="s">
        <v>38</v>
      </c>
      <c r="Q12">
        <v>10</v>
      </c>
      <c r="R12" s="13">
        <v>1.3E-6</v>
      </c>
      <c r="S12">
        <f>R12/Q12</f>
        <v>1.3E-7</v>
      </c>
      <c r="U12" t="s">
        <v>37</v>
      </c>
      <c r="V12">
        <v>1000</v>
      </c>
      <c r="W12" t="s">
        <v>3</v>
      </c>
      <c r="X12">
        <v>10</v>
      </c>
      <c r="Y12">
        <f t="shared" si="0"/>
        <v>100</v>
      </c>
    </row>
    <row r="13" spans="1:25" x14ac:dyDescent="0.75">
      <c r="A13" t="s">
        <v>70</v>
      </c>
      <c r="B13" t="s">
        <v>70</v>
      </c>
      <c r="C13" t="s">
        <v>71</v>
      </c>
      <c r="D13" t="s">
        <v>72</v>
      </c>
      <c r="E13">
        <v>0.49</v>
      </c>
      <c r="F13" t="s">
        <v>34</v>
      </c>
      <c r="G13">
        <f>2*10^3</f>
        <v>2000</v>
      </c>
      <c r="H13">
        <v>3.3</v>
      </c>
      <c r="I13" t="s">
        <v>33</v>
      </c>
      <c r="J13">
        <v>26</v>
      </c>
      <c r="K13" t="s">
        <v>73</v>
      </c>
      <c r="L13">
        <v>695</v>
      </c>
      <c r="M13" t="s">
        <v>52</v>
      </c>
      <c r="N13">
        <v>1.33</v>
      </c>
      <c r="O13">
        <v>0.99</v>
      </c>
      <c r="P13" t="s">
        <v>38</v>
      </c>
      <c r="Q13">
        <v>50</v>
      </c>
      <c r="R13">
        <v>4.5999999999999999E-3</v>
      </c>
      <c r="S13">
        <f>R13/Q13</f>
        <v>9.2E-5</v>
      </c>
      <c r="U13">
        <v>7.5</v>
      </c>
      <c r="V13">
        <v>1000</v>
      </c>
      <c r="W13" t="s">
        <v>39</v>
      </c>
      <c r="X13">
        <v>5</v>
      </c>
      <c r="Y13">
        <f t="shared" si="0"/>
        <v>200</v>
      </c>
    </row>
    <row r="14" spans="1:25" x14ac:dyDescent="0.75">
      <c r="A14" t="s">
        <v>403</v>
      </c>
      <c r="B14" t="s">
        <v>482</v>
      </c>
      <c r="C14" t="s">
        <v>74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U14">
        <v>86.8</v>
      </c>
      <c r="V14">
        <v>1.0649999999999999</v>
      </c>
      <c r="W14" t="s">
        <v>39</v>
      </c>
      <c r="X14">
        <v>5</v>
      </c>
      <c r="Y14">
        <f t="shared" si="0"/>
        <v>0.21299999999999999</v>
      </c>
    </row>
    <row r="15" spans="1:25" x14ac:dyDescent="0.75">
      <c r="A15" t="s">
        <v>75</v>
      </c>
      <c r="B15" s="3" t="s">
        <v>75</v>
      </c>
      <c r="C15" t="s">
        <v>76</v>
      </c>
      <c r="D15" t="s">
        <v>55</v>
      </c>
      <c r="E15">
        <v>4.5999999999999996</v>
      </c>
      <c r="F15" t="s">
        <v>34</v>
      </c>
      <c r="G15">
        <f>9.12*10^2</f>
        <v>911.99999999999989</v>
      </c>
      <c r="H15" s="3">
        <v>2.96</v>
      </c>
      <c r="I15" s="3" t="s">
        <v>58</v>
      </c>
      <c r="J15" s="3">
        <v>5</v>
      </c>
      <c r="K15" s="3" t="s">
        <v>35</v>
      </c>
      <c r="L15" s="3">
        <v>107</v>
      </c>
      <c r="M15" s="3" t="s">
        <v>52</v>
      </c>
      <c r="N15" s="3">
        <v>1</v>
      </c>
      <c r="O15" s="3">
        <v>2.68</v>
      </c>
      <c r="P15" s="3" t="s">
        <v>59</v>
      </c>
      <c r="Q15" s="3">
        <v>50</v>
      </c>
      <c r="R15" s="3">
        <v>0.125</v>
      </c>
      <c r="S15" s="3">
        <v>2.5000000000000001E-3</v>
      </c>
      <c r="U15">
        <v>254</v>
      </c>
      <c r="V15">
        <v>7.74</v>
      </c>
      <c r="W15" t="s">
        <v>39</v>
      </c>
      <c r="X15">
        <v>5</v>
      </c>
      <c r="Y15">
        <f t="shared" si="0"/>
        <v>1.548</v>
      </c>
    </row>
    <row r="16" spans="1:25" x14ac:dyDescent="0.75">
      <c r="A16" t="s">
        <v>77</v>
      </c>
      <c r="B16" t="s">
        <v>77</v>
      </c>
      <c r="C16" t="s">
        <v>78</v>
      </c>
      <c r="D16" t="s">
        <v>32</v>
      </c>
      <c r="E16">
        <v>38000</v>
      </c>
      <c r="F16" t="s">
        <v>33</v>
      </c>
      <c r="G16">
        <f>1.86*10^0</f>
        <v>1.86</v>
      </c>
      <c r="H16">
        <v>0.27</v>
      </c>
      <c r="I16" t="s">
        <v>34</v>
      </c>
      <c r="J16">
        <v>13</v>
      </c>
      <c r="K16" t="s">
        <v>35</v>
      </c>
      <c r="L16" s="10" t="s">
        <v>42</v>
      </c>
      <c r="M16" t="s">
        <v>48</v>
      </c>
      <c r="N16" t="s">
        <v>37</v>
      </c>
      <c r="O16">
        <v>1.71</v>
      </c>
      <c r="P16" t="s">
        <v>38</v>
      </c>
      <c r="Q16" s="14">
        <v>10</v>
      </c>
      <c r="R16" s="14">
        <v>2</v>
      </c>
      <c r="S16" s="14">
        <v>0.2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</row>
    <row r="17" spans="1:25" x14ac:dyDescent="0.75">
      <c r="A17" t="s">
        <v>79</v>
      </c>
      <c r="B17" t="s">
        <v>79</v>
      </c>
      <c r="C17" t="s">
        <v>80</v>
      </c>
      <c r="D17" t="s">
        <v>55</v>
      </c>
      <c r="E17">
        <v>5.2</v>
      </c>
      <c r="F17" t="s">
        <v>34</v>
      </c>
      <c r="G17">
        <f>3.16*10^2</f>
        <v>316</v>
      </c>
      <c r="H17">
        <v>3.5</v>
      </c>
      <c r="I17" t="s">
        <v>34</v>
      </c>
      <c r="J17">
        <v>0.6</v>
      </c>
      <c r="K17" t="s">
        <v>81</v>
      </c>
      <c r="L17">
        <v>140</v>
      </c>
      <c r="M17" t="s">
        <v>52</v>
      </c>
      <c r="N17">
        <v>2</v>
      </c>
      <c r="O17">
        <v>0.97</v>
      </c>
      <c r="P17" t="s">
        <v>38</v>
      </c>
      <c r="Q17">
        <v>10</v>
      </c>
      <c r="R17">
        <v>0.18</v>
      </c>
      <c r="S17">
        <f>R17/Q17</f>
        <v>1.7999999999999999E-2</v>
      </c>
      <c r="U17">
        <v>254</v>
      </c>
      <c r="V17">
        <v>1.1970000000000001</v>
      </c>
      <c r="W17" t="s">
        <v>39</v>
      </c>
      <c r="X17">
        <v>5</v>
      </c>
      <c r="Y17">
        <f t="shared" si="0"/>
        <v>0.2394</v>
      </c>
    </row>
    <row r="18" spans="1:25" x14ac:dyDescent="0.75">
      <c r="A18" t="s">
        <v>404</v>
      </c>
      <c r="B18" t="s">
        <v>483</v>
      </c>
      <c r="C18" t="s">
        <v>82</v>
      </c>
      <c r="D18" t="s">
        <v>55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U18">
        <v>8</v>
      </c>
      <c r="V18">
        <v>4.5</v>
      </c>
      <c r="W18" t="s">
        <v>39</v>
      </c>
      <c r="X18">
        <v>5</v>
      </c>
      <c r="Y18">
        <f t="shared" si="0"/>
        <v>0.9</v>
      </c>
    </row>
    <row r="19" spans="1:25" x14ac:dyDescent="0.75">
      <c r="A19" t="s">
        <v>83</v>
      </c>
      <c r="B19" t="s">
        <v>83</v>
      </c>
      <c r="C19" t="s">
        <v>84</v>
      </c>
      <c r="D19" t="s">
        <v>55</v>
      </c>
      <c r="E19">
        <v>8</v>
      </c>
      <c r="F19" t="s">
        <v>34</v>
      </c>
      <c r="G19">
        <f>3.02*10^1</f>
        <v>30.2</v>
      </c>
      <c r="H19">
        <v>1.48</v>
      </c>
      <c r="I19" t="s">
        <v>34</v>
      </c>
      <c r="J19">
        <v>7.9</v>
      </c>
      <c r="K19" t="s">
        <v>35</v>
      </c>
      <c r="L19">
        <v>25</v>
      </c>
      <c r="M19" t="s">
        <v>36</v>
      </c>
      <c r="N19" t="s">
        <v>37</v>
      </c>
      <c r="O19">
        <v>2.21</v>
      </c>
      <c r="P19" t="s">
        <v>59</v>
      </c>
      <c r="Q19">
        <v>100</v>
      </c>
      <c r="R19">
        <v>1.5E-3</v>
      </c>
      <c r="S19">
        <f>R19/Q19</f>
        <v>1.5E-5</v>
      </c>
      <c r="U19">
        <v>3.7</v>
      </c>
      <c r="V19">
        <v>6.1</v>
      </c>
      <c r="W19" t="s">
        <v>39</v>
      </c>
      <c r="X19">
        <v>5</v>
      </c>
      <c r="Y19">
        <f t="shared" si="0"/>
        <v>1.22</v>
      </c>
    </row>
    <row r="20" spans="1:25" x14ac:dyDescent="0.75">
      <c r="A20" t="s">
        <v>85</v>
      </c>
      <c r="B20" t="s">
        <v>550</v>
      </c>
      <c r="C20" t="s">
        <v>86</v>
      </c>
      <c r="D20" t="s">
        <v>32</v>
      </c>
      <c r="E20">
        <v>29.3</v>
      </c>
      <c r="F20" t="s">
        <v>34</v>
      </c>
      <c r="G20">
        <f>5.01*10^3</f>
        <v>5010</v>
      </c>
      <c r="H20">
        <v>3.7</v>
      </c>
      <c r="I20" t="s">
        <v>33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>
        <v>1000</v>
      </c>
      <c r="R20">
        <v>0.27</v>
      </c>
      <c r="S20">
        <f>R20/Q20</f>
        <v>2.7E-4</v>
      </c>
      <c r="U20">
        <v>15.6</v>
      </c>
      <c r="V20">
        <v>117</v>
      </c>
      <c r="W20" t="s">
        <v>39</v>
      </c>
      <c r="X20">
        <v>5</v>
      </c>
      <c r="Y20">
        <f t="shared" si="0"/>
        <v>23.4</v>
      </c>
    </row>
    <row r="21" spans="1:25" x14ac:dyDescent="0.75">
      <c r="A21" t="s">
        <v>405</v>
      </c>
      <c r="B21" t="s">
        <v>484</v>
      </c>
      <c r="C21" t="s">
        <v>87</v>
      </c>
      <c r="D21" t="s">
        <v>32</v>
      </c>
      <c r="E21">
        <v>29.3</v>
      </c>
      <c r="F21" t="s">
        <v>34</v>
      </c>
      <c r="G21">
        <f>5.01*10^3</f>
        <v>5010</v>
      </c>
      <c r="H21">
        <v>3.7</v>
      </c>
      <c r="I21" t="s">
        <v>33</v>
      </c>
      <c r="J21">
        <v>0.1</v>
      </c>
      <c r="K21" t="s">
        <v>81</v>
      </c>
      <c r="L21">
        <v>176</v>
      </c>
      <c r="M21" t="s">
        <v>52</v>
      </c>
      <c r="N21">
        <v>1</v>
      </c>
      <c r="O21">
        <v>-0.4</v>
      </c>
      <c r="P21" t="s">
        <v>38</v>
      </c>
      <c r="Q21">
        <v>100</v>
      </c>
      <c r="R21">
        <v>5.7000000000000002E-3</v>
      </c>
      <c r="S21">
        <f>R21/Q21</f>
        <v>5.7000000000000003E-5</v>
      </c>
      <c r="U21">
        <v>22</v>
      </c>
      <c r="V21">
        <v>1</v>
      </c>
      <c r="W21" t="s">
        <v>39</v>
      </c>
      <c r="X21">
        <v>5</v>
      </c>
      <c r="Y21">
        <f t="shared" si="0"/>
        <v>0.2</v>
      </c>
    </row>
    <row r="22" spans="1:25" x14ac:dyDescent="0.75">
      <c r="A22" t="s">
        <v>88</v>
      </c>
      <c r="B22" t="s">
        <v>88</v>
      </c>
      <c r="C22" t="s">
        <v>89</v>
      </c>
      <c r="D22" t="s">
        <v>47</v>
      </c>
      <c r="E22">
        <v>0.88</v>
      </c>
      <c r="F22" t="s">
        <v>34</v>
      </c>
      <c r="G22">
        <f>7.24*10^2</f>
        <v>724</v>
      </c>
      <c r="H22" s="3">
        <v>2.86</v>
      </c>
      <c r="I22" s="3" t="s">
        <v>58</v>
      </c>
      <c r="J22" s="3">
        <v>23.5</v>
      </c>
      <c r="K22" s="3" t="s">
        <v>73</v>
      </c>
      <c r="L22" s="3">
        <v>15</v>
      </c>
      <c r="M22" s="3" t="s">
        <v>36</v>
      </c>
      <c r="N22" s="3">
        <v>1.5</v>
      </c>
      <c r="O22" s="3">
        <v>3.51</v>
      </c>
      <c r="P22" s="3" t="s">
        <v>44</v>
      </c>
      <c r="Q22" s="3">
        <v>100</v>
      </c>
      <c r="R22" s="3">
        <v>4.0000000000000001E-3</v>
      </c>
      <c r="S22" s="3">
        <v>4.0000000000000003E-5</v>
      </c>
      <c r="U22">
        <v>8.1999999999999993</v>
      </c>
      <c r="V22">
        <v>17.72</v>
      </c>
      <c r="W22" t="s">
        <v>39</v>
      </c>
      <c r="X22">
        <v>5</v>
      </c>
      <c r="Y22">
        <f t="shared" si="0"/>
        <v>3.5439999999999996</v>
      </c>
    </row>
    <row r="23" spans="1:25" x14ac:dyDescent="0.75">
      <c r="A23" t="s">
        <v>90</v>
      </c>
      <c r="B23" s="3" t="s">
        <v>90</v>
      </c>
      <c r="C23" t="s">
        <v>91</v>
      </c>
      <c r="D23" t="s">
        <v>32</v>
      </c>
      <c r="E23">
        <v>422</v>
      </c>
      <c r="F23" t="s">
        <v>58</v>
      </c>
      <c r="G23">
        <f>1.55*10^1</f>
        <v>15.5</v>
      </c>
      <c r="H23">
        <v>1.19</v>
      </c>
      <c r="I23" t="s">
        <v>34</v>
      </c>
      <c r="J23">
        <v>51.5</v>
      </c>
      <c r="K23" t="s">
        <v>67</v>
      </c>
      <c r="L23">
        <v>12</v>
      </c>
      <c r="M23" t="s">
        <v>36</v>
      </c>
      <c r="N23" t="s">
        <v>37</v>
      </c>
      <c r="O23">
        <v>2.16</v>
      </c>
      <c r="P23" t="s">
        <v>59</v>
      </c>
      <c r="Q23">
        <v>10</v>
      </c>
      <c r="R23">
        <v>0.73</v>
      </c>
      <c r="S23">
        <f>R23/Q23</f>
        <v>7.2999999999999995E-2</v>
      </c>
      <c r="U23">
        <v>0.5</v>
      </c>
      <c r="V23">
        <v>17.72</v>
      </c>
      <c r="W23" t="s">
        <v>39</v>
      </c>
      <c r="X23">
        <v>5</v>
      </c>
      <c r="Y23">
        <f t="shared" si="0"/>
        <v>3.5439999999999996</v>
      </c>
    </row>
    <row r="24" spans="1:25" x14ac:dyDescent="0.75">
      <c r="A24" t="s">
        <v>92</v>
      </c>
      <c r="B24" t="s">
        <v>92</v>
      </c>
      <c r="C24" t="s">
        <v>93</v>
      </c>
      <c r="D24" t="s">
        <v>55</v>
      </c>
      <c r="E24">
        <v>0.81</v>
      </c>
      <c r="F24" t="s">
        <v>34</v>
      </c>
      <c r="G24">
        <f>8.71*10^2</f>
        <v>871.00000000000011</v>
      </c>
      <c r="H24">
        <v>2.94</v>
      </c>
      <c r="I24" t="s">
        <v>58</v>
      </c>
      <c r="J24">
        <v>0.82</v>
      </c>
      <c r="K24" t="s">
        <v>81</v>
      </c>
      <c r="L24">
        <v>100</v>
      </c>
      <c r="M24" t="s">
        <v>52</v>
      </c>
      <c r="N24">
        <v>5</v>
      </c>
      <c r="O24">
        <v>1.1200000000000001</v>
      </c>
      <c r="P24" t="s">
        <v>38</v>
      </c>
      <c r="Q24">
        <v>10</v>
      </c>
      <c r="R24">
        <v>8.9999999999999993E-3</v>
      </c>
      <c r="S24">
        <f>R24/Q24</f>
        <v>8.9999999999999998E-4</v>
      </c>
      <c r="U24">
        <v>204</v>
      </c>
      <c r="V24">
        <v>0.39</v>
      </c>
      <c r="W24" t="s">
        <v>39</v>
      </c>
      <c r="X24">
        <v>5</v>
      </c>
      <c r="Y24">
        <f t="shared" si="0"/>
        <v>7.8E-2</v>
      </c>
    </row>
    <row r="25" spans="1:25" x14ac:dyDescent="0.75">
      <c r="A25" t="s">
        <v>406</v>
      </c>
      <c r="B25" t="s">
        <v>485</v>
      </c>
      <c r="C25" t="s">
        <v>94</v>
      </c>
      <c r="D25" t="s">
        <v>55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U25">
        <v>18.600000000000001</v>
      </c>
      <c r="V25">
        <v>1000</v>
      </c>
      <c r="W25" t="s">
        <v>39</v>
      </c>
      <c r="X25">
        <v>5</v>
      </c>
      <c r="Y25">
        <f t="shared" si="0"/>
        <v>200</v>
      </c>
    </row>
    <row r="26" spans="1:25" x14ac:dyDescent="0.75">
      <c r="A26" t="s">
        <v>95</v>
      </c>
      <c r="B26" t="s">
        <v>95</v>
      </c>
      <c r="C26" t="s">
        <v>96</v>
      </c>
      <c r="D26" t="s">
        <v>32</v>
      </c>
      <c r="E26">
        <v>76</v>
      </c>
      <c r="F26" t="s">
        <v>58</v>
      </c>
      <c r="G26">
        <f>3.16*10^2</f>
        <v>316</v>
      </c>
      <c r="H26">
        <v>2.5</v>
      </c>
      <c r="I26" t="s">
        <v>34</v>
      </c>
      <c r="J26">
        <v>44.4</v>
      </c>
      <c r="K26" t="s">
        <v>67</v>
      </c>
      <c r="L26" s="10" t="s">
        <v>42</v>
      </c>
      <c r="M26" t="s">
        <v>48</v>
      </c>
      <c r="N26" t="s">
        <v>37</v>
      </c>
      <c r="O26">
        <v>2.0099999999999998</v>
      </c>
      <c r="P26" t="s">
        <v>59</v>
      </c>
      <c r="Q26">
        <v>10</v>
      </c>
      <c r="R26">
        <v>0.4</v>
      </c>
      <c r="S26">
        <f>R26/Q26</f>
        <v>0.04</v>
      </c>
      <c r="U26">
        <v>17.899999999999999</v>
      </c>
      <c r="V26">
        <v>18</v>
      </c>
      <c r="W26" t="s">
        <v>39</v>
      </c>
      <c r="X26">
        <v>5</v>
      </c>
      <c r="Y26">
        <f t="shared" si="0"/>
        <v>3.6</v>
      </c>
    </row>
    <row r="27" spans="1:25" x14ac:dyDescent="0.75">
      <c r="A27" t="s">
        <v>97</v>
      </c>
      <c r="B27" t="s">
        <v>97</v>
      </c>
      <c r="C27" t="s">
        <v>98</v>
      </c>
      <c r="D27" t="s">
        <v>32</v>
      </c>
      <c r="E27">
        <v>110</v>
      </c>
      <c r="F27" t="s">
        <v>58</v>
      </c>
      <c r="G27">
        <f>5.75*10^3</f>
        <v>5750</v>
      </c>
      <c r="H27">
        <v>3.76</v>
      </c>
      <c r="I27" t="s">
        <v>33</v>
      </c>
      <c r="J27">
        <v>60</v>
      </c>
      <c r="K27" t="s">
        <v>67</v>
      </c>
      <c r="L27">
        <v>144</v>
      </c>
      <c r="M27" t="s">
        <v>52</v>
      </c>
      <c r="N27">
        <v>0.6</v>
      </c>
      <c r="O27">
        <v>1.54</v>
      </c>
      <c r="P27" t="s">
        <v>38</v>
      </c>
      <c r="Q27">
        <v>10</v>
      </c>
      <c r="R27">
        <v>0.32</v>
      </c>
      <c r="S27">
        <f>R27/Q27</f>
        <v>3.2000000000000001E-2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</row>
    <row r="28" spans="1:25" x14ac:dyDescent="0.75">
      <c r="A28" t="s">
        <v>99</v>
      </c>
      <c r="B28" t="s">
        <v>99</v>
      </c>
      <c r="C28" t="s">
        <v>100</v>
      </c>
      <c r="D28" t="s">
        <v>47</v>
      </c>
      <c r="E28">
        <v>1.05</v>
      </c>
      <c r="F28" t="s">
        <v>34</v>
      </c>
      <c r="G28">
        <f>5.01*10^4</f>
        <v>50100</v>
      </c>
      <c r="H28">
        <v>4.7</v>
      </c>
      <c r="I28" t="s">
        <v>33</v>
      </c>
      <c r="J28">
        <v>5</v>
      </c>
      <c r="K28" t="s">
        <v>35</v>
      </c>
      <c r="L28">
        <v>1374</v>
      </c>
      <c r="M28" t="s">
        <v>52</v>
      </c>
      <c r="N28">
        <v>2.5</v>
      </c>
      <c r="O28">
        <v>0.57999999999999996</v>
      </c>
      <c r="P28" t="s">
        <v>38</v>
      </c>
      <c r="Q28">
        <v>10</v>
      </c>
      <c r="R28">
        <v>1E-4</v>
      </c>
      <c r="S28">
        <f>R28/Q28</f>
        <v>1.0000000000000001E-5</v>
      </c>
      <c r="U28">
        <v>12.5</v>
      </c>
      <c r="V28">
        <v>31.25</v>
      </c>
      <c r="W28" t="s">
        <v>39</v>
      </c>
      <c r="X28">
        <v>5</v>
      </c>
      <c r="Y28">
        <f t="shared" si="0"/>
        <v>6.25</v>
      </c>
    </row>
    <row r="29" spans="1:25" x14ac:dyDescent="0.75">
      <c r="A29" t="s">
        <v>407</v>
      </c>
      <c r="B29" t="s">
        <v>488</v>
      </c>
      <c r="C29" t="s">
        <v>101</v>
      </c>
      <c r="D29" t="s">
        <v>47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U29" t="s">
        <v>37</v>
      </c>
      <c r="V29">
        <v>17.2</v>
      </c>
      <c r="W29" t="s">
        <v>39</v>
      </c>
      <c r="X29">
        <v>5</v>
      </c>
      <c r="Y29">
        <f t="shared" si="0"/>
        <v>3.44</v>
      </c>
    </row>
    <row r="30" spans="1:25" ht="16" x14ac:dyDescent="0.8">
      <c r="A30" t="s">
        <v>408</v>
      </c>
      <c r="B30" t="s">
        <v>486</v>
      </c>
      <c r="C30" t="s">
        <v>102</v>
      </c>
      <c r="D30" t="s">
        <v>42</v>
      </c>
      <c r="E30">
        <v>2.74</v>
      </c>
      <c r="F30" t="s">
        <v>34</v>
      </c>
      <c r="G30">
        <f>1*10^4</f>
        <v>10000</v>
      </c>
      <c r="H30">
        <v>4</v>
      </c>
      <c r="I30" t="s">
        <v>33</v>
      </c>
      <c r="J30">
        <v>2.9</v>
      </c>
      <c r="K30" t="s">
        <v>35</v>
      </c>
      <c r="L30">
        <v>1800</v>
      </c>
      <c r="M30" t="s">
        <v>52</v>
      </c>
      <c r="N30">
        <v>2.6</v>
      </c>
      <c r="O30">
        <v>0.08</v>
      </c>
      <c r="P30" t="s">
        <v>38</v>
      </c>
      <c r="Q30">
        <v>50</v>
      </c>
      <c r="R30" s="13">
        <v>1.0000000000000001E-5</v>
      </c>
      <c r="S30">
        <f>R30/Q30</f>
        <v>2.0000000000000002E-7</v>
      </c>
      <c r="U30">
        <v>27.6</v>
      </c>
      <c r="V30">
        <v>1.2E-2</v>
      </c>
      <c r="W30" t="s">
        <v>39</v>
      </c>
      <c r="X30">
        <v>5</v>
      </c>
      <c r="Y30">
        <f t="shared" si="0"/>
        <v>2.4000000000000002E-3</v>
      </c>
    </row>
    <row r="31" spans="1:25" x14ac:dyDescent="0.75">
      <c r="A31" t="s">
        <v>409</v>
      </c>
      <c r="B31" t="s">
        <v>487</v>
      </c>
      <c r="C31" t="s">
        <v>103</v>
      </c>
      <c r="D31" t="s">
        <v>47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U31" s="10" t="s">
        <v>42</v>
      </c>
      <c r="V31" s="10" t="s">
        <v>42</v>
      </c>
      <c r="W31" s="10" t="s">
        <v>42</v>
      </c>
      <c r="X31" s="10" t="s">
        <v>42</v>
      </c>
      <c r="Y31" s="10" t="s">
        <v>42</v>
      </c>
    </row>
    <row r="32" spans="1:25" x14ac:dyDescent="0.75">
      <c r="A32" t="s">
        <v>104</v>
      </c>
      <c r="B32" t="s">
        <v>104</v>
      </c>
      <c r="C32" t="s">
        <v>105</v>
      </c>
      <c r="D32" t="s">
        <v>32</v>
      </c>
      <c r="E32">
        <v>1212</v>
      </c>
      <c r="F32" t="s">
        <v>33</v>
      </c>
      <c r="G32">
        <f>3.8*10^2</f>
        <v>380</v>
      </c>
      <c r="H32">
        <v>2.58</v>
      </c>
      <c r="I32" t="s">
        <v>34</v>
      </c>
      <c r="J32" t="s">
        <v>37</v>
      </c>
      <c r="K32" t="s">
        <v>37</v>
      </c>
      <c r="L32">
        <v>40</v>
      </c>
      <c r="M32" t="s">
        <v>36</v>
      </c>
      <c r="N32">
        <v>1</v>
      </c>
      <c r="O32">
        <v>2.72</v>
      </c>
      <c r="P32" t="s">
        <v>59</v>
      </c>
      <c r="Q32">
        <v>10</v>
      </c>
      <c r="R32">
        <v>0.05</v>
      </c>
      <c r="S32">
        <f>R32/Q32</f>
        <v>5.0000000000000001E-3</v>
      </c>
      <c r="U32">
        <v>1.24</v>
      </c>
      <c r="V32">
        <v>7.4999999999999997E-2</v>
      </c>
      <c r="W32" t="s">
        <v>39</v>
      </c>
      <c r="X32">
        <v>5</v>
      </c>
      <c r="Y32">
        <f t="shared" si="0"/>
        <v>1.4999999999999999E-2</v>
      </c>
    </row>
    <row r="33" spans="1:25" x14ac:dyDescent="0.75">
      <c r="A33" t="s">
        <v>106</v>
      </c>
      <c r="B33" t="s">
        <v>106</v>
      </c>
      <c r="C33" t="s">
        <v>107</v>
      </c>
      <c r="D33" t="s">
        <v>47</v>
      </c>
      <c r="E33">
        <v>340</v>
      </c>
      <c r="F33" t="s">
        <v>58</v>
      </c>
      <c r="G33">
        <f>8.04*10^0</f>
        <v>8.0399999999999991</v>
      </c>
      <c r="H33">
        <v>0.90500000000000003</v>
      </c>
      <c r="I33" t="s">
        <v>34</v>
      </c>
      <c r="J33" t="s">
        <v>108</v>
      </c>
      <c r="K33" t="s">
        <v>67</v>
      </c>
      <c r="L33" s="10" t="s">
        <v>42</v>
      </c>
      <c r="M33" t="s">
        <v>48</v>
      </c>
      <c r="N33" t="s">
        <v>37</v>
      </c>
      <c r="O33" s="11" t="s">
        <v>109</v>
      </c>
      <c r="P33" t="s">
        <v>44</v>
      </c>
      <c r="Q33">
        <v>100</v>
      </c>
      <c r="R33">
        <v>2.9000000000000001E-2</v>
      </c>
      <c r="S33">
        <v>2.9E-4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</row>
    <row r="34" spans="1:25" x14ac:dyDescent="0.75">
      <c r="A34" t="s">
        <v>110</v>
      </c>
      <c r="B34" t="s">
        <v>110</v>
      </c>
      <c r="C34" t="s">
        <v>111</v>
      </c>
      <c r="D34" t="s">
        <v>47</v>
      </c>
      <c r="E34">
        <v>14.2</v>
      </c>
      <c r="F34" t="s">
        <v>34</v>
      </c>
      <c r="G34">
        <f>1.05*10^2</f>
        <v>105</v>
      </c>
      <c r="H34">
        <v>2.02</v>
      </c>
      <c r="I34" t="s">
        <v>34</v>
      </c>
      <c r="J34" t="s">
        <v>37</v>
      </c>
      <c r="K34" t="s">
        <v>37</v>
      </c>
      <c r="L34">
        <v>1</v>
      </c>
      <c r="M34" t="s">
        <v>36</v>
      </c>
      <c r="N34" t="s">
        <v>37</v>
      </c>
      <c r="O34">
        <v>2.59</v>
      </c>
      <c r="P34" t="s">
        <v>59</v>
      </c>
      <c r="Q34">
        <v>1000</v>
      </c>
      <c r="R34">
        <v>0.02</v>
      </c>
      <c r="S34">
        <f>R34/Q34</f>
        <v>2.0000000000000002E-5</v>
      </c>
      <c r="U34">
        <v>27.3</v>
      </c>
      <c r="V34">
        <v>0.8</v>
      </c>
      <c r="W34" t="s">
        <v>39</v>
      </c>
      <c r="X34">
        <v>5</v>
      </c>
      <c r="Y34">
        <f t="shared" si="0"/>
        <v>0.16</v>
      </c>
    </row>
    <row r="35" spans="1:25" x14ac:dyDescent="0.75">
      <c r="A35" t="s">
        <v>112</v>
      </c>
      <c r="B35" t="s">
        <v>112</v>
      </c>
      <c r="C35" t="s">
        <v>113</v>
      </c>
      <c r="D35" t="s">
        <v>55</v>
      </c>
      <c r="E35">
        <v>0.52</v>
      </c>
      <c r="F35" t="s">
        <v>34</v>
      </c>
      <c r="G35">
        <f>5.01*10^4</f>
        <v>50100</v>
      </c>
      <c r="H35">
        <v>4.7</v>
      </c>
      <c r="I35" t="s">
        <v>33</v>
      </c>
      <c r="J35">
        <v>4.3</v>
      </c>
      <c r="K35" t="s">
        <v>35</v>
      </c>
      <c r="L35">
        <v>528</v>
      </c>
      <c r="M35" t="s">
        <v>52</v>
      </c>
      <c r="N35">
        <v>1.3</v>
      </c>
      <c r="O35">
        <v>1.1200000000000001</v>
      </c>
      <c r="P35" t="s">
        <v>38</v>
      </c>
      <c r="Q35">
        <v>100</v>
      </c>
      <c r="R35">
        <v>2.4E-2</v>
      </c>
      <c r="S35">
        <f>R35/Q35</f>
        <v>2.4000000000000001E-4</v>
      </c>
      <c r="U35">
        <v>121.2</v>
      </c>
      <c r="V35">
        <v>2.5</v>
      </c>
      <c r="W35" t="s">
        <v>39</v>
      </c>
      <c r="X35">
        <v>5</v>
      </c>
      <c r="Y35">
        <f t="shared" si="0"/>
        <v>0.5</v>
      </c>
    </row>
    <row r="36" spans="1:25" ht="16" x14ac:dyDescent="0.8">
      <c r="A36" t="s">
        <v>410</v>
      </c>
      <c r="B36" t="s">
        <v>489</v>
      </c>
      <c r="C36" t="s">
        <v>114</v>
      </c>
      <c r="D36" t="s">
        <v>47</v>
      </c>
      <c r="E36">
        <v>6.6E-3</v>
      </c>
      <c r="F36" t="s">
        <v>34</v>
      </c>
      <c r="G36">
        <f>1*10^6</f>
        <v>1000000</v>
      </c>
      <c r="H36">
        <v>6</v>
      </c>
      <c r="I36" t="s">
        <v>33</v>
      </c>
      <c r="J36">
        <v>1</v>
      </c>
      <c r="K36" t="s">
        <v>35</v>
      </c>
      <c r="L36">
        <v>506</v>
      </c>
      <c r="M36" t="s">
        <v>52</v>
      </c>
      <c r="N36">
        <v>9</v>
      </c>
      <c r="O36">
        <v>-1.66</v>
      </c>
      <c r="P36" t="s">
        <v>38</v>
      </c>
      <c r="Q36">
        <v>100</v>
      </c>
      <c r="R36" s="13">
        <v>1.9999999999999999E-6</v>
      </c>
      <c r="S36">
        <f>R36/Q36</f>
        <v>2E-8</v>
      </c>
      <c r="U36">
        <v>32.4</v>
      </c>
      <c r="V36">
        <v>945</v>
      </c>
      <c r="W36" t="s">
        <v>3</v>
      </c>
      <c r="X36">
        <v>10</v>
      </c>
      <c r="Y36">
        <f t="shared" si="0"/>
        <v>94.5</v>
      </c>
    </row>
    <row r="37" spans="1:25" x14ac:dyDescent="0.75">
      <c r="A37" t="s">
        <v>115</v>
      </c>
      <c r="B37" t="s">
        <v>115</v>
      </c>
      <c r="C37" t="s">
        <v>116</v>
      </c>
      <c r="D37" t="s">
        <v>55</v>
      </c>
      <c r="E37">
        <v>780</v>
      </c>
      <c r="F37" t="s">
        <v>33</v>
      </c>
      <c r="G37">
        <f>4.68*10^0</f>
        <v>4.68</v>
      </c>
      <c r="H37">
        <v>0.67</v>
      </c>
      <c r="I37" t="s">
        <v>34</v>
      </c>
      <c r="J37">
        <v>0.3</v>
      </c>
      <c r="K37" t="s">
        <v>81</v>
      </c>
      <c r="L37" s="10" t="s">
        <v>42</v>
      </c>
      <c r="M37" t="s">
        <v>48</v>
      </c>
      <c r="N37" t="s">
        <v>37</v>
      </c>
      <c r="O37">
        <v>1.47</v>
      </c>
      <c r="P37" t="s">
        <v>38</v>
      </c>
      <c r="Q37">
        <v>100</v>
      </c>
      <c r="R37">
        <v>6.7000000000000004E-2</v>
      </c>
      <c r="S37">
        <f>R37/Q37</f>
        <v>6.7000000000000002E-4</v>
      </c>
      <c r="U37">
        <v>25.3</v>
      </c>
      <c r="V37">
        <v>1.78E-2</v>
      </c>
      <c r="W37" t="s">
        <v>39</v>
      </c>
      <c r="X37">
        <v>5</v>
      </c>
      <c r="Y37">
        <f t="shared" si="0"/>
        <v>3.5599999999999998E-3</v>
      </c>
    </row>
    <row r="38" spans="1:25" ht="16" x14ac:dyDescent="0.8">
      <c r="A38" t="s">
        <v>117</v>
      </c>
      <c r="B38" t="s">
        <v>117</v>
      </c>
      <c r="C38" t="s">
        <v>118</v>
      </c>
      <c r="D38" t="s">
        <v>47</v>
      </c>
      <c r="E38">
        <v>8.9999999999999993E-3</v>
      </c>
      <c r="F38" t="s">
        <v>34</v>
      </c>
      <c r="G38">
        <f>3.55*10^5</f>
        <v>355000</v>
      </c>
      <c r="H38">
        <v>5.55</v>
      </c>
      <c r="I38" t="s">
        <v>33</v>
      </c>
      <c r="J38">
        <v>3</v>
      </c>
      <c r="K38" t="s">
        <v>35</v>
      </c>
      <c r="L38">
        <v>331</v>
      </c>
      <c r="M38" t="s">
        <v>52</v>
      </c>
      <c r="N38" t="s">
        <v>37</v>
      </c>
      <c r="O38">
        <v>-1.99</v>
      </c>
      <c r="P38" t="s">
        <v>38</v>
      </c>
      <c r="Q38">
        <v>10</v>
      </c>
      <c r="R38" s="13">
        <v>3.0000000000000001E-5</v>
      </c>
      <c r="S38">
        <f>R38/Q38</f>
        <v>3.0000000000000001E-6</v>
      </c>
      <c r="U38">
        <v>33</v>
      </c>
      <c r="V38">
        <v>1000</v>
      </c>
      <c r="W38" t="s">
        <v>3</v>
      </c>
      <c r="X38">
        <v>10</v>
      </c>
      <c r="Y38">
        <f t="shared" si="0"/>
        <v>100</v>
      </c>
    </row>
    <row r="39" spans="1:25" x14ac:dyDescent="0.75">
      <c r="A39" t="s">
        <v>119</v>
      </c>
      <c r="B39" t="s">
        <v>119</v>
      </c>
      <c r="C39" t="s">
        <v>120</v>
      </c>
      <c r="D39" t="s">
        <v>55</v>
      </c>
      <c r="E39">
        <v>93</v>
      </c>
      <c r="F39" t="s">
        <v>58</v>
      </c>
      <c r="G39">
        <f>1.23*10^3</f>
        <v>1230</v>
      </c>
      <c r="H39" s="3">
        <v>3.09</v>
      </c>
      <c r="I39" s="3" t="s">
        <v>33</v>
      </c>
      <c r="J39" s="3" t="s">
        <v>37</v>
      </c>
      <c r="K39" s="3" t="s">
        <v>37</v>
      </c>
      <c r="L39" s="3">
        <v>28</v>
      </c>
      <c r="M39" s="3" t="s">
        <v>36</v>
      </c>
      <c r="N39" s="3">
        <v>1</v>
      </c>
      <c r="O39" s="3">
        <v>3.04</v>
      </c>
      <c r="P39" s="3" t="s">
        <v>44</v>
      </c>
      <c r="Q39" s="3">
        <v>10</v>
      </c>
      <c r="R39" s="3">
        <v>2.1000000000000001E-2</v>
      </c>
      <c r="S39" s="3">
        <v>2.1000000000000003E-3</v>
      </c>
      <c r="U39">
        <v>3.5</v>
      </c>
      <c r="V39">
        <v>6.6</v>
      </c>
      <c r="W39" t="s">
        <v>39</v>
      </c>
      <c r="X39">
        <v>5</v>
      </c>
      <c r="Y39">
        <f t="shared" si="0"/>
        <v>1.3199999999999998</v>
      </c>
    </row>
    <row r="40" spans="1:25" x14ac:dyDescent="0.75">
      <c r="A40" t="s">
        <v>121</v>
      </c>
      <c r="B40" s="3" t="s">
        <v>121</v>
      </c>
      <c r="C40" t="s">
        <v>122</v>
      </c>
      <c r="D40" t="s">
        <v>55</v>
      </c>
      <c r="E40">
        <v>13</v>
      </c>
      <c r="F40" t="s">
        <v>34</v>
      </c>
      <c r="G40">
        <f>1*10^4</f>
        <v>10000</v>
      </c>
      <c r="H40">
        <v>4</v>
      </c>
      <c r="I40" t="s">
        <v>33</v>
      </c>
      <c r="J40">
        <v>12.5</v>
      </c>
      <c r="K40" t="s">
        <v>35</v>
      </c>
      <c r="L40">
        <v>393</v>
      </c>
      <c r="M40" t="s">
        <v>52</v>
      </c>
      <c r="N40">
        <v>0.5</v>
      </c>
      <c r="O40">
        <v>1.06</v>
      </c>
      <c r="P40" t="s">
        <v>38</v>
      </c>
      <c r="Q40">
        <v>50</v>
      </c>
      <c r="R40">
        <v>8.8000000000000005E-3</v>
      </c>
      <c r="S40">
        <f>R40/Q40</f>
        <v>1.7600000000000002E-4</v>
      </c>
      <c r="U40">
        <v>21.9</v>
      </c>
      <c r="V40">
        <v>5.2</v>
      </c>
      <c r="W40" t="s">
        <v>39</v>
      </c>
      <c r="X40">
        <v>5</v>
      </c>
      <c r="Y40">
        <f t="shared" si="0"/>
        <v>1.04</v>
      </c>
    </row>
    <row r="41" spans="1:25" x14ac:dyDescent="0.75">
      <c r="A41" t="s">
        <v>411</v>
      </c>
      <c r="B41" t="s">
        <v>490</v>
      </c>
      <c r="C41" t="s">
        <v>123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U41">
        <v>129</v>
      </c>
      <c r="V41">
        <v>0.75</v>
      </c>
      <c r="W41" t="s">
        <v>39</v>
      </c>
      <c r="X41">
        <v>5</v>
      </c>
      <c r="Y41">
        <f t="shared" si="0"/>
        <v>0.15</v>
      </c>
    </row>
    <row r="42" spans="1:25" x14ac:dyDescent="0.75">
      <c r="A42" t="s">
        <v>412</v>
      </c>
      <c r="B42" t="s">
        <v>491</v>
      </c>
      <c r="C42" t="s">
        <v>124</v>
      </c>
      <c r="D42" t="s">
        <v>47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U42">
        <v>45</v>
      </c>
      <c r="V42">
        <v>192</v>
      </c>
      <c r="W42" t="s">
        <v>3</v>
      </c>
      <c r="X42">
        <v>10</v>
      </c>
      <c r="Y42">
        <f t="shared" si="0"/>
        <v>19.2</v>
      </c>
    </row>
    <row r="43" spans="1:25" x14ac:dyDescent="0.75">
      <c r="A43" t="s">
        <v>413</v>
      </c>
      <c r="B43" t="s">
        <v>492</v>
      </c>
      <c r="C43" t="s">
        <v>125</v>
      </c>
      <c r="D43" t="s">
        <v>47</v>
      </c>
      <c r="E43">
        <v>0.09</v>
      </c>
      <c r="F43" t="s">
        <v>34</v>
      </c>
      <c r="G43">
        <f>1.05*10^6</f>
        <v>1050000</v>
      </c>
      <c r="H43">
        <v>6.02</v>
      </c>
      <c r="I43" t="s">
        <v>33</v>
      </c>
      <c r="J43" t="s">
        <v>37</v>
      </c>
      <c r="K43" t="s">
        <v>37</v>
      </c>
      <c r="L43" t="s">
        <v>37</v>
      </c>
      <c r="M43" t="s">
        <v>37</v>
      </c>
      <c r="N43" t="s">
        <v>37</v>
      </c>
      <c r="O43">
        <v>-2.46</v>
      </c>
      <c r="P43" t="s">
        <v>38</v>
      </c>
      <c r="Q43">
        <v>1000</v>
      </c>
      <c r="R43">
        <v>8.9999999999999993E-3</v>
      </c>
      <c r="S43">
        <f>R43/Q43</f>
        <v>8.9999999999999985E-6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</row>
    <row r="44" spans="1:25" x14ac:dyDescent="0.75">
      <c r="A44" t="s">
        <v>414</v>
      </c>
      <c r="B44" t="s">
        <v>494</v>
      </c>
      <c r="C44" t="s">
        <v>127</v>
      </c>
      <c r="D44" t="s">
        <v>47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</row>
    <row r="45" spans="1:25" x14ac:dyDescent="0.75">
      <c r="A45" t="s">
        <v>415</v>
      </c>
      <c r="B45" t="s">
        <v>493</v>
      </c>
      <c r="C45" t="s">
        <v>128</v>
      </c>
      <c r="D45" t="s">
        <v>47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U45" t="s">
        <v>37</v>
      </c>
      <c r="V45" t="s">
        <v>126</v>
      </c>
      <c r="W45" t="s">
        <v>126</v>
      </c>
      <c r="X45" t="s">
        <v>126</v>
      </c>
      <c r="Y45" t="s">
        <v>126</v>
      </c>
    </row>
    <row r="46" spans="1:25" x14ac:dyDescent="0.75">
      <c r="A46" t="s">
        <v>416</v>
      </c>
      <c r="B46" t="s">
        <v>495</v>
      </c>
      <c r="C46" t="s">
        <v>129</v>
      </c>
      <c r="D46" t="s">
        <v>47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</row>
    <row r="47" spans="1:25" x14ac:dyDescent="0.75">
      <c r="A47" t="s">
        <v>417</v>
      </c>
      <c r="B47" t="s">
        <v>496</v>
      </c>
      <c r="C47" t="s">
        <v>130</v>
      </c>
      <c r="D47" t="s">
        <v>47</v>
      </c>
      <c r="E47">
        <v>6.0000000000000001E-3</v>
      </c>
      <c r="F47" t="s">
        <v>34</v>
      </c>
      <c r="G47">
        <f>8.13*10^6</f>
        <v>8130000.0000000009</v>
      </c>
      <c r="H47">
        <v>6.91</v>
      </c>
      <c r="I47" t="s">
        <v>33</v>
      </c>
      <c r="J47" t="s">
        <v>37</v>
      </c>
      <c r="K47" t="s">
        <v>37</v>
      </c>
      <c r="L47">
        <v>3173</v>
      </c>
      <c r="M47" t="s">
        <v>52</v>
      </c>
      <c r="N47" t="s">
        <v>37</v>
      </c>
      <c r="O47">
        <v>-3.89</v>
      </c>
      <c r="P47" t="s">
        <v>38</v>
      </c>
      <c r="Q47">
        <v>1000</v>
      </c>
      <c r="R47">
        <v>2.7000000000000001E-3</v>
      </c>
      <c r="S47">
        <f>R47/Q47</f>
        <v>2.7E-6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</row>
    <row r="48" spans="1:25" ht="16" x14ac:dyDescent="0.8">
      <c r="A48" t="s">
        <v>131</v>
      </c>
      <c r="B48" t="s">
        <v>131</v>
      </c>
      <c r="C48" t="s">
        <v>132</v>
      </c>
      <c r="D48" t="s">
        <v>47</v>
      </c>
      <c r="E48">
        <v>2.0000000000000001E-4</v>
      </c>
      <c r="F48" t="s">
        <v>34</v>
      </c>
      <c r="G48">
        <f>3.98*10^4</f>
        <v>39800</v>
      </c>
      <c r="H48">
        <v>4.5999999999999996</v>
      </c>
      <c r="I48" t="s">
        <v>33</v>
      </c>
      <c r="J48">
        <v>17</v>
      </c>
      <c r="K48" t="s">
        <v>73</v>
      </c>
      <c r="L48">
        <v>1400</v>
      </c>
      <c r="M48" t="s">
        <v>52</v>
      </c>
      <c r="N48" t="s">
        <v>37</v>
      </c>
      <c r="O48">
        <v>-3.98</v>
      </c>
      <c r="P48" t="s">
        <v>38</v>
      </c>
      <c r="Q48">
        <v>100</v>
      </c>
      <c r="R48" s="22">
        <v>1.7E-6</v>
      </c>
      <c r="S48">
        <f>R48/Q48</f>
        <v>1.7E-8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</row>
    <row r="49" spans="1:25" x14ac:dyDescent="0.75">
      <c r="A49" t="s">
        <v>133</v>
      </c>
      <c r="B49" t="s">
        <v>550</v>
      </c>
      <c r="C49" t="s">
        <v>134</v>
      </c>
      <c r="D49" t="s">
        <v>32</v>
      </c>
      <c r="E49">
        <v>250000</v>
      </c>
      <c r="F49" t="s">
        <v>33</v>
      </c>
      <c r="G49">
        <f>1.58*10^-2</f>
        <v>1.5800000000000002E-2</v>
      </c>
      <c r="H49">
        <v>-1.8</v>
      </c>
      <c r="I49" t="s">
        <v>34</v>
      </c>
      <c r="J49">
        <v>40</v>
      </c>
      <c r="K49" t="s">
        <v>67</v>
      </c>
      <c r="L49">
        <v>15</v>
      </c>
      <c r="M49" t="s">
        <v>36</v>
      </c>
      <c r="N49" t="s">
        <v>37</v>
      </c>
      <c r="O49">
        <v>1.94</v>
      </c>
      <c r="P49" t="s">
        <v>59</v>
      </c>
      <c r="Q49">
        <v>10</v>
      </c>
      <c r="R49">
        <v>25</v>
      </c>
      <c r="S49">
        <f>R49/Q49</f>
        <v>2.5</v>
      </c>
      <c r="U49" t="s">
        <v>37</v>
      </c>
      <c r="V49">
        <v>176</v>
      </c>
      <c r="W49" t="s">
        <v>39</v>
      </c>
      <c r="X49">
        <v>5</v>
      </c>
      <c r="Y49">
        <f t="shared" si="0"/>
        <v>35.200000000000003</v>
      </c>
    </row>
    <row r="50" spans="1:25" x14ac:dyDescent="0.75">
      <c r="A50" t="s">
        <v>135</v>
      </c>
      <c r="B50" t="s">
        <v>135</v>
      </c>
      <c r="C50" t="s">
        <v>136</v>
      </c>
      <c r="D50" t="s">
        <v>55</v>
      </c>
      <c r="E50">
        <v>6.4</v>
      </c>
      <c r="F50" t="s">
        <v>34</v>
      </c>
      <c r="G50">
        <f>6.31*10^2</f>
        <v>631</v>
      </c>
      <c r="H50">
        <v>2.8</v>
      </c>
      <c r="I50" t="s">
        <v>58</v>
      </c>
      <c r="J50">
        <v>2.94</v>
      </c>
      <c r="K50" t="s">
        <v>35</v>
      </c>
      <c r="L50">
        <v>75</v>
      </c>
      <c r="M50" t="s">
        <v>36</v>
      </c>
      <c r="N50" t="s">
        <v>37</v>
      </c>
      <c r="O50">
        <v>1.39</v>
      </c>
      <c r="P50" t="s">
        <v>38</v>
      </c>
      <c r="Q50">
        <v>50</v>
      </c>
      <c r="R50" s="23">
        <v>3.2000000000000001E-2</v>
      </c>
      <c r="S50">
        <f>R50/Q50</f>
        <v>6.4000000000000005E-4</v>
      </c>
      <c r="U50">
        <v>21</v>
      </c>
      <c r="V50">
        <v>0.16500000000000001</v>
      </c>
      <c r="W50" t="s">
        <v>39</v>
      </c>
      <c r="X50">
        <v>5</v>
      </c>
      <c r="Y50">
        <f t="shared" si="0"/>
        <v>3.3000000000000002E-2</v>
      </c>
    </row>
    <row r="51" spans="1:25" x14ac:dyDescent="0.75">
      <c r="A51" t="s">
        <v>137</v>
      </c>
      <c r="B51" t="s">
        <v>137</v>
      </c>
      <c r="C51" t="s">
        <v>138</v>
      </c>
      <c r="D51" t="s">
        <v>47</v>
      </c>
      <c r="E51">
        <v>0.14000000000000001</v>
      </c>
      <c r="F51" t="s">
        <v>34</v>
      </c>
      <c r="G51">
        <f>5.01*10^3</f>
        <v>5010</v>
      </c>
      <c r="H51">
        <v>3.7</v>
      </c>
      <c r="I51" t="s">
        <v>33</v>
      </c>
      <c r="J51" t="s">
        <v>37</v>
      </c>
      <c r="K51" t="s">
        <v>37</v>
      </c>
      <c r="L51">
        <v>35000</v>
      </c>
      <c r="M51" t="s">
        <v>139</v>
      </c>
      <c r="N51">
        <v>1</v>
      </c>
      <c r="O51">
        <v>-0.26</v>
      </c>
      <c r="P51" t="s">
        <v>38</v>
      </c>
      <c r="Q51">
        <v>1000</v>
      </c>
      <c r="R51">
        <v>1.1999999999999999E-3</v>
      </c>
      <c r="S51">
        <v>1.1999999999999999E-6</v>
      </c>
      <c r="U51">
        <v>3.9</v>
      </c>
      <c r="V51">
        <v>26.1</v>
      </c>
      <c r="W51" t="s">
        <v>39</v>
      </c>
      <c r="X51">
        <v>5</v>
      </c>
      <c r="Y51">
        <f t="shared" si="0"/>
        <v>5.2200000000000006</v>
      </c>
    </row>
    <row r="52" spans="1:25" x14ac:dyDescent="0.75">
      <c r="A52" t="s">
        <v>140</v>
      </c>
      <c r="B52" t="s">
        <v>140</v>
      </c>
      <c r="C52" t="s">
        <v>141</v>
      </c>
      <c r="D52" t="s">
        <v>55</v>
      </c>
      <c r="E52">
        <v>15</v>
      </c>
      <c r="F52" t="s">
        <v>34</v>
      </c>
      <c r="G52">
        <f>2.29*10^4</f>
        <v>22900</v>
      </c>
      <c r="H52">
        <v>4.3600000000000003</v>
      </c>
      <c r="I52" t="s">
        <v>33</v>
      </c>
      <c r="J52">
        <v>3</v>
      </c>
      <c r="K52" t="s">
        <v>35</v>
      </c>
      <c r="L52">
        <v>330</v>
      </c>
      <c r="M52" t="s">
        <v>52</v>
      </c>
      <c r="N52">
        <v>1</v>
      </c>
      <c r="O52">
        <v>0.83</v>
      </c>
      <c r="P52" t="s">
        <v>38</v>
      </c>
      <c r="Q52">
        <v>10</v>
      </c>
      <c r="R52">
        <v>5.5999999999999999E-3</v>
      </c>
      <c r="S52">
        <f>R52/Q52</f>
        <v>5.5999999999999995E-4</v>
      </c>
      <c r="U52">
        <v>18.7</v>
      </c>
      <c r="V52">
        <v>77.8</v>
      </c>
      <c r="W52" t="s">
        <v>39</v>
      </c>
      <c r="X52">
        <v>5</v>
      </c>
      <c r="Y52">
        <f t="shared" si="0"/>
        <v>15.559999999999999</v>
      </c>
    </row>
    <row r="53" spans="1:25" ht="16" x14ac:dyDescent="0.8">
      <c r="A53" t="s">
        <v>142</v>
      </c>
      <c r="B53" t="s">
        <v>142</v>
      </c>
      <c r="C53" t="s">
        <v>143</v>
      </c>
      <c r="D53" t="s">
        <v>32</v>
      </c>
      <c r="E53">
        <v>0.05</v>
      </c>
      <c r="F53" t="s">
        <v>34</v>
      </c>
      <c r="G53">
        <f>1.58*10^4</f>
        <v>15800</v>
      </c>
      <c r="H53">
        <v>4.2</v>
      </c>
      <c r="I53" t="s">
        <v>33</v>
      </c>
      <c r="J53" t="s">
        <v>37</v>
      </c>
      <c r="K53" t="s">
        <v>37</v>
      </c>
      <c r="L53">
        <v>1276</v>
      </c>
      <c r="M53" t="s">
        <v>52</v>
      </c>
      <c r="N53">
        <v>2.4</v>
      </c>
      <c r="O53">
        <v>1.19</v>
      </c>
      <c r="P53" t="s">
        <v>38</v>
      </c>
      <c r="Q53">
        <v>10</v>
      </c>
      <c r="R53" s="13">
        <v>1E-4</v>
      </c>
      <c r="S53">
        <f>R53/Q53</f>
        <v>1.0000000000000001E-5</v>
      </c>
      <c r="U53" t="s">
        <v>37</v>
      </c>
      <c r="V53">
        <v>100</v>
      </c>
      <c r="W53" t="s">
        <v>3</v>
      </c>
      <c r="X53">
        <v>10</v>
      </c>
      <c r="Y53">
        <f t="shared" si="0"/>
        <v>10</v>
      </c>
    </row>
    <row r="54" spans="1:25" x14ac:dyDescent="0.75">
      <c r="A54" t="s">
        <v>418</v>
      </c>
      <c r="B54" t="s">
        <v>498</v>
      </c>
      <c r="C54" t="s">
        <v>144</v>
      </c>
      <c r="D54" t="s">
        <v>32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U54">
        <v>91.8</v>
      </c>
      <c r="V54">
        <v>0.2</v>
      </c>
      <c r="W54" t="s">
        <v>39</v>
      </c>
      <c r="X54">
        <v>5</v>
      </c>
      <c r="Y54">
        <f t="shared" si="0"/>
        <v>0.04</v>
      </c>
    </row>
    <row r="55" spans="1:25" x14ac:dyDescent="0.75">
      <c r="A55" t="s">
        <v>419</v>
      </c>
      <c r="B55" t="s">
        <v>499</v>
      </c>
      <c r="C55" t="s">
        <v>145</v>
      </c>
      <c r="D55" t="s">
        <v>32</v>
      </c>
      <c r="E55">
        <v>1499</v>
      </c>
      <c r="F55" t="s">
        <v>33</v>
      </c>
      <c r="G55">
        <f>7.76*10^1</f>
        <v>77.599999999999994</v>
      </c>
      <c r="H55" s="3">
        <v>1.89</v>
      </c>
      <c r="I55" s="3" t="s">
        <v>34</v>
      </c>
      <c r="J55" s="3">
        <v>24</v>
      </c>
      <c r="K55" s="3" t="s">
        <v>73</v>
      </c>
      <c r="L55" s="12" t="s">
        <v>42</v>
      </c>
      <c r="M55" s="3" t="s">
        <v>48</v>
      </c>
      <c r="N55" s="3" t="s">
        <v>37</v>
      </c>
      <c r="O55" s="3">
        <v>1.97</v>
      </c>
      <c r="P55" s="3" t="s">
        <v>59</v>
      </c>
      <c r="Q55" s="3">
        <v>100</v>
      </c>
      <c r="R55" s="3">
        <v>6.0000000000000001E-3</v>
      </c>
      <c r="S55" s="3">
        <v>6.0000000000000002E-5</v>
      </c>
      <c r="U55">
        <v>64.599999999999994</v>
      </c>
      <c r="V55">
        <v>500</v>
      </c>
      <c r="W55" t="s">
        <v>39</v>
      </c>
      <c r="X55">
        <v>5</v>
      </c>
      <c r="Y55">
        <f t="shared" si="0"/>
        <v>100</v>
      </c>
    </row>
    <row r="56" spans="1:25" x14ac:dyDescent="0.75">
      <c r="A56" t="s">
        <v>146</v>
      </c>
      <c r="B56" s="3" t="s">
        <v>146</v>
      </c>
      <c r="C56" t="s">
        <v>147</v>
      </c>
      <c r="D56" t="s">
        <v>47</v>
      </c>
      <c r="E56">
        <v>25900</v>
      </c>
      <c r="F56" t="s">
        <v>33</v>
      </c>
      <c r="G56">
        <f>5.62*10^0</f>
        <v>5.62</v>
      </c>
      <c r="H56">
        <v>0.75</v>
      </c>
      <c r="I56" s="3" t="s">
        <v>34</v>
      </c>
      <c r="J56">
        <v>12.6</v>
      </c>
      <c r="K56" t="s">
        <v>35</v>
      </c>
      <c r="L56">
        <v>8</v>
      </c>
      <c r="M56" t="s">
        <v>36</v>
      </c>
      <c r="N56" t="s">
        <v>37</v>
      </c>
      <c r="O56">
        <v>2.1800000000000002</v>
      </c>
      <c r="P56" t="s">
        <v>59</v>
      </c>
      <c r="Q56">
        <v>10</v>
      </c>
      <c r="R56">
        <v>0.04</v>
      </c>
      <c r="S56">
        <f>R56/Q56</f>
        <v>4.0000000000000001E-3</v>
      </c>
      <c r="U56">
        <v>17.899999999999999</v>
      </c>
      <c r="V56">
        <v>0.1</v>
      </c>
      <c r="W56" t="s">
        <v>3</v>
      </c>
      <c r="X56">
        <v>10</v>
      </c>
      <c r="Y56">
        <f t="shared" si="0"/>
        <v>0.01</v>
      </c>
    </row>
    <row r="57" spans="1:25" x14ac:dyDescent="0.75">
      <c r="A57" t="s">
        <v>148</v>
      </c>
      <c r="B57" t="s">
        <v>148</v>
      </c>
      <c r="C57" t="s">
        <v>149</v>
      </c>
      <c r="D57" t="s">
        <v>55</v>
      </c>
      <c r="E57">
        <v>28.95</v>
      </c>
      <c r="F57" t="s">
        <v>34</v>
      </c>
      <c r="G57">
        <f>4.79*10^2</f>
        <v>479</v>
      </c>
      <c r="H57" s="3">
        <v>2.68</v>
      </c>
      <c r="I57" s="3" t="s">
        <v>34</v>
      </c>
      <c r="J57" s="3">
        <v>10</v>
      </c>
      <c r="K57" s="3" t="s">
        <v>35</v>
      </c>
      <c r="L57" s="12" t="s">
        <v>42</v>
      </c>
      <c r="M57" s="3" t="s">
        <v>48</v>
      </c>
      <c r="N57" s="3" t="s">
        <v>37</v>
      </c>
      <c r="O57" s="3">
        <v>2.2599999999999998</v>
      </c>
      <c r="P57" s="3" t="s">
        <v>59</v>
      </c>
      <c r="Q57" s="3">
        <v>100</v>
      </c>
      <c r="R57" s="3">
        <v>5.6000000000000001E-2</v>
      </c>
      <c r="S57" s="3">
        <v>5.6000000000000006E-4</v>
      </c>
      <c r="U57">
        <v>15.8</v>
      </c>
      <c r="V57">
        <v>12.5</v>
      </c>
      <c r="W57" t="s">
        <v>39</v>
      </c>
      <c r="X57">
        <v>5</v>
      </c>
      <c r="Y57">
        <f t="shared" si="0"/>
        <v>2.5</v>
      </c>
    </row>
    <row r="58" spans="1:25" x14ac:dyDescent="0.75">
      <c r="A58" t="s">
        <v>150</v>
      </c>
      <c r="B58" s="3" t="s">
        <v>150</v>
      </c>
      <c r="C58" t="s">
        <v>151</v>
      </c>
      <c r="D58" t="s">
        <v>55</v>
      </c>
      <c r="E58">
        <v>4.3</v>
      </c>
      <c r="F58" t="s">
        <v>34</v>
      </c>
      <c r="G58">
        <f>3.89*10^3</f>
        <v>3890</v>
      </c>
      <c r="H58">
        <v>3.59</v>
      </c>
      <c r="I58" t="s">
        <v>33</v>
      </c>
      <c r="J58">
        <v>15.3</v>
      </c>
      <c r="K58" t="s">
        <v>73</v>
      </c>
      <c r="L58">
        <v>48</v>
      </c>
      <c r="M58" t="s">
        <v>36</v>
      </c>
      <c r="N58">
        <v>0.5</v>
      </c>
      <c r="O58">
        <v>1.79</v>
      </c>
      <c r="P58" t="s">
        <v>38</v>
      </c>
      <c r="Q58">
        <v>100</v>
      </c>
      <c r="R58">
        <v>0.01</v>
      </c>
      <c r="S58">
        <f>R58/Q58</f>
        <v>1E-4</v>
      </c>
      <c r="U58">
        <v>7.2</v>
      </c>
      <c r="V58">
        <v>2.87</v>
      </c>
      <c r="W58" t="s">
        <v>39</v>
      </c>
      <c r="X58">
        <v>5</v>
      </c>
      <c r="Y58">
        <f t="shared" si="0"/>
        <v>0.57400000000000007</v>
      </c>
    </row>
    <row r="59" spans="1:25" x14ac:dyDescent="0.75">
      <c r="A59" t="s">
        <v>152</v>
      </c>
      <c r="B59" t="s">
        <v>152</v>
      </c>
      <c r="C59" t="s">
        <v>153</v>
      </c>
      <c r="D59" t="s">
        <v>47</v>
      </c>
      <c r="E59">
        <v>39830</v>
      </c>
      <c r="F59" t="s">
        <v>33</v>
      </c>
      <c r="G59">
        <f>2.82*10^-1</f>
        <v>0.28199999999999997</v>
      </c>
      <c r="H59">
        <v>-0.54900000000000004</v>
      </c>
      <c r="I59" t="s">
        <v>34</v>
      </c>
      <c r="J59" t="s">
        <v>37</v>
      </c>
      <c r="K59" t="s">
        <v>37</v>
      </c>
      <c r="L59" s="10" t="s">
        <v>42</v>
      </c>
      <c r="M59" t="s">
        <v>48</v>
      </c>
      <c r="N59" t="s">
        <v>37</v>
      </c>
      <c r="O59">
        <v>4.8499999999999996</v>
      </c>
      <c r="P59" t="s">
        <v>44</v>
      </c>
      <c r="Q59">
        <v>1000</v>
      </c>
      <c r="R59">
        <v>2.4E-2</v>
      </c>
      <c r="S59">
        <f>R59/Q59</f>
        <v>2.4000000000000001E-5</v>
      </c>
      <c r="U59">
        <v>44</v>
      </c>
      <c r="V59">
        <v>60</v>
      </c>
      <c r="W59" t="s">
        <v>39</v>
      </c>
      <c r="X59">
        <v>5</v>
      </c>
      <c r="Y59">
        <f t="shared" si="0"/>
        <v>12</v>
      </c>
    </row>
    <row r="60" spans="1:25" x14ac:dyDescent="0.75">
      <c r="A60" t="s">
        <v>154</v>
      </c>
      <c r="B60" t="s">
        <v>154</v>
      </c>
      <c r="C60" t="s">
        <v>155</v>
      </c>
      <c r="D60" t="s">
        <v>32</v>
      </c>
      <c r="E60">
        <v>35.6</v>
      </c>
      <c r="F60" t="s">
        <v>34</v>
      </c>
      <c r="G60">
        <f>7.41*10^2</f>
        <v>741</v>
      </c>
      <c r="H60" s="3">
        <v>2.87</v>
      </c>
      <c r="I60" s="3" t="s">
        <v>58</v>
      </c>
      <c r="J60" s="3">
        <v>8.8000000000000007</v>
      </c>
      <c r="K60" s="3" t="s">
        <v>35</v>
      </c>
      <c r="L60" s="3">
        <v>9.4499999999999993</v>
      </c>
      <c r="M60" s="3" t="s">
        <v>36</v>
      </c>
      <c r="N60" s="3" t="s">
        <v>37</v>
      </c>
      <c r="O60" s="3">
        <v>2.65</v>
      </c>
      <c r="P60" s="3" t="s">
        <v>59</v>
      </c>
      <c r="Q60" s="3">
        <v>100</v>
      </c>
      <c r="R60" s="3">
        <v>2.7000000000000001E-3</v>
      </c>
      <c r="S60" s="3">
        <v>2.7000000000000002E-5</v>
      </c>
      <c r="U60">
        <v>22.9</v>
      </c>
      <c r="V60">
        <v>8.8999999999999996E-2</v>
      </c>
      <c r="W60" t="s">
        <v>39</v>
      </c>
      <c r="X60">
        <v>5</v>
      </c>
      <c r="Y60">
        <f t="shared" si="0"/>
        <v>1.78E-2</v>
      </c>
    </row>
    <row r="61" spans="1:25" x14ac:dyDescent="0.75">
      <c r="A61" t="s">
        <v>156</v>
      </c>
      <c r="B61" s="3" t="s">
        <v>156</v>
      </c>
      <c r="C61" t="s">
        <v>157</v>
      </c>
      <c r="D61" t="s">
        <v>55</v>
      </c>
      <c r="E61">
        <v>24</v>
      </c>
      <c r="F61" t="s">
        <v>34</v>
      </c>
      <c r="G61">
        <f>1*10^5</f>
        <v>100000</v>
      </c>
      <c r="H61">
        <v>5</v>
      </c>
      <c r="I61" t="s">
        <v>33</v>
      </c>
      <c r="J61">
        <v>8.6999999999999993</v>
      </c>
      <c r="K61" t="s">
        <v>35</v>
      </c>
      <c r="L61" t="s">
        <v>37</v>
      </c>
      <c r="M61" t="s">
        <v>37</v>
      </c>
      <c r="N61" t="s">
        <v>37</v>
      </c>
      <c r="O61" t="s">
        <v>37</v>
      </c>
      <c r="P61" t="s">
        <v>37</v>
      </c>
      <c r="Q61">
        <v>1000</v>
      </c>
      <c r="R61">
        <v>1E-3</v>
      </c>
      <c r="S61">
        <f>R61/Q61</f>
        <v>9.9999999999999995E-7</v>
      </c>
      <c r="U61">
        <v>75</v>
      </c>
      <c r="V61">
        <v>0.2</v>
      </c>
      <c r="W61" t="s">
        <v>39</v>
      </c>
      <c r="X61">
        <v>5</v>
      </c>
      <c r="Y61">
        <f t="shared" si="0"/>
        <v>0.04</v>
      </c>
    </row>
    <row r="62" spans="1:25" x14ac:dyDescent="0.75">
      <c r="A62" t="s">
        <v>158</v>
      </c>
      <c r="B62" t="s">
        <v>158</v>
      </c>
      <c r="C62" t="s">
        <v>159</v>
      </c>
      <c r="D62" t="s">
        <v>55</v>
      </c>
      <c r="E62">
        <v>7.1</v>
      </c>
      <c r="F62" t="s">
        <v>34</v>
      </c>
      <c r="G62">
        <f>2*10^3</f>
        <v>2000</v>
      </c>
      <c r="H62">
        <v>3.3</v>
      </c>
      <c r="I62" t="s">
        <v>33</v>
      </c>
      <c r="J62">
        <v>1000</v>
      </c>
      <c r="K62" t="s">
        <v>67</v>
      </c>
      <c r="L62">
        <v>70</v>
      </c>
      <c r="M62" t="s">
        <v>36</v>
      </c>
      <c r="N62">
        <v>0.8</v>
      </c>
      <c r="O62">
        <v>2.09</v>
      </c>
      <c r="P62" t="s">
        <v>59</v>
      </c>
      <c r="Q62">
        <v>10</v>
      </c>
      <c r="R62">
        <v>7.7999999999999996E-3</v>
      </c>
      <c r="S62">
        <v>7.7999999999999999E-4</v>
      </c>
      <c r="U62">
        <v>229</v>
      </c>
      <c r="V62">
        <v>15.78</v>
      </c>
      <c r="W62" t="s">
        <v>39</v>
      </c>
      <c r="X62">
        <v>5</v>
      </c>
      <c r="Y62">
        <f t="shared" si="0"/>
        <v>3.1559999999999997</v>
      </c>
    </row>
    <row r="63" spans="1:25" ht="16" x14ac:dyDescent="0.8">
      <c r="A63" t="s">
        <v>160</v>
      </c>
      <c r="B63" t="s">
        <v>160</v>
      </c>
      <c r="C63" t="s">
        <v>161</v>
      </c>
      <c r="D63" t="s">
        <v>47</v>
      </c>
      <c r="E63">
        <v>1E-3</v>
      </c>
      <c r="F63" t="s">
        <v>34</v>
      </c>
      <c r="G63">
        <f>1.74*10^6</f>
        <v>1740000</v>
      </c>
      <c r="H63">
        <v>6.24</v>
      </c>
      <c r="I63" t="s">
        <v>33</v>
      </c>
      <c r="J63">
        <v>30</v>
      </c>
      <c r="K63" t="s">
        <v>67</v>
      </c>
      <c r="L63">
        <v>3250</v>
      </c>
      <c r="M63" t="s">
        <v>52</v>
      </c>
      <c r="N63" t="s">
        <v>37</v>
      </c>
      <c r="O63">
        <v>-1.8</v>
      </c>
      <c r="P63" t="s">
        <v>38</v>
      </c>
      <c r="Q63">
        <v>100</v>
      </c>
      <c r="R63" s="13">
        <v>5.1999999999999997E-5</v>
      </c>
      <c r="S63">
        <f>R63/Q63</f>
        <v>5.2E-7</v>
      </c>
      <c r="U63">
        <v>1.1000000000000001</v>
      </c>
      <c r="V63">
        <v>2</v>
      </c>
      <c r="W63" t="s">
        <v>39</v>
      </c>
      <c r="X63">
        <v>5</v>
      </c>
      <c r="Y63">
        <f t="shared" si="0"/>
        <v>0.4</v>
      </c>
    </row>
    <row r="64" spans="1:25" x14ac:dyDescent="0.75">
      <c r="A64" t="s">
        <v>162</v>
      </c>
      <c r="B64" t="s">
        <v>162</v>
      </c>
      <c r="C64" t="s">
        <v>163</v>
      </c>
      <c r="D64" t="s">
        <v>32</v>
      </c>
      <c r="E64">
        <v>50</v>
      </c>
      <c r="F64" t="s">
        <v>58</v>
      </c>
      <c r="G64">
        <f>5.01*10^2</f>
        <v>501</v>
      </c>
      <c r="H64">
        <v>2.7</v>
      </c>
      <c r="I64" t="s">
        <v>58</v>
      </c>
      <c r="J64">
        <v>20</v>
      </c>
      <c r="K64" t="s">
        <v>73</v>
      </c>
      <c r="L64">
        <v>144</v>
      </c>
      <c r="M64" t="s">
        <v>52</v>
      </c>
      <c r="N64">
        <v>1</v>
      </c>
      <c r="O64">
        <v>3.04</v>
      </c>
      <c r="P64" t="s">
        <v>44</v>
      </c>
      <c r="Q64">
        <v>10</v>
      </c>
      <c r="R64">
        <v>0.156</v>
      </c>
      <c r="S64">
        <v>1.5599999999999999E-2</v>
      </c>
      <c r="U64">
        <v>97.7</v>
      </c>
      <c r="V64">
        <v>0.495</v>
      </c>
      <c r="W64" t="s">
        <v>39</v>
      </c>
      <c r="X64">
        <v>5</v>
      </c>
      <c r="Y64">
        <f t="shared" si="0"/>
        <v>9.9000000000000005E-2</v>
      </c>
    </row>
    <row r="65" spans="1:25" x14ac:dyDescent="0.75">
      <c r="A65" t="s">
        <v>164</v>
      </c>
      <c r="B65" t="s">
        <v>164</v>
      </c>
      <c r="C65" t="s">
        <v>165</v>
      </c>
      <c r="D65" t="s">
        <v>55</v>
      </c>
      <c r="E65">
        <v>5.8999999999999997E-2</v>
      </c>
      <c r="F65" t="s">
        <v>34</v>
      </c>
      <c r="G65">
        <f>4.47*10^4</f>
        <v>44700</v>
      </c>
      <c r="H65">
        <v>4.6500000000000004</v>
      </c>
      <c r="I65" t="s">
        <v>33</v>
      </c>
      <c r="J65">
        <v>0.1</v>
      </c>
      <c r="K65" t="s">
        <v>81</v>
      </c>
      <c r="L65">
        <v>3000</v>
      </c>
      <c r="M65" t="s">
        <v>52</v>
      </c>
      <c r="N65" t="s">
        <v>37</v>
      </c>
      <c r="O65">
        <v>1.0900000000000001</v>
      </c>
      <c r="P65" t="s">
        <v>38</v>
      </c>
      <c r="Q65" s="14">
        <v>50</v>
      </c>
      <c r="R65" s="14">
        <v>1.4E-3</v>
      </c>
      <c r="S65" s="14">
        <v>2.8E-5</v>
      </c>
      <c r="U65">
        <v>19.2</v>
      </c>
      <c r="V65">
        <v>0.4</v>
      </c>
      <c r="W65" t="s">
        <v>39</v>
      </c>
      <c r="X65">
        <v>5</v>
      </c>
      <c r="Y65">
        <f t="shared" si="0"/>
        <v>0.08</v>
      </c>
    </row>
    <row r="66" spans="1:25" x14ac:dyDescent="0.75">
      <c r="A66" t="s">
        <v>420</v>
      </c>
      <c r="B66" t="s">
        <v>500</v>
      </c>
      <c r="C66" t="s">
        <v>166</v>
      </c>
      <c r="D66" t="s">
        <v>55</v>
      </c>
      <c r="E66">
        <v>2.4700000000000002</v>
      </c>
      <c r="F66" t="s">
        <v>34</v>
      </c>
      <c r="G66">
        <f>6.17*10^3</f>
        <v>6170</v>
      </c>
      <c r="H66">
        <v>3.79</v>
      </c>
      <c r="I66" t="s">
        <v>33</v>
      </c>
      <c r="J66" t="s">
        <v>37</v>
      </c>
      <c r="K66" t="s">
        <v>37</v>
      </c>
      <c r="L66">
        <v>160</v>
      </c>
      <c r="M66" t="s">
        <v>52</v>
      </c>
      <c r="N66">
        <v>1.4</v>
      </c>
      <c r="O66">
        <v>0.63</v>
      </c>
      <c r="P66" t="s">
        <v>38</v>
      </c>
      <c r="Q66">
        <v>10</v>
      </c>
      <c r="R66">
        <v>7.8E-2</v>
      </c>
      <c r="S66">
        <f>R66/Q66</f>
        <v>7.7999999999999996E-3</v>
      </c>
      <c r="U66">
        <v>37.799999999999997</v>
      </c>
      <c r="V66">
        <v>4.42</v>
      </c>
      <c r="W66" t="s">
        <v>39</v>
      </c>
      <c r="X66">
        <v>5</v>
      </c>
      <c r="Y66">
        <f t="shared" si="0"/>
        <v>0.88400000000000001</v>
      </c>
    </row>
    <row r="67" spans="1:25" x14ac:dyDescent="0.75">
      <c r="A67" t="s">
        <v>167</v>
      </c>
      <c r="B67" t="s">
        <v>167</v>
      </c>
      <c r="C67" t="s">
        <v>168</v>
      </c>
      <c r="D67" t="s">
        <v>55</v>
      </c>
      <c r="E67">
        <v>24</v>
      </c>
      <c r="F67" t="s">
        <v>34</v>
      </c>
      <c r="G67">
        <f>3.24*10^3</f>
        <v>3240</v>
      </c>
      <c r="H67">
        <v>3.51</v>
      </c>
      <c r="I67" t="s">
        <v>33</v>
      </c>
      <c r="J67" s="4">
        <v>4.92</v>
      </c>
      <c r="K67" s="4" t="s">
        <v>35</v>
      </c>
      <c r="L67" s="4">
        <v>185</v>
      </c>
      <c r="M67" s="4" t="s">
        <v>52</v>
      </c>
      <c r="N67" s="4">
        <v>0.98</v>
      </c>
      <c r="O67" s="4">
        <v>-0.42</v>
      </c>
      <c r="P67" s="4" t="s">
        <v>38</v>
      </c>
      <c r="Q67" s="15">
        <v>50</v>
      </c>
      <c r="R67" s="16">
        <v>0.10100000000000001</v>
      </c>
      <c r="S67" s="17">
        <f>R67/Q67</f>
        <v>2.0200000000000001E-3</v>
      </c>
      <c r="U67">
        <v>20</v>
      </c>
      <c r="V67">
        <v>8.15</v>
      </c>
      <c r="W67" t="s">
        <v>39</v>
      </c>
      <c r="X67">
        <v>5</v>
      </c>
      <c r="Y67">
        <f t="shared" si="0"/>
        <v>1.6300000000000001</v>
      </c>
    </row>
    <row r="68" spans="1:25" ht="16" x14ac:dyDescent="0.8">
      <c r="A68" t="s">
        <v>169</v>
      </c>
      <c r="B68" s="4" t="s">
        <v>169</v>
      </c>
      <c r="C68" t="s">
        <v>170</v>
      </c>
      <c r="D68" t="s">
        <v>47</v>
      </c>
      <c r="E68">
        <v>7.9</v>
      </c>
      <c r="F68" t="s">
        <v>34</v>
      </c>
      <c r="G68">
        <f>1.17*10^4</f>
        <v>11700</v>
      </c>
      <c r="H68">
        <v>4.07</v>
      </c>
      <c r="I68" t="s">
        <v>33</v>
      </c>
      <c r="J68">
        <v>4.13</v>
      </c>
      <c r="K68" t="s">
        <v>35</v>
      </c>
      <c r="L68">
        <v>215</v>
      </c>
      <c r="M68" t="s">
        <v>52</v>
      </c>
      <c r="N68">
        <v>0.86</v>
      </c>
      <c r="O68">
        <v>0.56999999999999995</v>
      </c>
      <c r="P68" t="s">
        <v>38</v>
      </c>
      <c r="Q68">
        <v>100</v>
      </c>
      <c r="R68" s="13">
        <v>1.5999999999999999E-6</v>
      </c>
      <c r="S68">
        <f>R68/Q68</f>
        <v>1.5999999999999998E-8</v>
      </c>
      <c r="U68">
        <v>61</v>
      </c>
      <c r="V68">
        <v>39</v>
      </c>
      <c r="W68" t="s">
        <v>39</v>
      </c>
      <c r="X68">
        <v>5</v>
      </c>
      <c r="Y68">
        <f t="shared" si="0"/>
        <v>7.8</v>
      </c>
    </row>
    <row r="69" spans="1:25" x14ac:dyDescent="0.75">
      <c r="A69" t="s">
        <v>171</v>
      </c>
      <c r="B69" t="s">
        <v>171</v>
      </c>
      <c r="C69" t="s">
        <v>172</v>
      </c>
      <c r="D69" t="s">
        <v>55</v>
      </c>
      <c r="E69">
        <v>530</v>
      </c>
      <c r="F69" t="s">
        <v>33</v>
      </c>
      <c r="G69">
        <f>7.94*10^2</f>
        <v>794</v>
      </c>
      <c r="H69">
        <v>2.9</v>
      </c>
      <c r="I69" t="s">
        <v>58</v>
      </c>
      <c r="J69">
        <v>1.8</v>
      </c>
      <c r="K69" t="s">
        <v>35</v>
      </c>
      <c r="L69">
        <v>163</v>
      </c>
      <c r="M69" t="s">
        <v>52</v>
      </c>
      <c r="N69">
        <v>0.7</v>
      </c>
      <c r="O69">
        <v>-0.44</v>
      </c>
      <c r="P69" t="s">
        <v>38</v>
      </c>
      <c r="Q69">
        <v>10</v>
      </c>
      <c r="R69">
        <v>1E-3</v>
      </c>
      <c r="S69">
        <f>R69/Q69</f>
        <v>1E-4</v>
      </c>
      <c r="U69" t="s">
        <v>37</v>
      </c>
      <c r="V69">
        <v>9.9</v>
      </c>
      <c r="W69" t="s">
        <v>39</v>
      </c>
      <c r="X69">
        <v>5</v>
      </c>
      <c r="Y69">
        <f t="shared" si="0"/>
        <v>1.98</v>
      </c>
    </row>
    <row r="70" spans="1:25" x14ac:dyDescent="0.75">
      <c r="A70" t="s">
        <v>173</v>
      </c>
      <c r="B70" t="s">
        <v>173</v>
      </c>
      <c r="C70" t="s">
        <v>174</v>
      </c>
      <c r="D70" t="s">
        <v>55</v>
      </c>
      <c r="E70">
        <v>4.32</v>
      </c>
      <c r="F70" t="s">
        <v>34</v>
      </c>
      <c r="G70">
        <f>3.16*10^4</f>
        <v>31600</v>
      </c>
      <c r="H70">
        <v>4.5</v>
      </c>
      <c r="I70" t="s">
        <v>33</v>
      </c>
      <c r="J70">
        <v>2.65</v>
      </c>
      <c r="K70" t="s">
        <v>35</v>
      </c>
      <c r="L70">
        <v>428</v>
      </c>
      <c r="M70" t="s">
        <v>52</v>
      </c>
      <c r="N70">
        <v>3.8</v>
      </c>
      <c r="O70">
        <v>0.5</v>
      </c>
      <c r="P70" t="s">
        <v>38</v>
      </c>
      <c r="Q70">
        <v>50</v>
      </c>
      <c r="R70">
        <v>5.8000000000000003E-2</v>
      </c>
      <c r="S70">
        <f>R70/Q70</f>
        <v>1.16E-3</v>
      </c>
      <c r="U70">
        <v>5.94</v>
      </c>
      <c r="V70">
        <v>425</v>
      </c>
      <c r="W70" t="s">
        <v>3</v>
      </c>
      <c r="X70">
        <v>10</v>
      </c>
      <c r="Y70">
        <f t="shared" si="0"/>
        <v>42.5</v>
      </c>
    </row>
    <row r="71" spans="1:25" ht="16" x14ac:dyDescent="0.8">
      <c r="A71" t="s">
        <v>175</v>
      </c>
      <c r="B71" t="s">
        <v>175</v>
      </c>
      <c r="C71" t="s">
        <v>176</v>
      </c>
      <c r="D71" t="s">
        <v>47</v>
      </c>
      <c r="E71">
        <v>1E-3</v>
      </c>
      <c r="F71" t="s">
        <v>34</v>
      </c>
      <c r="G71">
        <f>1.02*10^5</f>
        <v>102000</v>
      </c>
      <c r="H71">
        <v>5.01</v>
      </c>
      <c r="I71" t="s">
        <v>33</v>
      </c>
      <c r="J71" t="s">
        <v>37</v>
      </c>
      <c r="K71" t="s">
        <v>37</v>
      </c>
      <c r="L71">
        <v>1664</v>
      </c>
      <c r="M71" t="s">
        <v>52</v>
      </c>
      <c r="N71" t="s">
        <v>37</v>
      </c>
      <c r="O71">
        <v>0.52</v>
      </c>
      <c r="P71" t="s">
        <v>38</v>
      </c>
      <c r="Q71" s="14">
        <v>10</v>
      </c>
      <c r="R71" s="13">
        <v>1E-3</v>
      </c>
      <c r="S71" s="14">
        <v>1E-4</v>
      </c>
      <c r="U71">
        <v>49.2</v>
      </c>
      <c r="V71">
        <v>10</v>
      </c>
      <c r="W71" t="s">
        <v>39</v>
      </c>
      <c r="X71">
        <v>5</v>
      </c>
      <c r="Y71">
        <f t="shared" ref="Y71:Y134" si="1">V71/X71</f>
        <v>2</v>
      </c>
    </row>
    <row r="72" spans="1:25" ht="16" x14ac:dyDescent="0.8">
      <c r="A72" t="s">
        <v>177</v>
      </c>
      <c r="B72" t="s">
        <v>177</v>
      </c>
      <c r="C72" t="s">
        <v>178</v>
      </c>
      <c r="D72" t="s">
        <v>47</v>
      </c>
      <c r="E72">
        <v>3.78</v>
      </c>
      <c r="F72" t="s">
        <v>34</v>
      </c>
      <c r="G72">
        <f>5.63*10^3</f>
        <v>5630</v>
      </c>
      <c r="H72">
        <v>3.75</v>
      </c>
      <c r="I72" t="s">
        <v>33</v>
      </c>
      <c r="J72">
        <v>54</v>
      </c>
      <c r="K72" t="s">
        <v>67</v>
      </c>
      <c r="L72">
        <v>321</v>
      </c>
      <c r="M72" t="s">
        <v>52</v>
      </c>
      <c r="N72">
        <v>3</v>
      </c>
      <c r="O72">
        <v>2.06</v>
      </c>
      <c r="P72" t="s">
        <v>59</v>
      </c>
      <c r="Q72">
        <v>100</v>
      </c>
      <c r="R72" s="13">
        <v>1.3999999999999999E-4</v>
      </c>
      <c r="S72">
        <f>R72/Q72</f>
        <v>1.3999999999999999E-6</v>
      </c>
      <c r="U72">
        <v>25.5</v>
      </c>
      <c r="V72">
        <v>4.7</v>
      </c>
      <c r="W72" t="s">
        <v>39</v>
      </c>
      <c r="X72">
        <v>5</v>
      </c>
      <c r="Y72">
        <f t="shared" si="1"/>
        <v>0.94000000000000006</v>
      </c>
    </row>
    <row r="73" spans="1:25" x14ac:dyDescent="0.75">
      <c r="A73" t="s">
        <v>421</v>
      </c>
      <c r="B73" t="s">
        <v>501</v>
      </c>
      <c r="C73" t="s">
        <v>179</v>
      </c>
      <c r="D73" t="s">
        <v>47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 t="s">
        <v>37</v>
      </c>
      <c r="K73" t="s">
        <v>37</v>
      </c>
      <c r="L73" t="s">
        <v>37</v>
      </c>
      <c r="M73" t="s">
        <v>37</v>
      </c>
      <c r="N73" t="s">
        <v>37</v>
      </c>
      <c r="O73">
        <v>0.91</v>
      </c>
      <c r="P73" t="s">
        <v>38</v>
      </c>
      <c r="Q73">
        <v>1000</v>
      </c>
      <c r="R73">
        <v>6.0000000000000002E-5</v>
      </c>
      <c r="S73">
        <f>R73/Q73</f>
        <v>6.0000000000000008E-8</v>
      </c>
      <c r="U73" t="s">
        <v>37</v>
      </c>
      <c r="V73">
        <v>40</v>
      </c>
      <c r="W73" t="s">
        <v>3</v>
      </c>
      <c r="X73">
        <v>10</v>
      </c>
      <c r="Y73">
        <f t="shared" si="1"/>
        <v>4</v>
      </c>
    </row>
    <row r="74" spans="1:25" x14ac:dyDescent="0.75">
      <c r="A74" t="s">
        <v>180</v>
      </c>
      <c r="B74" t="s">
        <v>550</v>
      </c>
      <c r="C74" t="s">
        <v>181</v>
      </c>
      <c r="D74" t="s">
        <v>32</v>
      </c>
      <c r="E74">
        <v>2100</v>
      </c>
      <c r="F74" t="s">
        <v>33</v>
      </c>
      <c r="G74">
        <f>8.71*10^-1</f>
        <v>0.87100000000000011</v>
      </c>
      <c r="H74">
        <v>-0.06</v>
      </c>
      <c r="I74" t="s">
        <v>34</v>
      </c>
      <c r="J74">
        <v>15</v>
      </c>
      <c r="K74" t="s">
        <v>73</v>
      </c>
      <c r="L74" s="10" t="s">
        <v>42</v>
      </c>
      <c r="M74" t="s">
        <v>48</v>
      </c>
      <c r="N74" t="s">
        <v>37</v>
      </c>
      <c r="O74">
        <v>1.55</v>
      </c>
      <c r="P74" t="s">
        <v>38</v>
      </c>
      <c r="Q74">
        <v>10</v>
      </c>
      <c r="R74">
        <v>5.0000000000000001E-3</v>
      </c>
      <c r="S74">
        <f>R74/Q74</f>
        <v>5.0000000000000001E-4</v>
      </c>
      <c r="U74">
        <v>65</v>
      </c>
      <c r="V74">
        <v>0.32</v>
      </c>
      <c r="W74" t="s">
        <v>3</v>
      </c>
      <c r="X74">
        <v>10</v>
      </c>
      <c r="Y74">
        <f t="shared" si="1"/>
        <v>3.2000000000000001E-2</v>
      </c>
    </row>
    <row r="75" spans="1:25" x14ac:dyDescent="0.75">
      <c r="A75" t="s">
        <v>182</v>
      </c>
      <c r="B75" t="s">
        <v>182</v>
      </c>
      <c r="C75" t="s">
        <v>183</v>
      </c>
      <c r="D75" t="s">
        <v>47</v>
      </c>
      <c r="E75">
        <v>5200</v>
      </c>
      <c r="F75" t="s">
        <v>33</v>
      </c>
      <c r="G75">
        <f>5.75*10^-1</f>
        <v>0.57500000000000007</v>
      </c>
      <c r="H75">
        <v>-0.24</v>
      </c>
      <c r="I75" t="s">
        <v>34</v>
      </c>
      <c r="J75">
        <v>33.799999999999997</v>
      </c>
      <c r="K75" t="s">
        <v>67</v>
      </c>
      <c r="L75" s="10" t="s">
        <v>42</v>
      </c>
      <c r="M75" t="s">
        <v>48</v>
      </c>
      <c r="N75" t="s">
        <v>37</v>
      </c>
      <c r="O75">
        <v>1.87</v>
      </c>
      <c r="P75" t="s">
        <v>59</v>
      </c>
      <c r="Q75">
        <v>50</v>
      </c>
      <c r="R75">
        <v>3.1</v>
      </c>
      <c r="S75">
        <f>R75/Q75</f>
        <v>6.2E-2</v>
      </c>
      <c r="U75">
        <v>266</v>
      </c>
      <c r="V75">
        <v>500</v>
      </c>
      <c r="W75" t="s">
        <v>3</v>
      </c>
      <c r="X75">
        <v>10</v>
      </c>
      <c r="Y75">
        <f t="shared" si="1"/>
        <v>50</v>
      </c>
    </row>
    <row r="76" spans="1:25" x14ac:dyDescent="0.75">
      <c r="A76" t="s">
        <v>184</v>
      </c>
      <c r="B76" t="s">
        <v>184</v>
      </c>
      <c r="C76" t="s">
        <v>185</v>
      </c>
      <c r="D76" t="s">
        <v>32</v>
      </c>
      <c r="E76">
        <v>6360</v>
      </c>
      <c r="F76" t="s">
        <v>33</v>
      </c>
      <c r="G76">
        <f>6.03*10^-2</f>
        <v>6.0300000000000006E-2</v>
      </c>
      <c r="H76">
        <v>-1.22</v>
      </c>
      <c r="I76" t="s">
        <v>34</v>
      </c>
      <c r="J76">
        <v>18</v>
      </c>
      <c r="K76" t="s">
        <v>73</v>
      </c>
      <c r="L76">
        <v>1.5</v>
      </c>
      <c r="M76" t="s">
        <v>36</v>
      </c>
      <c r="N76" t="s">
        <v>37</v>
      </c>
      <c r="O76">
        <v>2.5</v>
      </c>
      <c r="P76" t="s">
        <v>59</v>
      </c>
      <c r="Q76">
        <v>100</v>
      </c>
      <c r="R76">
        <v>8.94E-3</v>
      </c>
      <c r="S76">
        <f>R76/Q76</f>
        <v>8.9400000000000005E-5</v>
      </c>
      <c r="U76">
        <v>10</v>
      </c>
      <c r="V76">
        <v>8</v>
      </c>
      <c r="W76" t="s">
        <v>39</v>
      </c>
      <c r="X76">
        <v>5</v>
      </c>
      <c r="Y76">
        <f t="shared" si="1"/>
        <v>1.6</v>
      </c>
    </row>
    <row r="77" spans="1:25" x14ac:dyDescent="0.75">
      <c r="A77" t="s">
        <v>422</v>
      </c>
      <c r="B77" t="s">
        <v>503</v>
      </c>
      <c r="C77" t="s">
        <v>186</v>
      </c>
      <c r="D77" t="s">
        <v>32</v>
      </c>
      <c r="E77">
        <v>40.5</v>
      </c>
      <c r="F77" t="s">
        <v>34</v>
      </c>
      <c r="G77">
        <f>1.51*10^3</f>
        <v>1510</v>
      </c>
      <c r="H77">
        <v>3.18</v>
      </c>
      <c r="I77" t="s">
        <v>33</v>
      </c>
      <c r="J77">
        <v>45</v>
      </c>
      <c r="K77" t="s">
        <v>67</v>
      </c>
      <c r="L77" t="s">
        <v>37</v>
      </c>
      <c r="M77" t="s">
        <v>37</v>
      </c>
      <c r="N77" t="s">
        <v>37</v>
      </c>
      <c r="O77">
        <v>3.23</v>
      </c>
      <c r="P77" t="s">
        <v>44</v>
      </c>
      <c r="Q77" t="s">
        <v>37</v>
      </c>
      <c r="R77" t="s">
        <v>37</v>
      </c>
      <c r="S77" t="s">
        <v>37</v>
      </c>
      <c r="U77">
        <v>3.1</v>
      </c>
      <c r="V77">
        <v>1000</v>
      </c>
      <c r="W77" t="s">
        <v>3</v>
      </c>
      <c r="X77">
        <v>10</v>
      </c>
      <c r="Y77">
        <f t="shared" si="1"/>
        <v>100</v>
      </c>
    </row>
    <row r="78" spans="1:25" ht="16" x14ac:dyDescent="0.8">
      <c r="A78" t="s">
        <v>187</v>
      </c>
      <c r="B78" t="s">
        <v>187</v>
      </c>
      <c r="C78" t="s">
        <v>188</v>
      </c>
      <c r="D78" t="s">
        <v>55</v>
      </c>
      <c r="E78">
        <v>0.13500000000000001</v>
      </c>
      <c r="F78" t="s">
        <v>34</v>
      </c>
      <c r="G78">
        <f>7.41*10^4</f>
        <v>74100</v>
      </c>
      <c r="H78">
        <v>4.87</v>
      </c>
      <c r="I78" t="s">
        <v>33</v>
      </c>
      <c r="J78">
        <v>4.5</v>
      </c>
      <c r="K78" t="s">
        <v>35</v>
      </c>
      <c r="L78">
        <v>1018</v>
      </c>
      <c r="M78" t="s">
        <v>52</v>
      </c>
      <c r="N78">
        <v>6</v>
      </c>
      <c r="O78">
        <v>1</v>
      </c>
      <c r="P78" t="s">
        <v>38</v>
      </c>
      <c r="Q78">
        <v>10</v>
      </c>
      <c r="R78" s="13">
        <v>6.8999999999999997E-4</v>
      </c>
      <c r="S78">
        <f>R78/Q78</f>
        <v>6.8999999999999997E-5</v>
      </c>
      <c r="U78">
        <v>8.5</v>
      </c>
      <c r="V78">
        <v>0.20300000000000001</v>
      </c>
      <c r="W78" t="s">
        <v>39</v>
      </c>
      <c r="X78">
        <v>5</v>
      </c>
      <c r="Y78">
        <f t="shared" si="1"/>
        <v>4.0600000000000004E-2</v>
      </c>
    </row>
    <row r="79" spans="1:25" x14ac:dyDescent="0.75">
      <c r="A79" t="s">
        <v>189</v>
      </c>
      <c r="B79" t="s">
        <v>189</v>
      </c>
      <c r="C79" t="s">
        <v>190</v>
      </c>
      <c r="D79" t="s">
        <v>55</v>
      </c>
      <c r="E79">
        <v>1.8</v>
      </c>
      <c r="F79" t="s">
        <v>34</v>
      </c>
      <c r="G79">
        <f>1.32*10^4</f>
        <v>13200</v>
      </c>
      <c r="H79">
        <v>4.12</v>
      </c>
      <c r="I79" t="s">
        <v>33</v>
      </c>
      <c r="J79">
        <v>2</v>
      </c>
      <c r="K79" t="s">
        <v>35</v>
      </c>
      <c r="L79">
        <v>366</v>
      </c>
      <c r="M79" t="s">
        <v>52</v>
      </c>
      <c r="N79">
        <v>0.6</v>
      </c>
      <c r="O79">
        <v>-1.35</v>
      </c>
      <c r="P79" t="s">
        <v>38</v>
      </c>
      <c r="Q79" s="4">
        <v>100</v>
      </c>
      <c r="R79" s="18">
        <v>5.0000000000000001E-3</v>
      </c>
      <c r="S79" s="19">
        <f>R79/Q79</f>
        <v>5.0000000000000002E-5</v>
      </c>
      <c r="U79" t="s">
        <v>37</v>
      </c>
      <c r="V79" t="s">
        <v>126</v>
      </c>
      <c r="W79" t="s">
        <v>126</v>
      </c>
      <c r="X79" t="s">
        <v>126</v>
      </c>
      <c r="Y79" t="s">
        <v>126</v>
      </c>
    </row>
    <row r="80" spans="1:25" x14ac:dyDescent="0.75">
      <c r="A80" t="s">
        <v>191</v>
      </c>
      <c r="B80" t="s">
        <v>191</v>
      </c>
      <c r="C80" t="s">
        <v>192</v>
      </c>
      <c r="D80" t="s">
        <v>32</v>
      </c>
      <c r="E80">
        <v>51</v>
      </c>
      <c r="F80" t="s">
        <v>58</v>
      </c>
      <c r="G80">
        <f>3.16*10^3</f>
        <v>3160</v>
      </c>
      <c r="H80">
        <v>3.5</v>
      </c>
      <c r="I80" t="s">
        <v>33</v>
      </c>
      <c r="J80">
        <v>54</v>
      </c>
      <c r="K80" t="s">
        <v>67</v>
      </c>
      <c r="L80">
        <v>71.400000000000006</v>
      </c>
      <c r="M80" t="s">
        <v>36</v>
      </c>
      <c r="N80" t="s">
        <v>37</v>
      </c>
      <c r="O80">
        <v>2.4900000000000002</v>
      </c>
      <c r="P80" t="s">
        <v>59</v>
      </c>
      <c r="Q80">
        <v>100</v>
      </c>
      <c r="R80">
        <v>2.0400000000000001E-3</v>
      </c>
      <c r="S80">
        <f>R80/Q80</f>
        <v>2.0400000000000001E-5</v>
      </c>
      <c r="U80">
        <v>25.9</v>
      </c>
      <c r="V80">
        <v>0.17499999999999999</v>
      </c>
      <c r="W80" t="s">
        <v>39</v>
      </c>
      <c r="X80">
        <v>5</v>
      </c>
      <c r="Y80">
        <f t="shared" si="1"/>
        <v>3.4999999999999996E-2</v>
      </c>
    </row>
    <row r="81" spans="1:25" x14ac:dyDescent="0.75">
      <c r="A81" t="s">
        <v>423</v>
      </c>
      <c r="B81" t="s">
        <v>550</v>
      </c>
      <c r="C81" t="s">
        <v>193</v>
      </c>
      <c r="D81" t="s">
        <v>32</v>
      </c>
      <c r="E81">
        <v>0.78600000000000003</v>
      </c>
      <c r="F81" t="s">
        <v>34</v>
      </c>
      <c r="G81">
        <f>3.55*10^2</f>
        <v>355</v>
      </c>
      <c r="H81">
        <v>2.5499999999999998</v>
      </c>
      <c r="I81" t="s">
        <v>34</v>
      </c>
      <c r="J81">
        <v>2</v>
      </c>
      <c r="K81" t="s">
        <v>35</v>
      </c>
      <c r="L81" s="10" t="s">
        <v>42</v>
      </c>
      <c r="M81" t="s">
        <v>48</v>
      </c>
      <c r="N81" t="s">
        <v>37</v>
      </c>
      <c r="O81">
        <v>1.31</v>
      </c>
      <c r="P81" t="s">
        <v>38</v>
      </c>
      <c r="Q81">
        <v>100</v>
      </c>
      <c r="R81">
        <v>8.52E-4</v>
      </c>
      <c r="S81">
        <f>R81/Q81</f>
        <v>8.5199999999999997E-6</v>
      </c>
      <c r="U81">
        <v>16</v>
      </c>
      <c r="V81">
        <v>14.4</v>
      </c>
      <c r="W81" t="s">
        <v>39</v>
      </c>
      <c r="X81">
        <v>5</v>
      </c>
      <c r="Y81">
        <f t="shared" si="1"/>
        <v>2.88</v>
      </c>
    </row>
    <row r="82" spans="1:25" x14ac:dyDescent="0.75">
      <c r="A82" t="s">
        <v>194</v>
      </c>
      <c r="B82" t="s">
        <v>194</v>
      </c>
      <c r="C82" t="s">
        <v>195</v>
      </c>
      <c r="D82" t="s">
        <v>55</v>
      </c>
      <c r="E82">
        <v>2.8</v>
      </c>
      <c r="F82" t="s">
        <v>34</v>
      </c>
      <c r="G82">
        <f>7.94*10^2</f>
        <v>794</v>
      </c>
      <c r="H82">
        <v>2.9</v>
      </c>
      <c r="I82" t="s">
        <v>58</v>
      </c>
      <c r="J82">
        <v>91.4</v>
      </c>
      <c r="K82" t="s">
        <v>67</v>
      </c>
      <c r="L82">
        <v>121</v>
      </c>
      <c r="M82" t="s">
        <v>52</v>
      </c>
      <c r="N82">
        <v>0.51</v>
      </c>
      <c r="O82">
        <v>3.2</v>
      </c>
      <c r="P82" t="s">
        <v>44</v>
      </c>
      <c r="Q82" s="4">
        <v>100</v>
      </c>
      <c r="R82" s="18">
        <v>2.9000000000000001E-2</v>
      </c>
      <c r="S82" s="20">
        <f>R82/Q82</f>
        <v>2.9E-4</v>
      </c>
      <c r="U82">
        <v>39</v>
      </c>
      <c r="V82">
        <v>1.2</v>
      </c>
      <c r="W82" t="s">
        <v>39</v>
      </c>
      <c r="X82">
        <v>5</v>
      </c>
      <c r="Y82">
        <f t="shared" si="1"/>
        <v>0.24</v>
      </c>
    </row>
    <row r="83" spans="1:25" x14ac:dyDescent="0.75">
      <c r="A83" t="s">
        <v>196</v>
      </c>
      <c r="B83" t="s">
        <v>196</v>
      </c>
      <c r="C83" t="s">
        <v>197</v>
      </c>
      <c r="D83" t="s">
        <v>55</v>
      </c>
      <c r="E83">
        <v>16</v>
      </c>
      <c r="F83" t="s">
        <v>34</v>
      </c>
      <c r="G83">
        <f>2*10^3</f>
        <v>2000</v>
      </c>
      <c r="H83">
        <v>3.3</v>
      </c>
      <c r="I83" t="s">
        <v>33</v>
      </c>
      <c r="J83">
        <v>20.5</v>
      </c>
      <c r="K83" t="s">
        <v>73</v>
      </c>
      <c r="L83">
        <v>18</v>
      </c>
      <c r="M83" t="s">
        <v>36</v>
      </c>
      <c r="N83">
        <v>3.4</v>
      </c>
      <c r="O83">
        <v>3.23</v>
      </c>
      <c r="P83" t="s">
        <v>44</v>
      </c>
      <c r="Q83" s="4">
        <v>100</v>
      </c>
      <c r="R83" s="18">
        <v>0.13500000000000001</v>
      </c>
      <c r="S83" s="4">
        <f>R83/Q83</f>
        <v>1.3500000000000001E-3</v>
      </c>
      <c r="U83">
        <v>17.600000000000001</v>
      </c>
      <c r="V83">
        <v>491</v>
      </c>
      <c r="W83" t="s">
        <v>3</v>
      </c>
      <c r="X83">
        <v>10</v>
      </c>
      <c r="Y83">
        <f t="shared" si="1"/>
        <v>49.1</v>
      </c>
    </row>
    <row r="84" spans="1:25" x14ac:dyDescent="0.75">
      <c r="A84" t="s">
        <v>424</v>
      </c>
      <c r="B84" t="s">
        <v>504</v>
      </c>
      <c r="C84" t="s">
        <v>198</v>
      </c>
      <c r="D84" t="s">
        <v>42</v>
      </c>
      <c r="E84" t="s">
        <v>37</v>
      </c>
      <c r="F84" t="s">
        <v>37</v>
      </c>
      <c r="G84" t="s">
        <v>37</v>
      </c>
      <c r="H84" t="s">
        <v>37</v>
      </c>
      <c r="I84" t="s">
        <v>37</v>
      </c>
      <c r="J84" t="s">
        <v>37</v>
      </c>
      <c r="K84" t="s">
        <v>37</v>
      </c>
      <c r="L84" t="s">
        <v>37</v>
      </c>
      <c r="M84" t="s">
        <v>37</v>
      </c>
      <c r="N84" t="s">
        <v>37</v>
      </c>
      <c r="O84">
        <v>1.86</v>
      </c>
      <c r="P84" t="s">
        <v>59</v>
      </c>
      <c r="Q84" t="s">
        <v>37</v>
      </c>
      <c r="R84" t="s">
        <v>37</v>
      </c>
      <c r="S84" t="s">
        <v>37</v>
      </c>
      <c r="U84">
        <v>138.80000000000001</v>
      </c>
      <c r="V84">
        <v>31.25</v>
      </c>
      <c r="W84" t="s">
        <v>39</v>
      </c>
      <c r="X84">
        <v>5</v>
      </c>
      <c r="Y84">
        <f t="shared" si="1"/>
        <v>6.25</v>
      </c>
    </row>
    <row r="85" spans="1:25" x14ac:dyDescent="0.75">
      <c r="A85" t="s">
        <v>199</v>
      </c>
      <c r="B85" t="s">
        <v>199</v>
      </c>
      <c r="C85" t="s">
        <v>200</v>
      </c>
      <c r="D85" t="s">
        <v>55</v>
      </c>
      <c r="E85">
        <v>2.56</v>
      </c>
      <c r="F85" t="s">
        <v>34</v>
      </c>
      <c r="G85">
        <f>7.24*10^2</f>
        <v>724</v>
      </c>
      <c r="H85">
        <v>2.86</v>
      </c>
      <c r="I85" t="s">
        <v>58</v>
      </c>
      <c r="J85">
        <v>29</v>
      </c>
      <c r="K85" t="s">
        <v>73</v>
      </c>
      <c r="L85">
        <v>52.1</v>
      </c>
      <c r="M85" t="s">
        <v>36</v>
      </c>
      <c r="N85">
        <v>0.4</v>
      </c>
      <c r="O85">
        <v>1.84</v>
      </c>
      <c r="P85" t="s">
        <v>59</v>
      </c>
      <c r="Q85">
        <v>100</v>
      </c>
      <c r="R85">
        <v>2.86E-2</v>
      </c>
      <c r="S85">
        <f>R85/Q85</f>
        <v>2.8600000000000001E-4</v>
      </c>
      <c r="U85">
        <v>118.8</v>
      </c>
      <c r="V85">
        <v>11.42</v>
      </c>
      <c r="W85" t="s">
        <v>39</v>
      </c>
      <c r="X85">
        <v>5</v>
      </c>
      <c r="Y85">
        <f t="shared" si="1"/>
        <v>2.2839999999999998</v>
      </c>
    </row>
    <row r="86" spans="1:25" x14ac:dyDescent="0.75">
      <c r="A86" t="s">
        <v>201</v>
      </c>
      <c r="B86" t="s">
        <v>201</v>
      </c>
      <c r="C86" t="s">
        <v>202</v>
      </c>
      <c r="D86" t="s">
        <v>47</v>
      </c>
      <c r="E86">
        <v>3200</v>
      </c>
      <c r="F86" t="s">
        <v>33</v>
      </c>
      <c r="G86">
        <f>1.58*10^1</f>
        <v>15.8</v>
      </c>
      <c r="H86">
        <v>1.2</v>
      </c>
      <c r="I86" t="s">
        <v>34</v>
      </c>
      <c r="J86">
        <v>31.4</v>
      </c>
      <c r="K86" t="s">
        <v>67</v>
      </c>
      <c r="L86" t="s">
        <v>37</v>
      </c>
      <c r="M86" t="s">
        <v>37</v>
      </c>
      <c r="N86" t="s">
        <v>37</v>
      </c>
      <c r="O86">
        <v>4.24</v>
      </c>
      <c r="P86" t="s">
        <v>44</v>
      </c>
      <c r="Q86">
        <v>100</v>
      </c>
      <c r="R86">
        <v>3.2</v>
      </c>
      <c r="S86">
        <f>R86/Q86</f>
        <v>3.2000000000000001E-2</v>
      </c>
      <c r="U86" t="s">
        <v>37</v>
      </c>
      <c r="V86" t="s">
        <v>126</v>
      </c>
      <c r="W86" t="s">
        <v>126</v>
      </c>
      <c r="X86" t="s">
        <v>126</v>
      </c>
      <c r="Y86" t="s">
        <v>126</v>
      </c>
    </row>
    <row r="87" spans="1:25" x14ac:dyDescent="0.75">
      <c r="A87" t="s">
        <v>425</v>
      </c>
      <c r="B87" t="s">
        <v>505</v>
      </c>
      <c r="C87" t="s">
        <v>203</v>
      </c>
      <c r="D87" t="s">
        <v>32</v>
      </c>
      <c r="E87">
        <v>6500</v>
      </c>
      <c r="F87" t="s">
        <v>33</v>
      </c>
      <c r="G87">
        <f>1.1*10^0</f>
        <v>1.1000000000000001</v>
      </c>
      <c r="H87">
        <v>0.04</v>
      </c>
      <c r="I87" t="s">
        <v>34</v>
      </c>
      <c r="J87">
        <v>10.5</v>
      </c>
      <c r="K87" t="s">
        <v>35</v>
      </c>
      <c r="L87">
        <v>62.1</v>
      </c>
      <c r="M87" t="s">
        <v>36</v>
      </c>
      <c r="N87" t="s">
        <v>37</v>
      </c>
      <c r="O87">
        <v>1.03</v>
      </c>
      <c r="P87" t="s">
        <v>38</v>
      </c>
      <c r="Q87">
        <v>10</v>
      </c>
      <c r="R87">
        <v>56</v>
      </c>
      <c r="S87">
        <f>56/Q87</f>
        <v>5.6</v>
      </c>
      <c r="U87">
        <v>52.6</v>
      </c>
      <c r="V87">
        <v>5</v>
      </c>
      <c r="W87" t="s">
        <v>39</v>
      </c>
      <c r="X87">
        <v>5</v>
      </c>
      <c r="Y87">
        <f t="shared" si="1"/>
        <v>1</v>
      </c>
    </row>
    <row r="88" spans="1:25" x14ac:dyDescent="0.75">
      <c r="A88" t="s">
        <v>204</v>
      </c>
      <c r="B88" t="s">
        <v>204</v>
      </c>
      <c r="C88" t="s">
        <v>205</v>
      </c>
      <c r="D88" t="s">
        <v>55</v>
      </c>
      <c r="E88">
        <v>41.9</v>
      </c>
      <c r="F88" t="s">
        <v>34</v>
      </c>
      <c r="G88">
        <f>7.41*10^3</f>
        <v>7410</v>
      </c>
      <c r="H88">
        <v>3.87</v>
      </c>
      <c r="I88" t="s">
        <v>33</v>
      </c>
      <c r="J88">
        <v>1</v>
      </c>
      <c r="K88" t="s">
        <v>35</v>
      </c>
      <c r="L88">
        <v>250</v>
      </c>
      <c r="M88" t="s">
        <v>52</v>
      </c>
      <c r="N88" t="s">
        <v>37</v>
      </c>
      <c r="O88">
        <v>1.54</v>
      </c>
      <c r="P88" t="s">
        <v>38</v>
      </c>
      <c r="Q88">
        <v>10</v>
      </c>
      <c r="R88">
        <v>2.3E-2</v>
      </c>
      <c r="S88">
        <f>R88/Q88</f>
        <v>2.3E-3</v>
      </c>
      <c r="U88">
        <v>130</v>
      </c>
      <c r="V88">
        <v>185.6</v>
      </c>
      <c r="W88" t="s">
        <v>3</v>
      </c>
      <c r="X88">
        <v>10</v>
      </c>
      <c r="Y88">
        <f t="shared" si="1"/>
        <v>18.559999999999999</v>
      </c>
    </row>
    <row r="89" spans="1:25" x14ac:dyDescent="0.75">
      <c r="A89" t="s">
        <v>206</v>
      </c>
      <c r="B89" t="s">
        <v>206</v>
      </c>
      <c r="C89" t="s">
        <v>207</v>
      </c>
      <c r="D89" t="s">
        <v>55</v>
      </c>
      <c r="E89">
        <v>8.01</v>
      </c>
      <c r="F89" t="s">
        <v>34</v>
      </c>
      <c r="G89">
        <f>1.48*10^3</f>
        <v>1480</v>
      </c>
      <c r="H89">
        <v>3.17</v>
      </c>
      <c r="I89" t="s">
        <v>33</v>
      </c>
      <c r="J89">
        <v>90.5</v>
      </c>
      <c r="K89" t="s">
        <v>67</v>
      </c>
      <c r="L89">
        <v>100</v>
      </c>
      <c r="M89" t="s">
        <v>52</v>
      </c>
      <c r="N89">
        <v>0.5</v>
      </c>
      <c r="O89">
        <v>2.29</v>
      </c>
      <c r="P89" t="s">
        <v>59</v>
      </c>
      <c r="Q89">
        <v>10</v>
      </c>
      <c r="R89">
        <v>0.18</v>
      </c>
      <c r="S89">
        <f>R89/Q89</f>
        <v>1.7999999999999999E-2</v>
      </c>
      <c r="U89">
        <v>3</v>
      </c>
      <c r="V89">
        <v>3.05</v>
      </c>
      <c r="W89" t="s">
        <v>39</v>
      </c>
      <c r="X89">
        <v>5</v>
      </c>
      <c r="Y89">
        <f t="shared" si="1"/>
        <v>0.61</v>
      </c>
    </row>
    <row r="90" spans="1:25" x14ac:dyDescent="0.75">
      <c r="A90" t="s">
        <v>208</v>
      </c>
      <c r="B90" t="s">
        <v>208</v>
      </c>
      <c r="C90" t="s">
        <v>209</v>
      </c>
      <c r="D90" t="s">
        <v>55</v>
      </c>
      <c r="E90">
        <v>3.44</v>
      </c>
      <c r="F90" t="s">
        <v>34</v>
      </c>
      <c r="G90">
        <f>1.35*10^3</f>
        <v>1350</v>
      </c>
      <c r="H90">
        <v>3.13</v>
      </c>
      <c r="I90" t="s">
        <v>33</v>
      </c>
      <c r="J90">
        <v>4.4000000000000004</v>
      </c>
      <c r="K90" t="s">
        <v>35</v>
      </c>
      <c r="L90">
        <v>36</v>
      </c>
      <c r="M90" t="s">
        <v>36</v>
      </c>
      <c r="N90">
        <v>0.73</v>
      </c>
      <c r="O90">
        <v>2.57</v>
      </c>
      <c r="P90" t="s">
        <v>59</v>
      </c>
      <c r="Q90">
        <v>50</v>
      </c>
      <c r="R90">
        <v>3.5999999999999997E-2</v>
      </c>
      <c r="S90">
        <f>R90/Q90</f>
        <v>7.1999999999999994E-4</v>
      </c>
      <c r="U90">
        <v>94</v>
      </c>
      <c r="V90">
        <v>8.82</v>
      </c>
      <c r="W90" t="s">
        <v>39</v>
      </c>
      <c r="X90">
        <v>5</v>
      </c>
      <c r="Y90">
        <f t="shared" si="1"/>
        <v>1.764</v>
      </c>
    </row>
    <row r="91" spans="1:25" x14ac:dyDescent="0.75">
      <c r="A91" t="s">
        <v>426</v>
      </c>
      <c r="B91" t="s">
        <v>506</v>
      </c>
      <c r="C91" t="s">
        <v>210</v>
      </c>
      <c r="D91" t="s">
        <v>55</v>
      </c>
      <c r="E91">
        <v>0.8</v>
      </c>
      <c r="F91" t="s">
        <v>34</v>
      </c>
      <c r="G91">
        <f>1.05*10^3</f>
        <v>1050</v>
      </c>
      <c r="H91">
        <v>3.02</v>
      </c>
      <c r="I91" t="s">
        <v>33</v>
      </c>
      <c r="J91">
        <v>0.02</v>
      </c>
      <c r="K91" t="s">
        <v>81</v>
      </c>
      <c r="L91">
        <v>56</v>
      </c>
      <c r="M91" t="s">
        <v>36</v>
      </c>
      <c r="N91">
        <v>0.6</v>
      </c>
      <c r="O91">
        <v>0.72</v>
      </c>
      <c r="P91" t="s">
        <v>38</v>
      </c>
      <c r="Q91">
        <v>50</v>
      </c>
      <c r="R91">
        <v>2E-3</v>
      </c>
      <c r="S91">
        <f>R91/Q91</f>
        <v>4.0000000000000003E-5</v>
      </c>
      <c r="U91">
        <v>105</v>
      </c>
      <c r="V91">
        <v>12.9</v>
      </c>
      <c r="W91" t="s">
        <v>39</v>
      </c>
      <c r="X91">
        <v>5</v>
      </c>
      <c r="Y91">
        <f t="shared" si="1"/>
        <v>2.58</v>
      </c>
    </row>
    <row r="92" spans="1:25" x14ac:dyDescent="0.75">
      <c r="A92" t="s">
        <v>427</v>
      </c>
      <c r="B92" t="s">
        <v>502</v>
      </c>
      <c r="C92" t="s">
        <v>211</v>
      </c>
      <c r="D92" t="s">
        <v>55</v>
      </c>
      <c r="E92">
        <v>360</v>
      </c>
      <c r="F92" t="s">
        <v>58</v>
      </c>
      <c r="G92">
        <f>1.41*10^1</f>
        <v>14.1</v>
      </c>
      <c r="H92">
        <v>1.1499999999999999</v>
      </c>
      <c r="I92" t="s">
        <v>34</v>
      </c>
      <c r="J92">
        <v>0.56999999999999995</v>
      </c>
      <c r="K92" t="s">
        <v>81</v>
      </c>
      <c r="L92" t="s">
        <v>37</v>
      </c>
      <c r="M92" t="s">
        <v>37</v>
      </c>
      <c r="N92" t="s">
        <v>37</v>
      </c>
      <c r="O92">
        <v>0.61</v>
      </c>
      <c r="P92" t="s">
        <v>38</v>
      </c>
      <c r="Q92">
        <v>1000</v>
      </c>
      <c r="R92">
        <v>38</v>
      </c>
      <c r="S92">
        <f>R92/Q92</f>
        <v>3.7999999999999999E-2</v>
      </c>
      <c r="U92">
        <v>181.5</v>
      </c>
      <c r="V92">
        <v>21.3</v>
      </c>
      <c r="W92" t="s">
        <v>39</v>
      </c>
      <c r="X92">
        <v>5</v>
      </c>
      <c r="Y92">
        <f t="shared" si="1"/>
        <v>4.26</v>
      </c>
    </row>
    <row r="93" spans="1:25" x14ac:dyDescent="0.75">
      <c r="A93" t="s">
        <v>212</v>
      </c>
      <c r="B93" t="s">
        <v>550</v>
      </c>
      <c r="C93" t="s">
        <v>213</v>
      </c>
      <c r="D93" t="s">
        <v>32</v>
      </c>
      <c r="E93">
        <v>3293</v>
      </c>
      <c r="F93" t="s">
        <v>33</v>
      </c>
      <c r="G93">
        <f>1.66*10^-1</f>
        <v>0.16600000000000001</v>
      </c>
      <c r="H93" t="s">
        <v>214</v>
      </c>
      <c r="I93" t="s">
        <v>34</v>
      </c>
      <c r="J93" s="11" t="s">
        <v>215</v>
      </c>
      <c r="K93" t="s">
        <v>73</v>
      </c>
      <c r="L93" s="10" t="s">
        <v>42</v>
      </c>
      <c r="M93" t="s">
        <v>48</v>
      </c>
      <c r="N93" t="s">
        <v>37</v>
      </c>
      <c r="O93">
        <v>2.95</v>
      </c>
      <c r="P93" t="s">
        <v>44</v>
      </c>
      <c r="Q93">
        <v>100</v>
      </c>
      <c r="R93">
        <v>1E-3</v>
      </c>
      <c r="S93">
        <f>R93/Q93</f>
        <v>1.0000000000000001E-5</v>
      </c>
      <c r="U93">
        <v>3</v>
      </c>
      <c r="V93">
        <v>5.18</v>
      </c>
      <c r="W93" t="s">
        <v>39</v>
      </c>
      <c r="X93">
        <v>5</v>
      </c>
      <c r="Y93">
        <f t="shared" si="1"/>
        <v>1.036</v>
      </c>
    </row>
    <row r="94" spans="1:25" x14ac:dyDescent="0.75">
      <c r="A94" t="s">
        <v>30</v>
      </c>
      <c r="B94" t="s">
        <v>30</v>
      </c>
      <c r="C94" t="s">
        <v>31</v>
      </c>
      <c r="D94" t="s">
        <v>32</v>
      </c>
      <c r="E94">
        <v>100000</v>
      </c>
      <c r="F94" t="s">
        <v>33</v>
      </c>
      <c r="G94">
        <f>5.25*10^-7</f>
        <v>5.2499999999999995E-7</v>
      </c>
      <c r="H94" s="4">
        <v>-6.28</v>
      </c>
      <c r="I94" s="4" t="s">
        <v>34</v>
      </c>
      <c r="J94" s="4">
        <v>9.9</v>
      </c>
      <c r="K94" s="4" t="s">
        <v>35</v>
      </c>
      <c r="L94" s="4">
        <v>0.5</v>
      </c>
      <c r="M94" s="4" t="s">
        <v>36</v>
      </c>
      <c r="N94" s="4" t="s">
        <v>37</v>
      </c>
      <c r="O94" s="4">
        <v>0.21</v>
      </c>
      <c r="P94" s="4" t="s">
        <v>38</v>
      </c>
      <c r="Q94">
        <v>10</v>
      </c>
      <c r="R94">
        <v>1</v>
      </c>
      <c r="S94">
        <f>R94/Q94</f>
        <v>0.1</v>
      </c>
      <c r="U94" t="s">
        <v>37</v>
      </c>
      <c r="V94" t="s">
        <v>37</v>
      </c>
      <c r="W94" t="s">
        <v>37</v>
      </c>
      <c r="X94" t="s">
        <v>37</v>
      </c>
      <c r="Y94" t="s">
        <v>37</v>
      </c>
    </row>
    <row r="95" spans="1:25" x14ac:dyDescent="0.75">
      <c r="A95" t="s">
        <v>428</v>
      </c>
      <c r="B95" t="s">
        <v>550</v>
      </c>
      <c r="C95" t="s">
        <v>216</v>
      </c>
      <c r="D95" t="s">
        <v>32</v>
      </c>
      <c r="E95">
        <v>375</v>
      </c>
      <c r="F95" t="s">
        <v>58</v>
      </c>
      <c r="G95">
        <f>1.86*10^0</f>
        <v>1.86</v>
      </c>
      <c r="H95">
        <v>0.27</v>
      </c>
      <c r="I95" t="s">
        <v>34</v>
      </c>
      <c r="J95">
        <v>0.2</v>
      </c>
      <c r="K95" t="s">
        <v>81</v>
      </c>
      <c r="L95">
        <v>17</v>
      </c>
      <c r="M95" t="s">
        <v>36</v>
      </c>
      <c r="N95">
        <v>2</v>
      </c>
      <c r="O95">
        <v>2.41</v>
      </c>
      <c r="P95" t="s">
        <v>59</v>
      </c>
      <c r="Q95">
        <v>100</v>
      </c>
      <c r="R95">
        <v>0.86</v>
      </c>
      <c r="S95">
        <v>8.6E-3</v>
      </c>
      <c r="U95" t="s">
        <v>37</v>
      </c>
      <c r="V95">
        <v>2.75</v>
      </c>
      <c r="W95" t="s">
        <v>39</v>
      </c>
      <c r="X95">
        <v>5</v>
      </c>
      <c r="Y95">
        <f t="shared" si="1"/>
        <v>0.55000000000000004</v>
      </c>
    </row>
    <row r="96" spans="1:25" x14ac:dyDescent="0.75">
      <c r="A96" t="s">
        <v>217</v>
      </c>
      <c r="B96" t="s">
        <v>217</v>
      </c>
      <c r="C96" t="s">
        <v>218</v>
      </c>
      <c r="D96" t="s">
        <v>55</v>
      </c>
      <c r="E96">
        <v>4.7000000000000002E-3</v>
      </c>
      <c r="F96" t="s">
        <v>34</v>
      </c>
      <c r="G96">
        <f>8.51*10^3</f>
        <v>8510</v>
      </c>
      <c r="H96">
        <v>3.93</v>
      </c>
      <c r="I96" t="s">
        <v>33</v>
      </c>
      <c r="J96" t="s">
        <v>37</v>
      </c>
      <c r="K96" t="s">
        <v>37</v>
      </c>
      <c r="L96">
        <v>35000</v>
      </c>
      <c r="M96" t="s">
        <v>139</v>
      </c>
      <c r="N96" t="s">
        <v>37</v>
      </c>
      <c r="O96">
        <v>-2.31</v>
      </c>
      <c r="P96" t="s">
        <v>38</v>
      </c>
      <c r="Q96">
        <v>1000</v>
      </c>
      <c r="R96">
        <v>0.01</v>
      </c>
      <c r="S96">
        <v>1.0000000000000001E-5</v>
      </c>
      <c r="U96">
        <v>17</v>
      </c>
      <c r="V96">
        <v>415</v>
      </c>
      <c r="W96" t="s">
        <v>3</v>
      </c>
      <c r="X96">
        <v>10</v>
      </c>
      <c r="Y96">
        <f t="shared" si="1"/>
        <v>41.5</v>
      </c>
    </row>
    <row r="97" spans="1:25" x14ac:dyDescent="0.75">
      <c r="A97" t="s">
        <v>219</v>
      </c>
      <c r="B97" t="s">
        <v>219</v>
      </c>
      <c r="C97" t="s">
        <v>220</v>
      </c>
      <c r="D97" t="s">
        <v>55</v>
      </c>
      <c r="E97">
        <v>184</v>
      </c>
      <c r="F97" t="s">
        <v>58</v>
      </c>
      <c r="G97">
        <f>3.63*10^2</f>
        <v>363</v>
      </c>
      <c r="H97">
        <v>2.56</v>
      </c>
      <c r="I97" t="s">
        <v>34</v>
      </c>
      <c r="J97">
        <v>7.8</v>
      </c>
      <c r="K97" t="s">
        <v>35</v>
      </c>
      <c r="L97" t="s">
        <v>221</v>
      </c>
      <c r="M97" t="s">
        <v>36</v>
      </c>
      <c r="N97" t="s">
        <v>222</v>
      </c>
      <c r="O97">
        <v>0.26</v>
      </c>
      <c r="P97" t="s">
        <v>38</v>
      </c>
      <c r="Q97">
        <v>1000</v>
      </c>
      <c r="R97">
        <v>0.87</v>
      </c>
      <c r="S97">
        <f>R97/Q97</f>
        <v>8.7000000000000001E-4</v>
      </c>
      <c r="U97" t="s">
        <v>37</v>
      </c>
      <c r="V97">
        <v>1000</v>
      </c>
      <c r="W97" t="s">
        <v>3</v>
      </c>
      <c r="X97">
        <v>10</v>
      </c>
      <c r="Y97">
        <f t="shared" si="1"/>
        <v>100</v>
      </c>
    </row>
    <row r="98" spans="1:25" x14ac:dyDescent="0.75">
      <c r="A98" t="s">
        <v>223</v>
      </c>
      <c r="B98" s="11" t="s">
        <v>223</v>
      </c>
      <c r="C98" t="s">
        <v>224</v>
      </c>
      <c r="D98" t="s">
        <v>47</v>
      </c>
      <c r="E98">
        <v>610</v>
      </c>
      <c r="F98" t="s">
        <v>33</v>
      </c>
      <c r="G98">
        <f>3.72*10^2</f>
        <v>372</v>
      </c>
      <c r="H98">
        <v>0.56999999999999995</v>
      </c>
      <c r="I98" t="s">
        <v>34</v>
      </c>
      <c r="J98">
        <v>30</v>
      </c>
      <c r="K98" t="s">
        <v>67</v>
      </c>
      <c r="L98">
        <v>0.61</v>
      </c>
      <c r="M98" t="s">
        <v>36</v>
      </c>
      <c r="N98" t="s">
        <v>37</v>
      </c>
      <c r="O98">
        <v>3.69</v>
      </c>
      <c r="P98" t="s">
        <v>44</v>
      </c>
      <c r="Q98">
        <v>10</v>
      </c>
      <c r="R98">
        <v>1.8</v>
      </c>
      <c r="S98">
        <f>R98/Q98</f>
        <v>0.18</v>
      </c>
      <c r="U98">
        <v>6.4</v>
      </c>
      <c r="V98">
        <v>106.6</v>
      </c>
      <c r="W98" t="s">
        <v>39</v>
      </c>
      <c r="X98">
        <v>5</v>
      </c>
      <c r="Y98">
        <f t="shared" si="1"/>
        <v>21.32</v>
      </c>
    </row>
    <row r="99" spans="1:25" x14ac:dyDescent="0.75">
      <c r="A99" t="s">
        <v>429</v>
      </c>
      <c r="B99" s="4" t="s">
        <v>507</v>
      </c>
      <c r="C99" t="s">
        <v>225</v>
      </c>
      <c r="D99" t="s">
        <v>47</v>
      </c>
      <c r="E99" t="s">
        <v>42</v>
      </c>
      <c r="F99" t="s">
        <v>42</v>
      </c>
      <c r="G99" t="s">
        <v>42</v>
      </c>
      <c r="H99" t="s">
        <v>42</v>
      </c>
      <c r="I99" t="s">
        <v>42</v>
      </c>
      <c r="J99" t="s">
        <v>42</v>
      </c>
      <c r="K99" t="s">
        <v>42</v>
      </c>
      <c r="L99" t="s">
        <v>42</v>
      </c>
      <c r="M99" t="s">
        <v>42</v>
      </c>
      <c r="N99" t="s">
        <v>42</v>
      </c>
      <c r="O99" t="s">
        <v>42</v>
      </c>
      <c r="P99" t="s">
        <v>42</v>
      </c>
      <c r="Q99" t="s">
        <v>42</v>
      </c>
      <c r="R99" t="s">
        <v>42</v>
      </c>
      <c r="S99" t="s">
        <v>42</v>
      </c>
      <c r="U99">
        <v>174</v>
      </c>
      <c r="V99">
        <v>0.17799999999999999</v>
      </c>
      <c r="W99" t="s">
        <v>39</v>
      </c>
      <c r="X99">
        <v>5</v>
      </c>
      <c r="Y99">
        <f t="shared" si="1"/>
        <v>3.56E-2</v>
      </c>
    </row>
    <row r="100" spans="1:25" x14ac:dyDescent="0.75">
      <c r="A100" t="s">
        <v>430</v>
      </c>
      <c r="B100" t="s">
        <v>508</v>
      </c>
      <c r="C100" t="s">
        <v>226</v>
      </c>
      <c r="D100" t="s">
        <v>47</v>
      </c>
      <c r="E100" t="s">
        <v>42</v>
      </c>
      <c r="F100" t="s">
        <v>42</v>
      </c>
      <c r="G100" t="s">
        <v>42</v>
      </c>
      <c r="H100" t="s">
        <v>42</v>
      </c>
      <c r="I100" t="s">
        <v>42</v>
      </c>
      <c r="J100" t="s">
        <v>42</v>
      </c>
      <c r="K100" t="s">
        <v>42</v>
      </c>
      <c r="L100" t="s">
        <v>42</v>
      </c>
      <c r="M100" t="s">
        <v>42</v>
      </c>
      <c r="N100" t="s">
        <v>42</v>
      </c>
      <c r="O100" t="s">
        <v>42</v>
      </c>
      <c r="P100" t="s">
        <v>42</v>
      </c>
      <c r="Q100" t="s">
        <v>42</v>
      </c>
      <c r="R100" t="s">
        <v>42</v>
      </c>
      <c r="S100" t="s">
        <v>42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</row>
    <row r="101" spans="1:25" x14ac:dyDescent="0.75">
      <c r="A101" t="s">
        <v>227</v>
      </c>
      <c r="B101" t="s">
        <v>227</v>
      </c>
      <c r="C101" t="s">
        <v>228</v>
      </c>
      <c r="D101" t="s">
        <v>47</v>
      </c>
      <c r="E101">
        <v>0.2</v>
      </c>
      <c r="F101" t="s">
        <v>34</v>
      </c>
      <c r="G101">
        <f>4.47*10^4</f>
        <v>44700</v>
      </c>
      <c r="H101">
        <v>4.6500000000000004</v>
      </c>
      <c r="I101" t="s">
        <v>33</v>
      </c>
      <c r="J101">
        <v>1.4</v>
      </c>
      <c r="K101" t="s">
        <v>35</v>
      </c>
      <c r="L101" t="s">
        <v>229</v>
      </c>
      <c r="M101" t="s">
        <v>36</v>
      </c>
      <c r="N101" t="s">
        <v>37</v>
      </c>
      <c r="O101">
        <v>0.27</v>
      </c>
      <c r="P101" t="s">
        <v>38</v>
      </c>
      <c r="Q101">
        <v>100</v>
      </c>
      <c r="R101">
        <v>1.8E-3</v>
      </c>
      <c r="S101">
        <f>R101/Q101</f>
        <v>1.8E-5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</row>
    <row r="102" spans="1:25" x14ac:dyDescent="0.75">
      <c r="A102" t="s">
        <v>230</v>
      </c>
      <c r="B102" t="s">
        <v>230</v>
      </c>
      <c r="C102" t="s">
        <v>231</v>
      </c>
      <c r="D102" t="s">
        <v>55</v>
      </c>
      <c r="E102">
        <v>17.8</v>
      </c>
      <c r="F102" t="s">
        <v>34</v>
      </c>
      <c r="G102">
        <f>1.58*10^3</f>
        <v>1580</v>
      </c>
      <c r="H102">
        <v>3.2</v>
      </c>
      <c r="I102" t="s">
        <v>33</v>
      </c>
      <c r="J102">
        <v>54</v>
      </c>
      <c r="K102" t="s">
        <v>67</v>
      </c>
      <c r="L102">
        <v>10</v>
      </c>
      <c r="M102" t="s">
        <v>36</v>
      </c>
      <c r="N102" t="s">
        <v>37</v>
      </c>
      <c r="O102">
        <v>2.35</v>
      </c>
      <c r="P102" t="s">
        <v>59</v>
      </c>
      <c r="Q102">
        <v>50</v>
      </c>
      <c r="R102">
        <v>1.89</v>
      </c>
      <c r="S102">
        <v>3.78E-2</v>
      </c>
      <c r="U102">
        <v>5.97</v>
      </c>
      <c r="V102">
        <v>6.6</v>
      </c>
      <c r="W102" t="s">
        <v>39</v>
      </c>
      <c r="X102">
        <v>5</v>
      </c>
      <c r="Y102">
        <f t="shared" si="1"/>
        <v>1.3199999999999998</v>
      </c>
    </row>
    <row r="103" spans="1:25" x14ac:dyDescent="0.75">
      <c r="A103" t="s">
        <v>232</v>
      </c>
      <c r="B103" t="s">
        <v>232</v>
      </c>
      <c r="C103" t="s">
        <v>233</v>
      </c>
      <c r="D103" t="s">
        <v>32</v>
      </c>
      <c r="E103">
        <v>70.2</v>
      </c>
      <c r="F103" t="s">
        <v>58</v>
      </c>
      <c r="G103">
        <f>3.16*10^2</f>
        <v>316</v>
      </c>
      <c r="H103">
        <v>2.5</v>
      </c>
      <c r="I103" t="s">
        <v>34</v>
      </c>
      <c r="J103">
        <v>40</v>
      </c>
      <c r="K103" t="s">
        <v>67</v>
      </c>
      <c r="L103">
        <v>177</v>
      </c>
      <c r="M103" t="s">
        <v>52</v>
      </c>
      <c r="N103" t="s">
        <v>37</v>
      </c>
      <c r="O103">
        <v>2.61</v>
      </c>
      <c r="P103" t="s">
        <v>59</v>
      </c>
      <c r="Q103">
        <v>10</v>
      </c>
      <c r="R103">
        <v>5.1999999999999998E-2</v>
      </c>
      <c r="S103">
        <f>R103/Q103</f>
        <v>5.1999999999999998E-3</v>
      </c>
      <c r="U103">
        <v>15.5</v>
      </c>
      <c r="V103">
        <v>3.37</v>
      </c>
      <c r="W103" t="s">
        <v>39</v>
      </c>
      <c r="X103">
        <v>5</v>
      </c>
      <c r="Y103">
        <f t="shared" si="1"/>
        <v>0.67400000000000004</v>
      </c>
    </row>
    <row r="104" spans="1:25" x14ac:dyDescent="0.75">
      <c r="A104" t="s">
        <v>234</v>
      </c>
      <c r="B104" t="s">
        <v>234</v>
      </c>
      <c r="C104" t="s">
        <v>235</v>
      </c>
      <c r="D104" t="s">
        <v>32</v>
      </c>
      <c r="E104">
        <v>0.93</v>
      </c>
      <c r="F104" t="s">
        <v>34</v>
      </c>
      <c r="G104">
        <f>8.71*10^3</f>
        <v>8710</v>
      </c>
      <c r="H104">
        <v>3.94</v>
      </c>
      <c r="I104" t="s">
        <v>33</v>
      </c>
      <c r="J104">
        <v>8.8000000000000007</v>
      </c>
      <c r="K104" t="s">
        <v>35</v>
      </c>
      <c r="L104">
        <v>70.5</v>
      </c>
      <c r="M104" t="s">
        <v>36</v>
      </c>
      <c r="N104">
        <v>0.49</v>
      </c>
      <c r="O104">
        <v>3.03</v>
      </c>
      <c r="P104" t="s">
        <v>44</v>
      </c>
      <c r="Q104">
        <v>10</v>
      </c>
      <c r="R104">
        <v>0.69</v>
      </c>
      <c r="S104">
        <f>R104/Q104</f>
        <v>6.8999999999999992E-2</v>
      </c>
      <c r="U104">
        <v>23</v>
      </c>
      <c r="V104">
        <v>1000</v>
      </c>
      <c r="W104" t="s">
        <v>3</v>
      </c>
      <c r="X104">
        <v>10</v>
      </c>
      <c r="Y104">
        <f t="shared" si="1"/>
        <v>100</v>
      </c>
    </row>
    <row r="105" spans="1:25" x14ac:dyDescent="0.75">
      <c r="A105" t="s">
        <v>236</v>
      </c>
      <c r="B105" t="s">
        <v>236</v>
      </c>
      <c r="C105" t="s">
        <v>237</v>
      </c>
      <c r="D105" t="s">
        <v>32</v>
      </c>
      <c r="E105">
        <v>6.2</v>
      </c>
      <c r="F105" t="s">
        <v>34</v>
      </c>
      <c r="G105">
        <f>2.19*10^2</f>
        <v>219</v>
      </c>
      <c r="H105">
        <v>2.34</v>
      </c>
      <c r="I105" t="s">
        <v>34</v>
      </c>
      <c r="J105">
        <v>0.36</v>
      </c>
      <c r="K105" t="s">
        <v>81</v>
      </c>
      <c r="L105">
        <v>11</v>
      </c>
      <c r="M105" t="s">
        <v>36</v>
      </c>
      <c r="N105" t="s">
        <v>37</v>
      </c>
      <c r="O105">
        <v>0.24</v>
      </c>
      <c r="P105" t="s">
        <v>38</v>
      </c>
      <c r="Q105">
        <v>100</v>
      </c>
      <c r="R105">
        <v>1.4E-2</v>
      </c>
      <c r="S105">
        <f>R105/Q105</f>
        <v>1.4000000000000001E-4</v>
      </c>
      <c r="U105">
        <v>123</v>
      </c>
      <c r="V105">
        <v>3.34</v>
      </c>
      <c r="W105" t="s">
        <v>39</v>
      </c>
      <c r="X105">
        <v>5</v>
      </c>
      <c r="Y105">
        <f t="shared" si="1"/>
        <v>0.66799999999999993</v>
      </c>
    </row>
    <row r="106" spans="1:25" x14ac:dyDescent="0.75">
      <c r="A106" t="s">
        <v>431</v>
      </c>
      <c r="B106" t="s">
        <v>509</v>
      </c>
      <c r="C106" t="s">
        <v>238</v>
      </c>
      <c r="D106" t="s">
        <v>55</v>
      </c>
      <c r="E106">
        <v>2</v>
      </c>
      <c r="F106" t="s">
        <v>34</v>
      </c>
      <c r="G106">
        <f>2.51*10^3</f>
        <v>2510</v>
      </c>
      <c r="H106">
        <v>3.4</v>
      </c>
      <c r="I106" t="s">
        <v>33</v>
      </c>
      <c r="J106">
        <v>0.85</v>
      </c>
      <c r="K106" t="s">
        <v>81</v>
      </c>
      <c r="L106">
        <v>220</v>
      </c>
      <c r="M106" t="s">
        <v>52</v>
      </c>
      <c r="N106">
        <v>0.37</v>
      </c>
      <c r="O106">
        <v>0</v>
      </c>
      <c r="P106" t="s">
        <v>38</v>
      </c>
      <c r="Q106">
        <v>100</v>
      </c>
      <c r="R106">
        <v>1.2999999999999999E-2</v>
      </c>
      <c r="S106">
        <f>R106/Q106</f>
        <v>1.2999999999999999E-4</v>
      </c>
      <c r="U106">
        <v>1.3</v>
      </c>
      <c r="V106">
        <v>8.9</v>
      </c>
      <c r="W106" t="s">
        <v>39</v>
      </c>
      <c r="X106">
        <v>5</v>
      </c>
      <c r="Y106">
        <f t="shared" si="1"/>
        <v>1.78</v>
      </c>
    </row>
    <row r="107" spans="1:25" ht="16" x14ac:dyDescent="0.8">
      <c r="A107" t="s">
        <v>432</v>
      </c>
      <c r="B107" t="s">
        <v>510</v>
      </c>
      <c r="C107" t="s">
        <v>239</v>
      </c>
      <c r="D107" t="s">
        <v>47</v>
      </c>
      <c r="E107">
        <v>5.0000000000000001E-3</v>
      </c>
      <c r="F107" t="s">
        <v>34</v>
      </c>
      <c r="G107">
        <f>3.16*10^5</f>
        <v>316000</v>
      </c>
      <c r="H107">
        <v>5.5</v>
      </c>
      <c r="I107" t="s">
        <v>33</v>
      </c>
      <c r="J107">
        <v>0.24</v>
      </c>
      <c r="K107" t="s">
        <v>81</v>
      </c>
      <c r="L107">
        <v>4982</v>
      </c>
      <c r="M107" t="s">
        <v>52</v>
      </c>
      <c r="N107" t="s">
        <v>37</v>
      </c>
      <c r="O107">
        <v>-2.09</v>
      </c>
      <c r="P107" t="s">
        <v>38</v>
      </c>
      <c r="Q107">
        <v>10</v>
      </c>
      <c r="R107" s="13">
        <v>2.2000000000000001E-6</v>
      </c>
      <c r="S107">
        <f>R107/Q107</f>
        <v>2.2000000000000001E-7</v>
      </c>
      <c r="U107">
        <v>1</v>
      </c>
      <c r="V107">
        <v>469</v>
      </c>
      <c r="W107" t="s">
        <v>3</v>
      </c>
      <c r="X107">
        <v>10</v>
      </c>
      <c r="Y107">
        <f t="shared" si="1"/>
        <v>46.9</v>
      </c>
    </row>
    <row r="108" spans="1:25" x14ac:dyDescent="0.75">
      <c r="A108" t="s">
        <v>240</v>
      </c>
      <c r="B108" t="s">
        <v>240</v>
      </c>
      <c r="C108" t="s">
        <v>241</v>
      </c>
      <c r="D108" t="s">
        <v>32</v>
      </c>
      <c r="E108">
        <v>2.9</v>
      </c>
      <c r="F108" t="s">
        <v>34</v>
      </c>
      <c r="G108">
        <f>4.9*10^1</f>
        <v>49</v>
      </c>
      <c r="H108">
        <v>1.69</v>
      </c>
      <c r="I108" t="s">
        <v>34</v>
      </c>
      <c r="J108">
        <v>91</v>
      </c>
      <c r="K108" t="s">
        <v>67</v>
      </c>
      <c r="L108">
        <v>18</v>
      </c>
      <c r="M108" t="s">
        <v>36</v>
      </c>
      <c r="N108" t="s">
        <v>37</v>
      </c>
      <c r="O108">
        <v>3.02</v>
      </c>
      <c r="P108" t="s">
        <v>44</v>
      </c>
      <c r="Q108">
        <v>10</v>
      </c>
      <c r="R108">
        <v>0.01</v>
      </c>
      <c r="S108">
        <f>R108/Q108</f>
        <v>1E-3</v>
      </c>
      <c r="U108">
        <v>26.9</v>
      </c>
      <c r="V108">
        <v>0.22</v>
      </c>
      <c r="W108" t="s">
        <v>4</v>
      </c>
      <c r="X108">
        <v>10</v>
      </c>
      <c r="Y108">
        <f t="shared" si="1"/>
        <v>2.1999999999999999E-2</v>
      </c>
    </row>
    <row r="109" spans="1:25" x14ac:dyDescent="0.75">
      <c r="A109" t="s">
        <v>433</v>
      </c>
      <c r="B109" t="s">
        <v>511</v>
      </c>
      <c r="C109" t="s">
        <v>242</v>
      </c>
      <c r="D109" t="s">
        <v>47</v>
      </c>
      <c r="E109">
        <v>8.52</v>
      </c>
      <c r="F109" t="s">
        <v>34</v>
      </c>
      <c r="G109">
        <f>3.16*10^3</f>
        <v>3160</v>
      </c>
      <c r="H109">
        <v>3.5</v>
      </c>
      <c r="I109" t="s">
        <v>33</v>
      </c>
      <c r="J109">
        <v>21</v>
      </c>
      <c r="K109" t="s">
        <v>73</v>
      </c>
      <c r="L109">
        <v>1300</v>
      </c>
      <c r="M109" t="s">
        <v>52</v>
      </c>
      <c r="N109" t="s">
        <v>37</v>
      </c>
      <c r="O109">
        <v>2.87</v>
      </c>
      <c r="P109" t="s">
        <v>44</v>
      </c>
      <c r="Q109">
        <v>10</v>
      </c>
      <c r="R109">
        <v>2.9</v>
      </c>
      <c r="S109">
        <v>0.28999999999999998</v>
      </c>
      <c r="U109">
        <v>39.799999999999997</v>
      </c>
      <c r="V109">
        <v>1000</v>
      </c>
      <c r="W109" t="s">
        <v>39</v>
      </c>
      <c r="X109">
        <v>5</v>
      </c>
      <c r="Y109">
        <f t="shared" si="1"/>
        <v>200</v>
      </c>
    </row>
    <row r="110" spans="1:25" x14ac:dyDescent="0.75">
      <c r="A110" t="s">
        <v>243</v>
      </c>
      <c r="B110" t="s">
        <v>243</v>
      </c>
      <c r="C110" t="s">
        <v>244</v>
      </c>
      <c r="D110" t="s">
        <v>32</v>
      </c>
      <c r="E110">
        <v>63.8</v>
      </c>
      <c r="F110" t="s">
        <v>58</v>
      </c>
      <c r="G110">
        <f>1*10^3</f>
        <v>1000</v>
      </c>
      <c r="H110">
        <v>3</v>
      </c>
      <c r="I110" t="s">
        <v>58</v>
      </c>
      <c r="J110">
        <v>13</v>
      </c>
      <c r="K110" t="s">
        <v>35</v>
      </c>
      <c r="L110">
        <v>49</v>
      </c>
      <c r="M110" t="s">
        <v>36</v>
      </c>
      <c r="N110">
        <v>8</v>
      </c>
      <c r="O110">
        <v>2.11</v>
      </c>
      <c r="P110" t="s">
        <v>59</v>
      </c>
      <c r="Q110">
        <v>10</v>
      </c>
      <c r="R110">
        <v>0.01</v>
      </c>
      <c r="S110">
        <f>R110/Q110</f>
        <v>1E-3</v>
      </c>
      <c r="U110">
        <v>148</v>
      </c>
      <c r="V110">
        <v>68</v>
      </c>
      <c r="W110" t="s">
        <v>3</v>
      </c>
      <c r="X110">
        <v>10</v>
      </c>
      <c r="Y110">
        <f t="shared" si="1"/>
        <v>6.8</v>
      </c>
    </row>
    <row r="111" spans="1:25" x14ac:dyDescent="0.75">
      <c r="A111" t="s">
        <v>245</v>
      </c>
      <c r="B111" t="s">
        <v>245</v>
      </c>
      <c r="C111" t="s">
        <v>246</v>
      </c>
      <c r="D111" t="s">
        <v>55</v>
      </c>
      <c r="E111">
        <v>4.2</v>
      </c>
      <c r="F111" t="s">
        <v>34</v>
      </c>
      <c r="G111">
        <f>1.58*10^3</f>
        <v>1580</v>
      </c>
      <c r="H111">
        <v>3.2</v>
      </c>
      <c r="I111" t="s">
        <v>33</v>
      </c>
      <c r="J111" s="10" t="s">
        <v>42</v>
      </c>
      <c r="K111" t="s">
        <v>67</v>
      </c>
      <c r="L111">
        <v>48</v>
      </c>
      <c r="M111" t="s">
        <v>36</v>
      </c>
      <c r="N111">
        <v>1</v>
      </c>
      <c r="O111">
        <v>1.22</v>
      </c>
      <c r="P111" t="s">
        <v>38</v>
      </c>
      <c r="Q111">
        <v>50</v>
      </c>
      <c r="R111">
        <v>0.5</v>
      </c>
      <c r="S111">
        <f>R111/Q111</f>
        <v>0.01</v>
      </c>
      <c r="U111">
        <v>48</v>
      </c>
      <c r="V111">
        <v>6.78</v>
      </c>
      <c r="W111" t="s">
        <v>39</v>
      </c>
      <c r="X111">
        <v>5</v>
      </c>
      <c r="Y111">
        <f t="shared" si="1"/>
        <v>1.3560000000000001</v>
      </c>
    </row>
    <row r="112" spans="1:25" x14ac:dyDescent="0.75">
      <c r="A112" t="s">
        <v>247</v>
      </c>
      <c r="B112" t="s">
        <v>247</v>
      </c>
      <c r="C112" t="s">
        <v>248</v>
      </c>
      <c r="D112" t="s">
        <v>32</v>
      </c>
      <c r="E112">
        <v>29390</v>
      </c>
      <c r="F112" t="s">
        <v>33</v>
      </c>
      <c r="G112">
        <f>1.55*10^-1</f>
        <v>0.15500000000000003</v>
      </c>
      <c r="H112">
        <v>-0.81</v>
      </c>
      <c r="I112" t="s">
        <v>34</v>
      </c>
      <c r="J112">
        <v>13.5</v>
      </c>
      <c r="K112" t="s">
        <v>35</v>
      </c>
      <c r="L112">
        <v>1</v>
      </c>
      <c r="M112" t="s">
        <v>36</v>
      </c>
      <c r="N112" t="s">
        <v>37</v>
      </c>
      <c r="O112">
        <v>2.98</v>
      </c>
      <c r="P112" t="s">
        <v>44</v>
      </c>
      <c r="Q112">
        <v>10</v>
      </c>
      <c r="R112">
        <v>15</v>
      </c>
      <c r="S112">
        <v>1.5</v>
      </c>
      <c r="U112">
        <v>13.6</v>
      </c>
      <c r="V112">
        <v>16</v>
      </c>
      <c r="W112" t="s">
        <v>39</v>
      </c>
      <c r="X112">
        <v>5</v>
      </c>
      <c r="Y112">
        <f t="shared" si="1"/>
        <v>3.2</v>
      </c>
    </row>
    <row r="113" spans="1:25" x14ac:dyDescent="0.75">
      <c r="A113" t="s">
        <v>434</v>
      </c>
      <c r="B113" t="s">
        <v>512</v>
      </c>
      <c r="C113" t="s">
        <v>249</v>
      </c>
      <c r="D113" t="s">
        <v>32</v>
      </c>
      <c r="E113">
        <v>250000</v>
      </c>
      <c r="F113" t="s">
        <v>33</v>
      </c>
      <c r="G113">
        <f>6.46*10^-1</f>
        <v>0.64600000000000002</v>
      </c>
      <c r="H113">
        <v>-0.19</v>
      </c>
      <c r="I113" t="s">
        <v>34</v>
      </c>
      <c r="J113">
        <v>92</v>
      </c>
      <c r="K113" t="s">
        <v>67</v>
      </c>
      <c r="L113">
        <v>3</v>
      </c>
      <c r="M113" t="s">
        <v>36</v>
      </c>
      <c r="N113">
        <v>1.1000000000000001</v>
      </c>
      <c r="O113">
        <v>2.94</v>
      </c>
      <c r="P113" t="s">
        <v>44</v>
      </c>
      <c r="Q113">
        <v>10</v>
      </c>
      <c r="R113">
        <v>22.7</v>
      </c>
      <c r="S113">
        <v>2.27</v>
      </c>
      <c r="U113">
        <v>25</v>
      </c>
      <c r="V113">
        <v>325</v>
      </c>
      <c r="W113" t="s">
        <v>3</v>
      </c>
      <c r="X113">
        <v>10</v>
      </c>
      <c r="Y113">
        <f t="shared" si="1"/>
        <v>32.5</v>
      </c>
    </row>
    <row r="114" spans="1:25" x14ac:dyDescent="0.75">
      <c r="A114" t="s">
        <v>398</v>
      </c>
      <c r="B114" t="s">
        <v>550</v>
      </c>
      <c r="C114" t="s">
        <v>250</v>
      </c>
      <c r="D114" t="s">
        <v>55</v>
      </c>
      <c r="E114">
        <v>0.248</v>
      </c>
      <c r="F114" t="s">
        <v>34</v>
      </c>
      <c r="G114">
        <f>3.55*10^6</f>
        <v>3550000</v>
      </c>
      <c r="H114">
        <v>6.55</v>
      </c>
      <c r="I114" t="s">
        <v>33</v>
      </c>
      <c r="J114">
        <v>5.7</v>
      </c>
      <c r="K114" t="s">
        <v>35</v>
      </c>
      <c r="L114">
        <v>992</v>
      </c>
      <c r="M114" t="s">
        <v>52</v>
      </c>
      <c r="N114">
        <v>0.6</v>
      </c>
      <c r="O114">
        <v>-2.33</v>
      </c>
      <c r="P114" t="s">
        <v>38</v>
      </c>
      <c r="Q114">
        <v>50</v>
      </c>
      <c r="R114">
        <v>7.6000000000000004E-4</v>
      </c>
      <c r="S114">
        <f>R114/Q114</f>
        <v>1.52E-5</v>
      </c>
      <c r="U114">
        <v>21</v>
      </c>
      <c r="V114">
        <v>10.8</v>
      </c>
      <c r="W114" t="s">
        <v>39</v>
      </c>
      <c r="X114">
        <v>5</v>
      </c>
      <c r="Y114">
        <f t="shared" si="1"/>
        <v>2.16</v>
      </c>
    </row>
    <row r="115" spans="1:25" x14ac:dyDescent="0.75">
      <c r="A115" t="s">
        <v>435</v>
      </c>
      <c r="B115" t="s">
        <v>513</v>
      </c>
      <c r="C115" t="s">
        <v>251</v>
      </c>
      <c r="D115" t="s">
        <v>42</v>
      </c>
      <c r="E115" t="s">
        <v>42</v>
      </c>
      <c r="F115" t="s">
        <v>42</v>
      </c>
      <c r="G115" t="s">
        <v>42</v>
      </c>
      <c r="H115" t="s">
        <v>42</v>
      </c>
      <c r="I115" t="s">
        <v>42</v>
      </c>
      <c r="J115" t="s">
        <v>42</v>
      </c>
      <c r="K115" t="s">
        <v>42</v>
      </c>
      <c r="L115" t="s">
        <v>42</v>
      </c>
      <c r="M115" t="s">
        <v>42</v>
      </c>
      <c r="N115" t="s">
        <v>42</v>
      </c>
      <c r="O115" t="s">
        <v>42</v>
      </c>
      <c r="P115" t="s">
        <v>42</v>
      </c>
      <c r="Q115" t="s">
        <v>42</v>
      </c>
      <c r="R115" t="s">
        <v>42</v>
      </c>
      <c r="S115" t="s">
        <v>42</v>
      </c>
      <c r="U115">
        <v>15</v>
      </c>
      <c r="V115">
        <v>302</v>
      </c>
      <c r="W115" t="s">
        <v>3</v>
      </c>
      <c r="X115">
        <v>10</v>
      </c>
      <c r="Y115">
        <f t="shared" si="1"/>
        <v>30.2</v>
      </c>
    </row>
    <row r="116" spans="1:25" x14ac:dyDescent="0.75">
      <c r="A116" t="s">
        <v>436</v>
      </c>
      <c r="B116" t="s">
        <v>514</v>
      </c>
      <c r="C116" t="s">
        <v>252</v>
      </c>
      <c r="D116" t="s">
        <v>55</v>
      </c>
      <c r="E116">
        <v>26000</v>
      </c>
      <c r="F116" t="s">
        <v>33</v>
      </c>
      <c r="G116">
        <f>5.13*10^1</f>
        <v>51.3</v>
      </c>
      <c r="H116">
        <v>1.71</v>
      </c>
      <c r="I116" t="s">
        <v>34</v>
      </c>
      <c r="J116">
        <v>24.8</v>
      </c>
      <c r="K116" t="s">
        <v>73</v>
      </c>
      <c r="L116">
        <v>15</v>
      </c>
      <c r="M116" t="s">
        <v>36</v>
      </c>
      <c r="N116" t="s">
        <v>37</v>
      </c>
      <c r="O116">
        <v>2.42</v>
      </c>
      <c r="P116" t="s">
        <v>59</v>
      </c>
      <c r="Q116">
        <v>100</v>
      </c>
      <c r="R116">
        <v>1.2</v>
      </c>
      <c r="S116">
        <f>R116/Q116</f>
        <v>1.2E-2</v>
      </c>
      <c r="U116">
        <v>15</v>
      </c>
      <c r="V116">
        <v>4.0599999999999996</v>
      </c>
      <c r="W116" t="s">
        <v>39</v>
      </c>
      <c r="X116">
        <v>5</v>
      </c>
      <c r="Y116">
        <f t="shared" si="1"/>
        <v>0.81199999999999994</v>
      </c>
    </row>
    <row r="117" spans="1:25" x14ac:dyDescent="0.75">
      <c r="A117" t="s">
        <v>437</v>
      </c>
      <c r="B117" s="10" t="s">
        <v>515</v>
      </c>
      <c r="C117" t="s">
        <v>253</v>
      </c>
      <c r="D117" t="s">
        <v>42</v>
      </c>
      <c r="E117" t="s">
        <v>37</v>
      </c>
      <c r="F117" t="s">
        <v>37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L117" t="s">
        <v>37</v>
      </c>
      <c r="M117" t="s">
        <v>37</v>
      </c>
      <c r="N117" t="s">
        <v>37</v>
      </c>
      <c r="O117">
        <v>4.38</v>
      </c>
      <c r="P117" t="s">
        <v>44</v>
      </c>
      <c r="Q117">
        <v>1000</v>
      </c>
      <c r="R117">
        <v>852</v>
      </c>
      <c r="S117">
        <v>0.85199999999999998</v>
      </c>
      <c r="U117">
        <v>14.1</v>
      </c>
      <c r="V117">
        <v>35.630000000000003</v>
      </c>
      <c r="W117" t="s">
        <v>39</v>
      </c>
      <c r="X117">
        <v>5</v>
      </c>
      <c r="Y117">
        <f t="shared" si="1"/>
        <v>7.1260000000000003</v>
      </c>
    </row>
    <row r="118" spans="1:25" x14ac:dyDescent="0.75">
      <c r="A118" t="s">
        <v>254</v>
      </c>
      <c r="B118" t="s">
        <v>254</v>
      </c>
      <c r="C118" t="s">
        <v>255</v>
      </c>
      <c r="D118" t="s">
        <v>32</v>
      </c>
      <c r="E118">
        <v>1770</v>
      </c>
      <c r="F118" t="s">
        <v>33</v>
      </c>
      <c r="G118">
        <f>7.08*10^0</f>
        <v>7.08</v>
      </c>
      <c r="H118">
        <v>0.85</v>
      </c>
      <c r="I118" t="s">
        <v>34</v>
      </c>
      <c r="J118">
        <v>10.5</v>
      </c>
      <c r="K118" t="s">
        <v>35</v>
      </c>
      <c r="L118">
        <v>75</v>
      </c>
      <c r="M118" t="s">
        <v>36</v>
      </c>
      <c r="N118" t="s">
        <v>37</v>
      </c>
      <c r="O118">
        <v>2.16</v>
      </c>
      <c r="P118" t="s">
        <v>59</v>
      </c>
      <c r="Q118">
        <v>10</v>
      </c>
      <c r="R118">
        <v>0.1</v>
      </c>
      <c r="S118">
        <f>R118/Q118</f>
        <v>0.01</v>
      </c>
      <c r="U118" s="5">
        <v>51</v>
      </c>
      <c r="V118" t="s">
        <v>37</v>
      </c>
      <c r="W118" t="s">
        <v>37</v>
      </c>
      <c r="X118" t="s">
        <v>37</v>
      </c>
      <c r="Y118" t="s">
        <v>37</v>
      </c>
    </row>
    <row r="119" spans="1:25" x14ac:dyDescent="0.75">
      <c r="A119" t="s">
        <v>438</v>
      </c>
      <c r="B119" t="s">
        <v>516</v>
      </c>
      <c r="C119" t="s">
        <v>256</v>
      </c>
      <c r="D119" t="s">
        <v>32</v>
      </c>
      <c r="E119">
        <v>399.9</v>
      </c>
      <c r="F119" t="s">
        <v>58</v>
      </c>
      <c r="G119" t="s">
        <v>37</v>
      </c>
      <c r="H119" t="s">
        <v>37</v>
      </c>
      <c r="I119" t="s">
        <v>37</v>
      </c>
      <c r="J119" t="s">
        <v>37</v>
      </c>
      <c r="K119" t="s">
        <v>37</v>
      </c>
      <c r="L119" t="s">
        <v>37</v>
      </c>
      <c r="M119" t="s">
        <v>37</v>
      </c>
      <c r="N119" t="s">
        <v>37</v>
      </c>
      <c r="O119">
        <v>2.97</v>
      </c>
      <c r="P119" t="s">
        <v>44</v>
      </c>
      <c r="Q119">
        <v>1000</v>
      </c>
      <c r="R119">
        <v>73.2</v>
      </c>
      <c r="S119">
        <v>7.3200000000000001E-2</v>
      </c>
      <c r="U119">
        <v>11.1</v>
      </c>
      <c r="V119">
        <v>22.4</v>
      </c>
      <c r="W119" t="s">
        <v>39</v>
      </c>
      <c r="X119">
        <v>5</v>
      </c>
      <c r="Y119">
        <f t="shared" si="1"/>
        <v>4.4799999999999995</v>
      </c>
    </row>
    <row r="120" spans="1:25" x14ac:dyDescent="0.75">
      <c r="A120" t="s">
        <v>257</v>
      </c>
      <c r="B120" t="s">
        <v>257</v>
      </c>
      <c r="C120" t="s">
        <v>258</v>
      </c>
      <c r="D120" t="s">
        <v>32</v>
      </c>
      <c r="E120">
        <v>450</v>
      </c>
      <c r="F120" t="s">
        <v>58</v>
      </c>
      <c r="G120">
        <f>3.09*10^2</f>
        <v>309</v>
      </c>
      <c r="H120">
        <v>2.4900000000000002</v>
      </c>
      <c r="I120" t="s">
        <v>34</v>
      </c>
      <c r="J120">
        <v>216</v>
      </c>
      <c r="K120" t="s">
        <v>67</v>
      </c>
      <c r="L120" s="10" t="s">
        <v>42</v>
      </c>
      <c r="M120" t="s">
        <v>48</v>
      </c>
      <c r="N120" t="s">
        <v>37</v>
      </c>
      <c r="O120">
        <v>1.75</v>
      </c>
      <c r="P120" t="s">
        <v>38</v>
      </c>
      <c r="Q120">
        <v>10</v>
      </c>
      <c r="R120">
        <v>0.1</v>
      </c>
      <c r="S120">
        <f>R120/Q120</f>
        <v>0.01</v>
      </c>
      <c r="U120">
        <v>31.1</v>
      </c>
      <c r="V120">
        <v>100</v>
      </c>
      <c r="W120" t="s">
        <v>39</v>
      </c>
      <c r="X120">
        <v>5</v>
      </c>
      <c r="Y120">
        <f t="shared" si="1"/>
        <v>20</v>
      </c>
    </row>
    <row r="121" spans="1:25" x14ac:dyDescent="0.75">
      <c r="A121" t="s">
        <v>259</v>
      </c>
      <c r="B121" t="s">
        <v>259</v>
      </c>
      <c r="C121" t="s">
        <v>260</v>
      </c>
      <c r="D121" t="s">
        <v>55</v>
      </c>
      <c r="E121">
        <v>30.4</v>
      </c>
      <c r="F121" t="s">
        <v>34</v>
      </c>
      <c r="G121">
        <f>7.08*10^3</f>
        <v>7080</v>
      </c>
      <c r="H121">
        <v>3.85</v>
      </c>
      <c r="I121" t="s">
        <v>33</v>
      </c>
      <c r="J121">
        <v>8</v>
      </c>
      <c r="K121" t="s">
        <v>35</v>
      </c>
      <c r="L121">
        <v>105.1</v>
      </c>
      <c r="M121" t="s">
        <v>52</v>
      </c>
      <c r="N121">
        <v>1</v>
      </c>
      <c r="O121">
        <v>2.0299999999999998</v>
      </c>
      <c r="P121" t="s">
        <v>59</v>
      </c>
      <c r="Q121">
        <v>100</v>
      </c>
      <c r="R121">
        <v>0.16</v>
      </c>
      <c r="S121">
        <f>R121/Q121</f>
        <v>1.6000000000000001E-3</v>
      </c>
      <c r="U121">
        <v>6.8</v>
      </c>
      <c r="V121">
        <v>2.31</v>
      </c>
      <c r="W121" t="s">
        <v>39</v>
      </c>
      <c r="X121">
        <v>5</v>
      </c>
      <c r="Y121">
        <f t="shared" si="1"/>
        <v>0.46200000000000002</v>
      </c>
    </row>
    <row r="122" spans="1:25" x14ac:dyDescent="0.75">
      <c r="A122" t="s">
        <v>261</v>
      </c>
      <c r="B122" t="s">
        <v>261</v>
      </c>
      <c r="C122" t="s">
        <v>262</v>
      </c>
      <c r="D122" t="s">
        <v>32</v>
      </c>
      <c r="E122">
        <v>60</v>
      </c>
      <c r="F122" t="s">
        <v>58</v>
      </c>
      <c r="G122">
        <f>4.37*10^2</f>
        <v>437</v>
      </c>
      <c r="H122">
        <v>2.64</v>
      </c>
      <c r="I122" t="s">
        <v>34</v>
      </c>
      <c r="J122">
        <v>90</v>
      </c>
      <c r="K122" t="s">
        <v>67</v>
      </c>
      <c r="L122">
        <v>75</v>
      </c>
      <c r="M122" t="s">
        <v>36</v>
      </c>
      <c r="N122" t="s">
        <v>37</v>
      </c>
      <c r="O122">
        <v>2.72</v>
      </c>
      <c r="P122" t="s">
        <v>59</v>
      </c>
      <c r="Q122">
        <v>100</v>
      </c>
      <c r="R122">
        <v>1.7999999999999999E-2</v>
      </c>
      <c r="S122">
        <f>R122/Q122</f>
        <v>1.7999999999999998E-4</v>
      </c>
      <c r="U122">
        <v>134.69999999999999</v>
      </c>
      <c r="V122">
        <v>20</v>
      </c>
      <c r="W122" t="s">
        <v>39</v>
      </c>
      <c r="X122">
        <v>5</v>
      </c>
      <c r="Y122">
        <f t="shared" si="1"/>
        <v>4</v>
      </c>
    </row>
    <row r="123" spans="1:25" x14ac:dyDescent="0.75">
      <c r="A123" t="s">
        <v>263</v>
      </c>
      <c r="B123" t="s">
        <v>263</v>
      </c>
      <c r="C123" t="s">
        <v>264</v>
      </c>
      <c r="D123" t="s">
        <v>265</v>
      </c>
      <c r="E123">
        <v>27</v>
      </c>
      <c r="F123" t="s">
        <v>34</v>
      </c>
      <c r="G123">
        <f>1.51*10^3</f>
        <v>1510</v>
      </c>
      <c r="H123">
        <v>3.18</v>
      </c>
      <c r="I123" t="s">
        <v>33</v>
      </c>
      <c r="J123">
        <v>1.6</v>
      </c>
      <c r="K123" t="s">
        <v>35</v>
      </c>
      <c r="L123">
        <v>75</v>
      </c>
      <c r="M123" t="s">
        <v>36</v>
      </c>
      <c r="N123">
        <v>1</v>
      </c>
      <c r="O123">
        <v>1.82</v>
      </c>
      <c r="P123" t="s">
        <v>59</v>
      </c>
      <c r="Q123">
        <v>50</v>
      </c>
      <c r="R123">
        <v>1E-4</v>
      </c>
      <c r="S123">
        <v>1.9999999999999999E-6</v>
      </c>
      <c r="U123" t="s">
        <v>37</v>
      </c>
      <c r="V123">
        <v>840</v>
      </c>
      <c r="W123" t="s">
        <v>3</v>
      </c>
      <c r="X123">
        <v>10</v>
      </c>
      <c r="Y123">
        <f t="shared" si="1"/>
        <v>84</v>
      </c>
    </row>
    <row r="124" spans="1:25" x14ac:dyDescent="0.75">
      <c r="A124" t="s">
        <v>439</v>
      </c>
      <c r="B124" t="s">
        <v>517</v>
      </c>
      <c r="C124" t="s">
        <v>266</v>
      </c>
      <c r="D124" t="s">
        <v>265</v>
      </c>
      <c r="E124" t="s">
        <v>42</v>
      </c>
      <c r="F124" t="s">
        <v>42</v>
      </c>
      <c r="G124" t="s">
        <v>42</v>
      </c>
      <c r="H124" t="s">
        <v>42</v>
      </c>
      <c r="I124" t="s">
        <v>42</v>
      </c>
      <c r="J124" t="s">
        <v>42</v>
      </c>
      <c r="K124" t="s">
        <v>42</v>
      </c>
      <c r="L124" t="s">
        <v>42</v>
      </c>
      <c r="M124" t="s">
        <v>42</v>
      </c>
      <c r="N124" t="s">
        <v>42</v>
      </c>
      <c r="O124" t="s">
        <v>42</v>
      </c>
      <c r="P124" t="s">
        <v>42</v>
      </c>
      <c r="Q124" t="s">
        <v>42</v>
      </c>
      <c r="R124" t="s">
        <v>42</v>
      </c>
      <c r="S124" t="s">
        <v>42</v>
      </c>
      <c r="U124">
        <v>35</v>
      </c>
      <c r="V124">
        <v>0.161</v>
      </c>
      <c r="W124" t="s">
        <v>39</v>
      </c>
      <c r="X124">
        <v>5</v>
      </c>
      <c r="Y124">
        <f t="shared" si="1"/>
        <v>3.2199999999999999E-2</v>
      </c>
    </row>
    <row r="125" spans="1:25" x14ac:dyDescent="0.75">
      <c r="A125" t="s">
        <v>440</v>
      </c>
      <c r="B125" t="s">
        <v>518</v>
      </c>
      <c r="C125" t="s">
        <v>267</v>
      </c>
      <c r="D125" t="s">
        <v>265</v>
      </c>
      <c r="E125" t="s">
        <v>37</v>
      </c>
      <c r="G125">
        <f>5.01*10^0</f>
        <v>5.01</v>
      </c>
      <c r="H125">
        <v>0.7</v>
      </c>
      <c r="I125" t="s">
        <v>34</v>
      </c>
      <c r="J125" t="s">
        <v>37</v>
      </c>
      <c r="K125" t="s">
        <v>37</v>
      </c>
      <c r="L125" t="s">
        <v>37</v>
      </c>
      <c r="M125" t="s">
        <v>37</v>
      </c>
      <c r="N125" t="s">
        <v>37</v>
      </c>
      <c r="O125">
        <v>2.2000000000000002</v>
      </c>
      <c r="P125" t="s">
        <v>59</v>
      </c>
      <c r="Q125">
        <v>1000</v>
      </c>
      <c r="R125">
        <v>5.6000000000000001E-2</v>
      </c>
      <c r="S125">
        <f>R125/Q125</f>
        <v>5.5999999999999999E-5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</row>
    <row r="126" spans="1:25" x14ac:dyDescent="0.75">
      <c r="A126" t="s">
        <v>399</v>
      </c>
      <c r="B126" t="s">
        <v>519</v>
      </c>
      <c r="C126" t="s">
        <v>268</v>
      </c>
      <c r="D126" t="s">
        <v>47</v>
      </c>
      <c r="E126">
        <v>3.3</v>
      </c>
      <c r="F126" t="s">
        <v>34</v>
      </c>
      <c r="G126">
        <f>5.25*10^3</f>
        <v>5250</v>
      </c>
      <c r="H126">
        <v>3.72</v>
      </c>
      <c r="I126" t="s">
        <v>33</v>
      </c>
      <c r="J126" t="s">
        <v>37</v>
      </c>
      <c r="K126" t="s">
        <v>37</v>
      </c>
      <c r="L126">
        <v>11</v>
      </c>
      <c r="M126" t="s">
        <v>36</v>
      </c>
      <c r="N126" t="s">
        <v>37</v>
      </c>
      <c r="O126">
        <v>3</v>
      </c>
      <c r="P126" t="s">
        <v>44</v>
      </c>
      <c r="Q126">
        <v>100</v>
      </c>
      <c r="R126">
        <v>6.4999999999999997E-3</v>
      </c>
      <c r="S126">
        <f>R126/Q126</f>
        <v>6.4999999999999994E-5</v>
      </c>
      <c r="U126" t="s">
        <v>37</v>
      </c>
      <c r="V126">
        <v>78</v>
      </c>
      <c r="W126" t="s">
        <v>3</v>
      </c>
      <c r="X126">
        <v>10</v>
      </c>
      <c r="Y126">
        <f t="shared" si="1"/>
        <v>7.8</v>
      </c>
    </row>
    <row r="127" spans="1:25" x14ac:dyDescent="0.75">
      <c r="A127" t="s">
        <v>269</v>
      </c>
      <c r="B127" t="s">
        <v>269</v>
      </c>
      <c r="C127" t="s">
        <v>270</v>
      </c>
      <c r="D127" t="s">
        <v>32</v>
      </c>
      <c r="E127">
        <v>328</v>
      </c>
      <c r="F127" t="s">
        <v>58</v>
      </c>
      <c r="G127">
        <f>3.02*10^2</f>
        <v>302</v>
      </c>
      <c r="H127">
        <v>2.48</v>
      </c>
      <c r="I127" t="s">
        <v>34</v>
      </c>
      <c r="J127">
        <v>16.2</v>
      </c>
      <c r="K127" t="s">
        <v>73</v>
      </c>
      <c r="L127" s="10" t="s">
        <v>42</v>
      </c>
      <c r="M127" t="s">
        <v>48</v>
      </c>
      <c r="N127" t="s">
        <v>37</v>
      </c>
      <c r="O127">
        <v>2.42</v>
      </c>
      <c r="P127" t="s">
        <v>59</v>
      </c>
      <c r="Q127">
        <v>100</v>
      </c>
      <c r="R127">
        <v>0.25</v>
      </c>
      <c r="S127">
        <v>2.5000000000000001E-3</v>
      </c>
      <c r="U127">
        <v>68</v>
      </c>
      <c r="V127">
        <v>0.64</v>
      </c>
      <c r="W127" t="s">
        <v>39</v>
      </c>
      <c r="X127">
        <v>5</v>
      </c>
      <c r="Y127">
        <f t="shared" si="1"/>
        <v>0.128</v>
      </c>
    </row>
    <row r="128" spans="1:25" x14ac:dyDescent="0.75">
      <c r="A128" t="s">
        <v>441</v>
      </c>
      <c r="B128" t="s">
        <v>522</v>
      </c>
      <c r="C128" t="s">
        <v>271</v>
      </c>
      <c r="D128" t="s">
        <v>32</v>
      </c>
      <c r="E128">
        <v>480</v>
      </c>
      <c r="F128" t="s">
        <v>58</v>
      </c>
      <c r="G128">
        <f>1.12*10^3</f>
        <v>1120</v>
      </c>
      <c r="H128" s="3">
        <v>3.05</v>
      </c>
      <c r="I128" s="3" t="s">
        <v>33</v>
      </c>
      <c r="J128" s="3">
        <v>9</v>
      </c>
      <c r="K128" t="s">
        <v>35</v>
      </c>
      <c r="L128" s="3">
        <v>68.8</v>
      </c>
      <c r="M128" t="s">
        <v>36</v>
      </c>
      <c r="N128" s="3">
        <v>1.5</v>
      </c>
      <c r="O128" s="3">
        <v>2.3199999999999998</v>
      </c>
      <c r="P128" t="s">
        <v>59</v>
      </c>
      <c r="Q128" s="21">
        <v>10</v>
      </c>
      <c r="R128" s="21">
        <v>1.2E-2</v>
      </c>
      <c r="S128" s="21">
        <f>R128/Q128</f>
        <v>1.2000000000000001E-3</v>
      </c>
      <c r="U128">
        <v>22.4</v>
      </c>
      <c r="V128">
        <v>23.66</v>
      </c>
      <c r="W128" t="s">
        <v>39</v>
      </c>
      <c r="X128">
        <v>5</v>
      </c>
      <c r="Y128">
        <f t="shared" si="1"/>
        <v>4.7320000000000002</v>
      </c>
    </row>
    <row r="129" spans="1:25" x14ac:dyDescent="0.75">
      <c r="A129" t="s">
        <v>442</v>
      </c>
      <c r="B129" t="s">
        <v>520</v>
      </c>
      <c r="C129" t="s">
        <v>272</v>
      </c>
      <c r="D129" t="s">
        <v>42</v>
      </c>
      <c r="E129">
        <v>212461</v>
      </c>
      <c r="F129" t="s">
        <v>33</v>
      </c>
      <c r="G129">
        <f>1.29*10^-2</f>
        <v>1.29E-2</v>
      </c>
      <c r="H129">
        <v>-1.89</v>
      </c>
      <c r="I129" t="s">
        <v>34</v>
      </c>
      <c r="J129" t="s">
        <v>37</v>
      </c>
      <c r="K129" t="s">
        <v>37</v>
      </c>
      <c r="L129" t="s">
        <v>37</v>
      </c>
      <c r="M129" t="s">
        <v>37</v>
      </c>
      <c r="N129" t="s">
        <v>37</v>
      </c>
      <c r="O129">
        <v>7.22</v>
      </c>
      <c r="P129" t="s">
        <v>44</v>
      </c>
      <c r="Q129">
        <v>1000</v>
      </c>
      <c r="R129">
        <v>21.7</v>
      </c>
      <c r="S129">
        <f>R129/Q129</f>
        <v>2.1700000000000001E-2</v>
      </c>
      <c r="U129">
        <v>21</v>
      </c>
      <c r="V129">
        <v>140</v>
      </c>
      <c r="W129" t="s">
        <v>3</v>
      </c>
      <c r="X129">
        <v>10</v>
      </c>
      <c r="Y129">
        <f t="shared" si="1"/>
        <v>14</v>
      </c>
    </row>
    <row r="130" spans="1:25" x14ac:dyDescent="0.75">
      <c r="A130" t="s">
        <v>443</v>
      </c>
      <c r="B130" t="s">
        <v>521</v>
      </c>
      <c r="C130" t="s">
        <v>273</v>
      </c>
      <c r="D130" t="s">
        <v>32</v>
      </c>
      <c r="E130">
        <v>360000</v>
      </c>
      <c r="F130" t="s">
        <v>33</v>
      </c>
      <c r="G130" t="s">
        <v>37</v>
      </c>
      <c r="H130" t="s">
        <v>37</v>
      </c>
      <c r="I130" t="s">
        <v>37</v>
      </c>
      <c r="J130" t="s">
        <v>37</v>
      </c>
      <c r="K130" t="s">
        <v>37</v>
      </c>
      <c r="L130" t="s">
        <v>37</v>
      </c>
      <c r="M130" t="s">
        <v>37</v>
      </c>
      <c r="N130" t="s">
        <v>37</v>
      </c>
      <c r="O130">
        <v>6.88</v>
      </c>
      <c r="P130" t="s">
        <v>44</v>
      </c>
      <c r="Q130">
        <v>1000</v>
      </c>
      <c r="R130">
        <v>16.600000000000001</v>
      </c>
      <c r="S130">
        <f>R130/Q130</f>
        <v>1.66E-2</v>
      </c>
      <c r="U130" t="s">
        <v>37</v>
      </c>
      <c r="V130">
        <v>50</v>
      </c>
      <c r="W130" t="s">
        <v>39</v>
      </c>
      <c r="X130">
        <v>5</v>
      </c>
      <c r="Y130">
        <f t="shared" si="1"/>
        <v>10</v>
      </c>
    </row>
    <row r="131" spans="1:25" x14ac:dyDescent="0.75">
      <c r="A131" t="s">
        <v>274</v>
      </c>
      <c r="B131" t="s">
        <v>274</v>
      </c>
      <c r="C131" t="s">
        <v>275</v>
      </c>
      <c r="D131" t="s">
        <v>55</v>
      </c>
      <c r="E131">
        <v>0.49199999999999999</v>
      </c>
      <c r="F131" t="s">
        <v>34</v>
      </c>
      <c r="G131">
        <f>2*10^4</f>
        <v>20000</v>
      </c>
      <c r="H131">
        <v>4.3</v>
      </c>
      <c r="I131" t="s">
        <v>33</v>
      </c>
      <c r="J131">
        <v>3.9</v>
      </c>
      <c r="K131" t="s">
        <v>35</v>
      </c>
      <c r="L131">
        <v>530</v>
      </c>
      <c r="M131" t="s">
        <v>52</v>
      </c>
      <c r="N131">
        <v>0.53</v>
      </c>
      <c r="O131">
        <v>0.91</v>
      </c>
      <c r="P131" t="s">
        <v>38</v>
      </c>
      <c r="Q131">
        <v>100</v>
      </c>
      <c r="R131">
        <v>0.22500000000000001</v>
      </c>
      <c r="S131">
        <v>2.2500000000000003E-3</v>
      </c>
      <c r="U131" t="s">
        <v>37</v>
      </c>
      <c r="V131">
        <v>27.8</v>
      </c>
      <c r="W131" t="s">
        <v>39</v>
      </c>
      <c r="X131">
        <v>5</v>
      </c>
      <c r="Y131">
        <f t="shared" si="1"/>
        <v>5.5600000000000005</v>
      </c>
    </row>
    <row r="132" spans="1:25" x14ac:dyDescent="0.75">
      <c r="A132" t="s">
        <v>276</v>
      </c>
      <c r="B132" t="s">
        <v>276</v>
      </c>
      <c r="C132" t="s">
        <v>277</v>
      </c>
      <c r="D132" t="s">
        <v>32</v>
      </c>
      <c r="E132">
        <v>10700</v>
      </c>
      <c r="F132" t="s">
        <v>33</v>
      </c>
      <c r="G132">
        <f>5.62*10^1</f>
        <v>56.2</v>
      </c>
      <c r="H132">
        <v>1.75</v>
      </c>
      <c r="I132" t="s">
        <v>34</v>
      </c>
      <c r="J132">
        <v>41</v>
      </c>
      <c r="K132" t="s">
        <v>67</v>
      </c>
      <c r="L132">
        <v>10</v>
      </c>
      <c r="M132" t="s">
        <v>36</v>
      </c>
      <c r="N132" t="s">
        <v>37</v>
      </c>
      <c r="O132">
        <v>2.96</v>
      </c>
      <c r="P132" t="s">
        <v>44</v>
      </c>
      <c r="Q132">
        <v>100</v>
      </c>
      <c r="R132">
        <v>1.61E-2</v>
      </c>
      <c r="S132">
        <v>1.6100000000000001E-4</v>
      </c>
      <c r="U132">
        <v>62</v>
      </c>
      <c r="V132">
        <v>37.5</v>
      </c>
      <c r="W132" t="s">
        <v>39</v>
      </c>
      <c r="X132">
        <v>5</v>
      </c>
      <c r="Y132">
        <f t="shared" si="1"/>
        <v>7.5</v>
      </c>
    </row>
    <row r="133" spans="1:25" x14ac:dyDescent="0.75">
      <c r="A133" t="s">
        <v>444</v>
      </c>
      <c r="B133" t="s">
        <v>523</v>
      </c>
      <c r="C133" t="s">
        <v>278</v>
      </c>
      <c r="D133" t="s">
        <v>32</v>
      </c>
      <c r="E133">
        <v>2790</v>
      </c>
      <c r="F133" t="s">
        <v>33</v>
      </c>
      <c r="G133">
        <f>1.35*10^-2</f>
        <v>1.3500000000000002E-2</v>
      </c>
      <c r="H133">
        <v>-1.87</v>
      </c>
      <c r="I133" t="s">
        <v>34</v>
      </c>
      <c r="J133">
        <v>115</v>
      </c>
      <c r="K133" t="s">
        <v>67</v>
      </c>
      <c r="L133">
        <v>1</v>
      </c>
      <c r="M133" t="s">
        <v>36</v>
      </c>
      <c r="N133" t="s">
        <v>37</v>
      </c>
      <c r="O133">
        <v>3.28</v>
      </c>
      <c r="P133" t="s">
        <v>44</v>
      </c>
      <c r="Q133">
        <v>10</v>
      </c>
      <c r="R133">
        <v>0.02</v>
      </c>
      <c r="S133">
        <f>R133/Q133</f>
        <v>2E-3</v>
      </c>
      <c r="U133">
        <v>19</v>
      </c>
      <c r="V133">
        <v>15.95</v>
      </c>
      <c r="W133" t="s">
        <v>39</v>
      </c>
      <c r="X133">
        <v>5</v>
      </c>
      <c r="Y133">
        <f t="shared" si="1"/>
        <v>3.19</v>
      </c>
    </row>
    <row r="134" spans="1:25" x14ac:dyDescent="0.75">
      <c r="A134" t="s">
        <v>279</v>
      </c>
      <c r="B134" s="3" t="s">
        <v>279</v>
      </c>
      <c r="C134" t="s">
        <v>280</v>
      </c>
      <c r="D134" t="s">
        <v>55</v>
      </c>
      <c r="E134">
        <v>132</v>
      </c>
      <c r="F134" t="s">
        <v>58</v>
      </c>
      <c r="G134">
        <f>7.76*10^2</f>
        <v>776</v>
      </c>
      <c r="H134">
        <v>2.89</v>
      </c>
      <c r="I134" t="s">
        <v>58</v>
      </c>
      <c r="J134">
        <v>12</v>
      </c>
      <c r="K134" t="s">
        <v>35</v>
      </c>
      <c r="L134" t="s">
        <v>37</v>
      </c>
      <c r="M134" t="s">
        <v>37</v>
      </c>
      <c r="N134" t="s">
        <v>37</v>
      </c>
      <c r="O134">
        <v>1.99</v>
      </c>
      <c r="P134" t="s">
        <v>59</v>
      </c>
      <c r="Q134" s="14">
        <v>50</v>
      </c>
      <c r="R134" s="14">
        <v>0.2</v>
      </c>
      <c r="S134" s="14">
        <v>4.0000000000000001E-3</v>
      </c>
      <c r="U134">
        <v>13.3</v>
      </c>
      <c r="V134">
        <v>0.83</v>
      </c>
      <c r="W134" t="s">
        <v>39</v>
      </c>
      <c r="X134">
        <v>5</v>
      </c>
      <c r="Y134">
        <f t="shared" si="1"/>
        <v>0.16599999999999998</v>
      </c>
    </row>
    <row r="135" spans="1:25" ht="16" x14ac:dyDescent="0.8">
      <c r="A135" t="s">
        <v>445</v>
      </c>
      <c r="B135" t="s">
        <v>524</v>
      </c>
      <c r="C135" t="s">
        <v>281</v>
      </c>
      <c r="D135" t="s">
        <v>32</v>
      </c>
      <c r="E135">
        <v>39</v>
      </c>
      <c r="F135" t="s">
        <v>34</v>
      </c>
      <c r="G135">
        <f>1.86*10^3</f>
        <v>1860</v>
      </c>
      <c r="H135">
        <v>3.27</v>
      </c>
      <c r="I135" t="s">
        <v>33</v>
      </c>
      <c r="J135" t="s">
        <v>37</v>
      </c>
      <c r="K135" t="s">
        <v>37</v>
      </c>
      <c r="L135">
        <v>98</v>
      </c>
      <c r="M135" t="s">
        <v>36</v>
      </c>
      <c r="N135" t="s">
        <v>37</v>
      </c>
      <c r="O135">
        <v>1.97</v>
      </c>
      <c r="P135" t="s">
        <v>59</v>
      </c>
      <c r="Q135">
        <v>100</v>
      </c>
      <c r="R135" s="13">
        <v>0.08</v>
      </c>
      <c r="S135">
        <f>R135/Q135</f>
        <v>8.0000000000000004E-4</v>
      </c>
      <c r="U135">
        <v>35</v>
      </c>
      <c r="V135">
        <v>10.3</v>
      </c>
      <c r="W135" t="s">
        <v>39</v>
      </c>
      <c r="X135">
        <v>5</v>
      </c>
      <c r="Y135">
        <f t="shared" ref="Y135:Y198" si="2">V135/X135</f>
        <v>2.06</v>
      </c>
    </row>
    <row r="136" spans="1:25" x14ac:dyDescent="0.75">
      <c r="A136" t="s">
        <v>282</v>
      </c>
      <c r="B136" t="s">
        <v>550</v>
      </c>
      <c r="C136" t="s">
        <v>283</v>
      </c>
      <c r="D136" t="s">
        <v>32</v>
      </c>
      <c r="E136">
        <v>7500</v>
      </c>
      <c r="F136" t="s">
        <v>33</v>
      </c>
      <c r="G136">
        <f>4.07*10^0</f>
        <v>4.07</v>
      </c>
      <c r="H136">
        <v>0.61</v>
      </c>
      <c r="I136" t="s">
        <v>34</v>
      </c>
      <c r="J136">
        <v>65</v>
      </c>
      <c r="K136" t="s">
        <v>67</v>
      </c>
      <c r="L136" s="10" t="s">
        <v>42</v>
      </c>
      <c r="M136" t="s">
        <v>48</v>
      </c>
      <c r="N136" t="s">
        <v>37</v>
      </c>
      <c r="O136">
        <v>3.44</v>
      </c>
      <c r="P136" t="s">
        <v>44</v>
      </c>
      <c r="Q136">
        <v>10</v>
      </c>
      <c r="R136">
        <v>5.2</v>
      </c>
      <c r="S136">
        <f>R136/Q136</f>
        <v>0.52</v>
      </c>
      <c r="U136">
        <v>32.200000000000003</v>
      </c>
      <c r="V136">
        <v>41.7</v>
      </c>
      <c r="W136" t="s">
        <v>39</v>
      </c>
      <c r="X136">
        <v>5</v>
      </c>
      <c r="Y136">
        <f t="shared" si="2"/>
        <v>8.34</v>
      </c>
    </row>
    <row r="137" spans="1:25" x14ac:dyDescent="0.75">
      <c r="A137" t="s">
        <v>446</v>
      </c>
      <c r="B137" t="s">
        <v>550</v>
      </c>
      <c r="C137" t="s">
        <v>284</v>
      </c>
      <c r="D137" t="s">
        <v>32</v>
      </c>
      <c r="E137">
        <v>1.1299999999999999</v>
      </c>
      <c r="F137" t="s">
        <v>34</v>
      </c>
      <c r="G137">
        <f>5.37*10^3</f>
        <v>5370</v>
      </c>
      <c r="H137">
        <v>3.73</v>
      </c>
      <c r="I137" t="s">
        <v>33</v>
      </c>
      <c r="J137">
        <v>5.9</v>
      </c>
      <c r="K137" t="s">
        <v>35</v>
      </c>
      <c r="L137">
        <v>66.099999999999994</v>
      </c>
      <c r="M137" t="s">
        <v>36</v>
      </c>
      <c r="N137">
        <v>0.6</v>
      </c>
      <c r="O137">
        <v>2.27</v>
      </c>
      <c r="P137" t="s">
        <v>59</v>
      </c>
      <c r="Q137">
        <v>100</v>
      </c>
      <c r="R137">
        <v>1.54E-2</v>
      </c>
      <c r="S137">
        <f>R137/Q137</f>
        <v>1.54E-4</v>
      </c>
      <c r="U137">
        <v>19.3</v>
      </c>
      <c r="V137">
        <v>0.1</v>
      </c>
      <c r="W137" t="s">
        <v>39</v>
      </c>
      <c r="X137">
        <v>5</v>
      </c>
      <c r="Y137">
        <f t="shared" si="2"/>
        <v>0.02</v>
      </c>
    </row>
    <row r="138" spans="1:25" x14ac:dyDescent="0.75">
      <c r="A138" t="s">
        <v>285</v>
      </c>
      <c r="B138" t="s">
        <v>285</v>
      </c>
      <c r="C138" t="s">
        <v>286</v>
      </c>
      <c r="D138" t="s">
        <v>55</v>
      </c>
      <c r="E138">
        <v>3400</v>
      </c>
      <c r="F138" t="s">
        <v>33</v>
      </c>
      <c r="G138">
        <f>4.47*10^0</f>
        <v>4.47</v>
      </c>
      <c r="H138">
        <v>0.65</v>
      </c>
      <c r="I138" t="s">
        <v>34</v>
      </c>
      <c r="J138">
        <v>25</v>
      </c>
      <c r="K138" t="s">
        <v>73</v>
      </c>
      <c r="L138">
        <v>0.8</v>
      </c>
      <c r="M138" t="s">
        <v>36</v>
      </c>
      <c r="N138" t="s">
        <v>37</v>
      </c>
      <c r="O138">
        <v>4.58</v>
      </c>
      <c r="P138" t="s">
        <v>44</v>
      </c>
      <c r="Q138">
        <v>100</v>
      </c>
      <c r="R138">
        <v>3.06</v>
      </c>
      <c r="S138">
        <f>R138/Q138</f>
        <v>3.0600000000000002E-2</v>
      </c>
      <c r="U138">
        <v>98.2</v>
      </c>
      <c r="V138">
        <v>2.66</v>
      </c>
      <c r="W138" t="s">
        <v>39</v>
      </c>
      <c r="X138">
        <v>5</v>
      </c>
      <c r="Y138">
        <f t="shared" si="2"/>
        <v>0.53200000000000003</v>
      </c>
    </row>
    <row r="139" spans="1:25" x14ac:dyDescent="0.75">
      <c r="A139" t="s">
        <v>287</v>
      </c>
      <c r="B139" t="s">
        <v>287</v>
      </c>
      <c r="C139" t="s">
        <v>288</v>
      </c>
      <c r="D139" t="s">
        <v>32</v>
      </c>
      <c r="E139">
        <v>0.11600000000000001</v>
      </c>
      <c r="F139" t="s">
        <v>34</v>
      </c>
      <c r="G139">
        <f>7.24*10^4</f>
        <v>72400</v>
      </c>
      <c r="H139">
        <v>4.8600000000000003</v>
      </c>
      <c r="I139" t="s">
        <v>33</v>
      </c>
      <c r="J139" t="s">
        <v>37</v>
      </c>
      <c r="K139" t="s">
        <v>37</v>
      </c>
      <c r="L139">
        <v>1637</v>
      </c>
      <c r="M139" t="s">
        <v>52</v>
      </c>
      <c r="N139">
        <v>6</v>
      </c>
      <c r="O139">
        <v>0.23</v>
      </c>
      <c r="P139" t="s">
        <v>38</v>
      </c>
      <c r="Q139">
        <v>10</v>
      </c>
      <c r="R139">
        <v>1.2999999999999999E-2</v>
      </c>
      <c r="S139">
        <f>R139/Q139</f>
        <v>1.2999999999999999E-3</v>
      </c>
      <c r="U139">
        <v>75</v>
      </c>
      <c r="V139">
        <v>1000</v>
      </c>
      <c r="W139" t="s">
        <v>3</v>
      </c>
      <c r="X139">
        <v>10</v>
      </c>
      <c r="Y139">
        <f t="shared" si="2"/>
        <v>100</v>
      </c>
    </row>
    <row r="140" spans="1:25" x14ac:dyDescent="0.75">
      <c r="A140" t="s">
        <v>447</v>
      </c>
      <c r="B140" t="s">
        <v>447</v>
      </c>
      <c r="C140" t="s">
        <v>289</v>
      </c>
      <c r="D140" t="s">
        <v>55</v>
      </c>
      <c r="E140">
        <v>73</v>
      </c>
      <c r="F140" t="s">
        <v>58</v>
      </c>
      <c r="G140">
        <f>5.25*10^3</f>
        <v>5250</v>
      </c>
      <c r="H140">
        <v>3.72</v>
      </c>
      <c r="I140" t="s">
        <v>33</v>
      </c>
      <c r="J140">
        <v>2</v>
      </c>
      <c r="K140" t="s">
        <v>35</v>
      </c>
      <c r="L140">
        <v>320</v>
      </c>
      <c r="M140" t="s">
        <v>52</v>
      </c>
      <c r="N140">
        <v>3</v>
      </c>
      <c r="O140">
        <v>1.28</v>
      </c>
      <c r="P140" t="s">
        <v>38</v>
      </c>
      <c r="Q140">
        <v>100</v>
      </c>
      <c r="R140">
        <v>0.06</v>
      </c>
      <c r="S140">
        <f>R140/Q140</f>
        <v>5.9999999999999995E-4</v>
      </c>
      <c r="U140">
        <v>73</v>
      </c>
      <c r="V140">
        <v>0.125</v>
      </c>
      <c r="W140" t="s">
        <v>39</v>
      </c>
      <c r="X140">
        <v>5</v>
      </c>
      <c r="Y140">
        <f t="shared" si="2"/>
        <v>2.5000000000000001E-2</v>
      </c>
    </row>
    <row r="141" spans="1:25" x14ac:dyDescent="0.75">
      <c r="A141" t="s">
        <v>290</v>
      </c>
      <c r="B141" t="s">
        <v>290</v>
      </c>
      <c r="C141" t="s">
        <v>291</v>
      </c>
      <c r="D141" t="s">
        <v>55</v>
      </c>
      <c r="E141">
        <v>0.3</v>
      </c>
      <c r="F141" t="s">
        <v>34</v>
      </c>
      <c r="G141">
        <f>4.79*10^4</f>
        <v>47900</v>
      </c>
      <c r="H141">
        <v>4.68</v>
      </c>
      <c r="I141" t="s">
        <v>33</v>
      </c>
      <c r="J141">
        <v>5.3</v>
      </c>
      <c r="K141" t="s">
        <v>35</v>
      </c>
      <c r="L141">
        <v>226</v>
      </c>
      <c r="M141" t="s">
        <v>52</v>
      </c>
      <c r="N141" t="s">
        <v>292</v>
      </c>
      <c r="O141">
        <v>0.49</v>
      </c>
      <c r="P141" t="s">
        <v>38</v>
      </c>
      <c r="Q141">
        <v>10</v>
      </c>
      <c r="R141">
        <v>0.05</v>
      </c>
      <c r="S141">
        <v>5.0000000000000001E-3</v>
      </c>
      <c r="U141">
        <v>89.7</v>
      </c>
      <c r="V141">
        <v>331.5</v>
      </c>
      <c r="W141" t="s">
        <v>3</v>
      </c>
      <c r="X141">
        <v>10</v>
      </c>
      <c r="Y141">
        <f t="shared" si="2"/>
        <v>33.15</v>
      </c>
    </row>
    <row r="142" spans="1:25" x14ac:dyDescent="0.75">
      <c r="A142" t="s">
        <v>293</v>
      </c>
      <c r="B142" t="s">
        <v>293</v>
      </c>
      <c r="C142" t="s">
        <v>294</v>
      </c>
      <c r="D142" t="s">
        <v>32</v>
      </c>
      <c r="E142">
        <v>0.33</v>
      </c>
      <c r="F142" t="s">
        <v>34</v>
      </c>
      <c r="G142">
        <f>2.51*10^5</f>
        <v>250999.99999999997</v>
      </c>
      <c r="H142">
        <v>5.4</v>
      </c>
      <c r="I142" t="s">
        <v>33</v>
      </c>
      <c r="J142">
        <v>4</v>
      </c>
      <c r="K142" t="s">
        <v>35</v>
      </c>
      <c r="L142">
        <v>5100</v>
      </c>
      <c r="M142" t="s">
        <v>139</v>
      </c>
      <c r="N142">
        <v>5.0999999999999996</v>
      </c>
      <c r="O142">
        <v>-0.28000000000000003</v>
      </c>
      <c r="P142" t="s">
        <v>38</v>
      </c>
      <c r="Q142">
        <v>10</v>
      </c>
      <c r="R142">
        <v>3.0000000000000001E-3</v>
      </c>
      <c r="S142">
        <f>R142/Q142</f>
        <v>3.0000000000000003E-4</v>
      </c>
      <c r="U142">
        <v>37.799999999999997</v>
      </c>
      <c r="V142">
        <v>3.3</v>
      </c>
      <c r="W142" t="s">
        <v>39</v>
      </c>
      <c r="X142">
        <v>5</v>
      </c>
      <c r="Y142">
        <f t="shared" si="2"/>
        <v>0.65999999999999992</v>
      </c>
    </row>
    <row r="143" spans="1:25" x14ac:dyDescent="0.75">
      <c r="A143" t="s">
        <v>448</v>
      </c>
      <c r="B143" t="s">
        <v>448</v>
      </c>
      <c r="C143" t="s">
        <v>295</v>
      </c>
      <c r="D143" t="s">
        <v>32</v>
      </c>
      <c r="E143">
        <v>408</v>
      </c>
      <c r="F143" t="s">
        <v>58</v>
      </c>
      <c r="G143">
        <f>2.5*10^-1</f>
        <v>0.25</v>
      </c>
      <c r="H143">
        <v>-0.60199999999999998</v>
      </c>
      <c r="I143" t="s">
        <v>34</v>
      </c>
      <c r="J143" t="s">
        <v>37</v>
      </c>
      <c r="K143" t="s">
        <v>37</v>
      </c>
      <c r="L143" t="s">
        <v>37</v>
      </c>
      <c r="M143" t="s">
        <v>37</v>
      </c>
      <c r="N143" t="s">
        <v>37</v>
      </c>
      <c r="O143">
        <v>1.56</v>
      </c>
      <c r="P143" t="s">
        <v>38</v>
      </c>
      <c r="Q143">
        <v>100</v>
      </c>
      <c r="R143">
        <v>2E-3</v>
      </c>
      <c r="S143">
        <f>R143/Q143</f>
        <v>2.0000000000000002E-5</v>
      </c>
      <c r="U143">
        <v>100.6</v>
      </c>
      <c r="V143">
        <v>33.450000000000003</v>
      </c>
      <c r="W143" t="s">
        <v>39</v>
      </c>
      <c r="X143">
        <v>5</v>
      </c>
      <c r="Y143">
        <f t="shared" si="2"/>
        <v>6.69</v>
      </c>
    </row>
    <row r="144" spans="1:25" x14ac:dyDescent="0.75">
      <c r="A144" t="s">
        <v>296</v>
      </c>
      <c r="B144" t="s">
        <v>296</v>
      </c>
      <c r="C144" t="s">
        <v>297</v>
      </c>
      <c r="D144" t="s">
        <v>47</v>
      </c>
      <c r="E144">
        <v>0.2</v>
      </c>
      <c r="F144" t="s">
        <v>34</v>
      </c>
      <c r="G144">
        <f>1.26*10^6</f>
        <v>1260000</v>
      </c>
      <c r="H144">
        <v>6.1</v>
      </c>
      <c r="I144" t="s">
        <v>33</v>
      </c>
      <c r="J144">
        <v>23</v>
      </c>
      <c r="K144" t="s">
        <v>73</v>
      </c>
      <c r="L144">
        <v>300</v>
      </c>
      <c r="M144" t="s">
        <v>52</v>
      </c>
      <c r="N144" t="s">
        <v>37</v>
      </c>
      <c r="O144">
        <v>-1.62</v>
      </c>
      <c r="P144" t="s">
        <v>38</v>
      </c>
      <c r="Q144">
        <v>100</v>
      </c>
      <c r="R144">
        <v>2.0000000000000002E-5</v>
      </c>
      <c r="S144">
        <v>2.0000000000000002E-7</v>
      </c>
      <c r="U144">
        <v>5.9</v>
      </c>
      <c r="V144">
        <v>115.5</v>
      </c>
      <c r="W144" t="s">
        <v>39</v>
      </c>
      <c r="X144">
        <v>5</v>
      </c>
      <c r="Y144">
        <f t="shared" si="2"/>
        <v>23.1</v>
      </c>
    </row>
    <row r="145" spans="1:25" x14ac:dyDescent="0.75">
      <c r="A145" t="s">
        <v>298</v>
      </c>
      <c r="B145" t="s">
        <v>298</v>
      </c>
      <c r="C145" t="s">
        <v>299</v>
      </c>
      <c r="D145" t="s">
        <v>47</v>
      </c>
      <c r="E145">
        <v>15.2</v>
      </c>
      <c r="F145" t="s">
        <v>34</v>
      </c>
      <c r="G145">
        <f>6.31*10^2</f>
        <v>631</v>
      </c>
      <c r="H145">
        <v>2.8</v>
      </c>
      <c r="I145" t="s">
        <v>58</v>
      </c>
      <c r="J145">
        <v>4</v>
      </c>
      <c r="K145" t="s">
        <v>35</v>
      </c>
      <c r="L145">
        <v>79</v>
      </c>
      <c r="M145" t="s">
        <v>36</v>
      </c>
      <c r="N145" t="s">
        <v>37</v>
      </c>
      <c r="O145">
        <v>0.48</v>
      </c>
      <c r="P145" t="s">
        <v>38</v>
      </c>
      <c r="Q145">
        <v>50</v>
      </c>
      <c r="R145">
        <v>7.7999999999999999E-4</v>
      </c>
      <c r="S145">
        <f>R145/Q145</f>
        <v>1.56E-5</v>
      </c>
      <c r="U145">
        <v>42</v>
      </c>
      <c r="V145">
        <v>1440</v>
      </c>
      <c r="W145" t="s">
        <v>3</v>
      </c>
      <c r="X145">
        <v>10</v>
      </c>
      <c r="Y145">
        <f t="shared" si="2"/>
        <v>144</v>
      </c>
    </row>
    <row r="146" spans="1:25" x14ac:dyDescent="0.75">
      <c r="A146" t="s">
        <v>449</v>
      </c>
      <c r="B146" t="s">
        <v>525</v>
      </c>
      <c r="C146" t="s">
        <v>300</v>
      </c>
      <c r="D146" t="s">
        <v>47</v>
      </c>
      <c r="E146" t="s">
        <v>42</v>
      </c>
      <c r="F146" t="s">
        <v>42</v>
      </c>
      <c r="G146" t="s">
        <v>42</v>
      </c>
      <c r="H146" t="s">
        <v>42</v>
      </c>
      <c r="I146" t="s">
        <v>42</v>
      </c>
      <c r="J146" t="s">
        <v>42</v>
      </c>
      <c r="K146" t="s">
        <v>42</v>
      </c>
      <c r="L146" t="s">
        <v>42</v>
      </c>
      <c r="M146" t="s">
        <v>42</v>
      </c>
      <c r="N146" t="s">
        <v>42</v>
      </c>
      <c r="O146" t="s">
        <v>42</v>
      </c>
      <c r="P146" t="s">
        <v>42</v>
      </c>
      <c r="Q146" t="s">
        <v>42</v>
      </c>
      <c r="R146" t="s">
        <v>42</v>
      </c>
      <c r="S146" t="s">
        <v>42</v>
      </c>
      <c r="U146">
        <v>9.6</v>
      </c>
      <c r="V146">
        <v>0.81</v>
      </c>
      <c r="W146" t="s">
        <v>39</v>
      </c>
      <c r="X146">
        <v>5</v>
      </c>
      <c r="Y146">
        <f t="shared" si="2"/>
        <v>0.16200000000000001</v>
      </c>
    </row>
    <row r="147" spans="1:25" x14ac:dyDescent="0.75">
      <c r="A147" t="s">
        <v>301</v>
      </c>
      <c r="B147" t="s">
        <v>301</v>
      </c>
      <c r="C147" t="s">
        <v>302</v>
      </c>
      <c r="D147" t="s">
        <v>47</v>
      </c>
      <c r="E147">
        <v>1.5</v>
      </c>
      <c r="F147" t="s">
        <v>34</v>
      </c>
      <c r="G147">
        <f>2.4*10^3</f>
        <v>2400</v>
      </c>
      <c r="H147">
        <v>3.38</v>
      </c>
      <c r="I147" t="s">
        <v>33</v>
      </c>
      <c r="J147" t="s">
        <v>37</v>
      </c>
      <c r="K147" t="s">
        <v>37</v>
      </c>
      <c r="L147">
        <v>1610</v>
      </c>
      <c r="M147" t="s">
        <v>52</v>
      </c>
      <c r="N147" t="s">
        <v>37</v>
      </c>
      <c r="O147">
        <v>0.73</v>
      </c>
      <c r="P147" t="s">
        <v>38</v>
      </c>
      <c r="Q147">
        <v>1000</v>
      </c>
      <c r="R147">
        <v>8.0999999999999996E-4</v>
      </c>
      <c r="S147">
        <f>R147/Q147</f>
        <v>8.0999999999999997E-7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</row>
    <row r="148" spans="1:25" x14ac:dyDescent="0.75">
      <c r="A148" t="s">
        <v>450</v>
      </c>
      <c r="B148" t="s">
        <v>526</v>
      </c>
      <c r="C148" t="s">
        <v>303</v>
      </c>
      <c r="D148" t="s">
        <v>304</v>
      </c>
      <c r="E148">
        <v>14.3</v>
      </c>
      <c r="F148" t="s">
        <v>34</v>
      </c>
      <c r="G148">
        <f>5.62*10^4</f>
        <v>56200</v>
      </c>
      <c r="H148">
        <v>4.75</v>
      </c>
      <c r="I148" t="s">
        <v>33</v>
      </c>
      <c r="J148" t="s">
        <v>37</v>
      </c>
      <c r="K148" t="s">
        <v>37</v>
      </c>
      <c r="L148" t="s">
        <v>305</v>
      </c>
      <c r="M148" t="s">
        <v>52</v>
      </c>
      <c r="N148" t="s">
        <v>37</v>
      </c>
      <c r="O148">
        <v>-1.06</v>
      </c>
      <c r="P148" t="s">
        <v>38</v>
      </c>
      <c r="Q148" s="21">
        <v>1000</v>
      </c>
      <c r="R148" s="21">
        <v>0.24</v>
      </c>
      <c r="S148" s="21">
        <f>R148/Q148</f>
        <v>2.3999999999999998E-4</v>
      </c>
      <c r="U148" t="s">
        <v>37</v>
      </c>
      <c r="V148">
        <v>40.4</v>
      </c>
      <c r="W148" t="s">
        <v>3</v>
      </c>
      <c r="X148">
        <v>10</v>
      </c>
      <c r="Y148">
        <f t="shared" si="2"/>
        <v>4.04</v>
      </c>
    </row>
    <row r="149" spans="1:25" x14ac:dyDescent="0.75">
      <c r="A149" t="s">
        <v>306</v>
      </c>
      <c r="B149" t="s">
        <v>306</v>
      </c>
      <c r="C149" t="s">
        <v>307</v>
      </c>
      <c r="D149" t="s">
        <v>47</v>
      </c>
      <c r="E149">
        <v>3100</v>
      </c>
      <c r="F149" t="s">
        <v>33</v>
      </c>
      <c r="G149">
        <f>5.01*10^1</f>
        <v>50.099999999999994</v>
      </c>
      <c r="H149">
        <v>1.7</v>
      </c>
      <c r="I149" t="s">
        <v>34</v>
      </c>
      <c r="J149">
        <v>29.6</v>
      </c>
      <c r="K149" t="s">
        <v>73</v>
      </c>
      <c r="L149">
        <v>24</v>
      </c>
      <c r="M149" t="s">
        <v>36</v>
      </c>
      <c r="N149" t="s">
        <v>37</v>
      </c>
      <c r="O149">
        <v>1.35</v>
      </c>
      <c r="P149" t="s">
        <v>38</v>
      </c>
      <c r="Q149">
        <v>10</v>
      </c>
      <c r="R149">
        <v>8.9999999999999998E-4</v>
      </c>
      <c r="S149">
        <f>R149/Q149</f>
        <v>8.9999999999999992E-5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</row>
    <row r="150" spans="1:25" x14ac:dyDescent="0.75">
      <c r="A150" t="s">
        <v>451</v>
      </c>
      <c r="B150" t="s">
        <v>527</v>
      </c>
      <c r="C150" t="s">
        <v>308</v>
      </c>
      <c r="D150" t="s">
        <v>42</v>
      </c>
      <c r="E150" t="s">
        <v>37</v>
      </c>
      <c r="F150" t="s">
        <v>37</v>
      </c>
      <c r="G150" t="s">
        <v>37</v>
      </c>
      <c r="H150" t="s">
        <v>37</v>
      </c>
      <c r="I150" t="s">
        <v>37</v>
      </c>
      <c r="J150" t="s">
        <v>37</v>
      </c>
      <c r="K150" t="s">
        <v>37</v>
      </c>
      <c r="L150" t="s">
        <v>37</v>
      </c>
      <c r="M150" t="s">
        <v>37</v>
      </c>
      <c r="N150" t="s">
        <v>37</v>
      </c>
      <c r="O150" t="s">
        <v>37</v>
      </c>
      <c r="P150" t="s">
        <v>37</v>
      </c>
      <c r="Q150" t="s">
        <v>37</v>
      </c>
      <c r="R150" t="s">
        <v>37</v>
      </c>
      <c r="S150" t="s">
        <v>37</v>
      </c>
      <c r="U150">
        <v>9</v>
      </c>
      <c r="V150">
        <v>5.46</v>
      </c>
      <c r="W150" t="s">
        <v>39</v>
      </c>
      <c r="X150">
        <v>5</v>
      </c>
      <c r="Y150">
        <f t="shared" si="2"/>
        <v>1.0920000000000001</v>
      </c>
    </row>
    <row r="151" spans="1:25" x14ac:dyDescent="0.75">
      <c r="A151" t="s">
        <v>452</v>
      </c>
      <c r="B151" t="s">
        <v>528</v>
      </c>
      <c r="C151" t="s">
        <v>309</v>
      </c>
      <c r="D151" t="s">
        <v>47</v>
      </c>
      <c r="E151">
        <v>11</v>
      </c>
      <c r="F151" t="s">
        <v>34</v>
      </c>
      <c r="G151">
        <f>1.58*10^4</f>
        <v>15800</v>
      </c>
      <c r="H151">
        <v>4.2</v>
      </c>
      <c r="I151" t="s">
        <v>33</v>
      </c>
      <c r="J151" t="s">
        <v>37</v>
      </c>
      <c r="K151" t="s">
        <v>37</v>
      </c>
      <c r="L151">
        <v>741</v>
      </c>
      <c r="M151" t="s">
        <v>52</v>
      </c>
      <c r="N151" t="s">
        <v>37</v>
      </c>
      <c r="O151">
        <v>1.53</v>
      </c>
      <c r="P151" t="s">
        <v>38</v>
      </c>
      <c r="Q151">
        <v>50</v>
      </c>
      <c r="R151">
        <v>8.0000000000000007E-5</v>
      </c>
      <c r="S151">
        <f>R151/Q151</f>
        <v>1.6000000000000001E-6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</row>
    <row r="152" spans="1:25" x14ac:dyDescent="0.75">
      <c r="A152" t="s">
        <v>453</v>
      </c>
      <c r="B152" t="s">
        <v>497</v>
      </c>
      <c r="C152" t="s">
        <v>310</v>
      </c>
      <c r="D152" t="s">
        <v>42</v>
      </c>
      <c r="E152" t="s">
        <v>42</v>
      </c>
      <c r="F152" t="s">
        <v>42</v>
      </c>
      <c r="G152" t="s">
        <v>42</v>
      </c>
      <c r="H152" t="s">
        <v>42</v>
      </c>
      <c r="I152" t="s">
        <v>42</v>
      </c>
      <c r="J152" t="s">
        <v>42</v>
      </c>
      <c r="K152" t="s">
        <v>42</v>
      </c>
      <c r="L152" t="s">
        <v>42</v>
      </c>
      <c r="M152" t="s">
        <v>42</v>
      </c>
      <c r="N152" t="s">
        <v>42</v>
      </c>
      <c r="O152" t="s">
        <v>42</v>
      </c>
      <c r="P152" t="s">
        <v>42</v>
      </c>
      <c r="Q152" t="s">
        <v>42</v>
      </c>
      <c r="R152" t="s">
        <v>42</v>
      </c>
      <c r="S152" t="s">
        <v>42</v>
      </c>
      <c r="U152">
        <v>39</v>
      </c>
      <c r="V152" t="s">
        <v>37</v>
      </c>
      <c r="W152" t="s">
        <v>37</v>
      </c>
      <c r="X152" t="s">
        <v>37</v>
      </c>
      <c r="Y152" t="s">
        <v>37</v>
      </c>
    </row>
    <row r="153" spans="1:25" x14ac:dyDescent="0.75">
      <c r="A153" t="s">
        <v>454</v>
      </c>
      <c r="B153" t="s">
        <v>550</v>
      </c>
      <c r="D153" t="s">
        <v>47</v>
      </c>
      <c r="E153" t="s">
        <v>42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  <c r="M153" t="s">
        <v>42</v>
      </c>
      <c r="N153" t="s">
        <v>42</v>
      </c>
      <c r="O153" t="s">
        <v>42</v>
      </c>
      <c r="P153" t="s">
        <v>42</v>
      </c>
      <c r="Q153" t="s">
        <v>42</v>
      </c>
      <c r="R153" t="s">
        <v>42</v>
      </c>
      <c r="S153" t="s">
        <v>42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</row>
    <row r="154" spans="1:25" x14ac:dyDescent="0.75">
      <c r="A154" t="s">
        <v>455</v>
      </c>
      <c r="B154" t="s">
        <v>529</v>
      </c>
      <c r="C154" t="s">
        <v>311</v>
      </c>
      <c r="D154" t="s">
        <v>42</v>
      </c>
      <c r="E154" t="s">
        <v>42</v>
      </c>
      <c r="F154" t="s">
        <v>42</v>
      </c>
      <c r="G154" t="s">
        <v>42</v>
      </c>
      <c r="H154" t="s">
        <v>42</v>
      </c>
      <c r="I154" t="s">
        <v>42</v>
      </c>
      <c r="J154" t="s">
        <v>42</v>
      </c>
      <c r="K154" t="s">
        <v>42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42</v>
      </c>
      <c r="R154" t="s">
        <v>42</v>
      </c>
      <c r="S154" t="s">
        <v>42</v>
      </c>
      <c r="U154" t="s">
        <v>42</v>
      </c>
      <c r="V154" t="s">
        <v>42</v>
      </c>
      <c r="W154" t="s">
        <v>42</v>
      </c>
      <c r="X154" t="s">
        <v>42</v>
      </c>
      <c r="Y154" t="s">
        <v>42</v>
      </c>
    </row>
    <row r="155" spans="1:25" x14ac:dyDescent="0.75">
      <c r="A155" t="s">
        <v>312</v>
      </c>
      <c r="B155" t="s">
        <v>312</v>
      </c>
      <c r="C155" t="s">
        <v>313</v>
      </c>
      <c r="D155" t="s">
        <v>55</v>
      </c>
      <c r="E155">
        <v>26.5</v>
      </c>
      <c r="F155" t="s">
        <v>34</v>
      </c>
      <c r="G155">
        <f>3.16*10^3</f>
        <v>3160</v>
      </c>
      <c r="H155">
        <v>3.5</v>
      </c>
      <c r="I155" t="s">
        <v>33</v>
      </c>
      <c r="J155">
        <v>2</v>
      </c>
      <c r="K155" t="s">
        <v>35</v>
      </c>
      <c r="L155">
        <v>371</v>
      </c>
      <c r="M155" t="s">
        <v>52</v>
      </c>
      <c r="N155">
        <v>3.4</v>
      </c>
      <c r="O155">
        <v>1.55</v>
      </c>
      <c r="P155" t="s">
        <v>38</v>
      </c>
      <c r="Q155">
        <v>10</v>
      </c>
      <c r="R155">
        <v>0.01</v>
      </c>
      <c r="S155">
        <f>R155/Q155</f>
        <v>1E-3</v>
      </c>
      <c r="U155" t="s">
        <v>42</v>
      </c>
      <c r="V155" t="s">
        <v>42</v>
      </c>
      <c r="W155" t="s">
        <v>42</v>
      </c>
      <c r="X155" t="s">
        <v>42</v>
      </c>
      <c r="Y155" t="s">
        <v>42</v>
      </c>
    </row>
    <row r="156" spans="1:25" x14ac:dyDescent="0.75">
      <c r="A156" t="s">
        <v>456</v>
      </c>
      <c r="B156" t="s">
        <v>530</v>
      </c>
      <c r="C156" t="s">
        <v>314</v>
      </c>
      <c r="D156" t="s">
        <v>55</v>
      </c>
      <c r="E156" t="s">
        <v>42</v>
      </c>
      <c r="F156" t="s">
        <v>42</v>
      </c>
      <c r="G156" t="s">
        <v>42</v>
      </c>
      <c r="H156" t="s">
        <v>42</v>
      </c>
      <c r="I156" t="s">
        <v>42</v>
      </c>
      <c r="J156" t="s">
        <v>42</v>
      </c>
      <c r="K156" t="s">
        <v>42</v>
      </c>
      <c r="L156" t="s">
        <v>42</v>
      </c>
      <c r="M156" t="s">
        <v>42</v>
      </c>
      <c r="N156" t="s">
        <v>42</v>
      </c>
      <c r="O156" t="s">
        <v>42</v>
      </c>
      <c r="P156" t="s">
        <v>42</v>
      </c>
      <c r="Q156" t="s">
        <v>42</v>
      </c>
      <c r="R156" t="s">
        <v>42</v>
      </c>
      <c r="S156" t="s">
        <v>42</v>
      </c>
      <c r="U156">
        <v>68.8</v>
      </c>
      <c r="V156">
        <v>4.2</v>
      </c>
      <c r="W156" t="s">
        <v>39</v>
      </c>
      <c r="X156">
        <v>5</v>
      </c>
      <c r="Y156">
        <f t="shared" si="2"/>
        <v>0.84000000000000008</v>
      </c>
    </row>
    <row r="157" spans="1:25" x14ac:dyDescent="0.75">
      <c r="A157" t="s">
        <v>457</v>
      </c>
      <c r="B157" t="s">
        <v>531</v>
      </c>
      <c r="C157" t="s">
        <v>315</v>
      </c>
      <c r="D157" t="s">
        <v>55</v>
      </c>
      <c r="E157">
        <v>7</v>
      </c>
      <c r="F157" t="s">
        <v>34</v>
      </c>
      <c r="G157" t="s">
        <v>37</v>
      </c>
      <c r="H157" t="s">
        <v>37</v>
      </c>
      <c r="I157" t="s">
        <v>37</v>
      </c>
      <c r="J157" t="s">
        <v>37</v>
      </c>
      <c r="K157" t="s">
        <v>37</v>
      </c>
      <c r="L157" t="s">
        <v>37</v>
      </c>
      <c r="M157" t="s">
        <v>37</v>
      </c>
      <c r="N157" t="s">
        <v>37</v>
      </c>
      <c r="O157">
        <v>1.22</v>
      </c>
      <c r="P157" t="s">
        <v>38</v>
      </c>
      <c r="Q157">
        <v>1000</v>
      </c>
      <c r="R157">
        <v>2</v>
      </c>
      <c r="S157">
        <f>R157/Q157</f>
        <v>2E-3</v>
      </c>
      <c r="U157">
        <v>273</v>
      </c>
      <c r="V157">
        <v>1.25</v>
      </c>
      <c r="W157" t="s">
        <v>39</v>
      </c>
      <c r="X157">
        <v>5</v>
      </c>
      <c r="Y157">
        <f t="shared" si="2"/>
        <v>0.25</v>
      </c>
    </row>
    <row r="158" spans="1:25" x14ac:dyDescent="0.75">
      <c r="A158" t="s">
        <v>316</v>
      </c>
      <c r="B158" t="s">
        <v>316</v>
      </c>
      <c r="C158" t="s">
        <v>317</v>
      </c>
      <c r="D158" t="s">
        <v>32</v>
      </c>
      <c r="E158">
        <v>33</v>
      </c>
      <c r="F158" t="s">
        <v>34</v>
      </c>
      <c r="G158">
        <f>2.19*10^3</f>
        <v>2190</v>
      </c>
      <c r="H158">
        <v>3.34</v>
      </c>
      <c r="I158" t="s">
        <v>33</v>
      </c>
      <c r="J158">
        <v>56</v>
      </c>
      <c r="K158" t="s">
        <v>67</v>
      </c>
      <c r="L158">
        <v>85</v>
      </c>
      <c r="M158" t="s">
        <v>36</v>
      </c>
      <c r="N158" t="s">
        <v>37</v>
      </c>
      <c r="O158">
        <v>0.59</v>
      </c>
      <c r="P158" t="s">
        <v>38</v>
      </c>
      <c r="Q158" s="14">
        <v>10</v>
      </c>
      <c r="R158" s="14">
        <v>0.08</v>
      </c>
      <c r="S158" s="14">
        <v>8.0000000000000002E-3</v>
      </c>
      <c r="U158">
        <v>13.5</v>
      </c>
      <c r="V158">
        <v>500</v>
      </c>
      <c r="W158" t="s">
        <v>3</v>
      </c>
      <c r="X158">
        <v>10</v>
      </c>
      <c r="Y158">
        <f t="shared" si="2"/>
        <v>50</v>
      </c>
    </row>
    <row r="159" spans="1:25" x14ac:dyDescent="0.75">
      <c r="A159" t="s">
        <v>458</v>
      </c>
      <c r="B159" t="s">
        <v>532</v>
      </c>
      <c r="C159" t="s">
        <v>318</v>
      </c>
      <c r="D159" t="s">
        <v>55</v>
      </c>
      <c r="E159">
        <v>1005000</v>
      </c>
      <c r="F159" t="s">
        <v>33</v>
      </c>
      <c r="G159">
        <f>5.01*10^-2</f>
        <v>5.0099999999999999E-2</v>
      </c>
      <c r="H159">
        <v>-1.3</v>
      </c>
      <c r="I159" t="s">
        <v>34</v>
      </c>
      <c r="J159">
        <v>12</v>
      </c>
      <c r="K159" t="s">
        <v>35</v>
      </c>
      <c r="L159">
        <v>54</v>
      </c>
      <c r="M159" t="s">
        <v>36</v>
      </c>
      <c r="N159" t="s">
        <v>37</v>
      </c>
      <c r="O159">
        <v>1.5</v>
      </c>
      <c r="P159" t="s">
        <v>38</v>
      </c>
      <c r="Q159">
        <v>10</v>
      </c>
      <c r="R159">
        <v>6.3</v>
      </c>
      <c r="S159">
        <f>R159/Q159</f>
        <v>0.63</v>
      </c>
      <c r="U159" t="s">
        <v>37</v>
      </c>
      <c r="V159">
        <v>153</v>
      </c>
      <c r="W159" t="s">
        <v>3</v>
      </c>
      <c r="X159">
        <v>10</v>
      </c>
      <c r="Y159">
        <f t="shared" si="2"/>
        <v>15.3</v>
      </c>
    </row>
    <row r="160" spans="1:25" x14ac:dyDescent="0.75">
      <c r="A160" t="s">
        <v>319</v>
      </c>
      <c r="B160" t="s">
        <v>319</v>
      </c>
      <c r="C160" t="s">
        <v>320</v>
      </c>
      <c r="D160" t="s">
        <v>32</v>
      </c>
      <c r="E160">
        <v>0.63</v>
      </c>
      <c r="F160" t="s">
        <v>34</v>
      </c>
      <c r="G160">
        <f>6.03*10^4</f>
        <v>60300</v>
      </c>
      <c r="H160">
        <v>4.78</v>
      </c>
      <c r="I160" t="s">
        <v>33</v>
      </c>
      <c r="J160" t="s">
        <v>321</v>
      </c>
      <c r="K160" t="s">
        <v>81</v>
      </c>
      <c r="L160">
        <v>583</v>
      </c>
      <c r="M160" t="s">
        <v>52</v>
      </c>
      <c r="N160" t="s">
        <v>37</v>
      </c>
      <c r="O160">
        <v>2.67</v>
      </c>
      <c r="P160" t="s">
        <v>59</v>
      </c>
      <c r="Q160">
        <v>10</v>
      </c>
      <c r="R160">
        <v>1.9E-2</v>
      </c>
      <c r="S160">
        <f>R160/Q160</f>
        <v>1.9E-3</v>
      </c>
      <c r="U160">
        <v>20</v>
      </c>
      <c r="V160">
        <v>362</v>
      </c>
      <c r="W160" t="s">
        <v>39</v>
      </c>
      <c r="X160">
        <v>5</v>
      </c>
      <c r="Y160">
        <f t="shared" si="2"/>
        <v>72.400000000000006</v>
      </c>
    </row>
    <row r="161" spans="1:25" x14ac:dyDescent="0.75">
      <c r="A161" t="s">
        <v>322</v>
      </c>
      <c r="B161" t="s">
        <v>322</v>
      </c>
      <c r="C161" t="s">
        <v>323</v>
      </c>
      <c r="D161" t="s">
        <v>55</v>
      </c>
      <c r="E161">
        <v>150</v>
      </c>
      <c r="F161" t="s">
        <v>58</v>
      </c>
      <c r="G161">
        <f>5.25*10^3</f>
        <v>5250</v>
      </c>
      <c r="H161">
        <v>3.72</v>
      </c>
      <c r="I161" t="s">
        <v>33</v>
      </c>
      <c r="J161">
        <v>6</v>
      </c>
      <c r="K161" t="s">
        <v>35</v>
      </c>
      <c r="L161">
        <v>116</v>
      </c>
      <c r="M161" t="s">
        <v>52</v>
      </c>
      <c r="N161">
        <v>8</v>
      </c>
      <c r="O161">
        <v>1.58</v>
      </c>
      <c r="P161" t="s">
        <v>38</v>
      </c>
      <c r="Q161">
        <v>10</v>
      </c>
      <c r="R161">
        <v>6.8000000000000005E-2</v>
      </c>
      <c r="S161">
        <v>6.8000000000000005E-3</v>
      </c>
      <c r="U161">
        <v>85</v>
      </c>
      <c r="V161">
        <v>1.95</v>
      </c>
      <c r="W161" t="s">
        <v>39</v>
      </c>
      <c r="X161">
        <v>5</v>
      </c>
      <c r="Y161">
        <f t="shared" si="2"/>
        <v>0.39</v>
      </c>
    </row>
    <row r="162" spans="1:25" x14ac:dyDescent="0.75">
      <c r="A162" t="s">
        <v>324</v>
      </c>
      <c r="B162" t="s">
        <v>324</v>
      </c>
      <c r="C162" t="s">
        <v>325</v>
      </c>
      <c r="D162" t="s">
        <v>47</v>
      </c>
      <c r="E162">
        <v>1800</v>
      </c>
      <c r="F162" t="s">
        <v>33</v>
      </c>
      <c r="G162">
        <f>1.38*10^0</f>
        <v>1.38</v>
      </c>
      <c r="H162">
        <v>0.14000000000000001</v>
      </c>
      <c r="I162" t="s">
        <v>34</v>
      </c>
      <c r="J162" t="s">
        <v>37</v>
      </c>
      <c r="K162" t="s">
        <v>37</v>
      </c>
      <c r="L162" s="10" t="s">
        <v>42</v>
      </c>
      <c r="M162" t="s">
        <v>48</v>
      </c>
      <c r="N162" t="s">
        <v>37</v>
      </c>
      <c r="O162">
        <v>3.65</v>
      </c>
      <c r="P162" t="s">
        <v>44</v>
      </c>
      <c r="Q162">
        <v>100</v>
      </c>
      <c r="R162">
        <v>1.6E-2</v>
      </c>
      <c r="S162">
        <f>R162/Q162</f>
        <v>1.6000000000000001E-4</v>
      </c>
      <c r="U162">
        <v>35.200000000000003</v>
      </c>
      <c r="V162">
        <v>6.47</v>
      </c>
      <c r="W162" t="s">
        <v>39</v>
      </c>
      <c r="X162">
        <v>5</v>
      </c>
      <c r="Y162">
        <f t="shared" si="2"/>
        <v>1.294</v>
      </c>
    </row>
    <row r="163" spans="1:25" x14ac:dyDescent="0.75">
      <c r="A163" t="s">
        <v>326</v>
      </c>
      <c r="B163" t="s">
        <v>326</v>
      </c>
      <c r="C163" t="s">
        <v>327</v>
      </c>
      <c r="D163" t="s">
        <v>32</v>
      </c>
      <c r="E163">
        <v>9</v>
      </c>
      <c r="F163" t="s">
        <v>34</v>
      </c>
      <c r="G163">
        <f>1.86*10^3</f>
        <v>1860</v>
      </c>
      <c r="H163">
        <v>3.27</v>
      </c>
      <c r="I163" t="s">
        <v>33</v>
      </c>
      <c r="J163">
        <v>21</v>
      </c>
      <c r="K163" t="s">
        <v>73</v>
      </c>
      <c r="L163">
        <v>49</v>
      </c>
      <c r="M163" t="s">
        <v>36</v>
      </c>
      <c r="N163">
        <v>42</v>
      </c>
      <c r="O163">
        <v>1.87</v>
      </c>
      <c r="P163" t="s">
        <v>59</v>
      </c>
      <c r="Q163">
        <v>100</v>
      </c>
      <c r="R163">
        <v>0.34</v>
      </c>
      <c r="S163">
        <f>R163/Q163</f>
        <v>3.4000000000000002E-3</v>
      </c>
      <c r="U163">
        <v>28</v>
      </c>
      <c r="V163" t="s">
        <v>37</v>
      </c>
      <c r="W163" t="s">
        <v>37</v>
      </c>
      <c r="X163" t="s">
        <v>37</v>
      </c>
      <c r="Y163" t="s">
        <v>37</v>
      </c>
    </row>
    <row r="164" spans="1:25" x14ac:dyDescent="0.75">
      <c r="A164" t="s">
        <v>328</v>
      </c>
      <c r="B164" t="s">
        <v>328</v>
      </c>
      <c r="C164" t="s">
        <v>329</v>
      </c>
      <c r="D164" t="s">
        <v>32</v>
      </c>
      <c r="E164">
        <v>13.2</v>
      </c>
      <c r="F164" t="s">
        <v>34</v>
      </c>
      <c r="G164">
        <f>3.02*10^4</f>
        <v>30200</v>
      </c>
      <c r="H164">
        <v>4.4800000000000004</v>
      </c>
      <c r="I164" t="s">
        <v>33</v>
      </c>
      <c r="J164">
        <v>0.94</v>
      </c>
      <c r="K164" t="s">
        <v>81</v>
      </c>
      <c r="L164">
        <v>700</v>
      </c>
      <c r="M164" t="s">
        <v>52</v>
      </c>
      <c r="N164">
        <v>1.7</v>
      </c>
      <c r="O164">
        <v>0.76</v>
      </c>
      <c r="P164" t="s">
        <v>38</v>
      </c>
      <c r="Q164">
        <v>100</v>
      </c>
      <c r="R164">
        <v>4.4999999999999998E-2</v>
      </c>
      <c r="S164">
        <f>R164/Q164</f>
        <v>4.4999999999999999E-4</v>
      </c>
      <c r="U164">
        <v>233</v>
      </c>
      <c r="V164">
        <v>1.4</v>
      </c>
      <c r="W164" t="s">
        <v>39</v>
      </c>
      <c r="X164">
        <v>5</v>
      </c>
      <c r="Y164">
        <f t="shared" si="2"/>
        <v>0.27999999999999997</v>
      </c>
    </row>
    <row r="165" spans="1:25" x14ac:dyDescent="0.75">
      <c r="A165" t="s">
        <v>330</v>
      </c>
      <c r="B165" t="s">
        <v>550</v>
      </c>
      <c r="C165" t="s">
        <v>331</v>
      </c>
      <c r="D165" t="s">
        <v>55</v>
      </c>
      <c r="E165">
        <v>22.5</v>
      </c>
      <c r="F165" t="s">
        <v>34</v>
      </c>
      <c r="G165">
        <f>1*10^2</f>
        <v>100</v>
      </c>
      <c r="H165">
        <v>2</v>
      </c>
      <c r="I165" t="s">
        <v>34</v>
      </c>
      <c r="J165" t="s">
        <v>37</v>
      </c>
      <c r="K165" t="s">
        <v>37</v>
      </c>
      <c r="L165">
        <v>43.9</v>
      </c>
      <c r="M165" t="s">
        <v>36</v>
      </c>
      <c r="N165">
        <v>0.47</v>
      </c>
      <c r="O165">
        <v>-7.0000000000000007E-2</v>
      </c>
      <c r="P165" t="s">
        <v>38</v>
      </c>
      <c r="Q165">
        <v>10</v>
      </c>
      <c r="R165">
        <v>0.308</v>
      </c>
      <c r="S165">
        <v>3.0800000000000001E-2</v>
      </c>
      <c r="U165">
        <v>9.8000000000000007</v>
      </c>
      <c r="V165">
        <v>71.8</v>
      </c>
      <c r="W165" t="s">
        <v>3</v>
      </c>
      <c r="X165">
        <v>10</v>
      </c>
      <c r="Y165">
        <f t="shared" si="2"/>
        <v>7.18</v>
      </c>
    </row>
    <row r="166" spans="1:25" x14ac:dyDescent="0.75">
      <c r="A166" t="s">
        <v>459</v>
      </c>
      <c r="B166" t="s">
        <v>533</v>
      </c>
      <c r="C166" t="s">
        <v>332</v>
      </c>
      <c r="D166" t="s">
        <v>55</v>
      </c>
      <c r="E166">
        <v>50.6</v>
      </c>
      <c r="F166" t="s">
        <v>58</v>
      </c>
      <c r="G166">
        <f>1.1*10^3</f>
        <v>1100</v>
      </c>
      <c r="H166">
        <v>3.04</v>
      </c>
      <c r="I166" t="s">
        <v>33</v>
      </c>
      <c r="J166" s="10" t="s">
        <v>42</v>
      </c>
      <c r="K166" t="s">
        <v>67</v>
      </c>
      <c r="L166">
        <v>45</v>
      </c>
      <c r="M166" t="s">
        <v>36</v>
      </c>
      <c r="N166" t="s">
        <v>37</v>
      </c>
      <c r="O166">
        <v>1.73</v>
      </c>
      <c r="P166" t="s">
        <v>38</v>
      </c>
      <c r="Q166">
        <v>100</v>
      </c>
      <c r="R166">
        <v>3.4000000000000002E-2</v>
      </c>
      <c r="S166">
        <v>3.4000000000000002E-4</v>
      </c>
      <c r="U166">
        <v>0.77</v>
      </c>
      <c r="V166">
        <v>5.3</v>
      </c>
      <c r="W166" t="s">
        <v>39</v>
      </c>
      <c r="X166">
        <v>5</v>
      </c>
      <c r="Y166">
        <f t="shared" si="2"/>
        <v>1.06</v>
      </c>
    </row>
    <row r="167" spans="1:25" x14ac:dyDescent="0.75">
      <c r="A167" t="s">
        <v>333</v>
      </c>
      <c r="B167" t="s">
        <v>333</v>
      </c>
      <c r="C167" t="s">
        <v>334</v>
      </c>
      <c r="D167" t="s">
        <v>47</v>
      </c>
      <c r="E167">
        <v>270</v>
      </c>
      <c r="F167" t="s">
        <v>58</v>
      </c>
      <c r="G167">
        <f>6.46*10^-1</f>
        <v>0.64600000000000002</v>
      </c>
      <c r="H167">
        <v>-0.19</v>
      </c>
      <c r="I167" t="s">
        <v>34</v>
      </c>
      <c r="J167">
        <v>6</v>
      </c>
      <c r="K167" t="s">
        <v>35</v>
      </c>
      <c r="L167" s="10" t="s">
        <v>42</v>
      </c>
      <c r="M167" t="s">
        <v>48</v>
      </c>
      <c r="N167" t="s">
        <v>37</v>
      </c>
      <c r="O167">
        <v>1.33</v>
      </c>
      <c r="P167" t="s">
        <v>38</v>
      </c>
      <c r="Q167">
        <v>100</v>
      </c>
      <c r="R167">
        <v>2.5000000000000001E-2</v>
      </c>
      <c r="S167">
        <f>R167/Q167</f>
        <v>2.5000000000000001E-4</v>
      </c>
      <c r="U167">
        <v>131</v>
      </c>
      <c r="V167">
        <v>62.5</v>
      </c>
      <c r="W167" t="s">
        <v>39</v>
      </c>
      <c r="X167">
        <v>5</v>
      </c>
      <c r="Y167">
        <f t="shared" si="2"/>
        <v>12.5</v>
      </c>
    </row>
    <row r="168" spans="1:25" x14ac:dyDescent="0.75">
      <c r="A168" t="s">
        <v>335</v>
      </c>
      <c r="B168" t="s">
        <v>335</v>
      </c>
      <c r="C168" t="s">
        <v>336</v>
      </c>
      <c r="D168" t="s">
        <v>55</v>
      </c>
      <c r="E168">
        <v>1.9</v>
      </c>
      <c r="F168" t="s">
        <v>34</v>
      </c>
      <c r="G168">
        <f>9.77*10^3</f>
        <v>9770</v>
      </c>
      <c r="H168">
        <v>3.99</v>
      </c>
      <c r="I168" t="s">
        <v>33</v>
      </c>
      <c r="J168">
        <v>2</v>
      </c>
      <c r="K168" t="s">
        <v>35</v>
      </c>
      <c r="L168">
        <v>706</v>
      </c>
      <c r="M168" t="s">
        <v>52</v>
      </c>
      <c r="N168" t="s">
        <v>37</v>
      </c>
      <c r="O168">
        <v>0.05</v>
      </c>
      <c r="P168" t="s">
        <v>38</v>
      </c>
      <c r="Q168">
        <v>50</v>
      </c>
      <c r="R168">
        <v>4.0000000000000001E-3</v>
      </c>
      <c r="S168">
        <f>R168/Q168</f>
        <v>8.0000000000000007E-5</v>
      </c>
      <c r="U168">
        <v>22.6</v>
      </c>
      <c r="V168">
        <v>1.3859999999999999</v>
      </c>
      <c r="W168" t="s">
        <v>39</v>
      </c>
      <c r="X168">
        <v>5</v>
      </c>
      <c r="Y168">
        <f t="shared" si="2"/>
        <v>0.2772</v>
      </c>
    </row>
    <row r="169" spans="1:25" x14ac:dyDescent="0.75">
      <c r="A169" t="s">
        <v>460</v>
      </c>
      <c r="B169" t="s">
        <v>534</v>
      </c>
      <c r="C169" t="s">
        <v>337</v>
      </c>
      <c r="D169" t="s">
        <v>32</v>
      </c>
      <c r="E169">
        <v>8.2000000000000003E-2</v>
      </c>
      <c r="F169" t="s">
        <v>34</v>
      </c>
      <c r="G169">
        <f>3.09*10^3</f>
        <v>3090</v>
      </c>
      <c r="H169">
        <v>3.49</v>
      </c>
      <c r="I169" t="s">
        <v>33</v>
      </c>
      <c r="J169">
        <v>0.1</v>
      </c>
      <c r="K169" t="s">
        <v>81</v>
      </c>
      <c r="L169" t="s">
        <v>37</v>
      </c>
      <c r="M169" t="s">
        <v>37</v>
      </c>
      <c r="N169" t="s">
        <v>37</v>
      </c>
      <c r="O169">
        <v>0.06</v>
      </c>
      <c r="P169" t="s">
        <v>38</v>
      </c>
      <c r="Q169">
        <v>100</v>
      </c>
      <c r="R169">
        <v>2.3000000000000001E-4</v>
      </c>
      <c r="S169">
        <f>R169/Q169</f>
        <v>2.3E-6</v>
      </c>
      <c r="U169">
        <v>33.299999999999997</v>
      </c>
      <c r="V169">
        <v>23.1</v>
      </c>
      <c r="W169" t="s">
        <v>39</v>
      </c>
      <c r="X169">
        <v>5</v>
      </c>
      <c r="Y169">
        <f t="shared" si="2"/>
        <v>4.62</v>
      </c>
    </row>
    <row r="170" spans="1:25" x14ac:dyDescent="0.75">
      <c r="A170" t="s">
        <v>461</v>
      </c>
      <c r="B170" t="s">
        <v>535</v>
      </c>
      <c r="C170" t="s">
        <v>338</v>
      </c>
      <c r="D170" t="s">
        <v>47</v>
      </c>
      <c r="E170">
        <v>0.96</v>
      </c>
      <c r="F170" t="s">
        <v>34</v>
      </c>
      <c r="G170">
        <f>3.89*10^5</f>
        <v>389000</v>
      </c>
      <c r="H170">
        <v>5.59</v>
      </c>
      <c r="I170" t="s">
        <v>33</v>
      </c>
      <c r="J170">
        <v>1</v>
      </c>
      <c r="K170" t="s">
        <v>35</v>
      </c>
      <c r="L170">
        <v>471</v>
      </c>
      <c r="M170" t="s">
        <v>52</v>
      </c>
      <c r="N170" t="s">
        <v>37</v>
      </c>
      <c r="O170">
        <v>-0.43</v>
      </c>
      <c r="P170" t="s">
        <v>38</v>
      </c>
      <c r="Q170">
        <v>1000</v>
      </c>
      <c r="R170">
        <v>1.4E-3</v>
      </c>
      <c r="S170">
        <f>R170/Q170</f>
        <v>1.3999999999999999E-6</v>
      </c>
      <c r="U170">
        <v>1.2</v>
      </c>
      <c r="V170">
        <v>250</v>
      </c>
      <c r="W170" t="s">
        <v>39</v>
      </c>
      <c r="X170">
        <v>5</v>
      </c>
      <c r="Y170">
        <f t="shared" si="2"/>
        <v>50</v>
      </c>
    </row>
    <row r="171" spans="1:25" x14ac:dyDescent="0.75">
      <c r="A171" t="s">
        <v>462</v>
      </c>
      <c r="B171" t="s">
        <v>536</v>
      </c>
      <c r="C171" t="s">
        <v>339</v>
      </c>
      <c r="D171" t="s">
        <v>47</v>
      </c>
      <c r="E171">
        <v>10.7</v>
      </c>
      <c r="F171" t="s">
        <v>34</v>
      </c>
      <c r="G171">
        <f>2.09*10^4</f>
        <v>20900</v>
      </c>
      <c r="H171">
        <v>4.32</v>
      </c>
      <c r="I171" t="s">
        <v>33</v>
      </c>
      <c r="J171">
        <v>1</v>
      </c>
      <c r="K171" t="s">
        <v>35</v>
      </c>
      <c r="L171">
        <v>471</v>
      </c>
      <c r="M171" t="s">
        <v>52</v>
      </c>
      <c r="N171" t="s">
        <v>37</v>
      </c>
      <c r="O171">
        <v>-0.47</v>
      </c>
      <c r="P171" t="s">
        <v>38</v>
      </c>
      <c r="Q171">
        <v>1000</v>
      </c>
      <c r="R171">
        <v>1.4E-3</v>
      </c>
      <c r="S171">
        <f>R171/Q171</f>
        <v>1.3999999999999999E-6</v>
      </c>
      <c r="U171">
        <v>12</v>
      </c>
      <c r="V171">
        <v>0.25</v>
      </c>
      <c r="W171" t="s">
        <v>39</v>
      </c>
      <c r="X171">
        <v>5</v>
      </c>
      <c r="Y171">
        <f t="shared" si="2"/>
        <v>0.05</v>
      </c>
    </row>
    <row r="172" spans="1:25" x14ac:dyDescent="0.75">
      <c r="A172" t="s">
        <v>340</v>
      </c>
      <c r="B172" t="s">
        <v>340</v>
      </c>
      <c r="C172" t="s">
        <v>341</v>
      </c>
      <c r="D172" t="s">
        <v>55</v>
      </c>
      <c r="E172">
        <v>110</v>
      </c>
      <c r="F172" t="s">
        <v>58</v>
      </c>
      <c r="G172">
        <f>6.92*10^2</f>
        <v>692</v>
      </c>
      <c r="H172">
        <v>2.84</v>
      </c>
      <c r="I172" t="s">
        <v>58</v>
      </c>
      <c r="J172">
        <v>6.7</v>
      </c>
      <c r="K172" t="s">
        <v>35</v>
      </c>
      <c r="L172" s="10" t="s">
        <v>42</v>
      </c>
      <c r="M172" t="s">
        <v>48</v>
      </c>
      <c r="N172" t="s">
        <v>37</v>
      </c>
      <c r="O172">
        <v>2.17</v>
      </c>
      <c r="P172" t="s">
        <v>59</v>
      </c>
      <c r="Q172">
        <v>100</v>
      </c>
      <c r="R172">
        <v>0.94</v>
      </c>
      <c r="S172">
        <v>9.3999999999999986E-3</v>
      </c>
      <c r="U172">
        <v>12</v>
      </c>
      <c r="V172">
        <v>0.25</v>
      </c>
      <c r="W172" t="s">
        <v>39</v>
      </c>
      <c r="X172">
        <v>5</v>
      </c>
      <c r="Y172">
        <f t="shared" si="2"/>
        <v>0.05</v>
      </c>
    </row>
    <row r="173" spans="1:25" x14ac:dyDescent="0.75">
      <c r="A173" t="s">
        <v>400</v>
      </c>
      <c r="B173" t="s">
        <v>550</v>
      </c>
      <c r="C173" t="s">
        <v>342</v>
      </c>
      <c r="D173" t="s">
        <v>55</v>
      </c>
      <c r="E173" t="s">
        <v>42</v>
      </c>
      <c r="F173" t="s">
        <v>42</v>
      </c>
      <c r="G173" t="s">
        <v>42</v>
      </c>
      <c r="H173" t="s">
        <v>42</v>
      </c>
      <c r="I173" t="s">
        <v>42</v>
      </c>
      <c r="J173" t="s">
        <v>42</v>
      </c>
      <c r="K173" t="s">
        <v>42</v>
      </c>
      <c r="L173" t="s">
        <v>42</v>
      </c>
      <c r="M173" t="s">
        <v>42</v>
      </c>
      <c r="N173" t="s">
        <v>42</v>
      </c>
      <c r="O173" t="s">
        <v>42</v>
      </c>
      <c r="P173" t="s">
        <v>42</v>
      </c>
      <c r="Q173" t="s">
        <v>42</v>
      </c>
      <c r="R173" t="s">
        <v>42</v>
      </c>
      <c r="S173" t="s">
        <v>42</v>
      </c>
      <c r="U173">
        <v>31.4</v>
      </c>
      <c r="V173">
        <v>4.12</v>
      </c>
      <c r="W173" t="s">
        <v>39</v>
      </c>
      <c r="X173">
        <v>5</v>
      </c>
      <c r="Y173">
        <f t="shared" si="2"/>
        <v>0.82400000000000007</v>
      </c>
    </row>
    <row r="174" spans="1:25" x14ac:dyDescent="0.75">
      <c r="A174" t="s">
        <v>343</v>
      </c>
      <c r="B174" t="s">
        <v>343</v>
      </c>
      <c r="C174" t="s">
        <v>344</v>
      </c>
      <c r="D174" t="s">
        <v>55</v>
      </c>
      <c r="E174">
        <v>1.56</v>
      </c>
      <c r="F174" t="s">
        <v>34</v>
      </c>
      <c r="G174">
        <f>1.58*10^3</f>
        <v>1580</v>
      </c>
      <c r="H174">
        <v>3.2</v>
      </c>
      <c r="I174" t="s">
        <v>33</v>
      </c>
      <c r="J174" t="s">
        <v>37</v>
      </c>
      <c r="K174" t="s">
        <v>37</v>
      </c>
      <c r="L174">
        <v>160</v>
      </c>
      <c r="M174" t="s">
        <v>52</v>
      </c>
      <c r="N174" t="s">
        <v>37</v>
      </c>
      <c r="O174">
        <v>1.06</v>
      </c>
      <c r="P174" t="s">
        <v>38</v>
      </c>
      <c r="Q174">
        <v>50</v>
      </c>
      <c r="R174">
        <v>8.9899999999999994E-2</v>
      </c>
      <c r="S174">
        <f>R174/Q174</f>
        <v>1.7979999999999999E-3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</row>
    <row r="175" spans="1:25" x14ac:dyDescent="0.75">
      <c r="A175" t="s">
        <v>345</v>
      </c>
      <c r="B175" t="s">
        <v>345</v>
      </c>
      <c r="C175" t="s">
        <v>346</v>
      </c>
      <c r="D175" t="s">
        <v>47</v>
      </c>
      <c r="E175">
        <v>0.37</v>
      </c>
      <c r="F175" t="s">
        <v>34</v>
      </c>
      <c r="G175">
        <f>2.34*10^5</f>
        <v>234000</v>
      </c>
      <c r="H175">
        <v>5.37</v>
      </c>
      <c r="I175" t="s">
        <v>33</v>
      </c>
      <c r="J175">
        <v>1.6</v>
      </c>
      <c r="K175" t="s">
        <v>35</v>
      </c>
      <c r="L175">
        <v>1379</v>
      </c>
      <c r="M175" t="s">
        <v>52</v>
      </c>
      <c r="N175">
        <v>0.9</v>
      </c>
      <c r="O175">
        <v>-0.2</v>
      </c>
      <c r="P175" t="s">
        <v>38</v>
      </c>
      <c r="Q175">
        <v>100</v>
      </c>
      <c r="R175">
        <v>1.5E-5</v>
      </c>
      <c r="S175">
        <f>R175/Q175</f>
        <v>1.4999999999999999E-7</v>
      </c>
      <c r="U175">
        <v>19</v>
      </c>
      <c r="V175">
        <v>16</v>
      </c>
      <c r="W175" t="s">
        <v>39</v>
      </c>
      <c r="X175">
        <v>5</v>
      </c>
      <c r="Y175">
        <f t="shared" si="2"/>
        <v>3.2</v>
      </c>
    </row>
    <row r="176" spans="1:25" x14ac:dyDescent="0.75">
      <c r="A176" t="s">
        <v>347</v>
      </c>
      <c r="B176" t="s">
        <v>347</v>
      </c>
      <c r="C176" t="s">
        <v>348</v>
      </c>
      <c r="D176" t="s">
        <v>32</v>
      </c>
      <c r="E176">
        <v>3200</v>
      </c>
      <c r="F176" t="s">
        <v>33</v>
      </c>
      <c r="G176">
        <f>9.77*10^-2</f>
        <v>9.7699999999999995E-2</v>
      </c>
      <c r="H176">
        <v>-1.01</v>
      </c>
      <c r="I176" t="s">
        <v>34</v>
      </c>
      <c r="J176" t="s">
        <v>37</v>
      </c>
      <c r="K176" t="s">
        <v>37</v>
      </c>
      <c r="L176" s="10" t="s">
        <v>42</v>
      </c>
      <c r="M176" t="s">
        <v>48</v>
      </c>
      <c r="N176" t="s">
        <v>37</v>
      </c>
      <c r="O176">
        <v>2.84</v>
      </c>
      <c r="P176" t="s">
        <v>44</v>
      </c>
      <c r="Q176">
        <v>100</v>
      </c>
      <c r="R176">
        <v>2.5999999999999999E-3</v>
      </c>
      <c r="S176">
        <f>R176/Q176</f>
        <v>2.5999999999999998E-5</v>
      </c>
      <c r="U176">
        <v>4.2</v>
      </c>
      <c r="V176">
        <v>500</v>
      </c>
      <c r="W176" t="s">
        <v>3</v>
      </c>
      <c r="X176">
        <v>10</v>
      </c>
      <c r="Y176">
        <f t="shared" si="2"/>
        <v>50</v>
      </c>
    </row>
    <row r="177" spans="1:25" x14ac:dyDescent="0.75">
      <c r="A177" t="s">
        <v>349</v>
      </c>
      <c r="B177" t="s">
        <v>349</v>
      </c>
      <c r="C177" t="s">
        <v>350</v>
      </c>
      <c r="D177" t="s">
        <v>55</v>
      </c>
      <c r="E177">
        <v>4.7E-2</v>
      </c>
      <c r="F177" t="s">
        <v>34</v>
      </c>
      <c r="G177">
        <f>1.26*10^5</f>
        <v>126000</v>
      </c>
      <c r="H177">
        <v>5.0999999999999996</v>
      </c>
      <c r="I177" t="s">
        <v>33</v>
      </c>
      <c r="J177">
        <v>5</v>
      </c>
      <c r="K177" t="s">
        <v>35</v>
      </c>
      <c r="L177">
        <v>5040</v>
      </c>
      <c r="M177" t="s">
        <v>139</v>
      </c>
      <c r="N177" t="s">
        <v>37</v>
      </c>
      <c r="O177">
        <v>-0.8</v>
      </c>
      <c r="P177" t="s">
        <v>38</v>
      </c>
      <c r="Q177">
        <v>10</v>
      </c>
      <c r="R177">
        <v>1.4E-2</v>
      </c>
      <c r="S177">
        <f>R177/Q177</f>
        <v>1.4E-3</v>
      </c>
      <c r="U177">
        <v>13</v>
      </c>
      <c r="V177">
        <v>1.07</v>
      </c>
      <c r="W177" t="s">
        <v>39</v>
      </c>
      <c r="X177">
        <v>5</v>
      </c>
      <c r="Y177">
        <f t="shared" si="2"/>
        <v>0.21400000000000002</v>
      </c>
    </row>
    <row r="178" spans="1:25" x14ac:dyDescent="0.75">
      <c r="A178" t="s">
        <v>463</v>
      </c>
      <c r="B178" s="10" t="s">
        <v>550</v>
      </c>
      <c r="C178" t="s">
        <v>351</v>
      </c>
      <c r="D178" t="s">
        <v>32</v>
      </c>
      <c r="E178">
        <v>0.61</v>
      </c>
      <c r="F178" t="s">
        <v>34</v>
      </c>
      <c r="G178">
        <f>4.07*10^4</f>
        <v>40700</v>
      </c>
      <c r="H178">
        <v>4.6100000000000003</v>
      </c>
      <c r="I178" t="s">
        <v>33</v>
      </c>
      <c r="J178">
        <v>1.55</v>
      </c>
      <c r="K178" t="s">
        <v>35</v>
      </c>
      <c r="L178">
        <v>380</v>
      </c>
      <c r="M178" t="s">
        <v>52</v>
      </c>
      <c r="N178" t="s">
        <v>37</v>
      </c>
      <c r="O178">
        <v>0.19</v>
      </c>
      <c r="P178" t="s">
        <v>38</v>
      </c>
      <c r="Q178">
        <v>10</v>
      </c>
      <c r="R178">
        <v>2.3E-2</v>
      </c>
      <c r="S178">
        <f>R178/Q178</f>
        <v>2.3E-3</v>
      </c>
      <c r="U178">
        <v>169.3</v>
      </c>
      <c r="V178">
        <v>2.67</v>
      </c>
      <c r="W178" t="s">
        <v>39</v>
      </c>
      <c r="X178">
        <v>5</v>
      </c>
      <c r="Y178">
        <f t="shared" si="2"/>
        <v>0.53400000000000003</v>
      </c>
    </row>
    <row r="179" spans="1:25" x14ac:dyDescent="0.75">
      <c r="A179" t="s">
        <v>352</v>
      </c>
      <c r="B179" s="10" t="s">
        <v>550</v>
      </c>
      <c r="C179" t="s">
        <v>353</v>
      </c>
      <c r="D179" t="s">
        <v>32</v>
      </c>
      <c r="E179">
        <v>7300</v>
      </c>
      <c r="F179" t="s">
        <v>33</v>
      </c>
      <c r="G179">
        <f>3.41*10^-2</f>
        <v>3.4100000000000005E-2</v>
      </c>
      <c r="H179">
        <v>-1.46</v>
      </c>
      <c r="I179" t="s">
        <v>34</v>
      </c>
      <c r="J179">
        <v>4</v>
      </c>
      <c r="K179" t="s">
        <v>35</v>
      </c>
      <c r="L179" s="10" t="s">
        <v>42</v>
      </c>
      <c r="M179" t="s">
        <v>48</v>
      </c>
      <c r="N179" t="s">
        <v>37</v>
      </c>
      <c r="O179">
        <v>2.41</v>
      </c>
      <c r="P179" t="s">
        <v>59</v>
      </c>
      <c r="Q179">
        <v>10</v>
      </c>
      <c r="R179">
        <v>0.63</v>
      </c>
      <c r="S179">
        <f>R179/Q179</f>
        <v>6.3E-2</v>
      </c>
      <c r="U179">
        <v>1.8</v>
      </c>
      <c r="V179">
        <v>250</v>
      </c>
      <c r="W179" t="s">
        <v>39</v>
      </c>
      <c r="X179">
        <v>5</v>
      </c>
      <c r="Y179">
        <f t="shared" si="2"/>
        <v>50</v>
      </c>
    </row>
    <row r="180" spans="1:25" x14ac:dyDescent="0.75">
      <c r="A180" t="s">
        <v>354</v>
      </c>
      <c r="B180" t="s">
        <v>354</v>
      </c>
      <c r="C180" t="s">
        <v>355</v>
      </c>
      <c r="D180" t="s">
        <v>55</v>
      </c>
      <c r="E180">
        <v>14</v>
      </c>
      <c r="F180" t="s">
        <v>34</v>
      </c>
      <c r="G180">
        <f>2*10^3</f>
        <v>2000</v>
      </c>
      <c r="H180">
        <v>3.3</v>
      </c>
      <c r="I180" t="s">
        <v>33</v>
      </c>
      <c r="J180">
        <v>17.3</v>
      </c>
      <c r="K180" t="s">
        <v>73</v>
      </c>
      <c r="L180" t="s">
        <v>37</v>
      </c>
      <c r="M180" t="s">
        <v>37</v>
      </c>
      <c r="N180" t="s">
        <v>37</v>
      </c>
      <c r="O180">
        <v>2.54</v>
      </c>
      <c r="P180" t="s">
        <v>59</v>
      </c>
      <c r="Q180">
        <v>50</v>
      </c>
      <c r="R180">
        <v>0.16500000000000001</v>
      </c>
      <c r="S180">
        <f>R180/Q180</f>
        <v>3.3E-3</v>
      </c>
      <c r="U180">
        <v>10.8</v>
      </c>
      <c r="V180">
        <v>1000</v>
      </c>
      <c r="W180" t="s">
        <v>3</v>
      </c>
      <c r="X180">
        <v>10</v>
      </c>
      <c r="Y180">
        <f t="shared" si="2"/>
        <v>100</v>
      </c>
    </row>
    <row r="181" spans="1:25" x14ac:dyDescent="0.75">
      <c r="A181" t="s">
        <v>356</v>
      </c>
      <c r="B181" t="s">
        <v>356</v>
      </c>
      <c r="C181" t="s">
        <v>357</v>
      </c>
      <c r="D181" t="s">
        <v>47</v>
      </c>
      <c r="E181">
        <v>29</v>
      </c>
      <c r="F181" t="s">
        <v>34</v>
      </c>
      <c r="G181">
        <f>1.58*10^4</f>
        <v>15800</v>
      </c>
      <c r="H181">
        <v>4.2</v>
      </c>
      <c r="I181" t="s">
        <v>33</v>
      </c>
      <c r="J181">
        <v>5.0999999999999996</v>
      </c>
      <c r="K181" t="s">
        <v>35</v>
      </c>
      <c r="L181">
        <v>114</v>
      </c>
      <c r="M181" t="s">
        <v>52</v>
      </c>
      <c r="N181">
        <v>4.5999999999999996</v>
      </c>
      <c r="O181">
        <v>0.27</v>
      </c>
      <c r="P181" t="s">
        <v>38</v>
      </c>
      <c r="Q181">
        <v>100</v>
      </c>
      <c r="R181">
        <v>7.5000000000000002E-4</v>
      </c>
      <c r="S181">
        <f>R181/Q181</f>
        <v>7.5000000000000002E-6</v>
      </c>
      <c r="U181">
        <v>100</v>
      </c>
      <c r="V181">
        <v>1.4</v>
      </c>
      <c r="W181" t="s">
        <v>39</v>
      </c>
      <c r="X181">
        <v>5</v>
      </c>
      <c r="Y181">
        <f t="shared" si="2"/>
        <v>0.27999999999999997</v>
      </c>
    </row>
    <row r="182" spans="1:25" x14ac:dyDescent="0.75">
      <c r="A182" t="s">
        <v>464</v>
      </c>
      <c r="B182" t="s">
        <v>537</v>
      </c>
      <c r="C182" t="s">
        <v>358</v>
      </c>
      <c r="D182" t="s">
        <v>47</v>
      </c>
      <c r="E182">
        <v>14.5</v>
      </c>
      <c r="F182" t="s">
        <v>34</v>
      </c>
      <c r="G182">
        <f>7.94*10^3</f>
        <v>7940</v>
      </c>
      <c r="H182">
        <v>3.9</v>
      </c>
      <c r="I182" t="s">
        <v>33</v>
      </c>
      <c r="J182">
        <v>16</v>
      </c>
      <c r="K182" t="s">
        <v>73</v>
      </c>
      <c r="L182">
        <v>114</v>
      </c>
      <c r="M182" t="s">
        <v>52</v>
      </c>
      <c r="N182" t="s">
        <v>37</v>
      </c>
      <c r="O182">
        <v>-0.47</v>
      </c>
      <c r="P182" t="s">
        <v>38</v>
      </c>
      <c r="Q182" t="s">
        <v>37</v>
      </c>
      <c r="R182" t="s">
        <v>37</v>
      </c>
      <c r="S182" t="s">
        <v>37</v>
      </c>
      <c r="U182">
        <v>2.8</v>
      </c>
      <c r="V182">
        <v>9.33</v>
      </c>
      <c r="W182" t="s">
        <v>39</v>
      </c>
      <c r="X182">
        <v>5</v>
      </c>
      <c r="Y182">
        <f t="shared" si="2"/>
        <v>1.8660000000000001</v>
      </c>
    </row>
    <row r="183" spans="1:25" x14ac:dyDescent="0.75">
      <c r="A183" t="s">
        <v>465</v>
      </c>
      <c r="B183" t="s">
        <v>538</v>
      </c>
      <c r="C183" t="s">
        <v>359</v>
      </c>
      <c r="D183" t="s">
        <v>47</v>
      </c>
      <c r="E183">
        <v>0.76</v>
      </c>
      <c r="F183" t="s">
        <v>34</v>
      </c>
      <c r="G183">
        <f>2*10^4</f>
        <v>20000</v>
      </c>
      <c r="H183">
        <v>4.3</v>
      </c>
      <c r="I183" t="s">
        <v>33</v>
      </c>
      <c r="J183">
        <v>11</v>
      </c>
      <c r="K183" t="s">
        <v>35</v>
      </c>
      <c r="L183">
        <v>115</v>
      </c>
      <c r="M183" t="s">
        <v>52</v>
      </c>
      <c r="N183" t="s">
        <v>37</v>
      </c>
      <c r="O183">
        <v>-0.51</v>
      </c>
      <c r="P183" t="s">
        <v>38</v>
      </c>
      <c r="Q183" t="s">
        <v>37</v>
      </c>
      <c r="R183" t="s">
        <v>37</v>
      </c>
      <c r="S183" t="s">
        <v>37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</row>
    <row r="184" spans="1:25" x14ac:dyDescent="0.75">
      <c r="A184" t="s">
        <v>360</v>
      </c>
      <c r="B184" t="s">
        <v>360</v>
      </c>
      <c r="C184" t="s">
        <v>361</v>
      </c>
      <c r="D184" t="s">
        <v>47</v>
      </c>
      <c r="E184">
        <v>29.9</v>
      </c>
      <c r="F184" t="s">
        <v>34</v>
      </c>
      <c r="G184">
        <f>3.24*10^2</f>
        <v>324</v>
      </c>
      <c r="H184">
        <v>2.5099999999999998</v>
      </c>
      <c r="I184" t="s">
        <v>34</v>
      </c>
      <c r="J184">
        <v>0.78</v>
      </c>
      <c r="K184" t="s">
        <v>81</v>
      </c>
      <c r="L184" s="10" t="s">
        <v>42</v>
      </c>
      <c r="M184" t="s">
        <v>48</v>
      </c>
      <c r="N184" t="s">
        <v>37</v>
      </c>
      <c r="O184">
        <v>-0.24</v>
      </c>
      <c r="P184" t="s">
        <v>38</v>
      </c>
      <c r="Q184">
        <v>100</v>
      </c>
      <c r="R184">
        <v>0.1</v>
      </c>
      <c r="S184">
        <f>R184/Q184</f>
        <v>1E-3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</row>
    <row r="185" spans="1:25" x14ac:dyDescent="0.75">
      <c r="A185" t="s">
        <v>466</v>
      </c>
      <c r="B185" t="s">
        <v>539</v>
      </c>
      <c r="C185" t="s">
        <v>362</v>
      </c>
      <c r="D185" t="s">
        <v>47</v>
      </c>
      <c r="E185" t="s">
        <v>42</v>
      </c>
      <c r="F185" t="s">
        <v>42</v>
      </c>
      <c r="G185" t="s">
        <v>42</v>
      </c>
      <c r="H185" t="s">
        <v>42</v>
      </c>
      <c r="I185" t="s">
        <v>42</v>
      </c>
      <c r="J185" t="s">
        <v>42</v>
      </c>
      <c r="K185" t="s">
        <v>42</v>
      </c>
      <c r="L185" t="s">
        <v>42</v>
      </c>
      <c r="M185" t="s">
        <v>42</v>
      </c>
      <c r="N185" t="s">
        <v>42</v>
      </c>
      <c r="O185" t="s">
        <v>42</v>
      </c>
      <c r="P185" t="s">
        <v>42</v>
      </c>
      <c r="Q185" t="s">
        <v>42</v>
      </c>
      <c r="R185" t="s">
        <v>42</v>
      </c>
      <c r="S185" t="s">
        <v>42</v>
      </c>
      <c r="U185">
        <v>0.7</v>
      </c>
      <c r="V185">
        <v>100</v>
      </c>
      <c r="W185" t="s">
        <v>39</v>
      </c>
      <c r="X185">
        <v>5</v>
      </c>
      <c r="Y185">
        <f t="shared" si="2"/>
        <v>20</v>
      </c>
    </row>
    <row r="186" spans="1:25" x14ac:dyDescent="0.75">
      <c r="A186" t="s">
        <v>467</v>
      </c>
      <c r="B186" t="s">
        <v>540</v>
      </c>
      <c r="C186" t="s">
        <v>363</v>
      </c>
      <c r="D186" t="s">
        <v>47</v>
      </c>
      <c r="E186" t="s">
        <v>42</v>
      </c>
      <c r="F186" t="s">
        <v>42</v>
      </c>
      <c r="G186" t="s">
        <v>42</v>
      </c>
      <c r="H186" t="s">
        <v>42</v>
      </c>
      <c r="I186" t="s">
        <v>42</v>
      </c>
      <c r="J186" t="s">
        <v>42</v>
      </c>
      <c r="K186" t="s">
        <v>42</v>
      </c>
      <c r="L186" t="s">
        <v>42</v>
      </c>
      <c r="M186" t="s">
        <v>42</v>
      </c>
      <c r="N186" t="s">
        <v>42</v>
      </c>
      <c r="O186" t="s">
        <v>42</v>
      </c>
      <c r="P186" t="s">
        <v>42</v>
      </c>
      <c r="Q186" t="s">
        <v>42</v>
      </c>
      <c r="R186" t="s">
        <v>42</v>
      </c>
      <c r="S186" t="s">
        <v>42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</row>
    <row r="187" spans="1:25" x14ac:dyDescent="0.75">
      <c r="A187" t="s">
        <v>468</v>
      </c>
      <c r="B187" t="s">
        <v>541</v>
      </c>
      <c r="C187" t="s">
        <v>364</v>
      </c>
      <c r="D187" t="s">
        <v>47</v>
      </c>
      <c r="E187" t="s">
        <v>42</v>
      </c>
      <c r="F187" t="s">
        <v>42</v>
      </c>
      <c r="G187" t="s">
        <v>42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  <c r="Q187" t="s">
        <v>42</v>
      </c>
      <c r="R187" t="s">
        <v>42</v>
      </c>
      <c r="S187" t="s">
        <v>42</v>
      </c>
      <c r="U187" t="s">
        <v>42</v>
      </c>
      <c r="V187" t="s">
        <v>42</v>
      </c>
      <c r="W187" t="s">
        <v>42</v>
      </c>
      <c r="X187" t="s">
        <v>42</v>
      </c>
      <c r="Y187" t="s">
        <v>42</v>
      </c>
    </row>
    <row r="188" spans="1:25" x14ac:dyDescent="0.75">
      <c r="A188" t="s">
        <v>469</v>
      </c>
      <c r="B188" t="s">
        <v>542</v>
      </c>
      <c r="C188" t="s">
        <v>365</v>
      </c>
      <c r="D188" t="s">
        <v>47</v>
      </c>
      <c r="E188" t="s">
        <v>42</v>
      </c>
      <c r="F188" t="s">
        <v>42</v>
      </c>
      <c r="G188" t="s">
        <v>42</v>
      </c>
      <c r="H188" t="s">
        <v>42</v>
      </c>
      <c r="I188" t="s">
        <v>42</v>
      </c>
      <c r="J188" t="s">
        <v>42</v>
      </c>
      <c r="K188" t="s">
        <v>42</v>
      </c>
      <c r="L188" t="s">
        <v>42</v>
      </c>
      <c r="M188" t="s">
        <v>42</v>
      </c>
      <c r="N188" t="s">
        <v>42</v>
      </c>
      <c r="O188" t="s">
        <v>42</v>
      </c>
      <c r="P188" t="s">
        <v>42</v>
      </c>
      <c r="Q188" t="s">
        <v>42</v>
      </c>
      <c r="R188" t="s">
        <v>42</v>
      </c>
      <c r="S188" t="s">
        <v>42</v>
      </c>
      <c r="U188">
        <v>14.2</v>
      </c>
      <c r="V188">
        <v>1000</v>
      </c>
      <c r="W188" t="s">
        <v>3</v>
      </c>
      <c r="X188">
        <v>10</v>
      </c>
      <c r="Y188">
        <f t="shared" si="2"/>
        <v>100</v>
      </c>
    </row>
    <row r="189" spans="1:25" x14ac:dyDescent="0.75">
      <c r="A189" t="s">
        <v>366</v>
      </c>
      <c r="B189" t="s">
        <v>366</v>
      </c>
      <c r="C189" t="s">
        <v>367</v>
      </c>
      <c r="D189" t="s">
        <v>55</v>
      </c>
      <c r="E189">
        <v>405</v>
      </c>
      <c r="F189" t="s">
        <v>58</v>
      </c>
      <c r="G189">
        <f>7.76*10^2</f>
        <v>776</v>
      </c>
      <c r="H189">
        <v>2.89</v>
      </c>
      <c r="I189" t="s">
        <v>58</v>
      </c>
      <c r="J189">
        <v>0.8</v>
      </c>
      <c r="K189" t="s">
        <v>81</v>
      </c>
      <c r="L189">
        <v>79</v>
      </c>
      <c r="M189" t="s">
        <v>36</v>
      </c>
      <c r="N189" t="s">
        <v>37</v>
      </c>
      <c r="O189">
        <v>-0.28000000000000003</v>
      </c>
      <c r="P189" t="s">
        <v>38</v>
      </c>
      <c r="Q189">
        <v>10</v>
      </c>
      <c r="R189">
        <v>2.0000000000000001E-4</v>
      </c>
      <c r="S189">
        <f>R189/Q189</f>
        <v>2.0000000000000002E-5</v>
      </c>
      <c r="U189" t="s">
        <v>42</v>
      </c>
      <c r="V189" t="s">
        <v>42</v>
      </c>
      <c r="W189" t="s">
        <v>42</v>
      </c>
      <c r="X189" t="s">
        <v>42</v>
      </c>
      <c r="Y189" t="s">
        <v>42</v>
      </c>
    </row>
    <row r="190" spans="1:25" x14ac:dyDescent="0.75">
      <c r="A190" t="s">
        <v>470</v>
      </c>
      <c r="B190" t="s">
        <v>543</v>
      </c>
      <c r="C190" t="s">
        <v>368</v>
      </c>
      <c r="D190" t="s">
        <v>47</v>
      </c>
      <c r="E190">
        <v>1.0300000000000001E-3</v>
      </c>
      <c r="F190" t="s">
        <v>34</v>
      </c>
      <c r="G190">
        <f>1.05*10^7</f>
        <v>10500000</v>
      </c>
      <c r="H190">
        <v>7.02</v>
      </c>
      <c r="I190" t="s">
        <v>33</v>
      </c>
      <c r="J190">
        <v>1</v>
      </c>
      <c r="K190" t="s">
        <v>35</v>
      </c>
      <c r="L190">
        <v>1979</v>
      </c>
      <c r="M190" t="s">
        <v>52</v>
      </c>
      <c r="N190" t="s">
        <v>37</v>
      </c>
      <c r="O190">
        <v>-0.69</v>
      </c>
      <c r="P190" t="s">
        <v>38</v>
      </c>
      <c r="Q190">
        <v>50</v>
      </c>
      <c r="R190">
        <v>2.0999999999999999E-5</v>
      </c>
      <c r="S190">
        <f>R190/Q190</f>
        <v>4.2E-7</v>
      </c>
      <c r="U190">
        <v>52.4</v>
      </c>
      <c r="V190">
        <v>5</v>
      </c>
      <c r="W190" t="s">
        <v>39</v>
      </c>
      <c r="X190">
        <v>5</v>
      </c>
      <c r="Y190">
        <f t="shared" si="2"/>
        <v>1</v>
      </c>
    </row>
    <row r="191" spans="1:25" x14ac:dyDescent="0.75">
      <c r="A191" t="s">
        <v>369</v>
      </c>
      <c r="B191" t="s">
        <v>369</v>
      </c>
      <c r="C191" t="s">
        <v>370</v>
      </c>
      <c r="D191" t="s">
        <v>55</v>
      </c>
      <c r="E191">
        <v>36</v>
      </c>
      <c r="F191" t="s">
        <v>34</v>
      </c>
      <c r="G191">
        <f>5.01*10^3</f>
        <v>5010</v>
      </c>
      <c r="H191">
        <v>3.7</v>
      </c>
      <c r="I191" t="s">
        <v>33</v>
      </c>
      <c r="J191">
        <v>42.6</v>
      </c>
      <c r="K191" t="s">
        <v>67</v>
      </c>
      <c r="L191">
        <v>78</v>
      </c>
      <c r="M191" t="s">
        <v>36</v>
      </c>
      <c r="N191">
        <v>2</v>
      </c>
      <c r="O191">
        <v>1.86</v>
      </c>
      <c r="P191" t="s">
        <v>59</v>
      </c>
      <c r="Q191">
        <v>10</v>
      </c>
      <c r="R191">
        <v>0.01</v>
      </c>
      <c r="S191">
        <v>1E-3</v>
      </c>
      <c r="U191">
        <v>3.5</v>
      </c>
      <c r="V191">
        <v>1.44</v>
      </c>
      <c r="W191" t="s">
        <v>39</v>
      </c>
      <c r="X191">
        <v>5</v>
      </c>
      <c r="Y191">
        <f t="shared" si="2"/>
        <v>0.28799999999999998</v>
      </c>
    </row>
    <row r="192" spans="1:25" x14ac:dyDescent="0.75">
      <c r="A192" t="s">
        <v>371</v>
      </c>
      <c r="B192" t="s">
        <v>371</v>
      </c>
      <c r="C192" t="s">
        <v>372</v>
      </c>
      <c r="D192" t="s">
        <v>32</v>
      </c>
      <c r="E192">
        <v>6.6</v>
      </c>
      <c r="F192" t="s">
        <v>34</v>
      </c>
      <c r="G192">
        <f>2.51*10^3</f>
        <v>2510</v>
      </c>
      <c r="H192">
        <v>3.4</v>
      </c>
      <c r="I192" t="s">
        <v>33</v>
      </c>
      <c r="J192">
        <v>6</v>
      </c>
      <c r="K192" t="s">
        <v>35</v>
      </c>
      <c r="L192">
        <v>34</v>
      </c>
      <c r="M192" t="s">
        <v>36</v>
      </c>
      <c r="N192">
        <v>0.8</v>
      </c>
      <c r="O192">
        <v>2.19</v>
      </c>
      <c r="P192" t="s">
        <v>59</v>
      </c>
      <c r="Q192">
        <v>100</v>
      </c>
      <c r="R192">
        <v>1.2E-2</v>
      </c>
      <c r="S192">
        <v>1.2E-4</v>
      </c>
      <c r="U192">
        <v>47.1</v>
      </c>
      <c r="V192">
        <v>10</v>
      </c>
      <c r="W192" t="s">
        <v>39</v>
      </c>
      <c r="X192">
        <v>5</v>
      </c>
      <c r="Y192">
        <f t="shared" si="2"/>
        <v>2</v>
      </c>
    </row>
    <row r="193" spans="1:25" x14ac:dyDescent="0.75">
      <c r="A193" t="s">
        <v>471</v>
      </c>
      <c r="B193" t="s">
        <v>544</v>
      </c>
      <c r="C193" t="s">
        <v>373</v>
      </c>
      <c r="D193" t="s">
        <v>32</v>
      </c>
      <c r="E193">
        <v>327.10000000000002</v>
      </c>
      <c r="F193" t="s">
        <v>58</v>
      </c>
      <c r="G193">
        <f>2*10^2</f>
        <v>200</v>
      </c>
      <c r="H193">
        <v>2.2999999999999998</v>
      </c>
      <c r="I193" t="s">
        <v>34</v>
      </c>
      <c r="J193" t="s">
        <v>37</v>
      </c>
      <c r="K193" t="s">
        <v>37</v>
      </c>
      <c r="L193" t="s">
        <v>37</v>
      </c>
      <c r="M193" t="s">
        <v>37</v>
      </c>
      <c r="N193" t="s">
        <v>37</v>
      </c>
      <c r="O193">
        <v>3.07</v>
      </c>
      <c r="P193" t="s">
        <v>44</v>
      </c>
      <c r="Q193">
        <v>1000</v>
      </c>
      <c r="R193">
        <v>0.14000000000000001</v>
      </c>
      <c r="S193">
        <v>1.4000000000000001E-4</v>
      </c>
      <c r="U193">
        <v>21.8</v>
      </c>
      <c r="V193">
        <v>141.69999999999999</v>
      </c>
      <c r="W193" t="s">
        <v>3</v>
      </c>
      <c r="X193">
        <v>10</v>
      </c>
      <c r="Y193">
        <f t="shared" si="2"/>
        <v>14.169999999999998</v>
      </c>
    </row>
    <row r="194" spans="1:25" x14ac:dyDescent="0.75">
      <c r="A194" t="s">
        <v>374</v>
      </c>
      <c r="B194" t="s">
        <v>374</v>
      </c>
      <c r="C194" t="s">
        <v>375</v>
      </c>
      <c r="D194" t="s">
        <v>32</v>
      </c>
      <c r="E194">
        <v>25</v>
      </c>
      <c r="F194" t="s">
        <v>34</v>
      </c>
      <c r="G194">
        <f>4.57*10^3</f>
        <v>4570</v>
      </c>
      <c r="H194">
        <v>3.66</v>
      </c>
      <c r="I194" t="s">
        <v>33</v>
      </c>
      <c r="J194">
        <v>27</v>
      </c>
      <c r="K194" t="s">
        <v>73</v>
      </c>
      <c r="L194">
        <v>72.400000000000006</v>
      </c>
      <c r="M194" t="s">
        <v>36</v>
      </c>
      <c r="N194">
        <v>0.5</v>
      </c>
      <c r="O194">
        <v>2.21</v>
      </c>
      <c r="P194" t="s">
        <v>59</v>
      </c>
      <c r="Q194">
        <v>100</v>
      </c>
      <c r="R194">
        <v>1.6000000000000001E-3</v>
      </c>
      <c r="S194">
        <f>R194/Q194</f>
        <v>1.5999999999999999E-5</v>
      </c>
      <c r="U194">
        <v>28.6</v>
      </c>
      <c r="V194">
        <v>120</v>
      </c>
      <c r="W194" t="s">
        <v>3</v>
      </c>
      <c r="X194">
        <v>10</v>
      </c>
      <c r="Y194">
        <f t="shared" si="2"/>
        <v>12</v>
      </c>
    </row>
    <row r="195" spans="1:25" x14ac:dyDescent="0.75">
      <c r="A195" t="s">
        <v>376</v>
      </c>
      <c r="B195" t="s">
        <v>376</v>
      </c>
      <c r="C195" t="s">
        <v>377</v>
      </c>
      <c r="D195" t="s">
        <v>55</v>
      </c>
      <c r="E195">
        <v>156.6</v>
      </c>
      <c r="F195" t="s">
        <v>58</v>
      </c>
      <c r="G195">
        <f>3.63*10^3</f>
        <v>3630</v>
      </c>
      <c r="H195">
        <v>3.56</v>
      </c>
      <c r="I195" t="s">
        <v>33</v>
      </c>
      <c r="J195">
        <v>2</v>
      </c>
      <c r="K195" t="s">
        <v>35</v>
      </c>
      <c r="L195">
        <v>35.700000000000003</v>
      </c>
      <c r="M195" t="s">
        <v>36</v>
      </c>
      <c r="N195">
        <v>0.189</v>
      </c>
      <c r="O195">
        <v>2.4700000000000002</v>
      </c>
      <c r="P195" t="s">
        <v>59</v>
      </c>
      <c r="Q195">
        <v>100</v>
      </c>
      <c r="R195">
        <v>0.19</v>
      </c>
      <c r="S195">
        <f>R195/Q195</f>
        <v>1.9E-3</v>
      </c>
      <c r="U195">
        <v>52</v>
      </c>
      <c r="V195">
        <v>170</v>
      </c>
      <c r="W195" t="s">
        <v>3</v>
      </c>
      <c r="X195">
        <v>10</v>
      </c>
      <c r="Y195">
        <f t="shared" si="2"/>
        <v>17</v>
      </c>
    </row>
    <row r="196" spans="1:25" x14ac:dyDescent="0.75">
      <c r="A196" t="s">
        <v>378</v>
      </c>
      <c r="B196" t="s">
        <v>378</v>
      </c>
      <c r="C196" t="s">
        <v>379</v>
      </c>
      <c r="D196" t="s">
        <v>47</v>
      </c>
      <c r="E196">
        <v>1.83</v>
      </c>
      <c r="F196" t="s">
        <v>34</v>
      </c>
      <c r="G196">
        <f>3.98*10^4</f>
        <v>39800</v>
      </c>
      <c r="H196">
        <v>4.5999999999999996</v>
      </c>
      <c r="I196" t="s">
        <v>33</v>
      </c>
      <c r="J196" t="s">
        <v>37</v>
      </c>
      <c r="K196" t="s">
        <v>37</v>
      </c>
      <c r="L196" t="s">
        <v>37</v>
      </c>
      <c r="M196" t="s">
        <v>37</v>
      </c>
      <c r="N196" t="s">
        <v>37</v>
      </c>
      <c r="O196">
        <v>-0.42</v>
      </c>
      <c r="P196" t="s">
        <v>38</v>
      </c>
      <c r="Q196">
        <v>1000</v>
      </c>
      <c r="R196">
        <v>1.6E-2</v>
      </c>
      <c r="S196">
        <f>R196/Q196</f>
        <v>1.5999999999999999E-5</v>
      </c>
      <c r="U196">
        <v>430</v>
      </c>
      <c r="V196">
        <v>8.1999999999999993</v>
      </c>
      <c r="W196" t="s">
        <v>39</v>
      </c>
      <c r="X196">
        <v>5</v>
      </c>
      <c r="Y196">
        <f t="shared" si="2"/>
        <v>1.64</v>
      </c>
    </row>
    <row r="197" spans="1:25" x14ac:dyDescent="0.75">
      <c r="A197" t="s">
        <v>380</v>
      </c>
      <c r="B197" t="s">
        <v>380</v>
      </c>
      <c r="C197" t="s">
        <v>381</v>
      </c>
      <c r="D197" t="s">
        <v>47</v>
      </c>
      <c r="E197">
        <v>30</v>
      </c>
      <c r="F197" t="s">
        <v>34</v>
      </c>
      <c r="G197">
        <f>2.45*10^2</f>
        <v>245.00000000000003</v>
      </c>
      <c r="H197">
        <v>2.39</v>
      </c>
      <c r="I197" t="s">
        <v>34</v>
      </c>
      <c r="J197">
        <v>1.6</v>
      </c>
      <c r="K197" t="s">
        <v>35</v>
      </c>
      <c r="L197">
        <v>96.5</v>
      </c>
      <c r="M197" t="s">
        <v>36</v>
      </c>
      <c r="N197" t="s">
        <v>37</v>
      </c>
      <c r="O197">
        <v>1.94</v>
      </c>
      <c r="P197" t="s">
        <v>59</v>
      </c>
      <c r="Q197">
        <v>10</v>
      </c>
      <c r="R197">
        <v>1.2E-2</v>
      </c>
      <c r="S197">
        <f>R197/Q197</f>
        <v>1.2000000000000001E-3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</row>
    <row r="198" spans="1:25" x14ac:dyDescent="0.75">
      <c r="A198" t="s">
        <v>382</v>
      </c>
      <c r="B198" t="s">
        <v>382</v>
      </c>
      <c r="C198" t="s">
        <v>383</v>
      </c>
      <c r="D198" t="s">
        <v>47</v>
      </c>
      <c r="E198">
        <v>184</v>
      </c>
      <c r="F198" t="s">
        <v>58</v>
      </c>
      <c r="G198">
        <f>1.82*10^1</f>
        <v>18.2</v>
      </c>
      <c r="H198">
        <v>1.26</v>
      </c>
      <c r="I198" t="s">
        <v>34</v>
      </c>
      <c r="J198">
        <v>1000</v>
      </c>
      <c r="K198" t="s">
        <v>67</v>
      </c>
      <c r="L198" s="10" t="s">
        <v>42</v>
      </c>
      <c r="M198" t="s">
        <v>48</v>
      </c>
      <c r="N198" t="s">
        <v>37</v>
      </c>
      <c r="O198">
        <v>1.1000000000000001</v>
      </c>
      <c r="P198" t="s">
        <v>38</v>
      </c>
      <c r="Q198">
        <v>10</v>
      </c>
      <c r="R198">
        <v>1.9000000000000001E-4</v>
      </c>
      <c r="S198">
        <f>R198/Q198</f>
        <v>1.9000000000000001E-5</v>
      </c>
      <c r="U198">
        <v>724</v>
      </c>
      <c r="V198">
        <v>2.1</v>
      </c>
      <c r="W198" t="s">
        <v>39</v>
      </c>
      <c r="X198">
        <v>5</v>
      </c>
      <c r="Y198">
        <f t="shared" si="2"/>
        <v>0.42000000000000004</v>
      </c>
    </row>
    <row r="199" spans="1:25" x14ac:dyDescent="0.75">
      <c r="A199" t="s">
        <v>384</v>
      </c>
      <c r="B199" t="s">
        <v>384</v>
      </c>
      <c r="C199" t="s">
        <v>385</v>
      </c>
      <c r="D199" t="s">
        <v>47</v>
      </c>
      <c r="E199">
        <v>4100</v>
      </c>
      <c r="F199" t="s">
        <v>33</v>
      </c>
      <c r="G199">
        <f>7.41*10^-1</f>
        <v>0.7410000000000001</v>
      </c>
      <c r="H199">
        <v>-0.13</v>
      </c>
      <c r="I199" t="s">
        <v>34</v>
      </c>
      <c r="J199">
        <v>30.6</v>
      </c>
      <c r="K199" t="s">
        <v>67</v>
      </c>
      <c r="L199" s="10" t="s">
        <v>42</v>
      </c>
      <c r="M199" t="s">
        <v>48</v>
      </c>
      <c r="N199" t="s">
        <v>37</v>
      </c>
      <c r="O199">
        <v>3.58</v>
      </c>
      <c r="P199" t="s">
        <v>44</v>
      </c>
      <c r="Q199">
        <v>100</v>
      </c>
      <c r="R199">
        <v>0.01</v>
      </c>
      <c r="S199">
        <f>R199/Q199</f>
        <v>1E-4</v>
      </c>
      <c r="U199">
        <v>8.1</v>
      </c>
      <c r="V199">
        <v>0.185</v>
      </c>
      <c r="W199" t="s">
        <v>39</v>
      </c>
      <c r="X199">
        <v>5</v>
      </c>
      <c r="Y199">
        <f t="shared" ref="Y199:Y209" si="3">V199/X199</f>
        <v>3.6999999999999998E-2</v>
      </c>
    </row>
    <row r="200" spans="1:25" x14ac:dyDescent="0.75">
      <c r="A200" t="s">
        <v>472</v>
      </c>
      <c r="B200" t="s">
        <v>545</v>
      </c>
      <c r="C200" t="s">
        <v>386</v>
      </c>
      <c r="D200" t="s">
        <v>32</v>
      </c>
      <c r="E200">
        <v>436</v>
      </c>
      <c r="F200" t="s">
        <v>58</v>
      </c>
      <c r="G200">
        <f>1.05*10^-2</f>
        <v>1.0500000000000001E-2</v>
      </c>
      <c r="H200">
        <v>-1.98</v>
      </c>
      <c r="I200" t="s">
        <v>34</v>
      </c>
      <c r="J200">
        <v>21.3</v>
      </c>
      <c r="K200" t="s">
        <v>73</v>
      </c>
      <c r="L200" s="10" t="s">
        <v>42</v>
      </c>
      <c r="M200" t="s">
        <v>48</v>
      </c>
      <c r="N200" t="s">
        <v>37</v>
      </c>
      <c r="O200">
        <v>2.46</v>
      </c>
      <c r="P200" t="s">
        <v>59</v>
      </c>
      <c r="Q200">
        <v>100</v>
      </c>
      <c r="R200">
        <v>8.0000000000000004E-4</v>
      </c>
      <c r="S200">
        <f>R200/Q200</f>
        <v>7.9999999999999996E-6</v>
      </c>
      <c r="U200">
        <v>39</v>
      </c>
      <c r="V200">
        <v>5.34</v>
      </c>
      <c r="W200" t="s">
        <v>39</v>
      </c>
      <c r="X200">
        <v>5</v>
      </c>
      <c r="Y200">
        <f t="shared" si="3"/>
        <v>1.0680000000000001</v>
      </c>
    </row>
    <row r="201" spans="1:25" x14ac:dyDescent="0.75">
      <c r="A201" t="s">
        <v>473</v>
      </c>
      <c r="B201" t="s">
        <v>546</v>
      </c>
      <c r="C201" t="s">
        <v>387</v>
      </c>
      <c r="D201" t="s">
        <v>55</v>
      </c>
      <c r="E201">
        <v>18.5</v>
      </c>
      <c r="F201" t="s">
        <v>34</v>
      </c>
      <c r="G201">
        <f>2.51*10^1</f>
        <v>25.099999999999998</v>
      </c>
      <c r="H201">
        <v>1.4</v>
      </c>
      <c r="I201" t="s">
        <v>34</v>
      </c>
      <c r="J201">
        <v>3</v>
      </c>
      <c r="K201" t="s">
        <v>35</v>
      </c>
      <c r="L201">
        <v>75</v>
      </c>
      <c r="M201" t="s">
        <v>36</v>
      </c>
      <c r="N201" t="s">
        <v>37</v>
      </c>
      <c r="O201">
        <v>0.5</v>
      </c>
      <c r="P201" t="s">
        <v>38</v>
      </c>
      <c r="Q201">
        <v>100</v>
      </c>
      <c r="R201">
        <v>0.18</v>
      </c>
      <c r="S201">
        <f>R201/Q201</f>
        <v>1.8E-3</v>
      </c>
      <c r="U201">
        <v>17</v>
      </c>
      <c r="V201">
        <v>1000</v>
      </c>
      <c r="W201" t="s">
        <v>3</v>
      </c>
      <c r="X201">
        <v>10</v>
      </c>
      <c r="Y201">
        <f t="shared" si="3"/>
        <v>100</v>
      </c>
    </row>
    <row r="202" spans="1:25" x14ac:dyDescent="0.75">
      <c r="A202" t="s">
        <v>388</v>
      </c>
      <c r="B202" t="s">
        <v>388</v>
      </c>
      <c r="C202" t="s">
        <v>389</v>
      </c>
      <c r="D202" t="s">
        <v>55</v>
      </c>
      <c r="E202">
        <v>0.9</v>
      </c>
      <c r="F202" t="s">
        <v>34</v>
      </c>
      <c r="G202">
        <f>7.94*10^3</f>
        <v>7940</v>
      </c>
      <c r="H202">
        <v>3.9</v>
      </c>
      <c r="I202" t="s">
        <v>33</v>
      </c>
      <c r="J202">
        <v>14</v>
      </c>
      <c r="K202" t="s">
        <v>73</v>
      </c>
      <c r="L202">
        <v>74</v>
      </c>
      <c r="M202" t="s">
        <v>36</v>
      </c>
      <c r="N202">
        <v>0.38</v>
      </c>
      <c r="O202" t="s">
        <v>37</v>
      </c>
      <c r="P202" t="s">
        <v>37</v>
      </c>
      <c r="Q202">
        <v>10</v>
      </c>
      <c r="R202">
        <v>9.7999999999999997E-3</v>
      </c>
      <c r="S202">
        <f>R202/Q202</f>
        <v>9.7999999999999997E-4</v>
      </c>
      <c r="U202">
        <v>2</v>
      </c>
      <c r="V202">
        <v>1.6</v>
      </c>
      <c r="W202" t="s">
        <v>39</v>
      </c>
      <c r="X202">
        <v>5</v>
      </c>
      <c r="Y202">
        <f t="shared" si="3"/>
        <v>0.32</v>
      </c>
    </row>
    <row r="203" spans="1:25" x14ac:dyDescent="0.75">
      <c r="A203" t="s">
        <v>474</v>
      </c>
      <c r="B203" t="s">
        <v>547</v>
      </c>
      <c r="C203" t="s">
        <v>390</v>
      </c>
      <c r="D203" t="s">
        <v>42</v>
      </c>
      <c r="E203" t="s">
        <v>37</v>
      </c>
      <c r="F203" t="s">
        <v>37</v>
      </c>
      <c r="G203" t="s">
        <v>37</v>
      </c>
      <c r="H203" t="s">
        <v>37</v>
      </c>
      <c r="I203" t="s">
        <v>37</v>
      </c>
      <c r="J203" t="s">
        <v>37</v>
      </c>
      <c r="K203" t="s">
        <v>37</v>
      </c>
      <c r="L203" t="s">
        <v>37</v>
      </c>
      <c r="M203" t="s">
        <v>37</v>
      </c>
      <c r="N203" t="s">
        <v>37</v>
      </c>
      <c r="O203">
        <v>1.1499999999999999</v>
      </c>
      <c r="P203" t="s">
        <v>38</v>
      </c>
      <c r="Q203">
        <v>1000</v>
      </c>
      <c r="R203">
        <v>5.75</v>
      </c>
      <c r="S203">
        <f>R203/Q203</f>
        <v>5.7499999999999999E-3</v>
      </c>
      <c r="U203">
        <v>6</v>
      </c>
      <c r="V203">
        <v>1000</v>
      </c>
      <c r="W203" t="s">
        <v>3</v>
      </c>
      <c r="X203">
        <v>10</v>
      </c>
      <c r="Y203">
        <f t="shared" si="3"/>
        <v>100</v>
      </c>
    </row>
    <row r="204" spans="1:25" x14ac:dyDescent="0.75">
      <c r="A204" t="s">
        <v>475</v>
      </c>
      <c r="B204" t="s">
        <v>548</v>
      </c>
      <c r="C204" t="s">
        <v>391</v>
      </c>
      <c r="D204" t="s">
        <v>32</v>
      </c>
      <c r="E204">
        <v>4.0999999999999996</v>
      </c>
      <c r="F204" t="s">
        <v>34</v>
      </c>
      <c r="G204">
        <f>1.15*10^4</f>
        <v>11500</v>
      </c>
      <c r="H204">
        <v>4.0599999999999996</v>
      </c>
      <c r="I204" t="s">
        <v>33</v>
      </c>
      <c r="J204">
        <v>104</v>
      </c>
      <c r="K204" t="s">
        <v>67</v>
      </c>
      <c r="L204">
        <v>1400</v>
      </c>
      <c r="M204" t="s">
        <v>52</v>
      </c>
      <c r="N204" t="s">
        <v>37</v>
      </c>
      <c r="O204">
        <v>0.61</v>
      </c>
      <c r="P204" t="s">
        <v>38</v>
      </c>
      <c r="Q204">
        <v>10</v>
      </c>
      <c r="R204">
        <v>1.2999999999999999E-2</v>
      </c>
      <c r="S204">
        <f>R204/Q204</f>
        <v>1.2999999999999999E-3</v>
      </c>
      <c r="U204" t="s">
        <v>37</v>
      </c>
      <c r="V204" t="s">
        <v>37</v>
      </c>
      <c r="W204" t="s">
        <v>37</v>
      </c>
      <c r="X204" t="s">
        <v>37</v>
      </c>
      <c r="Y204" t="s">
        <v>37</v>
      </c>
    </row>
    <row r="205" spans="1:25" x14ac:dyDescent="0.75">
      <c r="A205" t="s">
        <v>392</v>
      </c>
      <c r="B205" t="s">
        <v>392</v>
      </c>
      <c r="C205" t="s">
        <v>393</v>
      </c>
      <c r="D205" t="s">
        <v>55</v>
      </c>
      <c r="E205">
        <v>596</v>
      </c>
      <c r="F205" t="s">
        <v>33</v>
      </c>
      <c r="G205">
        <f>2.51*10^1</f>
        <v>25.099999999999998</v>
      </c>
      <c r="H205">
        <v>1.4</v>
      </c>
      <c r="I205" t="s">
        <v>34</v>
      </c>
      <c r="J205">
        <v>92</v>
      </c>
      <c r="K205" t="s">
        <v>67</v>
      </c>
      <c r="L205">
        <v>3.1</v>
      </c>
      <c r="M205" t="s">
        <v>36</v>
      </c>
      <c r="N205" t="s">
        <v>37</v>
      </c>
      <c r="O205">
        <v>3.89</v>
      </c>
      <c r="P205" t="s">
        <v>44</v>
      </c>
      <c r="Q205">
        <v>50</v>
      </c>
      <c r="R205">
        <v>8.1000000000000003E-2</v>
      </c>
      <c r="S205">
        <f>R205/Q205</f>
        <v>1.6200000000000001E-3</v>
      </c>
      <c r="U205">
        <v>46</v>
      </c>
      <c r="V205">
        <v>13.62</v>
      </c>
      <c r="W205" t="s">
        <v>39</v>
      </c>
      <c r="X205">
        <v>5</v>
      </c>
      <c r="Y205">
        <f t="shared" si="3"/>
        <v>2.7239999999999998</v>
      </c>
    </row>
    <row r="206" spans="1:25" x14ac:dyDescent="0.75">
      <c r="A206" t="s">
        <v>394</v>
      </c>
      <c r="B206" t="s">
        <v>394</v>
      </c>
      <c r="C206" t="s">
        <v>395</v>
      </c>
      <c r="D206" t="s">
        <v>55</v>
      </c>
      <c r="E206">
        <v>0.61</v>
      </c>
      <c r="F206" t="s">
        <v>34</v>
      </c>
      <c r="G206">
        <f>3.16*10^4</f>
        <v>31600</v>
      </c>
      <c r="H206">
        <v>4.5</v>
      </c>
      <c r="I206" t="s">
        <v>33</v>
      </c>
      <c r="J206">
        <v>1.1000000000000001</v>
      </c>
      <c r="K206" t="s">
        <v>35</v>
      </c>
      <c r="L206">
        <v>431</v>
      </c>
      <c r="M206" t="s">
        <v>52</v>
      </c>
      <c r="N206" t="s">
        <v>37</v>
      </c>
      <c r="O206">
        <v>0.15</v>
      </c>
      <c r="P206" t="s">
        <v>38</v>
      </c>
      <c r="Q206">
        <v>100</v>
      </c>
      <c r="R206">
        <v>3.0000000000000001E-3</v>
      </c>
      <c r="S206">
        <v>3.0000000000000001E-5</v>
      </c>
      <c r="U206">
        <v>130</v>
      </c>
      <c r="V206">
        <v>250</v>
      </c>
      <c r="W206" t="s">
        <v>39</v>
      </c>
      <c r="X206">
        <v>5</v>
      </c>
      <c r="Y206">
        <f t="shared" si="3"/>
        <v>50</v>
      </c>
    </row>
    <row r="207" spans="1:25" x14ac:dyDescent="0.75">
      <c r="A207" t="s">
        <v>476</v>
      </c>
      <c r="B207" t="s">
        <v>549</v>
      </c>
      <c r="C207" t="s">
        <v>396</v>
      </c>
      <c r="D207" t="s">
        <v>55</v>
      </c>
      <c r="E207">
        <v>21000</v>
      </c>
      <c r="F207" t="s">
        <v>33</v>
      </c>
      <c r="G207" t="s">
        <v>37</v>
      </c>
      <c r="H207" t="s">
        <v>37</v>
      </c>
      <c r="I207" t="s">
        <v>37</v>
      </c>
      <c r="J207">
        <v>210</v>
      </c>
      <c r="K207" t="s">
        <v>67</v>
      </c>
      <c r="L207" t="s">
        <v>37</v>
      </c>
      <c r="M207" t="s">
        <v>37</v>
      </c>
      <c r="N207" t="s">
        <v>37</v>
      </c>
      <c r="O207">
        <v>3.57</v>
      </c>
      <c r="P207" t="s">
        <v>44</v>
      </c>
      <c r="Q207">
        <v>50</v>
      </c>
      <c r="R207">
        <v>3.2</v>
      </c>
      <c r="S207">
        <v>6.4000000000000001E-2</v>
      </c>
      <c r="U207">
        <v>1.69</v>
      </c>
      <c r="V207">
        <v>3.5</v>
      </c>
      <c r="W207" t="s">
        <v>39</v>
      </c>
      <c r="X207">
        <v>5</v>
      </c>
      <c r="Y207">
        <f t="shared" si="3"/>
        <v>0.7</v>
      </c>
    </row>
    <row r="208" spans="1:25" x14ac:dyDescent="0.75">
      <c r="A208" t="s">
        <v>478</v>
      </c>
      <c r="B208" t="s">
        <v>479</v>
      </c>
      <c r="C208" t="s">
        <v>43</v>
      </c>
      <c r="D208" t="s">
        <v>32</v>
      </c>
      <c r="E208">
        <v>24300</v>
      </c>
      <c r="F208" t="s">
        <v>33</v>
      </c>
      <c r="G208">
        <f>1.51*10^-1</f>
        <v>0.15100000000000002</v>
      </c>
      <c r="H208">
        <v>-0.82</v>
      </c>
      <c r="I208" t="s">
        <v>34</v>
      </c>
      <c r="J208">
        <v>7.7</v>
      </c>
      <c r="K208" t="s">
        <v>35</v>
      </c>
      <c r="L208">
        <v>10</v>
      </c>
      <c r="M208" t="s">
        <v>36</v>
      </c>
      <c r="N208" t="s">
        <v>37</v>
      </c>
      <c r="O208">
        <v>3.82</v>
      </c>
      <c r="P208" t="s">
        <v>44</v>
      </c>
      <c r="Q208">
        <v>10</v>
      </c>
      <c r="R208">
        <v>27.2</v>
      </c>
      <c r="S208">
        <v>2.7199999999999998</v>
      </c>
      <c r="U208">
        <v>70</v>
      </c>
      <c r="V208">
        <v>1000</v>
      </c>
      <c r="W208" t="s">
        <v>3</v>
      </c>
      <c r="X208">
        <v>10</v>
      </c>
      <c r="Y208">
        <f t="shared" si="3"/>
        <v>100</v>
      </c>
    </row>
    <row r="209" spans="1:25" x14ac:dyDescent="0.75">
      <c r="A209" t="s">
        <v>477</v>
      </c>
      <c r="B209" t="s">
        <v>477</v>
      </c>
      <c r="C209" t="s">
        <v>397</v>
      </c>
      <c r="D209" t="s">
        <v>55</v>
      </c>
      <c r="E209">
        <v>0.68100000000000005</v>
      </c>
      <c r="F209" t="s">
        <v>34</v>
      </c>
      <c r="G209">
        <f>5.75*10^3</f>
        <v>5750</v>
      </c>
      <c r="H209">
        <v>3.76</v>
      </c>
      <c r="I209" t="s">
        <v>33</v>
      </c>
      <c r="J209">
        <v>3</v>
      </c>
      <c r="K209" t="s">
        <v>35</v>
      </c>
      <c r="L209">
        <v>115</v>
      </c>
      <c r="M209" t="s">
        <v>52</v>
      </c>
      <c r="N209">
        <v>0.4</v>
      </c>
      <c r="O209">
        <v>0.71</v>
      </c>
      <c r="P209" t="s">
        <v>38</v>
      </c>
      <c r="Q209">
        <v>100</v>
      </c>
      <c r="R209">
        <v>4.0000000000000001E-3</v>
      </c>
      <c r="S209">
        <v>4.0000000000000003E-5</v>
      </c>
      <c r="U209">
        <v>6</v>
      </c>
      <c r="V209">
        <v>66.7</v>
      </c>
      <c r="W209" t="s">
        <v>39</v>
      </c>
      <c r="X209">
        <v>5</v>
      </c>
      <c r="Y209">
        <f t="shared" si="3"/>
        <v>13.34</v>
      </c>
    </row>
  </sheetData>
  <sortState xmlns:xlrd2="http://schemas.microsoft.com/office/spreadsheetml/2017/richdata2" ref="A2:S209">
    <sortCondition ref="A1:A2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 me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nvangroeningen</dc:creator>
  <cp:keywords/>
  <dc:description/>
  <cp:lastModifiedBy>Flo Christ</cp:lastModifiedBy>
  <cp:revision/>
  <dcterms:created xsi:type="dcterms:W3CDTF">2022-07-12T06:34:32Z</dcterms:created>
  <dcterms:modified xsi:type="dcterms:W3CDTF">2025-08-08T11:32:59Z</dcterms:modified>
  <cp:category/>
  <cp:contentStatus/>
</cp:coreProperties>
</file>