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rojects\Restoration Flows\WY 2018\Flow Management\Allocation\"/>
    </mc:Choice>
  </mc:AlternateContent>
  <bookViews>
    <workbookView xWindow="120" yWindow="150" windowWidth="15180" windowHeight="8010" tabRatio="838" activeTab="1"/>
  </bookViews>
  <sheets>
    <sheet name="Key" sheetId="5" r:id="rId1"/>
    <sheet name="Friant" sheetId="1" r:id="rId2"/>
    <sheet name="Friant.cht" sheetId="6" r:id="rId3"/>
    <sheet name="Gravelly Ford" sheetId="7" r:id="rId4"/>
    <sheet name="GravellyFord.cht" sheetId="8" r:id="rId5"/>
    <sheet name="Mendota Dam-R5" sheetId="9" r:id="rId6"/>
    <sheet name="Mendota Dam -R5.cht" sheetId="11" r:id="rId7"/>
    <sheet name="Confluence" sheetId="12" r:id="rId8"/>
    <sheet name="Confluence.cht" sheetId="13" r:id="rId9"/>
    <sheet name="ExhibitB.LUP" sheetId="15" r:id="rId10"/>
    <sheet name="YearType.LUP" sheetId="2" r:id="rId11"/>
    <sheet name="Transformation.LUP" sheetId="3" r:id="rId12"/>
    <sheet name="Allocation.LUP" sheetId="4" r:id="rId13"/>
    <sheet name="R2 Losses.LUP" sheetId="10" r:id="rId14"/>
  </sheets>
  <definedNames>
    <definedName name="_xlnm.Print_Area" localSheetId="1">Friant!$B$22:$H$39</definedName>
  </definedNames>
  <calcPr calcId="171027"/>
</workbook>
</file>

<file path=xl/calcChain.xml><?xml version="1.0" encoding="utf-8"?>
<calcChain xmlns="http://schemas.openxmlformats.org/spreadsheetml/2006/main">
  <c r="C22" i="1" l="1"/>
  <c r="N4" i="15" l="1"/>
  <c r="N5" i="15"/>
  <c r="N6" i="15"/>
  <c r="N7" i="15"/>
  <c r="N8" i="15"/>
  <c r="N9" i="15"/>
  <c r="N10" i="15"/>
  <c r="N11" i="15"/>
  <c r="N13" i="15"/>
  <c r="N14" i="15"/>
  <c r="N3" i="15"/>
  <c r="M15" i="15"/>
  <c r="L14" i="15"/>
  <c r="L13" i="15"/>
  <c r="L12" i="15"/>
  <c r="N12" i="15" s="1"/>
  <c r="N15" i="15" s="1"/>
  <c r="L11" i="15"/>
  <c r="L10" i="15"/>
  <c r="L9" i="15"/>
  <c r="L8" i="15"/>
  <c r="L7" i="15"/>
  <c r="L6" i="15"/>
  <c r="L5" i="15"/>
  <c r="L4" i="15"/>
  <c r="L3" i="15"/>
  <c r="I12" i="4" l="1"/>
  <c r="I11" i="4"/>
  <c r="I10" i="4"/>
  <c r="I9" i="4"/>
  <c r="I8" i="4"/>
  <c r="I7" i="4"/>
  <c r="I6" i="4"/>
  <c r="I5" i="4"/>
  <c r="J40" i="4"/>
  <c r="J39" i="4"/>
  <c r="J38" i="4"/>
  <c r="J37" i="4"/>
  <c r="J36" i="4"/>
  <c r="J35" i="4"/>
  <c r="J34" i="4"/>
  <c r="J33" i="4"/>
  <c r="J32" i="4"/>
  <c r="J31" i="4"/>
  <c r="Q36" i="4"/>
  <c r="R36" i="4" s="1"/>
  <c r="Q38" i="4"/>
  <c r="Q37" i="4"/>
  <c r="Q35" i="4"/>
  <c r="R35" i="4" s="1"/>
  <c r="Q34" i="4"/>
  <c r="R34" i="4" s="1"/>
  <c r="Q33" i="4"/>
  <c r="R33" i="4" s="1"/>
  <c r="Q32" i="4"/>
  <c r="R32" i="4" s="1"/>
  <c r="Q31" i="4"/>
  <c r="R31" i="4" s="1"/>
  <c r="Q30" i="4"/>
  <c r="R30" i="4" s="1"/>
  <c r="Q29" i="4"/>
  <c r="R29" i="4" s="1"/>
  <c r="Q28" i="4"/>
  <c r="R28" i="4" s="1"/>
  <c r="Q27" i="4"/>
  <c r="R27" i="4" s="1"/>
  <c r="I30" i="4"/>
  <c r="I31" i="4"/>
  <c r="I32" i="4"/>
  <c r="I33" i="4"/>
  <c r="I34" i="4"/>
  <c r="I35" i="4"/>
  <c r="I36" i="4"/>
  <c r="I37" i="4"/>
  <c r="I38" i="4"/>
  <c r="I29" i="4"/>
  <c r="P28" i="4"/>
  <c r="P29" i="4"/>
  <c r="P30" i="4"/>
  <c r="P31" i="4"/>
  <c r="P32" i="4"/>
  <c r="P33" i="4"/>
  <c r="P34" i="4"/>
  <c r="P35" i="4"/>
  <c r="P36" i="4"/>
  <c r="P27" i="4"/>
  <c r="N38" i="4"/>
  <c r="P38" i="4" s="1"/>
  <c r="N37" i="4"/>
  <c r="P37" i="4" s="1"/>
  <c r="R37" i="4" l="1"/>
  <c r="R38" i="4"/>
  <c r="R39" i="4"/>
  <c r="P39" i="4"/>
  <c r="C7" i="4"/>
  <c r="C6" i="4"/>
  <c r="C5" i="4"/>
  <c r="K12" i="7"/>
  <c r="K52" i="1"/>
  <c r="K53" i="1"/>
  <c r="K54" i="1"/>
  <c r="K55" i="1"/>
  <c r="K56" i="1"/>
  <c r="K57" i="1"/>
  <c r="K58" i="1"/>
  <c r="K59" i="1"/>
  <c r="K60" i="1"/>
  <c r="K61" i="1"/>
  <c r="K62" i="1"/>
  <c r="L62" i="1" s="1"/>
  <c r="K51" i="1"/>
  <c r="F63" i="1"/>
  <c r="I62" i="1" s="1"/>
  <c r="F53" i="1"/>
  <c r="I52" i="1"/>
  <c r="F54" i="1"/>
  <c r="I53" i="1" s="1"/>
  <c r="F55" i="1"/>
  <c r="P54" i="1"/>
  <c r="F56" i="1"/>
  <c r="P55" i="1" s="1"/>
  <c r="F57" i="1"/>
  <c r="F58" i="1"/>
  <c r="L57" i="1" s="1"/>
  <c r="I57" i="1"/>
  <c r="F59" i="1"/>
  <c r="I58" i="1" s="1"/>
  <c r="F60" i="1"/>
  <c r="I59" i="1" s="1"/>
  <c r="L59" i="1"/>
  <c r="F61" i="1"/>
  <c r="I60" i="1" s="1"/>
  <c r="F62" i="1"/>
  <c r="I61" i="1"/>
  <c r="F52" i="1"/>
  <c r="P51" i="1" s="1"/>
  <c r="C63" i="1"/>
  <c r="C62" i="1"/>
  <c r="E25" i="2"/>
  <c r="F25" i="2"/>
  <c r="G25" i="2"/>
  <c r="H25" i="2"/>
  <c r="I25" i="2"/>
  <c r="J25" i="2"/>
  <c r="K25" i="2"/>
  <c r="L25" i="2"/>
  <c r="M25" i="2"/>
  <c r="N25" i="2"/>
  <c r="O25" i="2"/>
  <c r="E18" i="2"/>
  <c r="F18" i="2"/>
  <c r="G18" i="2"/>
  <c r="H18" i="2"/>
  <c r="I18" i="2"/>
  <c r="J18" i="2"/>
  <c r="K18" i="2"/>
  <c r="L18" i="2"/>
  <c r="M18" i="2"/>
  <c r="N18" i="2"/>
  <c r="O18" i="2"/>
  <c r="E19" i="2"/>
  <c r="F19" i="2"/>
  <c r="G19" i="2"/>
  <c r="H19" i="2"/>
  <c r="I19" i="2"/>
  <c r="J19" i="2"/>
  <c r="K19" i="2"/>
  <c r="L19" i="2"/>
  <c r="M19" i="2"/>
  <c r="N19" i="2"/>
  <c r="O19" i="2"/>
  <c r="E20" i="2"/>
  <c r="F20" i="2"/>
  <c r="G20" i="2"/>
  <c r="H20" i="2"/>
  <c r="I20" i="2"/>
  <c r="J20" i="2"/>
  <c r="K20" i="2"/>
  <c r="L20" i="2"/>
  <c r="M20" i="2"/>
  <c r="N20" i="2"/>
  <c r="O20" i="2"/>
  <c r="E21" i="2"/>
  <c r="F21" i="2"/>
  <c r="G21" i="2"/>
  <c r="H21" i="2"/>
  <c r="I21" i="2"/>
  <c r="J21" i="2"/>
  <c r="K21" i="2"/>
  <c r="L21" i="2"/>
  <c r="M21" i="2"/>
  <c r="N21" i="2"/>
  <c r="O21" i="2"/>
  <c r="E22" i="2"/>
  <c r="F22" i="2"/>
  <c r="G22" i="2"/>
  <c r="H22" i="2"/>
  <c r="I22" i="2"/>
  <c r="J22" i="2"/>
  <c r="K22" i="2"/>
  <c r="L22" i="2"/>
  <c r="M22" i="2"/>
  <c r="N22" i="2"/>
  <c r="O22" i="2"/>
  <c r="E23" i="2"/>
  <c r="F23" i="2"/>
  <c r="G23" i="2"/>
  <c r="H23" i="2"/>
  <c r="I23" i="2"/>
  <c r="J23" i="2"/>
  <c r="K23" i="2"/>
  <c r="L23" i="2"/>
  <c r="M23" i="2"/>
  <c r="N23" i="2"/>
  <c r="O23" i="2"/>
  <c r="E24" i="2"/>
  <c r="F24" i="2"/>
  <c r="G24" i="2"/>
  <c r="H24" i="2"/>
  <c r="I24" i="2"/>
  <c r="J24" i="2"/>
  <c r="K24" i="2"/>
  <c r="L24" i="2"/>
  <c r="M24" i="2"/>
  <c r="N24" i="2"/>
  <c r="O24" i="2"/>
  <c r="E26" i="2"/>
  <c r="F26" i="2"/>
  <c r="G26" i="2"/>
  <c r="H26" i="2"/>
  <c r="I26" i="2"/>
  <c r="J26" i="2"/>
  <c r="K26" i="2"/>
  <c r="L26" i="2"/>
  <c r="M26" i="2"/>
  <c r="N26" i="2"/>
  <c r="O26" i="2"/>
  <c r="E27" i="2"/>
  <c r="F27" i="2"/>
  <c r="G27" i="2"/>
  <c r="H27" i="2"/>
  <c r="I27" i="2"/>
  <c r="J27" i="2"/>
  <c r="K27" i="2"/>
  <c r="L27" i="2"/>
  <c r="M27" i="2"/>
  <c r="N27" i="2"/>
  <c r="O27" i="2"/>
  <c r="D27" i="2"/>
  <c r="D26" i="2"/>
  <c r="D25" i="2"/>
  <c r="D24" i="2"/>
  <c r="D23" i="2"/>
  <c r="D22" i="2"/>
  <c r="D21" i="2"/>
  <c r="D20" i="2"/>
  <c r="D19" i="2"/>
  <c r="D18" i="2"/>
  <c r="C29" i="2"/>
  <c r="D29" i="2" s="1"/>
  <c r="C28" i="2"/>
  <c r="L28" i="2" s="1"/>
  <c r="F8" i="12"/>
  <c r="F9" i="12"/>
  <c r="F10" i="12"/>
  <c r="F11" i="12"/>
  <c r="F12" i="12"/>
  <c r="F13" i="12"/>
  <c r="F14" i="12"/>
  <c r="F15" i="12"/>
  <c r="F16" i="12"/>
  <c r="F17" i="12"/>
  <c r="F18" i="12"/>
  <c r="F7" i="12"/>
  <c r="E8" i="12"/>
  <c r="E9" i="12"/>
  <c r="E10" i="12"/>
  <c r="E11" i="12"/>
  <c r="E12" i="12"/>
  <c r="E13" i="12"/>
  <c r="E14" i="12"/>
  <c r="E15" i="12"/>
  <c r="E16" i="12"/>
  <c r="E17" i="12"/>
  <c r="E18" i="12"/>
  <c r="E7" i="12"/>
  <c r="E9" i="7"/>
  <c r="E10" i="7"/>
  <c r="E11" i="7"/>
  <c r="E12" i="7"/>
  <c r="E13" i="7"/>
  <c r="E14" i="7"/>
  <c r="E15" i="7"/>
  <c r="E16" i="7"/>
  <c r="E17" i="7"/>
  <c r="E18" i="7"/>
  <c r="E19" i="7"/>
  <c r="E8" i="7"/>
  <c r="D9" i="7"/>
  <c r="H9" i="7" s="1"/>
  <c r="D10" i="7"/>
  <c r="H10" i="7" s="1"/>
  <c r="D11" i="7"/>
  <c r="H11" i="7" s="1"/>
  <c r="D12" i="7"/>
  <c r="H12" i="7" s="1"/>
  <c r="D13" i="7"/>
  <c r="H13" i="7" s="1"/>
  <c r="D14" i="7"/>
  <c r="H14" i="7" s="1"/>
  <c r="D15" i="7"/>
  <c r="H15" i="7" s="1"/>
  <c r="D16" i="7"/>
  <c r="H16" i="7" s="1"/>
  <c r="D17" i="7"/>
  <c r="H17" i="7" s="1"/>
  <c r="D18" i="7"/>
  <c r="H18" i="7" s="1"/>
  <c r="D19" i="7"/>
  <c r="H19" i="7" s="1"/>
  <c r="D8" i="7"/>
  <c r="H8" i="7" s="1"/>
  <c r="C18" i="12"/>
  <c r="C17" i="12"/>
  <c r="C17" i="9"/>
  <c r="C16" i="9"/>
  <c r="C19" i="7"/>
  <c r="C18" i="7"/>
  <c r="B7" i="4"/>
  <c r="B6" i="4"/>
  <c r="B5" i="4"/>
  <c r="C12" i="2"/>
  <c r="C13" i="2"/>
  <c r="C20" i="1"/>
  <c r="C19" i="1"/>
  <c r="K29" i="2"/>
  <c r="J29" i="2"/>
  <c r="E29" i="2"/>
  <c r="M29" i="2"/>
  <c r="F29" i="2"/>
  <c r="N29" i="2"/>
  <c r="G29" i="2"/>
  <c r="O29" i="2"/>
  <c r="H29" i="2"/>
  <c r="H28" i="2"/>
  <c r="L54" i="1"/>
  <c r="L61" i="1"/>
  <c r="I54" i="1"/>
  <c r="P52" i="1"/>
  <c r="L60" i="1"/>
  <c r="I51" i="1"/>
  <c r="L51" i="1"/>
  <c r="I56" i="1"/>
  <c r="L58" i="1"/>
  <c r="H30" i="2" l="1"/>
  <c r="P53" i="1"/>
  <c r="P56" i="1" s="1"/>
  <c r="L53" i="1"/>
  <c r="I55" i="1"/>
  <c r="L55" i="1"/>
  <c r="L56" i="1"/>
  <c r="L52" i="1"/>
  <c r="M28" i="2"/>
  <c r="M30" i="2" s="1"/>
  <c r="J28" i="2"/>
  <c r="J30" i="2" s="1"/>
  <c r="E28" i="2"/>
  <c r="E30" i="2" s="1"/>
  <c r="L29" i="2"/>
  <c r="L30" i="2" s="1"/>
  <c r="K28" i="2"/>
  <c r="K30" i="2" s="1"/>
  <c r="G28" i="2"/>
  <c r="G30" i="2" s="1"/>
  <c r="I28" i="2"/>
  <c r="I29" i="2"/>
  <c r="I30" i="2" s="1"/>
  <c r="D28" i="2"/>
  <c r="D30" i="2" s="1"/>
  <c r="N28" i="2"/>
  <c r="N30" i="2" s="1"/>
  <c r="F28" i="2"/>
  <c r="F30" i="2" s="1"/>
  <c r="O28" i="2"/>
  <c r="O30" i="2" s="1"/>
  <c r="C4" i="1"/>
  <c r="E5" i="1" s="1"/>
  <c r="E4" i="1" l="1"/>
  <c r="C5" i="1"/>
  <c r="B1" i="15" s="1"/>
  <c r="K5" i="1" l="1"/>
  <c r="C1" i="6"/>
  <c r="C5" i="6" s="1"/>
  <c r="C4" i="12"/>
  <c r="C4" i="7"/>
  <c r="N5" i="1"/>
  <c r="O5" i="1"/>
  <c r="D8" i="1"/>
  <c r="L5" i="1"/>
  <c r="M5" i="1"/>
  <c r="B11" i="15"/>
  <c r="D17" i="1" s="1"/>
  <c r="B8" i="15"/>
  <c r="D14" i="1" s="1"/>
  <c r="B9" i="15"/>
  <c r="D15" i="1" s="1"/>
  <c r="E15" i="1" s="1"/>
  <c r="B14" i="15"/>
  <c r="D20" i="1" s="1"/>
  <c r="E20" i="1" s="1"/>
  <c r="B4" i="15"/>
  <c r="D10" i="1" s="1"/>
  <c r="B7" i="15"/>
  <c r="D13" i="1" s="1"/>
  <c r="B12" i="15"/>
  <c r="D18" i="1" s="1"/>
  <c r="B10" i="15"/>
  <c r="D16" i="1" s="1"/>
  <c r="B13" i="15"/>
  <c r="D19" i="1" s="1"/>
  <c r="B5" i="15"/>
  <c r="D11" i="1" s="1"/>
  <c r="E11" i="1" s="1"/>
  <c r="B3" i="15"/>
  <c r="D9" i="1" s="1"/>
  <c r="B6" i="15"/>
  <c r="D12" i="1" s="1"/>
  <c r="E12" i="1" s="1"/>
  <c r="C9" i="6" l="1"/>
  <c r="I4" i="1"/>
  <c r="C22" i="6"/>
  <c r="C15" i="6"/>
  <c r="C25" i="6"/>
  <c r="C14" i="6"/>
  <c r="C6" i="6"/>
  <c r="C18" i="6"/>
  <c r="C11" i="6"/>
  <c r="C17" i="6"/>
  <c r="C13" i="6"/>
  <c r="C10" i="6"/>
  <c r="C16" i="6"/>
  <c r="C4" i="6"/>
  <c r="C2" i="6"/>
  <c r="C3" i="6"/>
  <c r="C20" i="6"/>
  <c r="C23" i="6"/>
  <c r="C21" i="6"/>
  <c r="C12" i="6"/>
  <c r="C19" i="6"/>
  <c r="C8" i="6"/>
  <c r="C24" i="6"/>
  <c r="C7" i="6"/>
  <c r="E8" i="15"/>
  <c r="F8" i="15" s="1"/>
  <c r="E7" i="15"/>
  <c r="F7" i="15" s="1"/>
  <c r="G7" i="15" s="1"/>
  <c r="E4" i="15"/>
  <c r="F4" i="15" s="1"/>
  <c r="E11" i="15"/>
  <c r="F11" i="15" s="1"/>
  <c r="G11" i="15" s="1"/>
  <c r="E9" i="15"/>
  <c r="C14" i="8" s="1"/>
  <c r="E10" i="15"/>
  <c r="C17" i="8" s="1"/>
  <c r="E12" i="15"/>
  <c r="C21" i="8" s="1"/>
  <c r="E5" i="15"/>
  <c r="F5" i="15" s="1"/>
  <c r="E6" i="15"/>
  <c r="C8" i="8" s="1"/>
  <c r="E9" i="1"/>
  <c r="E14" i="15"/>
  <c r="E16" i="1"/>
  <c r="E18" i="1"/>
  <c r="E13" i="15"/>
  <c r="E10" i="1"/>
  <c r="E3" i="15"/>
  <c r="E14" i="1"/>
  <c r="E19" i="1"/>
  <c r="E13" i="1"/>
  <c r="E17" i="1"/>
  <c r="E21" i="1" l="1"/>
  <c r="K3" i="1" s="1"/>
  <c r="C18" i="8"/>
  <c r="C19" i="8"/>
  <c r="C12" i="8"/>
  <c r="C13" i="8"/>
  <c r="G8" i="15"/>
  <c r="C13" i="11" s="1"/>
  <c r="C20" i="8"/>
  <c r="F10" i="15"/>
  <c r="G10" i="15" s="1"/>
  <c r="C16" i="8"/>
  <c r="C15" i="8"/>
  <c r="F9" i="15"/>
  <c r="G9" i="15" s="1"/>
  <c r="C15" i="11" s="1"/>
  <c r="F12" i="15"/>
  <c r="G12" i="15" s="1"/>
  <c r="C20" i="11" s="1"/>
  <c r="G4" i="15"/>
  <c r="C5" i="11" s="1"/>
  <c r="C4" i="8"/>
  <c r="C5" i="8"/>
  <c r="C6" i="8"/>
  <c r="C9" i="8"/>
  <c r="C10" i="8"/>
  <c r="G5" i="15"/>
  <c r="C6" i="11" s="1"/>
  <c r="F6" i="15"/>
  <c r="G6" i="15" s="1"/>
  <c r="C9" i="11" s="1"/>
  <c r="C11" i="8"/>
  <c r="C7" i="8"/>
  <c r="C10" i="11"/>
  <c r="C11" i="11"/>
  <c r="J7" i="15"/>
  <c r="C18" i="11"/>
  <c r="C19" i="11"/>
  <c r="J11" i="15"/>
  <c r="J4" i="15"/>
  <c r="C12" i="11"/>
  <c r="C23" i="8"/>
  <c r="C22" i="8"/>
  <c r="F13" i="15"/>
  <c r="G13" i="15" s="1"/>
  <c r="F14" i="15"/>
  <c r="G14" i="15" s="1"/>
  <c r="C24" i="8"/>
  <c r="C25" i="8"/>
  <c r="C2" i="8"/>
  <c r="C3" i="8"/>
  <c r="F3" i="15"/>
  <c r="G3" i="15" s="1"/>
  <c r="J8" i="15" l="1"/>
  <c r="C13" i="13" s="1"/>
  <c r="C17" i="11"/>
  <c r="C16" i="11"/>
  <c r="J10" i="15"/>
  <c r="C17" i="13" s="1"/>
  <c r="J9" i="15"/>
  <c r="C14" i="13" s="1"/>
  <c r="C14" i="11"/>
  <c r="C21" i="11"/>
  <c r="J12" i="15"/>
  <c r="C21" i="13" s="1"/>
  <c r="C8" i="11"/>
  <c r="C4" i="11"/>
  <c r="C7" i="11"/>
  <c r="J5" i="15"/>
  <c r="C6" i="13" s="1"/>
  <c r="J6" i="15"/>
  <c r="C9" i="13" s="1"/>
  <c r="C22" i="11"/>
  <c r="C23" i="11"/>
  <c r="J13" i="15"/>
  <c r="C25" i="11"/>
  <c r="C24" i="11"/>
  <c r="J14" i="15"/>
  <c r="C3" i="11"/>
  <c r="C2" i="11"/>
  <c r="J3" i="15"/>
  <c r="C4" i="13"/>
  <c r="C5" i="13"/>
  <c r="C10" i="13"/>
  <c r="C11" i="13"/>
  <c r="C19" i="13"/>
  <c r="C18" i="13"/>
  <c r="H13" i="1"/>
  <c r="I13" i="1" s="1"/>
  <c r="H20" i="1"/>
  <c r="I20" i="1" s="1"/>
  <c r="H16" i="1"/>
  <c r="I16" i="1" s="1"/>
  <c r="H10" i="1"/>
  <c r="I10" i="1" s="1"/>
  <c r="H11" i="1"/>
  <c r="I11" i="1" s="1"/>
  <c r="H14" i="1"/>
  <c r="I14" i="1" s="1"/>
  <c r="H9" i="1"/>
  <c r="I9" i="1" s="1"/>
  <c r="J9" i="1" s="1"/>
  <c r="H17" i="1"/>
  <c r="I17" i="1" s="1"/>
  <c r="H15" i="1"/>
  <c r="I15" i="1" s="1"/>
  <c r="H12" i="1"/>
  <c r="I12" i="1" s="1"/>
  <c r="H18" i="1"/>
  <c r="I18" i="1" s="1"/>
  <c r="H19" i="1"/>
  <c r="I19" i="1" s="1"/>
  <c r="L9" i="1" l="1"/>
  <c r="M9" i="1" s="1"/>
  <c r="C15" i="13"/>
  <c r="C12" i="13"/>
  <c r="C16" i="13"/>
  <c r="C20" i="13"/>
  <c r="C8" i="13"/>
  <c r="C7" i="13"/>
  <c r="B2" i="6"/>
  <c r="B3" i="6"/>
  <c r="H24" i="1"/>
  <c r="K9" i="1"/>
  <c r="C24" i="13"/>
  <c r="C25" i="13"/>
  <c r="C2" i="13"/>
  <c r="C3" i="13"/>
  <c r="C23" i="13"/>
  <c r="C22" i="13"/>
  <c r="C24" i="1" l="1"/>
  <c r="F24" i="1" s="1"/>
  <c r="J10" i="1"/>
  <c r="L10" i="1" s="1"/>
  <c r="M10" i="1" s="1"/>
  <c r="D2" i="6"/>
  <c r="D3" i="6"/>
  <c r="G8" i="7"/>
  <c r="I8" i="7" s="1"/>
  <c r="P18" i="7" l="1"/>
  <c r="P10" i="7"/>
  <c r="N14" i="7"/>
  <c r="N22" i="7"/>
  <c r="P16" i="7"/>
  <c r="P8" i="7"/>
  <c r="N16" i="7"/>
  <c r="P22" i="7"/>
  <c r="P14" i="7"/>
  <c r="N10" i="7"/>
  <c r="N18" i="7"/>
  <c r="P19" i="7"/>
  <c r="N11" i="7"/>
  <c r="N8" i="7"/>
  <c r="P17" i="7"/>
  <c r="N12" i="7"/>
  <c r="N15" i="7"/>
  <c r="P11" i="7"/>
  <c r="N20" i="7"/>
  <c r="N9" i="7"/>
  <c r="P15" i="7"/>
  <c r="N13" i="7"/>
  <c r="P13" i="7"/>
  <c r="N19" i="7"/>
  <c r="P21" i="7"/>
  <c r="P20" i="7"/>
  <c r="P12" i="7"/>
  <c r="N17" i="7"/>
  <c r="P9" i="7"/>
  <c r="N21" i="7"/>
  <c r="C25" i="1"/>
  <c r="H25" i="1"/>
  <c r="B4" i="6"/>
  <c r="B5" i="6"/>
  <c r="J8" i="7"/>
  <c r="G24" i="1" s="1"/>
  <c r="B2" i="8"/>
  <c r="B3" i="8"/>
  <c r="D6" i="9"/>
  <c r="D24" i="1"/>
  <c r="E24" i="1" s="1"/>
  <c r="F2" i="10"/>
  <c r="G2" i="10" s="1"/>
  <c r="E6" i="9" s="1"/>
  <c r="K10" i="1"/>
  <c r="J11" i="1" l="1"/>
  <c r="G9" i="7"/>
  <c r="I9" i="7" s="1"/>
  <c r="D4" i="6"/>
  <c r="F25" i="1"/>
  <c r="D5" i="6"/>
  <c r="P10" i="1"/>
  <c r="Q10" i="1" s="1"/>
  <c r="F6" i="9"/>
  <c r="P32" i="7" l="1"/>
  <c r="P24" i="7"/>
  <c r="N30" i="7"/>
  <c r="N38" i="7"/>
  <c r="P38" i="7"/>
  <c r="P29" i="7"/>
  <c r="N26" i="7"/>
  <c r="N35" i="7"/>
  <c r="P36" i="7"/>
  <c r="P27" i="7"/>
  <c r="N28" i="7"/>
  <c r="N37" i="7"/>
  <c r="P34" i="7"/>
  <c r="P25" i="7"/>
  <c r="N31" i="7"/>
  <c r="P31" i="7"/>
  <c r="N29" i="7"/>
  <c r="P30" i="7"/>
  <c r="N32" i="7"/>
  <c r="N34" i="7"/>
  <c r="P37" i="7"/>
  <c r="N25" i="7"/>
  <c r="P33" i="7"/>
  <c r="P28" i="7"/>
  <c r="N33" i="7"/>
  <c r="P26" i="7"/>
  <c r="N24" i="7"/>
  <c r="P23" i="7"/>
  <c r="N36" i="7"/>
  <c r="N23" i="7"/>
  <c r="P35" i="7"/>
  <c r="N27" i="7"/>
  <c r="K11" i="1"/>
  <c r="J12" i="1" s="1"/>
  <c r="D25" i="1"/>
  <c r="E25" i="1" s="1"/>
  <c r="B4" i="8"/>
  <c r="D7" i="9"/>
  <c r="B5" i="8"/>
  <c r="J9" i="7"/>
  <c r="G25" i="1" s="1"/>
  <c r="F3" i="10"/>
  <c r="G3" i="10" s="1"/>
  <c r="E7" i="9" s="1"/>
  <c r="D7" i="12"/>
  <c r="G7" i="12" s="1"/>
  <c r="B2" i="11"/>
  <c r="B3" i="11"/>
  <c r="L11" i="1"/>
  <c r="M11" i="1" s="1"/>
  <c r="B7" i="6"/>
  <c r="B6" i="6"/>
  <c r="H26" i="1"/>
  <c r="C26" i="1" l="1"/>
  <c r="F26" i="1" s="1"/>
  <c r="K12" i="1"/>
  <c r="J13" i="1" s="1"/>
  <c r="G10" i="7"/>
  <c r="I10" i="7" s="1"/>
  <c r="D7" i="6"/>
  <c r="D6" i="6"/>
  <c r="P11" i="1"/>
  <c r="Q11" i="1" s="1"/>
  <c r="F7" i="9"/>
  <c r="B2" i="13"/>
  <c r="B3" i="13"/>
  <c r="B8" i="6"/>
  <c r="L12" i="1"/>
  <c r="C27" i="1" s="1"/>
  <c r="B9" i="6"/>
  <c r="H27" i="1"/>
  <c r="P12" i="1" l="1"/>
  <c r="Q12" i="1" s="1"/>
  <c r="M12" i="1"/>
  <c r="P49" i="7"/>
  <c r="P41" i="7"/>
  <c r="N45" i="7"/>
  <c r="N53" i="7"/>
  <c r="P51" i="7"/>
  <c r="P42" i="7"/>
  <c r="N46" i="7"/>
  <c r="P48" i="7"/>
  <c r="P39" i="7"/>
  <c r="N48" i="7"/>
  <c r="P46" i="7"/>
  <c r="N41" i="7"/>
  <c r="N50" i="7"/>
  <c r="P45" i="7"/>
  <c r="N47" i="7"/>
  <c r="P44" i="7"/>
  <c r="N49" i="7"/>
  <c r="P50" i="7"/>
  <c r="P43" i="7"/>
  <c r="N51" i="7"/>
  <c r="P40" i="7"/>
  <c r="N52" i="7"/>
  <c r="P52" i="7"/>
  <c r="N43" i="7"/>
  <c r="N44" i="7"/>
  <c r="P53" i="7"/>
  <c r="N40" i="7"/>
  <c r="N39" i="7"/>
  <c r="N42" i="7"/>
  <c r="P47" i="7"/>
  <c r="B11" i="6"/>
  <c r="B10" i="6"/>
  <c r="H28" i="1"/>
  <c r="L13" i="1"/>
  <c r="C28" i="1" s="1"/>
  <c r="F27" i="1"/>
  <c r="G11" i="7"/>
  <c r="I11" i="7" s="1"/>
  <c r="D8" i="6"/>
  <c r="D9" i="6"/>
  <c r="F4" i="10"/>
  <c r="G4" i="10" s="1"/>
  <c r="E8" i="9" s="1"/>
  <c r="D26" i="1"/>
  <c r="E26" i="1" s="1"/>
  <c r="B6" i="8"/>
  <c r="J10" i="7"/>
  <c r="G26" i="1" s="1"/>
  <c r="B7" i="8"/>
  <c r="D8" i="9"/>
  <c r="B4" i="11"/>
  <c r="B5" i="11"/>
  <c r="D8" i="12"/>
  <c r="G8" i="12" s="1"/>
  <c r="K13" i="1"/>
  <c r="P13" i="1" l="1"/>
  <c r="Q13" i="1" s="1"/>
  <c r="M13" i="1"/>
  <c r="P66" i="7"/>
  <c r="P58" i="7"/>
  <c r="N58" i="7"/>
  <c r="N66" i="7"/>
  <c r="P63" i="7"/>
  <c r="P54" i="7"/>
  <c r="N63" i="7"/>
  <c r="P61" i="7"/>
  <c r="N56" i="7"/>
  <c r="N65" i="7"/>
  <c r="P68" i="7"/>
  <c r="P59" i="7"/>
  <c r="N59" i="7"/>
  <c r="N68" i="7"/>
  <c r="P60" i="7"/>
  <c r="N62" i="7"/>
  <c r="P57" i="7"/>
  <c r="N64" i="7"/>
  <c r="N57" i="7"/>
  <c r="N61" i="7"/>
  <c r="P56" i="7"/>
  <c r="N67" i="7"/>
  <c r="P55" i="7"/>
  <c r="N54" i="7"/>
  <c r="P64" i="7"/>
  <c r="P62" i="7"/>
  <c r="P67" i="7"/>
  <c r="N55" i="7"/>
  <c r="P65" i="7"/>
  <c r="N60" i="7"/>
  <c r="J14" i="1"/>
  <c r="F28" i="1"/>
  <c r="G12" i="7"/>
  <c r="I12" i="7" s="1"/>
  <c r="D10" i="6"/>
  <c r="D11" i="6"/>
  <c r="F5" i="10"/>
  <c r="G5" i="10" s="1"/>
  <c r="E9" i="9" s="1"/>
  <c r="D27" i="1"/>
  <c r="E27" i="1" s="1"/>
  <c r="D9" i="9"/>
  <c r="B8" i="8"/>
  <c r="J11" i="7"/>
  <c r="G27" i="1" s="1"/>
  <c r="B9" i="8"/>
  <c r="B5" i="13"/>
  <c r="B4" i="13"/>
  <c r="F8" i="9"/>
  <c r="P125" i="7" l="1"/>
  <c r="P117" i="7"/>
  <c r="P109" i="7"/>
  <c r="P101" i="7"/>
  <c r="P93" i="7"/>
  <c r="P85" i="7"/>
  <c r="N89" i="7"/>
  <c r="N97" i="7"/>
  <c r="N105" i="7"/>
  <c r="N113" i="7"/>
  <c r="N121" i="7"/>
  <c r="N129" i="7"/>
  <c r="P75" i="7"/>
  <c r="N71" i="7"/>
  <c r="N79" i="7"/>
  <c r="P123" i="7"/>
  <c r="P115" i="7"/>
  <c r="P107" i="7"/>
  <c r="P99" i="7"/>
  <c r="P91" i="7"/>
  <c r="P83" i="7"/>
  <c r="N91" i="7"/>
  <c r="N99" i="7"/>
  <c r="P120" i="7"/>
  <c r="P110" i="7"/>
  <c r="P98" i="7"/>
  <c r="P88" i="7"/>
  <c r="N88" i="7"/>
  <c r="N100" i="7"/>
  <c r="N109" i="7"/>
  <c r="N118" i="7"/>
  <c r="N127" i="7"/>
  <c r="P76" i="7"/>
  <c r="N72" i="7"/>
  <c r="N81" i="7"/>
  <c r="P128" i="7"/>
  <c r="P118" i="7"/>
  <c r="P106" i="7"/>
  <c r="P96" i="7"/>
  <c r="P86" i="7"/>
  <c r="N92" i="7"/>
  <c r="N102" i="7"/>
  <c r="N111" i="7"/>
  <c r="N120" i="7"/>
  <c r="P82" i="7"/>
  <c r="P73" i="7"/>
  <c r="N74" i="7"/>
  <c r="N83" i="7"/>
  <c r="P126" i="7"/>
  <c r="P114" i="7"/>
  <c r="P104" i="7"/>
  <c r="P94" i="7"/>
  <c r="N84" i="7"/>
  <c r="N94" i="7"/>
  <c r="N104" i="7"/>
  <c r="N114" i="7"/>
  <c r="N123" i="7"/>
  <c r="P80" i="7"/>
  <c r="P71" i="7"/>
  <c r="N76" i="7"/>
  <c r="P124" i="7"/>
  <c r="P108" i="7"/>
  <c r="P90" i="7"/>
  <c r="N93" i="7"/>
  <c r="N108" i="7"/>
  <c r="N124" i="7"/>
  <c r="P74" i="7"/>
  <c r="N78" i="7"/>
  <c r="P122" i="7"/>
  <c r="P105" i="7"/>
  <c r="P89" i="7"/>
  <c r="N95" i="7"/>
  <c r="N110" i="7"/>
  <c r="N125" i="7"/>
  <c r="P72" i="7"/>
  <c r="N80" i="7"/>
  <c r="P112" i="7"/>
  <c r="N106" i="7"/>
  <c r="N75" i="7"/>
  <c r="P127" i="7"/>
  <c r="N90" i="7"/>
  <c r="P77" i="7"/>
  <c r="P121" i="7"/>
  <c r="P103" i="7"/>
  <c r="P87" i="7"/>
  <c r="N96" i="7"/>
  <c r="N112" i="7"/>
  <c r="N126" i="7"/>
  <c r="P70" i="7"/>
  <c r="N82" i="7"/>
  <c r="P119" i="7"/>
  <c r="P102" i="7"/>
  <c r="P84" i="7"/>
  <c r="N98" i="7"/>
  <c r="N115" i="7"/>
  <c r="N128" i="7"/>
  <c r="P69" i="7"/>
  <c r="N69" i="7"/>
  <c r="P95" i="7"/>
  <c r="N119" i="7"/>
  <c r="P92" i="7"/>
  <c r="N122" i="7"/>
  <c r="P116" i="7"/>
  <c r="P100" i="7"/>
  <c r="N85" i="7"/>
  <c r="N101" i="7"/>
  <c r="N116" i="7"/>
  <c r="P81" i="7"/>
  <c r="N70" i="7"/>
  <c r="P113" i="7"/>
  <c r="P97" i="7"/>
  <c r="N86" i="7"/>
  <c r="N103" i="7"/>
  <c r="N117" i="7"/>
  <c r="P79" i="7"/>
  <c r="N73" i="7"/>
  <c r="P129" i="7"/>
  <c r="N87" i="7"/>
  <c r="P78" i="7"/>
  <c r="P111" i="7"/>
  <c r="N107" i="7"/>
  <c r="N77" i="7"/>
  <c r="K14" i="1"/>
  <c r="J15" i="1" s="1"/>
  <c r="B11" i="8"/>
  <c r="D28" i="1"/>
  <c r="E28" i="1" s="1"/>
  <c r="D10" i="9"/>
  <c r="F6" i="10"/>
  <c r="G6" i="10" s="1"/>
  <c r="E10" i="9" s="1"/>
  <c r="B10" i="8"/>
  <c r="J12" i="7"/>
  <c r="G28" i="1" s="1"/>
  <c r="F9" i="9"/>
  <c r="B12" i="6"/>
  <c r="L14" i="1"/>
  <c r="C29" i="1" s="1"/>
  <c r="H29" i="1"/>
  <c r="B13" i="6"/>
  <c r="B7" i="11"/>
  <c r="B6" i="11"/>
  <c r="D9" i="12"/>
  <c r="G9" i="12" s="1"/>
  <c r="P14" i="1" l="1"/>
  <c r="Q14" i="1" s="1"/>
  <c r="M14" i="1"/>
  <c r="K15" i="1"/>
  <c r="J16" i="1" s="1"/>
  <c r="H30" i="1"/>
  <c r="B14" i="6"/>
  <c r="L15" i="1"/>
  <c r="C30" i="1" s="1"/>
  <c r="B15" i="6"/>
  <c r="F10" i="9"/>
  <c r="D10" i="12"/>
  <c r="G10" i="12" s="1"/>
  <c r="B9" i="11"/>
  <c r="B8" i="11"/>
  <c r="B7" i="13"/>
  <c r="B6" i="13"/>
  <c r="F29" i="1"/>
  <c r="D13" i="6"/>
  <c r="G13" i="7"/>
  <c r="I13" i="7" s="1"/>
  <c r="D12" i="6"/>
  <c r="P15" i="1" l="1"/>
  <c r="Q15" i="1" s="1"/>
  <c r="M15" i="1"/>
  <c r="P191" i="7"/>
  <c r="P183" i="7"/>
  <c r="P175" i="7"/>
  <c r="P167" i="7"/>
  <c r="P159" i="7"/>
  <c r="P151" i="7"/>
  <c r="P143" i="7"/>
  <c r="P135" i="7"/>
  <c r="N133" i="7"/>
  <c r="N141" i="7"/>
  <c r="N149" i="7"/>
  <c r="N157" i="7"/>
  <c r="N165" i="7"/>
  <c r="N173" i="7"/>
  <c r="N181" i="7"/>
  <c r="N189" i="7"/>
  <c r="P189" i="7"/>
  <c r="P181" i="7"/>
  <c r="P173" i="7"/>
  <c r="P165" i="7"/>
  <c r="P157" i="7"/>
  <c r="P149" i="7"/>
  <c r="P141" i="7"/>
  <c r="P133" i="7"/>
  <c r="N135" i="7"/>
  <c r="N143" i="7"/>
  <c r="N151" i="7"/>
  <c r="N159" i="7"/>
  <c r="N167" i="7"/>
  <c r="N175" i="7"/>
  <c r="N183" i="7"/>
  <c r="N191" i="7"/>
  <c r="P187" i="7"/>
  <c r="P179" i="7"/>
  <c r="P171" i="7"/>
  <c r="P163" i="7"/>
  <c r="P155" i="7"/>
  <c r="P147" i="7"/>
  <c r="P139" i="7"/>
  <c r="P131" i="7"/>
  <c r="N137" i="7"/>
  <c r="N145" i="7"/>
  <c r="N153" i="7"/>
  <c r="N161" i="7"/>
  <c r="N169" i="7"/>
  <c r="P180" i="7"/>
  <c r="P168" i="7"/>
  <c r="P154" i="7"/>
  <c r="P142" i="7"/>
  <c r="N131" i="7"/>
  <c r="N144" i="7"/>
  <c r="N156" i="7"/>
  <c r="N170" i="7"/>
  <c r="N180" i="7"/>
  <c r="N130" i="7"/>
  <c r="P190" i="7"/>
  <c r="P177" i="7"/>
  <c r="P164" i="7"/>
  <c r="P152" i="7"/>
  <c r="P138" i="7"/>
  <c r="N134" i="7"/>
  <c r="N147" i="7"/>
  <c r="N160" i="7"/>
  <c r="N172" i="7"/>
  <c r="N184" i="7"/>
  <c r="P186" i="7"/>
  <c r="P174" i="7"/>
  <c r="P161" i="7"/>
  <c r="P148" i="7"/>
  <c r="P136" i="7"/>
  <c r="N138" i="7"/>
  <c r="N150" i="7"/>
  <c r="N163" i="7"/>
  <c r="N176" i="7"/>
  <c r="N186" i="7"/>
  <c r="P182" i="7"/>
  <c r="P160" i="7"/>
  <c r="P140" i="7"/>
  <c r="N140" i="7"/>
  <c r="N162" i="7"/>
  <c r="N179" i="7"/>
  <c r="P178" i="7"/>
  <c r="P158" i="7"/>
  <c r="P137" i="7"/>
  <c r="N142" i="7"/>
  <c r="N164" i="7"/>
  <c r="N182" i="7"/>
  <c r="P166" i="7"/>
  <c r="N155" i="7"/>
  <c r="P184" i="7"/>
  <c r="N139" i="7"/>
  <c r="P176" i="7"/>
  <c r="P156" i="7"/>
  <c r="P134" i="7"/>
  <c r="N146" i="7"/>
  <c r="N166" i="7"/>
  <c r="N185" i="7"/>
  <c r="P172" i="7"/>
  <c r="P153" i="7"/>
  <c r="P132" i="7"/>
  <c r="N148" i="7"/>
  <c r="N168" i="7"/>
  <c r="N187" i="7"/>
  <c r="P145" i="7"/>
  <c r="N177" i="7"/>
  <c r="P144" i="7"/>
  <c r="N178" i="7"/>
  <c r="P170" i="7"/>
  <c r="P150" i="7"/>
  <c r="P130" i="7"/>
  <c r="N152" i="7"/>
  <c r="N171" i="7"/>
  <c r="N188" i="7"/>
  <c r="P188" i="7"/>
  <c r="P169" i="7"/>
  <c r="P146" i="7"/>
  <c r="N132" i="7"/>
  <c r="N154" i="7"/>
  <c r="N174" i="7"/>
  <c r="N190" i="7"/>
  <c r="P185" i="7"/>
  <c r="N136" i="7"/>
  <c r="P162" i="7"/>
  <c r="N158" i="7"/>
  <c r="K16" i="1"/>
  <c r="B11" i="11"/>
  <c r="B10" i="11"/>
  <c r="D11" i="12"/>
  <c r="G11" i="12" s="1"/>
  <c r="F7" i="10"/>
  <c r="G7" i="10" s="1"/>
  <c r="E11" i="9" s="1"/>
  <c r="D29" i="1"/>
  <c r="E29" i="1" s="1"/>
  <c r="D11" i="9"/>
  <c r="B12" i="8"/>
  <c r="J13" i="7"/>
  <c r="G29" i="1" s="1"/>
  <c r="B13" i="8"/>
  <c r="D15" i="6"/>
  <c r="D14" i="6"/>
  <c r="G14" i="7"/>
  <c r="I14" i="7" s="1"/>
  <c r="F30" i="1"/>
  <c r="B8" i="13"/>
  <c r="B9" i="13"/>
  <c r="B17" i="6"/>
  <c r="L16" i="1"/>
  <c r="C31" i="1" s="1"/>
  <c r="H31" i="1"/>
  <c r="B16" i="6"/>
  <c r="P16" i="1" l="1"/>
  <c r="Q16" i="1" s="1"/>
  <c r="M16" i="1"/>
  <c r="P217" i="7"/>
  <c r="P209" i="7"/>
  <c r="P201" i="7"/>
  <c r="P193" i="7"/>
  <c r="N198" i="7"/>
  <c r="N206" i="7"/>
  <c r="N214" i="7"/>
  <c r="P215" i="7"/>
  <c r="P207" i="7"/>
  <c r="P199" i="7"/>
  <c r="N221" i="7"/>
  <c r="N200" i="7"/>
  <c r="N208" i="7"/>
  <c r="N216" i="7"/>
  <c r="P221" i="7"/>
  <c r="P213" i="7"/>
  <c r="P205" i="7"/>
  <c r="P197" i="7"/>
  <c r="N194" i="7"/>
  <c r="N202" i="7"/>
  <c r="N210" i="7"/>
  <c r="N218" i="7"/>
  <c r="P214" i="7"/>
  <c r="P202" i="7"/>
  <c r="N195" i="7"/>
  <c r="N207" i="7"/>
  <c r="N220" i="7"/>
  <c r="P211" i="7"/>
  <c r="P198" i="7"/>
  <c r="N197" i="7"/>
  <c r="N211" i="7"/>
  <c r="P220" i="7"/>
  <c r="P208" i="7"/>
  <c r="P195" i="7"/>
  <c r="N201" i="7"/>
  <c r="N213" i="7"/>
  <c r="P219" i="7"/>
  <c r="P206" i="7"/>
  <c r="P216" i="7"/>
  <c r="P192" i="7"/>
  <c r="N212" i="7"/>
  <c r="P212" i="7"/>
  <c r="N193" i="7"/>
  <c r="N215" i="7"/>
  <c r="P196" i="7"/>
  <c r="P218" i="7"/>
  <c r="P210" i="7"/>
  <c r="N196" i="7"/>
  <c r="N217" i="7"/>
  <c r="P204" i="7"/>
  <c r="N199" i="7"/>
  <c r="N219" i="7"/>
  <c r="N205" i="7"/>
  <c r="N209" i="7"/>
  <c r="P203" i="7"/>
  <c r="N203" i="7"/>
  <c r="N192" i="7"/>
  <c r="P200" i="7"/>
  <c r="N204" i="7"/>
  <c r="P194" i="7"/>
  <c r="J17" i="1"/>
  <c r="B18" i="6" s="1"/>
  <c r="B10" i="13"/>
  <c r="B11" i="13"/>
  <c r="F11" i="9"/>
  <c r="B15" i="8"/>
  <c r="D12" i="9"/>
  <c r="D30" i="1"/>
  <c r="E30" i="1" s="1"/>
  <c r="J14" i="7"/>
  <c r="G30" i="1" s="1"/>
  <c r="F8" i="10"/>
  <c r="G8" i="10" s="1"/>
  <c r="E12" i="9" s="1"/>
  <c r="B14" i="8"/>
  <c r="F31" i="1"/>
  <c r="D16" i="6"/>
  <c r="G15" i="7"/>
  <c r="I15" i="7" s="1"/>
  <c r="D17" i="6"/>
  <c r="P250" i="7" l="1"/>
  <c r="P242" i="7"/>
  <c r="P234" i="7"/>
  <c r="P226" i="7"/>
  <c r="N226" i="7"/>
  <c r="N234" i="7"/>
  <c r="N242" i="7"/>
  <c r="N250" i="7"/>
  <c r="P248" i="7"/>
  <c r="P240" i="7"/>
  <c r="P232" i="7"/>
  <c r="P224" i="7"/>
  <c r="N228" i="7"/>
  <c r="N236" i="7"/>
  <c r="N244" i="7"/>
  <c r="N252" i="7"/>
  <c r="P246" i="7"/>
  <c r="P238" i="7"/>
  <c r="P230" i="7"/>
  <c r="P222" i="7"/>
  <c r="N230" i="7"/>
  <c r="N238" i="7"/>
  <c r="N246" i="7"/>
  <c r="P247" i="7"/>
  <c r="P235" i="7"/>
  <c r="N223" i="7"/>
  <c r="N235" i="7"/>
  <c r="N248" i="7"/>
  <c r="P245" i="7"/>
  <c r="P233" i="7"/>
  <c r="P244" i="7"/>
  <c r="P231" i="7"/>
  <c r="N225" i="7"/>
  <c r="N239" i="7"/>
  <c r="N251" i="7"/>
  <c r="P243" i="7"/>
  <c r="P229" i="7"/>
  <c r="N227" i="7"/>
  <c r="P241" i="7"/>
  <c r="P228" i="7"/>
  <c r="N229" i="7"/>
  <c r="N241" i="7"/>
  <c r="P252" i="7"/>
  <c r="P239" i="7"/>
  <c r="P227" i="7"/>
  <c r="N231" i="7"/>
  <c r="N243" i="7"/>
  <c r="P251" i="7"/>
  <c r="N233" i="7"/>
  <c r="P249" i="7"/>
  <c r="N237" i="7"/>
  <c r="P237" i="7"/>
  <c r="N240" i="7"/>
  <c r="P236" i="7"/>
  <c r="N245" i="7"/>
  <c r="N224" i="7"/>
  <c r="N232" i="7"/>
  <c r="P225" i="7"/>
  <c r="N247" i="7"/>
  <c r="P223" i="7"/>
  <c r="N249" i="7"/>
  <c r="N222" i="7"/>
  <c r="H32" i="1"/>
  <c r="B19" i="6"/>
  <c r="L17" i="1"/>
  <c r="C32" i="1" s="1"/>
  <c r="F32" i="1" s="1"/>
  <c r="K17" i="1"/>
  <c r="J18" i="1" s="1"/>
  <c r="D12" i="12"/>
  <c r="G12" i="12" s="1"/>
  <c r="B12" i="11"/>
  <c r="B13" i="11"/>
  <c r="F12" i="9"/>
  <c r="F9" i="10"/>
  <c r="G9" i="10" s="1"/>
  <c r="E13" i="9" s="1"/>
  <c r="B17" i="8"/>
  <c r="D13" i="9"/>
  <c r="B16" i="8"/>
  <c r="D31" i="1"/>
  <c r="E31" i="1" s="1"/>
  <c r="J15" i="7"/>
  <c r="G31" i="1" s="1"/>
  <c r="G16" i="7" l="1"/>
  <c r="I16" i="7" s="1"/>
  <c r="N254" i="7" s="1"/>
  <c r="D19" i="6"/>
  <c r="M17" i="1"/>
  <c r="B20" i="6"/>
  <c r="B21" i="6"/>
  <c r="H33" i="1"/>
  <c r="L18" i="1"/>
  <c r="C33" i="1" s="1"/>
  <c r="F33" i="1" s="1"/>
  <c r="D18" i="6"/>
  <c r="P17" i="1"/>
  <c r="Q17" i="1" s="1"/>
  <c r="K18" i="1"/>
  <c r="J19" i="1" s="1"/>
  <c r="B22" i="6" s="1"/>
  <c r="F13" i="9"/>
  <c r="B15" i="11"/>
  <c r="B14" i="11"/>
  <c r="D13" i="12"/>
  <c r="G13" i="12" s="1"/>
  <c r="B12" i="13"/>
  <c r="B13" i="13"/>
  <c r="N258" i="7" l="1"/>
  <c r="P257" i="7"/>
  <c r="D14" i="9"/>
  <c r="P256" i="7"/>
  <c r="F10" i="10"/>
  <c r="G10" i="10" s="1"/>
  <c r="E14" i="9" s="1"/>
  <c r="J16" i="7"/>
  <c r="G32" i="1" s="1"/>
  <c r="P253" i="7"/>
  <c r="N257" i="7"/>
  <c r="N256" i="7"/>
  <c r="B19" i="8"/>
  <c r="P255" i="7"/>
  <c r="P258" i="7"/>
  <c r="P254" i="7"/>
  <c r="G17" i="7"/>
  <c r="I17" i="7" s="1"/>
  <c r="N260" i="7" s="1"/>
  <c r="D32" i="1"/>
  <c r="E32" i="1" s="1"/>
  <c r="B18" i="8"/>
  <c r="N253" i="7"/>
  <c r="N255" i="7"/>
  <c r="D20" i="6"/>
  <c r="M18" i="1"/>
  <c r="D21" i="6"/>
  <c r="H34" i="1"/>
  <c r="P18" i="1"/>
  <c r="Q18" i="1" s="1"/>
  <c r="L19" i="1"/>
  <c r="C34" i="1" s="1"/>
  <c r="F34" i="1" s="1"/>
  <c r="B23" i="6"/>
  <c r="K19" i="1"/>
  <c r="J20" i="1" s="1"/>
  <c r="B15" i="13"/>
  <c r="B14" i="13"/>
  <c r="D14" i="12"/>
  <c r="G14" i="12" s="1"/>
  <c r="B17" i="11"/>
  <c r="B16" i="11"/>
  <c r="N259" i="7" l="1"/>
  <c r="B20" i="8"/>
  <c r="F11" i="10"/>
  <c r="G11" i="10" s="1"/>
  <c r="E15" i="9" s="1"/>
  <c r="F14" i="9"/>
  <c r="B18" i="11" s="1"/>
  <c r="P260" i="7"/>
  <c r="B21" i="8"/>
  <c r="D15" i="9"/>
  <c r="P261" i="7"/>
  <c r="P262" i="7"/>
  <c r="D33" i="1"/>
  <c r="E33" i="1" s="1"/>
  <c r="N261" i="7"/>
  <c r="N262" i="7"/>
  <c r="G18" i="7"/>
  <c r="I18" i="7" s="1"/>
  <c r="P301" i="7" s="1"/>
  <c r="J17" i="7"/>
  <c r="G33" i="1" s="1"/>
  <c r="P259" i="7"/>
  <c r="P19" i="1"/>
  <c r="Q19" i="1" s="1"/>
  <c r="M19" i="1"/>
  <c r="D23" i="6"/>
  <c r="D22" i="6"/>
  <c r="K20" i="1"/>
  <c r="B17" i="13"/>
  <c r="B16" i="13"/>
  <c r="B25" i="6"/>
  <c r="H35" i="1"/>
  <c r="H36" i="1" s="1"/>
  <c r="B24" i="6"/>
  <c r="L20" i="1"/>
  <c r="C35" i="1" s="1"/>
  <c r="F15" i="9" l="1"/>
  <c r="D16" i="12" s="1"/>
  <c r="G16" i="12" s="1"/>
  <c r="B20" i="13" s="1"/>
  <c r="D15" i="12"/>
  <c r="G15" i="12" s="1"/>
  <c r="B18" i="13" s="1"/>
  <c r="B19" i="11"/>
  <c r="B22" i="8"/>
  <c r="P304" i="7"/>
  <c r="P296" i="7"/>
  <c r="P265" i="7"/>
  <c r="N286" i="7"/>
  <c r="P298" i="7"/>
  <c r="N299" i="7"/>
  <c r="P294" i="7"/>
  <c r="P300" i="7"/>
  <c r="P291" i="7"/>
  <c r="P295" i="7"/>
  <c r="P288" i="7"/>
  <c r="N273" i="7"/>
  <c r="D34" i="1"/>
  <c r="E34" i="1" s="1"/>
  <c r="N312" i="7"/>
  <c r="N298" i="7"/>
  <c r="N296" i="7"/>
  <c r="N295" i="7"/>
  <c r="N294" i="7"/>
  <c r="N292" i="7"/>
  <c r="N290" i="7"/>
  <c r="N302" i="7"/>
  <c r="N301" i="7"/>
  <c r="P289" i="7"/>
  <c r="N275" i="7"/>
  <c r="N313" i="7"/>
  <c r="P277" i="7"/>
  <c r="B23" i="8"/>
  <c r="P264" i="7"/>
  <c r="P279" i="7"/>
  <c r="N284" i="7"/>
  <c r="N282" i="7"/>
  <c r="N280" i="7"/>
  <c r="N279" i="7"/>
  <c r="N278" i="7"/>
  <c r="N288" i="7"/>
  <c r="N293" i="7"/>
  <c r="P297" i="7"/>
  <c r="N267" i="7"/>
  <c r="N305" i="7"/>
  <c r="P285" i="7"/>
  <c r="F12" i="10"/>
  <c r="G12" i="10" s="1"/>
  <c r="E16" i="9" s="1"/>
  <c r="P303" i="7"/>
  <c r="P290" i="7"/>
  <c r="P280" i="7"/>
  <c r="P282" i="7"/>
  <c r="P284" i="7"/>
  <c r="P286" i="7"/>
  <c r="P287" i="7"/>
  <c r="P276" i="7"/>
  <c r="N269" i="7"/>
  <c r="N307" i="7"/>
  <c r="P283" i="7"/>
  <c r="N281" i="7"/>
  <c r="P309" i="7"/>
  <c r="D16" i="9"/>
  <c r="N311" i="7"/>
  <c r="N300" i="7"/>
  <c r="N274" i="7"/>
  <c r="P292" i="7"/>
  <c r="N271" i="7"/>
  <c r="P306" i="7"/>
  <c r="N270" i="7"/>
  <c r="P308" i="7"/>
  <c r="N268" i="7"/>
  <c r="P310" i="7"/>
  <c r="N266" i="7"/>
  <c r="P311" i="7"/>
  <c r="N264" i="7"/>
  <c r="P312" i="7"/>
  <c r="N276" i="7"/>
  <c r="P302" i="7"/>
  <c r="N285" i="7"/>
  <c r="P273" i="7"/>
  <c r="P305" i="7"/>
  <c r="N291" i="7"/>
  <c r="P267" i="7"/>
  <c r="P299" i="7"/>
  <c r="N297" i="7"/>
  <c r="N265" i="7"/>
  <c r="P293" i="7"/>
  <c r="J18" i="7"/>
  <c r="G34" i="1" s="1"/>
  <c r="N272" i="7"/>
  <c r="P266" i="7"/>
  <c r="P278" i="7"/>
  <c r="N287" i="7"/>
  <c r="N310" i="7"/>
  <c r="P268" i="7"/>
  <c r="N308" i="7"/>
  <c r="P270" i="7"/>
  <c r="N306" i="7"/>
  <c r="P271" i="7"/>
  <c r="N304" i="7"/>
  <c r="P272" i="7"/>
  <c r="N303" i="7"/>
  <c r="P274" i="7"/>
  <c r="N263" i="7"/>
  <c r="P263" i="7"/>
  <c r="N309" i="7"/>
  <c r="N277" i="7"/>
  <c r="P281" i="7"/>
  <c r="P313" i="7"/>
  <c r="N283" i="7"/>
  <c r="P275" i="7"/>
  <c r="P307" i="7"/>
  <c r="N289" i="7"/>
  <c r="P269" i="7"/>
  <c r="P20" i="1"/>
  <c r="Q20" i="1" s="1"/>
  <c r="Q21" i="1" s="1"/>
  <c r="M20" i="1"/>
  <c r="M21" i="1" s="1"/>
  <c r="B21" i="11"/>
  <c r="B19" i="13"/>
  <c r="D24" i="6"/>
  <c r="G19" i="7"/>
  <c r="I19" i="7" s="1"/>
  <c r="D25" i="6"/>
  <c r="F35" i="1"/>
  <c r="F36" i="1" s="1"/>
  <c r="B21" i="13" l="1"/>
  <c r="B20" i="11"/>
  <c r="F16" i="9"/>
  <c r="B22" i="11" s="1"/>
  <c r="P338" i="7"/>
  <c r="P330" i="7"/>
  <c r="P322" i="7"/>
  <c r="P314" i="7"/>
  <c r="N322" i="7"/>
  <c r="N330" i="7"/>
  <c r="N338" i="7"/>
  <c r="N346" i="7"/>
  <c r="N354" i="7"/>
  <c r="N362" i="7"/>
  <c r="N370" i="7"/>
  <c r="P344" i="7"/>
  <c r="P336" i="7"/>
  <c r="P328" i="7"/>
  <c r="P320" i="7"/>
  <c r="N316" i="7"/>
  <c r="N324" i="7"/>
  <c r="N332" i="7"/>
  <c r="N340" i="7"/>
  <c r="N348" i="7"/>
  <c r="N356" i="7"/>
  <c r="N364" i="7"/>
  <c r="N372" i="7"/>
  <c r="P342" i="7"/>
  <c r="P334" i="7"/>
  <c r="P326" i="7"/>
  <c r="P318" i="7"/>
  <c r="N318" i="7"/>
  <c r="N326" i="7"/>
  <c r="N334" i="7"/>
  <c r="N342" i="7"/>
  <c r="N350" i="7"/>
  <c r="N358" i="7"/>
  <c r="N366" i="7"/>
  <c r="P332" i="7"/>
  <c r="P319" i="7"/>
  <c r="N321" i="7"/>
  <c r="N335" i="7"/>
  <c r="N347" i="7"/>
  <c r="N360" i="7"/>
  <c r="N314" i="7"/>
  <c r="P343" i="7"/>
  <c r="P331" i="7"/>
  <c r="P317" i="7"/>
  <c r="N323" i="7"/>
  <c r="N336" i="7"/>
  <c r="N349" i="7"/>
  <c r="N361" i="7"/>
  <c r="P341" i="7"/>
  <c r="P329" i="7"/>
  <c r="P316" i="7"/>
  <c r="N325" i="7"/>
  <c r="N337" i="7"/>
  <c r="N351" i="7"/>
  <c r="N363" i="7"/>
  <c r="P340" i="7"/>
  <c r="P327" i="7"/>
  <c r="P315" i="7"/>
  <c r="N327" i="7"/>
  <c r="N339" i="7"/>
  <c r="N352" i="7"/>
  <c r="N365" i="7"/>
  <c r="P339" i="7"/>
  <c r="P325" i="7"/>
  <c r="N315" i="7"/>
  <c r="N328" i="7"/>
  <c r="N341" i="7"/>
  <c r="N353" i="7"/>
  <c r="N367" i="7"/>
  <c r="P337" i="7"/>
  <c r="P324" i="7"/>
  <c r="N317" i="7"/>
  <c r="N329" i="7"/>
  <c r="N343" i="7"/>
  <c r="N355" i="7"/>
  <c r="N368" i="7"/>
  <c r="P335" i="7"/>
  <c r="N344" i="7"/>
  <c r="P333" i="7"/>
  <c r="N345" i="7"/>
  <c r="N331" i="7"/>
  <c r="P323" i="7"/>
  <c r="N357" i="7"/>
  <c r="P321" i="7"/>
  <c r="N359" i="7"/>
  <c r="N319" i="7"/>
  <c r="N369" i="7"/>
  <c r="N320" i="7"/>
  <c r="N371" i="7"/>
  <c r="N333" i="7"/>
  <c r="F37" i="1"/>
  <c r="F13" i="10"/>
  <c r="G13" i="10" s="1"/>
  <c r="E17" i="9" s="1"/>
  <c r="B25" i="8"/>
  <c r="D35" i="1"/>
  <c r="E35" i="1" s="1"/>
  <c r="B24" i="8"/>
  <c r="D17" i="9"/>
  <c r="J19" i="7"/>
  <c r="G35" i="1" s="1"/>
  <c r="G36" i="1" s="1"/>
  <c r="F38" i="1" s="1"/>
  <c r="D17" i="12" l="1"/>
  <c r="G17" i="12" s="1"/>
  <c r="B22" i="13" s="1"/>
  <c r="B23" i="11"/>
  <c r="P375" i="7"/>
  <c r="N373" i="7"/>
  <c r="F39" i="1"/>
  <c r="F17" i="9"/>
  <c r="D18" i="12" s="1"/>
  <c r="G18" i="12" s="1"/>
  <c r="B23" i="13" l="1"/>
  <c r="B24" i="11"/>
  <c r="B25" i="11"/>
  <c r="B24" i="13"/>
  <c r="B25" i="13"/>
  <c r="P376" i="7" l="1"/>
  <c r="P345" i="7" l="1"/>
  <c r="P353" i="7"/>
  <c r="P361" i="7"/>
  <c r="P369" i="7"/>
  <c r="P362" i="7"/>
  <c r="P356" i="7"/>
  <c r="P346" i="7"/>
  <c r="P354" i="7"/>
  <c r="P370" i="7"/>
  <c r="P347" i="7"/>
  <c r="P355" i="7"/>
  <c r="P363" i="7"/>
  <c r="P371" i="7"/>
  <c r="P348" i="7"/>
  <c r="P364" i="7"/>
  <c r="P372" i="7"/>
  <c r="P349" i="7"/>
  <c r="P357" i="7"/>
  <c r="P365" i="7"/>
  <c r="P373" i="7"/>
  <c r="P350" i="7"/>
  <c r="P358" i="7"/>
  <c r="P366" i="7"/>
  <c r="P351" i="7"/>
  <c r="P359" i="7"/>
  <c r="P367" i="7"/>
  <c r="P352" i="7"/>
  <c r="P360" i="7"/>
  <c r="P368" i="7"/>
  <c r="P374" i="7" l="1"/>
</calcChain>
</file>

<file path=xl/comments1.xml><?xml version="1.0" encoding="utf-8"?>
<comments xmlns="http://schemas.openxmlformats.org/spreadsheetml/2006/main">
  <authors>
    <author>BOR</author>
  </authors>
  <commentList>
    <comment ref="D3" authorId="0" shapeId="0">
      <text>
        <r>
          <rPr>
            <b/>
            <sz val="8"/>
            <color indexed="81"/>
            <rFont val="Tahoma"/>
            <family val="2"/>
          </rPr>
          <t>BOR:</t>
        </r>
        <r>
          <rPr>
            <sz val="8"/>
            <color indexed="81"/>
            <rFont val="Tahoma"/>
            <family val="2"/>
          </rPr>
          <t xml:space="preserve">
UPDATE THIS NUMBER WITH YEAR'S FIRST INFLOW FORECAST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BOR:</t>
        </r>
        <r>
          <rPr>
            <sz val="8"/>
            <color indexed="81"/>
            <rFont val="Tahoma"/>
            <family val="2"/>
          </rPr>
          <t xml:space="preserve">
Update this number with flow caps for channel capacity constraints downstream</t>
        </r>
      </text>
    </comment>
  </commentList>
</comments>
</file>

<file path=xl/sharedStrings.xml><?xml version="1.0" encoding="utf-8"?>
<sst xmlns="http://schemas.openxmlformats.org/spreadsheetml/2006/main" count="464" uniqueCount="141">
  <si>
    <t>TAF</t>
  </si>
  <si>
    <t>Period</t>
  </si>
  <si>
    <t># Days</t>
  </si>
  <si>
    <t>A</t>
  </si>
  <si>
    <t>B</t>
  </si>
  <si>
    <t>C</t>
  </si>
  <si>
    <t>D</t>
  </si>
  <si>
    <t>E</t>
  </si>
  <si>
    <t>E/F</t>
  </si>
  <si>
    <t>F</t>
  </si>
  <si>
    <t>G</t>
  </si>
  <si>
    <t>Key</t>
  </si>
  <si>
    <t>AZ</t>
  </si>
  <si>
    <t>Dry</t>
  </si>
  <si>
    <t>Wet</t>
  </si>
  <si>
    <t>CH-6</t>
  </si>
  <si>
    <t>CH-5</t>
  </si>
  <si>
    <t>CH-4</t>
  </si>
  <si>
    <t>CH-3</t>
  </si>
  <si>
    <t>CH-2</t>
  </si>
  <si>
    <t>CH-1</t>
  </si>
  <si>
    <t>Mar 1 - Mar 15</t>
  </si>
  <si>
    <t>Mar 16 - Mar 31</t>
  </si>
  <si>
    <t>Apr 1 - Apr 15</t>
  </si>
  <si>
    <t>Apr 16 - Apr 30</t>
  </si>
  <si>
    <t>Jul 1 - Aug 31</t>
  </si>
  <si>
    <t>Sept 1 - Sept 30</t>
  </si>
  <si>
    <t>Oct 1 - Oct 31</t>
  </si>
  <si>
    <t>Nov 7 - Nov 10</t>
  </si>
  <si>
    <t>Nov 1 - Nov 6</t>
  </si>
  <si>
    <t>Jan 1 - Feb 28</t>
  </si>
  <si>
    <t>May 1 - Jun 30</t>
  </si>
  <si>
    <t>Nov 11 - Dec 31</t>
  </si>
  <si>
    <t>AF</t>
  </si>
  <si>
    <t>Determining Default Flow Schedule</t>
  </si>
  <si>
    <t>Allocation</t>
  </si>
  <si>
    <t xml:space="preserve">Above: </t>
  </si>
  <si>
    <t>A2</t>
  </si>
  <si>
    <t>A1</t>
  </si>
  <si>
    <t>B1</t>
  </si>
  <si>
    <t>B2</t>
  </si>
  <si>
    <t>CH</t>
  </si>
  <si>
    <t>N-D</t>
  </si>
  <si>
    <t>N-W</t>
  </si>
  <si>
    <t>AZ1</t>
  </si>
  <si>
    <t>AZ2</t>
  </si>
  <si>
    <t>Unimpaired Inflow (TAF)</t>
  </si>
  <si>
    <t>Gamma</t>
  </si>
  <si>
    <t>Year Type above</t>
  </si>
  <si>
    <t>Extra flow Increase</t>
  </si>
  <si>
    <t>Allocation - Method 3.1</t>
  </si>
  <si>
    <t>UI (TAF) above:</t>
  </si>
  <si>
    <t>Allocation:</t>
  </si>
  <si>
    <t>CL</t>
  </si>
  <si>
    <t>Increase to:</t>
  </si>
  <si>
    <t>Schedule (cfs)</t>
  </si>
  <si>
    <t>to disperse</t>
  </si>
  <si>
    <t>To next step TAF</t>
  </si>
  <si>
    <t>To change</t>
  </si>
  <si>
    <t>Remaining Addt'l Allocation (AF)</t>
  </si>
  <si>
    <t xml:space="preserve">Addt'l Allocation TAF: </t>
  </si>
  <si>
    <t>: Enter New Value Here</t>
  </si>
  <si>
    <t>Tab Color</t>
  </si>
  <si>
    <t>: Lookup sheets, do not change</t>
  </si>
  <si>
    <t>: Output</t>
  </si>
  <si>
    <t>Flow increase time of year:</t>
  </si>
  <si>
    <t>Diversions</t>
  </si>
  <si>
    <t>Diversions R1</t>
  </si>
  <si>
    <t>Water Year:</t>
  </si>
  <si>
    <t>(or above)</t>
  </si>
  <si>
    <t>Friant Flow</t>
  </si>
  <si>
    <t>At non-critical years, diversions increase by 10 cfs between Nov 7-10</t>
  </si>
  <si>
    <t>: Assumptions</t>
  </si>
  <si>
    <t>This is according to the Settlement, Exhibit B, Riparian Releases - Reach 2 flow</t>
  </si>
  <si>
    <t xml:space="preserve">Assumptions: </t>
  </si>
  <si>
    <t>At Critical-Low, only 5 cfs reaches Gravelly Ford. This is used to determine diversions</t>
  </si>
  <si>
    <t>Divsns. R1 Critical Yrs</t>
  </si>
  <si>
    <t>Gravelly Ford Flow</t>
  </si>
  <si>
    <t>R2 Losses</t>
  </si>
  <si>
    <t>Flow &lt;</t>
  </si>
  <si>
    <t>Mud &amp; SS Gains</t>
  </si>
  <si>
    <t>M&amp;SS Gains - Crit Yr</t>
  </si>
  <si>
    <t>R5 Flow</t>
  </si>
  <si>
    <t>(or wetter)</t>
  </si>
  <si>
    <t>Current</t>
  </si>
  <si>
    <t>Year Type</t>
  </si>
  <si>
    <t>Mendota Dam</t>
  </si>
  <si>
    <t>Gravelly Ford</t>
  </si>
  <si>
    <t>Confluence</t>
  </si>
  <si>
    <t>Friant</t>
  </si>
  <si>
    <t>Flow Cap @ Friant (cfs):</t>
  </si>
  <si>
    <t>TOTAL TAF</t>
  </si>
  <si>
    <t>ACRE-FEET</t>
  </si>
  <si>
    <t>Capped</t>
  </si>
  <si>
    <t>With Cap (cfs)</t>
  </si>
  <si>
    <t>Calculate Downstream using Capped? (Y/N)</t>
  </si>
  <si>
    <t>Loss</t>
  </si>
  <si>
    <t>Flow Period</t>
  </si>
  <si>
    <t>Default Releases from Friant Dam (cfs)</t>
  </si>
  <si>
    <t>Flows Targets at Gravelly Ford (cfs)</t>
  </si>
  <si>
    <t>SJRRP Flows at Gravelly Ford (cfs)</t>
  </si>
  <si>
    <t>Friant (cfs)</t>
  </si>
  <si>
    <t>Friant (AF)</t>
  </si>
  <si>
    <t>Reach 1 Diversions</t>
  </si>
  <si>
    <t>GRF</t>
  </si>
  <si>
    <t>GRF (AF)</t>
  </si>
  <si>
    <t>SJRRP Volume (af)</t>
  </si>
  <si>
    <t>Riparian Releases</t>
  </si>
  <si>
    <t>Buffer Flow Volume (AF)</t>
  </si>
  <si>
    <t>Feb 1 - Feb 28</t>
  </si>
  <si>
    <t>Friant Dam constraint for 1,120 cfs in 2B</t>
  </si>
  <si>
    <t>Unreleased Restoration Flows</t>
  </si>
  <si>
    <t>cfs</t>
  </si>
  <si>
    <t>Restoration AF</t>
  </si>
  <si>
    <t xml:space="preserve">Per Figure 2-4 of the Background Report in a formula, above 1000 cfs assumed 47.932 ln(Q) - 195.9 </t>
  </si>
  <si>
    <t>Total</t>
  </si>
  <si>
    <t>Total at Friant</t>
  </si>
  <si>
    <t>SJRRP Vol (inc. URFs)</t>
  </si>
  <si>
    <t>ND</t>
  </si>
  <si>
    <t>NW</t>
  </si>
  <si>
    <t>W</t>
  </si>
  <si>
    <t>PLOTTING</t>
  </si>
  <si>
    <t>GRF (cfs)</t>
  </si>
  <si>
    <t>Friant (TAF)</t>
  </si>
  <si>
    <t>GRF (TAF)</t>
  </si>
  <si>
    <t>Exhibit B Hydrographs</t>
  </si>
  <si>
    <t>Vertical Lines</t>
  </si>
  <si>
    <t>Allocation Line</t>
  </si>
  <si>
    <t>Daily Schedule (non-Leap)</t>
  </si>
  <si>
    <t>cfs at GRF - 5</t>
  </si>
  <si>
    <t>Daily Schedule (Leap)</t>
  </si>
  <si>
    <t>RF Allocation Total (AF)</t>
  </si>
  <si>
    <t>Delta per day in Feb (cfs)</t>
  </si>
  <si>
    <t>Adjusted down due to leap year</t>
  </si>
  <si>
    <t>Leap Year Delta (AF)</t>
  </si>
  <si>
    <t>Friant Release Volume (af)</t>
  </si>
  <si>
    <t>N</t>
  </si>
  <si>
    <t>Sum</t>
  </si>
  <si>
    <t>Days</t>
  </si>
  <si>
    <t>Holding Contract Volume</t>
  </si>
  <si>
    <t>Based 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</si>
</sst>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2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0" xfId="0" applyFill="1" applyAlignment="1">
      <alignment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4" borderId="0" xfId="0" applyFill="1"/>
    <xf numFmtId="16" fontId="0" fillId="0" borderId="0" xfId="0" applyNumberFormat="1"/>
    <xf numFmtId="1" fontId="0" fillId="0" borderId="0" xfId="0" applyNumberFormat="1" applyFill="1"/>
    <xf numFmtId="0" fontId="0" fillId="5" borderId="0" xfId="0" applyFill="1"/>
    <xf numFmtId="1" fontId="0" fillId="5" borderId="0" xfId="0" applyNumberFormat="1" applyFill="1"/>
    <xf numFmtId="2" fontId="0" fillId="5" borderId="0" xfId="0" applyNumberFormat="1" applyFill="1"/>
    <xf numFmtId="2" fontId="0" fillId="0" borderId="0" xfId="0" applyNumberFormat="1" applyFill="1"/>
    <xf numFmtId="3" fontId="3" fillId="0" borderId="0" xfId="0" applyNumberFormat="1" applyFont="1"/>
    <xf numFmtId="0" fontId="3" fillId="0" borderId="2" xfId="0" applyFont="1" applyBorder="1" applyAlignment="1">
      <alignment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Border="1"/>
    <xf numFmtId="3" fontId="3" fillId="0" borderId="0" xfId="0" applyNumberFormat="1" applyFont="1" applyBorder="1" applyAlignment="1">
      <alignment vertical="center"/>
    </xf>
    <xf numFmtId="3" fontId="0" fillId="0" borderId="0" xfId="0" applyNumberFormat="1" applyBorder="1"/>
    <xf numFmtId="3" fontId="0" fillId="0" borderId="0" xfId="0" applyNumberFormat="1"/>
    <xf numFmtId="0" fontId="4" fillId="0" borderId="0" xfId="0" applyFont="1" applyAlignment="1">
      <alignment horizontal="right" vertical="center"/>
    </xf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5" fillId="0" borderId="0" xfId="0" applyFont="1"/>
    <xf numFmtId="0" fontId="5" fillId="0" borderId="0" xfId="0" applyFont="1" applyFill="1"/>
    <xf numFmtId="2" fontId="5" fillId="0" borderId="0" xfId="0" applyNumberFormat="1" applyFont="1"/>
    <xf numFmtId="0" fontId="5" fillId="4" borderId="0" xfId="0" applyFont="1" applyFill="1"/>
    <xf numFmtId="16" fontId="0" fillId="0" borderId="13" xfId="0" applyNumberFormat="1" applyBorder="1"/>
    <xf numFmtId="1" fontId="0" fillId="0" borderId="13" xfId="0" applyNumberFormat="1" applyBorder="1"/>
    <xf numFmtId="1" fontId="6" fillId="0" borderId="0" xfId="0" applyNumberFormat="1" applyFon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3" fontId="0" fillId="0" borderId="0" xfId="0" applyNumberFormat="1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22" xfId="0" applyNumberFormat="1" applyBorder="1"/>
    <xf numFmtId="0" fontId="0" fillId="0" borderId="23" xfId="0" applyBorder="1"/>
    <xf numFmtId="0" fontId="0" fillId="0" borderId="13" xfId="0" applyBorder="1"/>
    <xf numFmtId="2" fontId="0" fillId="0" borderId="4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2E704"/>
      <color rgb="FFE54B0D"/>
      <color rgb="FFFBEF05"/>
      <color rgb="FFF258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Friant Release Flow (cfs)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Flow Schedule</c:v>
          </c:tx>
          <c:cat>
            <c:numRef>
              <c:f>Friant.cht!$A$2:$A$25</c:f>
              <c:numCache>
                <c:formatCode>d\-mmm</c:formatCode>
                <c:ptCount val="24"/>
                <c:pt idx="0">
                  <c:v>40238</c:v>
                </c:pt>
                <c:pt idx="1">
                  <c:v>40252</c:v>
                </c:pt>
                <c:pt idx="2">
                  <c:v>40253</c:v>
                </c:pt>
                <c:pt idx="3">
                  <c:v>40268</c:v>
                </c:pt>
                <c:pt idx="4">
                  <c:v>40269</c:v>
                </c:pt>
                <c:pt idx="5">
                  <c:v>40283</c:v>
                </c:pt>
                <c:pt idx="6">
                  <c:v>40284</c:v>
                </c:pt>
                <c:pt idx="7">
                  <c:v>40298</c:v>
                </c:pt>
                <c:pt idx="8">
                  <c:v>40299</c:v>
                </c:pt>
                <c:pt idx="9">
                  <c:v>40359</c:v>
                </c:pt>
                <c:pt idx="10">
                  <c:v>40360</c:v>
                </c:pt>
                <c:pt idx="11">
                  <c:v>40421</c:v>
                </c:pt>
                <c:pt idx="12">
                  <c:v>40422</c:v>
                </c:pt>
                <c:pt idx="13">
                  <c:v>40451</c:v>
                </c:pt>
                <c:pt idx="14">
                  <c:v>40452</c:v>
                </c:pt>
                <c:pt idx="15">
                  <c:v>40482</c:v>
                </c:pt>
                <c:pt idx="16">
                  <c:v>40483</c:v>
                </c:pt>
                <c:pt idx="17">
                  <c:v>40488</c:v>
                </c:pt>
                <c:pt idx="18">
                  <c:v>40489</c:v>
                </c:pt>
                <c:pt idx="19">
                  <c:v>40492</c:v>
                </c:pt>
                <c:pt idx="20">
                  <c:v>40493</c:v>
                </c:pt>
                <c:pt idx="21">
                  <c:v>40543</c:v>
                </c:pt>
                <c:pt idx="22">
                  <c:v>40179</c:v>
                </c:pt>
                <c:pt idx="23">
                  <c:v>40237</c:v>
                </c:pt>
              </c:numCache>
            </c:numRef>
          </c:cat>
          <c:val>
            <c:numRef>
              <c:f>Friant.cht!$B$2:$B$25</c:f>
              <c:numCache>
                <c:formatCode>0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1500</c:v>
                </c:pt>
                <c:pt idx="3">
                  <c:v>1500</c:v>
                </c:pt>
                <c:pt idx="4">
                  <c:v>2500</c:v>
                </c:pt>
                <c:pt idx="5">
                  <c:v>2500</c:v>
                </c:pt>
                <c:pt idx="6">
                  <c:v>713.43803401221908</c:v>
                </c:pt>
                <c:pt idx="7">
                  <c:v>713.43803401221908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4169-AB14-5C8359EA55D4}"/>
            </c:ext>
          </c:extLst>
        </c:ser>
        <c:ser>
          <c:idx val="1"/>
          <c:order val="1"/>
          <c:tx>
            <c:v>Exhibit B</c:v>
          </c:tx>
          <c:spPr>
            <a:ln w="19050"/>
          </c:spPr>
          <c:marker>
            <c:symbol val="square"/>
            <c:size val="4"/>
          </c:marker>
          <c:val>
            <c:numRef>
              <c:f>Friant.cht!$C$2:$C$25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1500</c:v>
                </c:pt>
                <c:pt idx="3">
                  <c:v>1500</c:v>
                </c:pt>
                <c:pt idx="4">
                  <c:v>2500</c:v>
                </c:pt>
                <c:pt idx="5">
                  <c:v>2500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E-4169-AB14-5C8359EA55D4}"/>
            </c:ext>
          </c:extLst>
        </c:ser>
        <c:ser>
          <c:idx val="2"/>
          <c:order val="2"/>
          <c:tx>
            <c:v>Capped Flow Schedule</c:v>
          </c:tx>
          <c:spPr>
            <a:ln w="19050"/>
          </c:spPr>
          <c:marker>
            <c:symbol val="triangle"/>
            <c:size val="4"/>
          </c:marker>
          <c:val>
            <c:numRef>
              <c:f>Friant.cht!$D$2:$D$25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1500</c:v>
                </c:pt>
                <c:pt idx="3">
                  <c:v>1500</c:v>
                </c:pt>
                <c:pt idx="4">
                  <c:v>1520</c:v>
                </c:pt>
                <c:pt idx="5">
                  <c:v>1520</c:v>
                </c:pt>
                <c:pt idx="6">
                  <c:v>713.43803401221908</c:v>
                </c:pt>
                <c:pt idx="7">
                  <c:v>713.43803401221908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E-4169-AB14-5C8359EA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53208"/>
        <c:axId val="666352032"/>
      </c:lineChart>
      <c:dateAx>
        <c:axId val="66635320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6352032"/>
        <c:crosses val="autoZero"/>
        <c:auto val="1"/>
        <c:lblOffset val="100"/>
        <c:baseTimeUnit val="days"/>
      </c:dateAx>
      <c:valAx>
        <c:axId val="666352032"/>
        <c:scaling>
          <c:orientation val="minMax"/>
          <c:max val="4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6353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9109026388203116E-2"/>
          <c:y val="0.11788639224974926"/>
          <c:w val="0.20572080305143375"/>
          <c:h val="0.16666709344258798"/>
        </c:manualLayout>
      </c:layout>
      <c:overlay val="1"/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Gravelly Ford Flow (cfs)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Flow Schedule</c:v>
          </c:tx>
          <c:cat>
            <c:numRef>
              <c:f>GravellyFord.cht!$A$2:$A$25</c:f>
              <c:numCache>
                <c:formatCode>d\-mmm</c:formatCode>
                <c:ptCount val="24"/>
                <c:pt idx="0">
                  <c:v>40238</c:v>
                </c:pt>
                <c:pt idx="1">
                  <c:v>40252</c:v>
                </c:pt>
                <c:pt idx="2">
                  <c:v>40253</c:v>
                </c:pt>
                <c:pt idx="3">
                  <c:v>40268</c:v>
                </c:pt>
                <c:pt idx="4">
                  <c:v>40269</c:v>
                </c:pt>
                <c:pt idx="5">
                  <c:v>40283</c:v>
                </c:pt>
                <c:pt idx="6">
                  <c:v>40284</c:v>
                </c:pt>
                <c:pt idx="7">
                  <c:v>40298</c:v>
                </c:pt>
                <c:pt idx="8">
                  <c:v>40299</c:v>
                </c:pt>
                <c:pt idx="9">
                  <c:v>40359</c:v>
                </c:pt>
                <c:pt idx="10">
                  <c:v>40360</c:v>
                </c:pt>
                <c:pt idx="11">
                  <c:v>40421</c:v>
                </c:pt>
                <c:pt idx="12">
                  <c:v>40422</c:v>
                </c:pt>
                <c:pt idx="13">
                  <c:v>40451</c:v>
                </c:pt>
                <c:pt idx="14">
                  <c:v>40452</c:v>
                </c:pt>
                <c:pt idx="15">
                  <c:v>40482</c:v>
                </c:pt>
                <c:pt idx="16">
                  <c:v>40483</c:v>
                </c:pt>
                <c:pt idx="17">
                  <c:v>40488</c:v>
                </c:pt>
                <c:pt idx="18">
                  <c:v>40489</c:v>
                </c:pt>
                <c:pt idx="19">
                  <c:v>40492</c:v>
                </c:pt>
                <c:pt idx="20">
                  <c:v>40493</c:v>
                </c:pt>
                <c:pt idx="21">
                  <c:v>40543</c:v>
                </c:pt>
                <c:pt idx="22">
                  <c:v>40179</c:v>
                </c:pt>
                <c:pt idx="23">
                  <c:v>40237</c:v>
                </c:pt>
              </c:numCache>
            </c:numRef>
          </c:cat>
          <c:val>
            <c:numRef>
              <c:f>GravellyFord.cht!$B$2:$B$25</c:f>
              <c:numCache>
                <c:formatCode>0</c:formatCode>
                <c:ptCount val="24"/>
                <c:pt idx="0">
                  <c:v>375</c:v>
                </c:pt>
                <c:pt idx="1">
                  <c:v>375</c:v>
                </c:pt>
                <c:pt idx="2">
                  <c:v>1375</c:v>
                </c:pt>
                <c:pt idx="3">
                  <c:v>1375</c:v>
                </c:pt>
                <c:pt idx="4">
                  <c:v>2355</c:v>
                </c:pt>
                <c:pt idx="5">
                  <c:v>2355</c:v>
                </c:pt>
                <c:pt idx="6">
                  <c:v>568.43803401221908</c:v>
                </c:pt>
                <c:pt idx="7">
                  <c:v>568.43803401221908</c:v>
                </c:pt>
                <c:pt idx="8">
                  <c:v>165</c:v>
                </c:pt>
                <c:pt idx="9">
                  <c:v>165</c:v>
                </c:pt>
                <c:pt idx="10">
                  <c:v>125</c:v>
                </c:pt>
                <c:pt idx="11">
                  <c:v>125</c:v>
                </c:pt>
                <c:pt idx="12">
                  <c:v>145</c:v>
                </c:pt>
                <c:pt idx="13">
                  <c:v>145</c:v>
                </c:pt>
                <c:pt idx="14">
                  <c:v>195</c:v>
                </c:pt>
                <c:pt idx="15">
                  <c:v>195</c:v>
                </c:pt>
                <c:pt idx="16">
                  <c:v>575</c:v>
                </c:pt>
                <c:pt idx="17">
                  <c:v>575</c:v>
                </c:pt>
                <c:pt idx="18">
                  <c:v>575</c:v>
                </c:pt>
                <c:pt idx="19">
                  <c:v>575</c:v>
                </c:pt>
                <c:pt idx="20">
                  <c:v>235</c:v>
                </c:pt>
                <c:pt idx="21">
                  <c:v>235</c:v>
                </c:pt>
                <c:pt idx="22">
                  <c:v>255</c:v>
                </c:pt>
                <c:pt idx="2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2-4CFD-99E3-1C3C6A7614EF}"/>
            </c:ext>
          </c:extLst>
        </c:ser>
        <c:ser>
          <c:idx val="1"/>
          <c:order val="1"/>
          <c:tx>
            <c:v>Exhibit B</c:v>
          </c:tx>
          <c:spPr>
            <a:ln w="19050"/>
          </c:spPr>
          <c:marker>
            <c:symbol val="square"/>
            <c:size val="4"/>
          </c:marker>
          <c:val>
            <c:numRef>
              <c:f>GravellyFord.cht!$C$2:$C$25</c:f>
              <c:numCache>
                <c:formatCode>General</c:formatCode>
                <c:ptCount val="24"/>
                <c:pt idx="0">
                  <c:v>375</c:v>
                </c:pt>
                <c:pt idx="1">
                  <c:v>375</c:v>
                </c:pt>
                <c:pt idx="2">
                  <c:v>1375</c:v>
                </c:pt>
                <c:pt idx="3">
                  <c:v>1375</c:v>
                </c:pt>
                <c:pt idx="4">
                  <c:v>2355</c:v>
                </c:pt>
                <c:pt idx="5">
                  <c:v>2355</c:v>
                </c:pt>
                <c:pt idx="6">
                  <c:v>205</c:v>
                </c:pt>
                <c:pt idx="7">
                  <c:v>205</c:v>
                </c:pt>
                <c:pt idx="8">
                  <c:v>165</c:v>
                </c:pt>
                <c:pt idx="9">
                  <c:v>165</c:v>
                </c:pt>
                <c:pt idx="10">
                  <c:v>125</c:v>
                </c:pt>
                <c:pt idx="11">
                  <c:v>125</c:v>
                </c:pt>
                <c:pt idx="12">
                  <c:v>145</c:v>
                </c:pt>
                <c:pt idx="13">
                  <c:v>145</c:v>
                </c:pt>
                <c:pt idx="14">
                  <c:v>195</c:v>
                </c:pt>
                <c:pt idx="15">
                  <c:v>195</c:v>
                </c:pt>
                <c:pt idx="16">
                  <c:v>575</c:v>
                </c:pt>
                <c:pt idx="17">
                  <c:v>575</c:v>
                </c:pt>
                <c:pt idx="18">
                  <c:v>575</c:v>
                </c:pt>
                <c:pt idx="19">
                  <c:v>575</c:v>
                </c:pt>
                <c:pt idx="20">
                  <c:v>235</c:v>
                </c:pt>
                <c:pt idx="21">
                  <c:v>235</c:v>
                </c:pt>
                <c:pt idx="22">
                  <c:v>255</c:v>
                </c:pt>
                <c:pt idx="2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2-4CFD-99E3-1C3C6A76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52424"/>
        <c:axId val="666352816"/>
      </c:lineChart>
      <c:dateAx>
        <c:axId val="6663524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6352816"/>
        <c:crosses val="autoZero"/>
        <c:auto val="1"/>
        <c:lblOffset val="100"/>
        <c:baseTimeUnit val="days"/>
      </c:dateAx>
      <c:valAx>
        <c:axId val="666352816"/>
        <c:scaling>
          <c:orientation val="minMax"/>
          <c:max val="4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6352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51056654221852"/>
          <c:y val="0.22967522352388878"/>
          <c:w val="0.13641375686125043"/>
          <c:h val="0.17886221539380745"/>
        </c:manualLayout>
      </c:layout>
      <c:overlay val="1"/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Mendota Dam through Reach 5 Flow (cfs)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Flow Schedule</c:v>
          </c:tx>
          <c:cat>
            <c:numRef>
              <c:f>'Mendota Dam -R5.cht'!$A$2:$A$25</c:f>
              <c:numCache>
                <c:formatCode>d\-mmm</c:formatCode>
                <c:ptCount val="24"/>
                <c:pt idx="0">
                  <c:v>40238</c:v>
                </c:pt>
                <c:pt idx="1">
                  <c:v>40252</c:v>
                </c:pt>
                <c:pt idx="2">
                  <c:v>40253</c:v>
                </c:pt>
                <c:pt idx="3">
                  <c:v>40268</c:v>
                </c:pt>
                <c:pt idx="4">
                  <c:v>40269</c:v>
                </c:pt>
                <c:pt idx="5">
                  <c:v>40283</c:v>
                </c:pt>
                <c:pt idx="6">
                  <c:v>40284</c:v>
                </c:pt>
                <c:pt idx="7">
                  <c:v>40298</c:v>
                </c:pt>
                <c:pt idx="8">
                  <c:v>40299</c:v>
                </c:pt>
                <c:pt idx="9">
                  <c:v>40359</c:v>
                </c:pt>
                <c:pt idx="10">
                  <c:v>40360</c:v>
                </c:pt>
                <c:pt idx="11">
                  <c:v>40421</c:v>
                </c:pt>
                <c:pt idx="12">
                  <c:v>40422</c:v>
                </c:pt>
                <c:pt idx="13">
                  <c:v>40451</c:v>
                </c:pt>
                <c:pt idx="14">
                  <c:v>40452</c:v>
                </c:pt>
                <c:pt idx="15">
                  <c:v>40482</c:v>
                </c:pt>
                <c:pt idx="16">
                  <c:v>40483</c:v>
                </c:pt>
                <c:pt idx="17">
                  <c:v>40488</c:v>
                </c:pt>
                <c:pt idx="18">
                  <c:v>40489</c:v>
                </c:pt>
                <c:pt idx="19">
                  <c:v>40492</c:v>
                </c:pt>
                <c:pt idx="20">
                  <c:v>40493</c:v>
                </c:pt>
                <c:pt idx="21">
                  <c:v>40543</c:v>
                </c:pt>
                <c:pt idx="22">
                  <c:v>40179</c:v>
                </c:pt>
                <c:pt idx="23">
                  <c:v>40237</c:v>
                </c:pt>
              </c:numCache>
            </c:numRef>
          </c:cat>
          <c:val>
            <c:numRef>
              <c:f>'Mendota Dam -R5.cht'!$B$2:$B$25</c:f>
              <c:numCache>
                <c:formatCode>0</c:formatCode>
                <c:ptCount val="24"/>
                <c:pt idx="0">
                  <c:v>285</c:v>
                </c:pt>
                <c:pt idx="1">
                  <c:v>285</c:v>
                </c:pt>
                <c:pt idx="2">
                  <c:v>1224.5333497278546</c:v>
                </c:pt>
                <c:pt idx="3">
                  <c:v>1224.5333497278546</c:v>
                </c:pt>
                <c:pt idx="4">
                  <c:v>2178.7417638188135</c:v>
                </c:pt>
                <c:pt idx="5">
                  <c:v>2178.7417638188135</c:v>
                </c:pt>
                <c:pt idx="6">
                  <c:v>468.43803401221908</c:v>
                </c:pt>
                <c:pt idx="7">
                  <c:v>468.43803401221908</c:v>
                </c:pt>
                <c:pt idx="8">
                  <c:v>85</c:v>
                </c:pt>
                <c:pt idx="9">
                  <c:v>85</c:v>
                </c:pt>
                <c:pt idx="10">
                  <c:v>45</c:v>
                </c:pt>
                <c:pt idx="11">
                  <c:v>45</c:v>
                </c:pt>
                <c:pt idx="12">
                  <c:v>65</c:v>
                </c:pt>
                <c:pt idx="13">
                  <c:v>65</c:v>
                </c:pt>
                <c:pt idx="14">
                  <c:v>115</c:v>
                </c:pt>
                <c:pt idx="15">
                  <c:v>115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155</c:v>
                </c:pt>
                <c:pt idx="21">
                  <c:v>155</c:v>
                </c:pt>
                <c:pt idx="22">
                  <c:v>175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2-4FA7-A8EE-D8197EF0A83D}"/>
            </c:ext>
          </c:extLst>
        </c:ser>
        <c:ser>
          <c:idx val="1"/>
          <c:order val="1"/>
          <c:tx>
            <c:v>Exhibit B</c:v>
          </c:tx>
          <c:spPr>
            <a:ln w="19050"/>
          </c:spPr>
          <c:marker>
            <c:symbol val="square"/>
            <c:size val="4"/>
          </c:marker>
          <c:val>
            <c:numRef>
              <c:f>'Mendota Dam -R5.cht'!$C$2:$C$25</c:f>
              <c:numCache>
                <c:formatCode>General</c:formatCode>
                <c:ptCount val="24"/>
                <c:pt idx="0">
                  <c:v>285</c:v>
                </c:pt>
                <c:pt idx="1">
                  <c:v>285</c:v>
                </c:pt>
                <c:pt idx="2">
                  <c:v>1225</c:v>
                </c:pt>
                <c:pt idx="3">
                  <c:v>1225</c:v>
                </c:pt>
                <c:pt idx="4">
                  <c:v>2180</c:v>
                </c:pt>
                <c:pt idx="5">
                  <c:v>2180</c:v>
                </c:pt>
                <c:pt idx="6">
                  <c:v>125</c:v>
                </c:pt>
                <c:pt idx="7">
                  <c:v>125</c:v>
                </c:pt>
                <c:pt idx="8">
                  <c:v>85</c:v>
                </c:pt>
                <c:pt idx="9">
                  <c:v>85</c:v>
                </c:pt>
                <c:pt idx="10">
                  <c:v>45</c:v>
                </c:pt>
                <c:pt idx="11">
                  <c:v>45</c:v>
                </c:pt>
                <c:pt idx="12">
                  <c:v>65</c:v>
                </c:pt>
                <c:pt idx="13">
                  <c:v>65</c:v>
                </c:pt>
                <c:pt idx="14">
                  <c:v>115</c:v>
                </c:pt>
                <c:pt idx="15">
                  <c:v>115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155</c:v>
                </c:pt>
                <c:pt idx="21">
                  <c:v>155</c:v>
                </c:pt>
                <c:pt idx="22">
                  <c:v>175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2-4FA7-A8EE-D8197EF0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96544"/>
        <c:axId val="789111320"/>
      </c:lineChart>
      <c:dateAx>
        <c:axId val="64419654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9111320"/>
        <c:crosses val="autoZero"/>
        <c:auto val="1"/>
        <c:lblOffset val="100"/>
        <c:baseTimeUnit val="days"/>
      </c:dateAx>
      <c:valAx>
        <c:axId val="789111320"/>
        <c:scaling>
          <c:orientation val="minMax"/>
          <c:max val="4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419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4708586344198714E-2"/>
          <c:y val="0.21138254059705949"/>
          <c:w val="0.13531364685024933"/>
          <c:h val="0.19918741864583997"/>
        </c:manualLayout>
      </c:layout>
      <c:overlay val="1"/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Flow at Merced Confluence (cfs)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Flow Schedule</c:v>
          </c:tx>
          <c:cat>
            <c:numRef>
              <c:f>'Confluence.cht'!$A$2:$A$25</c:f>
              <c:numCache>
                <c:formatCode>d\-mmm</c:formatCode>
                <c:ptCount val="24"/>
                <c:pt idx="0">
                  <c:v>40238</c:v>
                </c:pt>
                <c:pt idx="1">
                  <c:v>40252</c:v>
                </c:pt>
                <c:pt idx="2">
                  <c:v>40253</c:v>
                </c:pt>
                <c:pt idx="3">
                  <c:v>40268</c:v>
                </c:pt>
                <c:pt idx="4">
                  <c:v>40269</c:v>
                </c:pt>
                <c:pt idx="5">
                  <c:v>40283</c:v>
                </c:pt>
                <c:pt idx="6">
                  <c:v>40284</c:v>
                </c:pt>
                <c:pt idx="7">
                  <c:v>40298</c:v>
                </c:pt>
                <c:pt idx="8">
                  <c:v>40299</c:v>
                </c:pt>
                <c:pt idx="9">
                  <c:v>40359</c:v>
                </c:pt>
                <c:pt idx="10">
                  <c:v>40360</c:v>
                </c:pt>
                <c:pt idx="11">
                  <c:v>40421</c:v>
                </c:pt>
                <c:pt idx="12">
                  <c:v>40422</c:v>
                </c:pt>
                <c:pt idx="13">
                  <c:v>40451</c:v>
                </c:pt>
                <c:pt idx="14">
                  <c:v>40452</c:v>
                </c:pt>
                <c:pt idx="15">
                  <c:v>40482</c:v>
                </c:pt>
                <c:pt idx="16">
                  <c:v>40483</c:v>
                </c:pt>
                <c:pt idx="17">
                  <c:v>40488</c:v>
                </c:pt>
                <c:pt idx="18">
                  <c:v>40489</c:v>
                </c:pt>
                <c:pt idx="19">
                  <c:v>40492</c:v>
                </c:pt>
                <c:pt idx="20">
                  <c:v>40493</c:v>
                </c:pt>
                <c:pt idx="21">
                  <c:v>40543</c:v>
                </c:pt>
                <c:pt idx="22">
                  <c:v>40179</c:v>
                </c:pt>
                <c:pt idx="23">
                  <c:v>40237</c:v>
                </c:pt>
              </c:numCache>
            </c:numRef>
          </c:cat>
          <c:val>
            <c:numRef>
              <c:f>'Confluence.cht'!$B$2:$B$25</c:f>
              <c:numCache>
                <c:formatCode>0</c:formatCode>
                <c:ptCount val="24"/>
                <c:pt idx="0">
                  <c:v>785</c:v>
                </c:pt>
                <c:pt idx="1">
                  <c:v>785</c:v>
                </c:pt>
                <c:pt idx="2">
                  <c:v>1699.5333497278546</c:v>
                </c:pt>
                <c:pt idx="3">
                  <c:v>1699.5333497278546</c:v>
                </c:pt>
                <c:pt idx="4">
                  <c:v>2578.7417638188135</c:v>
                </c:pt>
                <c:pt idx="5">
                  <c:v>2578.7417638188135</c:v>
                </c:pt>
                <c:pt idx="6">
                  <c:v>868.43803401221908</c:v>
                </c:pt>
                <c:pt idx="7">
                  <c:v>868.43803401221908</c:v>
                </c:pt>
                <c:pt idx="8">
                  <c:v>485</c:v>
                </c:pt>
                <c:pt idx="9">
                  <c:v>485</c:v>
                </c:pt>
                <c:pt idx="10">
                  <c:v>320</c:v>
                </c:pt>
                <c:pt idx="11">
                  <c:v>320</c:v>
                </c:pt>
                <c:pt idx="12">
                  <c:v>340</c:v>
                </c:pt>
                <c:pt idx="13">
                  <c:v>340</c:v>
                </c:pt>
                <c:pt idx="14">
                  <c:v>415</c:v>
                </c:pt>
                <c:pt idx="15">
                  <c:v>415</c:v>
                </c:pt>
                <c:pt idx="16">
                  <c:v>775</c:v>
                </c:pt>
                <c:pt idx="17">
                  <c:v>775</c:v>
                </c:pt>
                <c:pt idx="18">
                  <c:v>775</c:v>
                </c:pt>
                <c:pt idx="19">
                  <c:v>775</c:v>
                </c:pt>
                <c:pt idx="20">
                  <c:v>555</c:v>
                </c:pt>
                <c:pt idx="21">
                  <c:v>555</c:v>
                </c:pt>
                <c:pt idx="22">
                  <c:v>675</c:v>
                </c:pt>
                <c:pt idx="2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E-42A9-AE21-15890144EF70}"/>
            </c:ext>
          </c:extLst>
        </c:ser>
        <c:ser>
          <c:idx val="1"/>
          <c:order val="1"/>
          <c:tx>
            <c:v>Exhibit B</c:v>
          </c:tx>
          <c:spPr>
            <a:ln w="19050"/>
          </c:spPr>
          <c:marker>
            <c:symbol val="square"/>
            <c:size val="4"/>
          </c:marker>
          <c:val>
            <c:numRef>
              <c:f>'Confluence.cht'!$C$2:$C$25</c:f>
              <c:numCache>
                <c:formatCode>General</c:formatCode>
                <c:ptCount val="24"/>
                <c:pt idx="0">
                  <c:v>785</c:v>
                </c:pt>
                <c:pt idx="1">
                  <c:v>785</c:v>
                </c:pt>
                <c:pt idx="2">
                  <c:v>1700</c:v>
                </c:pt>
                <c:pt idx="3">
                  <c:v>1700</c:v>
                </c:pt>
                <c:pt idx="4">
                  <c:v>2580</c:v>
                </c:pt>
                <c:pt idx="5">
                  <c:v>2580</c:v>
                </c:pt>
                <c:pt idx="6">
                  <c:v>525</c:v>
                </c:pt>
                <c:pt idx="7">
                  <c:v>525</c:v>
                </c:pt>
                <c:pt idx="8">
                  <c:v>485</c:v>
                </c:pt>
                <c:pt idx="9">
                  <c:v>485</c:v>
                </c:pt>
                <c:pt idx="10">
                  <c:v>320</c:v>
                </c:pt>
                <c:pt idx="11">
                  <c:v>320</c:v>
                </c:pt>
                <c:pt idx="12">
                  <c:v>340</c:v>
                </c:pt>
                <c:pt idx="13">
                  <c:v>340</c:v>
                </c:pt>
                <c:pt idx="14">
                  <c:v>415</c:v>
                </c:pt>
                <c:pt idx="15">
                  <c:v>415</c:v>
                </c:pt>
                <c:pt idx="16">
                  <c:v>775</c:v>
                </c:pt>
                <c:pt idx="17">
                  <c:v>775</c:v>
                </c:pt>
                <c:pt idx="18">
                  <c:v>775</c:v>
                </c:pt>
                <c:pt idx="19">
                  <c:v>775</c:v>
                </c:pt>
                <c:pt idx="20">
                  <c:v>555</c:v>
                </c:pt>
                <c:pt idx="21">
                  <c:v>555</c:v>
                </c:pt>
                <c:pt idx="22">
                  <c:v>675</c:v>
                </c:pt>
                <c:pt idx="2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E-42A9-AE21-15890144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30984"/>
        <c:axId val="643031376"/>
      </c:lineChart>
      <c:dateAx>
        <c:axId val="64303098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3031376"/>
        <c:crosses val="autoZero"/>
        <c:auto val="1"/>
        <c:lblOffset val="100"/>
        <c:baseTimeUnit val="days"/>
      </c:dateAx>
      <c:valAx>
        <c:axId val="643031376"/>
        <c:scaling>
          <c:orientation val="minMax"/>
          <c:max val="4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3030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309246410205325E-2"/>
          <c:y val="0.21341506092226276"/>
          <c:w val="0.14631474696026034"/>
          <c:h val="0.18699229669462047"/>
        </c:manualLayout>
      </c:layout>
      <c:overlay val="1"/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7932739861522"/>
          <c:y val="5.0642327570131478E-2"/>
          <c:w val="0.80703708030561461"/>
          <c:h val="0.79506816944854486"/>
        </c:manualLayout>
      </c:layout>
      <c:scatterChart>
        <c:scatterStyle val="lineMarker"/>
        <c:varyColors val="0"/>
        <c:ser>
          <c:idx val="16"/>
          <c:order val="0"/>
          <c:tx>
            <c:v>ExhibitB</c:v>
          </c:tx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Allocation.LUP!$G$29:$G$40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670</c:v>
                </c:pt>
                <c:pt idx="4">
                  <c:v>670</c:v>
                </c:pt>
                <c:pt idx="5">
                  <c:v>930</c:v>
                </c:pt>
                <c:pt idx="6">
                  <c:v>930</c:v>
                </c:pt>
                <c:pt idx="7">
                  <c:v>1450</c:v>
                </c:pt>
                <c:pt idx="8">
                  <c:v>1450</c:v>
                </c:pt>
                <c:pt idx="9">
                  <c:v>2500</c:v>
                </c:pt>
                <c:pt idx="10">
                  <c:v>2500</c:v>
                </c:pt>
                <c:pt idx="11">
                  <c:v>3500</c:v>
                </c:pt>
              </c:numCache>
            </c:numRef>
          </c:xVal>
          <c:yVal>
            <c:numRef>
              <c:f>Allocation.LUP!$I$29:$I$40</c:f>
              <c:numCache>
                <c:formatCode>General</c:formatCode>
                <c:ptCount val="12"/>
                <c:pt idx="0">
                  <c:v>116.866</c:v>
                </c:pt>
                <c:pt idx="1">
                  <c:v>116.866</c:v>
                </c:pt>
                <c:pt idx="2">
                  <c:v>187.785</c:v>
                </c:pt>
                <c:pt idx="3">
                  <c:v>187.785</c:v>
                </c:pt>
                <c:pt idx="4">
                  <c:v>301.28925619834712</c:v>
                </c:pt>
                <c:pt idx="5">
                  <c:v>301.28925619834712</c:v>
                </c:pt>
                <c:pt idx="6">
                  <c:v>365.2561983471075</c:v>
                </c:pt>
                <c:pt idx="7">
                  <c:v>365.2561983471075</c:v>
                </c:pt>
                <c:pt idx="8">
                  <c:v>473.85123966942149</c:v>
                </c:pt>
                <c:pt idx="9">
                  <c:v>473.85123966942149</c:v>
                </c:pt>
                <c:pt idx="10" formatCode="0.000">
                  <c:v>670.48599999999999</c:v>
                </c:pt>
                <c:pt idx="11" formatCode="0.000">
                  <c:v>670.48599999999999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0-4127-8397-0B9911124999}"/>
            </c:ext>
          </c:extLst>
        </c:ser>
        <c:ser>
          <c:idx val="1"/>
          <c:order val="1"/>
          <c:tx>
            <c:v>Critical Low</c:v>
          </c:tx>
          <c:spPr>
            <a:ln>
              <a:solidFill>
                <a:srgbClr val="E54B0D"/>
              </a:solidFill>
            </a:ln>
          </c:spPr>
          <c:marker>
            <c:symbol val="none"/>
          </c:marker>
          <c:xVal>
            <c:numRef>
              <c:f>Allocation.LUP!$G$3:$G$4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Allocation.LUP!$H$3:$H$4</c:f>
              <c:numCache>
                <c:formatCode>0.000</c:formatCode>
                <c:ptCount val="2"/>
                <c:pt idx="0">
                  <c:v>116.86611570247899</c:v>
                </c:pt>
                <c:pt idx="1">
                  <c:v>116.86611570247899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0-4127-8397-0B9911124999}"/>
            </c:ext>
          </c:extLst>
        </c:ser>
        <c:ser>
          <c:idx val="10"/>
          <c:order val="2"/>
          <c:tx>
            <c:v>Normal Wet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Allocation.LUP!$G$23:$G$24</c:f>
              <c:numCache>
                <c:formatCode>General</c:formatCode>
                <c:ptCount val="2"/>
                <c:pt idx="0">
                  <c:v>2500</c:v>
                </c:pt>
                <c:pt idx="1">
                  <c:v>2500</c:v>
                </c:pt>
              </c:numCache>
            </c:numRef>
          </c:xVal>
          <c:yVal>
            <c:numRef>
              <c:f>Allocation.LUP!$H$23:$H$24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0-4127-8397-0B9911124999}"/>
            </c:ext>
          </c:extLst>
        </c:ser>
        <c:ser>
          <c:idx val="2"/>
          <c:order val="3"/>
          <c:tx>
            <c:v>Critical High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Allocation.LUP!$G$5:$G$6</c:f>
              <c:numCache>
                <c:formatCode>General</c:formatCode>
                <c:ptCount val="2"/>
                <c:pt idx="0">
                  <c:v>400</c:v>
                </c:pt>
                <c:pt idx="1">
                  <c:v>670</c:v>
                </c:pt>
              </c:numCache>
            </c:numRef>
          </c:xVal>
          <c:yVal>
            <c:numRef>
              <c:f>Allocation.LUP!$H$5:$H$6</c:f>
              <c:numCache>
                <c:formatCode>0.000</c:formatCode>
                <c:ptCount val="2"/>
                <c:pt idx="0">
                  <c:v>187.785123966942</c:v>
                </c:pt>
                <c:pt idx="1">
                  <c:v>187.785123966942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E0-4127-8397-0B9911124999}"/>
            </c:ext>
          </c:extLst>
        </c:ser>
        <c:ser>
          <c:idx val="0"/>
          <c:order val="4"/>
          <c:tx>
            <c:v>Dry</c:v>
          </c:tx>
          <c:spPr>
            <a:ln>
              <a:solidFill>
                <a:srgbClr val="F2E704"/>
              </a:solidFill>
            </a:ln>
          </c:spPr>
          <c:marker>
            <c:symbol val="none"/>
          </c:marker>
          <c:xVal>
            <c:numRef>
              <c:f>Allocation.LUP!$G$7:$G$8</c:f>
              <c:numCache>
                <c:formatCode>General</c:formatCode>
                <c:ptCount val="2"/>
                <c:pt idx="0">
                  <c:v>670</c:v>
                </c:pt>
                <c:pt idx="1">
                  <c:v>930</c:v>
                </c:pt>
              </c:numCache>
            </c:numRef>
          </c:xVal>
          <c:yVal>
            <c:numRef>
              <c:f>Allocation.LUP!$H$7:$H$8</c:f>
              <c:numCache>
                <c:formatCode>General</c:formatCode>
                <c:ptCount val="2"/>
                <c:pt idx="0" formatCode="0.000">
                  <c:v>272.27999999999997</c:v>
                </c:pt>
                <c:pt idx="1">
                  <c:v>330.29999999999995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E0-4127-8397-0B9911124999}"/>
            </c:ext>
          </c:extLst>
        </c:ser>
        <c:ser>
          <c:idx val="3"/>
          <c:order val="5"/>
          <c:tx>
            <c:v>Normal Dry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Allocation.LUP!$G$8:$G$9</c:f>
              <c:numCache>
                <c:formatCode>General</c:formatCode>
                <c:ptCount val="2"/>
                <c:pt idx="0">
                  <c:v>930</c:v>
                </c:pt>
                <c:pt idx="1">
                  <c:v>1450</c:v>
                </c:pt>
              </c:numCache>
            </c:numRef>
          </c:xVal>
          <c:yVal>
            <c:numRef>
              <c:f>Allocation.LUP!$H$8:$H$9</c:f>
              <c:numCache>
                <c:formatCode>General</c:formatCode>
                <c:ptCount val="2"/>
                <c:pt idx="0">
                  <c:v>330.29999999999995</c:v>
                </c:pt>
                <c:pt idx="1">
                  <c:v>400.29999986190001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E0-4127-8397-0B9911124999}"/>
            </c:ext>
          </c:extLst>
        </c:ser>
        <c:ser>
          <c:idx val="4"/>
          <c:order val="6"/>
          <c:tx>
            <c:v>Normal Wet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8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3E0-4127-8397-0B9911124999}"/>
              </c:ext>
            </c:extLst>
          </c:dPt>
          <c:xVal>
            <c:numRef>
              <c:f>Allocation.LUP!$G$9:$G$10</c:f>
              <c:numCache>
                <c:formatCode>General</c:formatCode>
                <c:ptCount val="2"/>
                <c:pt idx="0">
                  <c:v>1450</c:v>
                </c:pt>
                <c:pt idx="1">
                  <c:v>2500</c:v>
                </c:pt>
              </c:numCache>
            </c:numRef>
          </c:xVal>
          <c:yVal>
            <c:numRef>
              <c:f>Allocation.LUP!$H$9:$H$10</c:f>
              <c:numCache>
                <c:formatCode>0.000</c:formatCode>
                <c:ptCount val="2"/>
                <c:pt idx="0" formatCode="General">
                  <c:v>400.29999986190001</c:v>
                </c:pt>
                <c:pt idx="1">
                  <c:v>547.4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E0-4127-8397-0B9911124999}"/>
            </c:ext>
          </c:extLst>
        </c:ser>
        <c:ser>
          <c:idx val="5"/>
          <c:order val="7"/>
          <c:tx>
            <c:v>Wet</c:v>
          </c:tx>
          <c:spPr>
            <a:ln>
              <a:solidFill>
                <a:schemeClr val="accent1">
                  <a:lumMod val="75000"/>
                </a:schemeClr>
              </a:solidFill>
              <a:tailEnd type="arrow"/>
            </a:ln>
          </c:spPr>
          <c:marker>
            <c:symbol val="none"/>
          </c:marker>
          <c:xVal>
            <c:numRef>
              <c:f>Allocation.LUP!$G$11:$G$12</c:f>
              <c:numCache>
                <c:formatCode>General</c:formatCode>
                <c:ptCount val="2"/>
                <c:pt idx="0">
                  <c:v>2500</c:v>
                </c:pt>
                <c:pt idx="1">
                  <c:v>3500</c:v>
                </c:pt>
              </c:numCache>
            </c:numRef>
          </c:xVal>
          <c:yVal>
            <c:numRef>
              <c:f>Allocation.LUP!$H$11:$H$12</c:f>
              <c:numCache>
                <c:formatCode>0.000</c:formatCode>
                <c:ptCount val="2"/>
                <c:pt idx="0">
                  <c:v>673.487603305785</c:v>
                </c:pt>
                <c:pt idx="1">
                  <c:v>673.487603305785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E0-4127-8397-0B9911124999}"/>
            </c:ext>
          </c:extLst>
        </c:ser>
        <c:ser>
          <c:idx val="6"/>
          <c:order val="8"/>
          <c:tx>
            <c:v>Critical Low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Allocation.LUP!$G$15:$G$16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xVal>
          <c:yVal>
            <c:numRef>
              <c:f>Allocation.LUP!$H$15:$H$16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E0-4127-8397-0B9911124999}"/>
            </c:ext>
          </c:extLst>
        </c:ser>
        <c:ser>
          <c:idx val="7"/>
          <c:order val="9"/>
          <c:tx>
            <c:v>Critical High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Allocation.LUP!$G$17:$G$18</c:f>
              <c:numCache>
                <c:formatCode>General</c:formatCode>
                <c:ptCount val="2"/>
                <c:pt idx="0">
                  <c:v>670</c:v>
                </c:pt>
                <c:pt idx="1">
                  <c:v>670</c:v>
                </c:pt>
              </c:numCache>
            </c:numRef>
          </c:xVal>
          <c:yVal>
            <c:numRef>
              <c:f>Allocation.LUP!$H$17:$H$18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E0-4127-8397-0B9911124999}"/>
            </c:ext>
          </c:extLst>
        </c:ser>
        <c:ser>
          <c:idx val="8"/>
          <c:order val="10"/>
          <c:tx>
            <c:v>Dry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Allocation.LUP!$G$19:$G$20</c:f>
              <c:numCache>
                <c:formatCode>General</c:formatCode>
                <c:ptCount val="2"/>
                <c:pt idx="0">
                  <c:v>930</c:v>
                </c:pt>
                <c:pt idx="1">
                  <c:v>930</c:v>
                </c:pt>
              </c:numCache>
            </c:numRef>
          </c:xVal>
          <c:yVal>
            <c:numRef>
              <c:f>Allocation.LUP!$H$19:$H$20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E0-4127-8397-0B9911124999}"/>
            </c:ext>
          </c:extLst>
        </c:ser>
        <c:ser>
          <c:idx val="9"/>
          <c:order val="11"/>
          <c:tx>
            <c:v>Normal Dry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Allocation.LUP!$G$21:$G$22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Allocation.LUP!$H$21:$H$22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3E0-4127-8397-0B9911124999}"/>
            </c:ext>
          </c:extLst>
        </c:ser>
        <c:ser>
          <c:idx val="11"/>
          <c:order val="12"/>
          <c:tx>
            <c:v>Pt1</c:v>
          </c:tx>
          <c:marker>
            <c:symbol val="circle"/>
            <c:size val="8"/>
          </c:marker>
          <c:xVal>
            <c:numRef>
              <c:f>Allocation.LUP!$G$5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Allocation.LUP!$H$5</c:f>
              <c:numCache>
                <c:formatCode>0.000</c:formatCode>
                <c:ptCount val="1"/>
                <c:pt idx="0">
                  <c:v>187.785123966942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3E0-4127-8397-0B9911124999}"/>
            </c:ext>
          </c:extLst>
        </c:ser>
        <c:ser>
          <c:idx val="12"/>
          <c:order val="13"/>
          <c:tx>
            <c:v>Pt 2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2E704"/>
              </a:solidFill>
              <a:ln>
                <a:noFill/>
              </a:ln>
            </c:spPr>
          </c:marker>
          <c:xVal>
            <c:numRef>
              <c:f>Allocation.LUP!$G$7</c:f>
              <c:numCache>
                <c:formatCode>General</c:formatCode>
                <c:ptCount val="1"/>
                <c:pt idx="0">
                  <c:v>670</c:v>
                </c:pt>
              </c:numCache>
            </c:numRef>
          </c:xVal>
          <c:yVal>
            <c:numRef>
              <c:f>Allocation.LUP!$H$7</c:f>
              <c:numCache>
                <c:formatCode>0.000</c:formatCode>
                <c:ptCount val="1"/>
                <c:pt idx="0">
                  <c:v>272.27999999999997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3E0-4127-8397-0B9911124999}"/>
            </c:ext>
          </c:extLst>
        </c:ser>
        <c:ser>
          <c:idx val="13"/>
          <c:order val="14"/>
          <c:tx>
            <c:v>Pt 3</c:v>
          </c:tx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Allocation.LUP!$G$8</c:f>
              <c:numCache>
                <c:formatCode>General</c:formatCode>
                <c:ptCount val="1"/>
                <c:pt idx="0">
                  <c:v>930</c:v>
                </c:pt>
              </c:numCache>
            </c:numRef>
          </c:xVal>
          <c:yVal>
            <c:numRef>
              <c:f>Allocation.LUP!$H$8</c:f>
              <c:numCache>
                <c:formatCode>General</c:formatCode>
                <c:ptCount val="1"/>
                <c:pt idx="0">
                  <c:v>330.29999999999995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3E0-4127-8397-0B9911124999}"/>
            </c:ext>
          </c:extLst>
        </c:ser>
        <c:ser>
          <c:idx val="14"/>
          <c:order val="15"/>
          <c:tx>
            <c:v>Pt 4</c:v>
          </c:tx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Allocation.LUP!$G$9</c:f>
              <c:numCache>
                <c:formatCode>General</c:formatCode>
                <c:ptCount val="1"/>
                <c:pt idx="0">
                  <c:v>1450</c:v>
                </c:pt>
              </c:numCache>
            </c:numRef>
          </c:xVal>
          <c:yVal>
            <c:numRef>
              <c:f>Allocation.LUP!$H$9</c:f>
              <c:numCache>
                <c:formatCode>General</c:formatCode>
                <c:ptCount val="1"/>
                <c:pt idx="0">
                  <c:v>400.29999986190001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3E0-4127-8397-0B9911124999}"/>
            </c:ext>
          </c:extLst>
        </c:ser>
        <c:ser>
          <c:idx val="15"/>
          <c:order val="16"/>
          <c:tx>
            <c:v>Pt 6</c:v>
          </c:tx>
          <c:spPr>
            <a:ln>
              <a:headEnd type="arrow"/>
              <a:tailEnd type="arrow" w="lg" len="med"/>
            </a:ln>
          </c:spPr>
          <c:marker>
            <c:symbol val="none"/>
          </c:marker>
          <c:xVal>
            <c:numRef>
              <c:f>Allocation.LUP!$G$10</c:f>
              <c:numCache>
                <c:formatCode>General</c:formatCode>
                <c:ptCount val="1"/>
                <c:pt idx="0">
                  <c:v>2500</c:v>
                </c:pt>
              </c:numCache>
            </c:numRef>
          </c:xVal>
          <c:yVal>
            <c:numRef>
              <c:f>Allocation.LUP!$H$11</c:f>
              <c:numCache>
                <c:formatCode>0.000</c:formatCode>
                <c:ptCount val="1"/>
                <c:pt idx="0">
                  <c:v>673.487603305785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3E0-4127-8397-0B991112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32160"/>
        <c:axId val="649729720"/>
      </c:scatterChart>
      <c:valAx>
        <c:axId val="643032160"/>
        <c:scaling>
          <c:orientation val="minMax"/>
          <c:max val="3500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Unimpaired Water Year Runoff at Friant Dam (TAF)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649729720"/>
        <c:crosses val="autoZero"/>
        <c:crossBetween val="midCat"/>
      </c:valAx>
      <c:valAx>
        <c:axId val="649729720"/>
        <c:scaling>
          <c:orientation val="minMax"/>
          <c:max val="800"/>
        </c:scaling>
        <c:delete val="0"/>
        <c:axPos val="l"/>
        <c:majorGridlines>
          <c:spPr>
            <a:ln>
              <a:solidFill>
                <a:schemeClr val="lt1">
                  <a:shade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SJRRP Annual Allocation at                 Friant Dam (TAF)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30321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7932739861522"/>
          <c:y val="5.0642327570131478E-2"/>
          <c:w val="0.80703708030561461"/>
          <c:h val="0.79506816944854486"/>
        </c:manualLayout>
      </c:layout>
      <c:scatterChart>
        <c:scatterStyle val="lineMarker"/>
        <c:varyColors val="0"/>
        <c:ser>
          <c:idx val="16"/>
          <c:order val="0"/>
          <c:tx>
            <c:v>Exhibit B</c:v>
          </c:tx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Allocation.LUP!$G$29:$G$40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670</c:v>
                </c:pt>
                <c:pt idx="4">
                  <c:v>670</c:v>
                </c:pt>
                <c:pt idx="5">
                  <c:v>930</c:v>
                </c:pt>
                <c:pt idx="6">
                  <c:v>930</c:v>
                </c:pt>
                <c:pt idx="7">
                  <c:v>1450</c:v>
                </c:pt>
                <c:pt idx="8">
                  <c:v>1450</c:v>
                </c:pt>
                <c:pt idx="9">
                  <c:v>2500</c:v>
                </c:pt>
                <c:pt idx="10">
                  <c:v>2500</c:v>
                </c:pt>
                <c:pt idx="11">
                  <c:v>3500</c:v>
                </c:pt>
              </c:numCache>
            </c:numRef>
          </c:xVal>
          <c:yVal>
            <c:numRef>
              <c:f>Allocation.LUP!$J$29:$J$40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70.919008264462803</c:v>
                </c:pt>
                <c:pt idx="3">
                  <c:v>70.919008264462803</c:v>
                </c:pt>
                <c:pt idx="4">
                  <c:v>184.34380165289298</c:v>
                </c:pt>
                <c:pt idx="5">
                  <c:v>184.34380165289298</c:v>
                </c:pt>
                <c:pt idx="6">
                  <c:v>248.31074380165302</c:v>
                </c:pt>
                <c:pt idx="7">
                  <c:v>248.31074380165302</c:v>
                </c:pt>
                <c:pt idx="8">
                  <c:v>356.90578512396701</c:v>
                </c:pt>
                <c:pt idx="9">
                  <c:v>356.90578512396701</c:v>
                </c:pt>
                <c:pt idx="10">
                  <c:v>556.54214876033097</c:v>
                </c:pt>
                <c:pt idx="11">
                  <c:v>556.54214876033097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0-476B-B4CF-2C31B988254E}"/>
            </c:ext>
          </c:extLst>
        </c:ser>
        <c:ser>
          <c:idx val="1"/>
          <c:order val="1"/>
          <c:tx>
            <c:v>Critical Low</c:v>
          </c:tx>
          <c:spPr>
            <a:ln>
              <a:solidFill>
                <a:srgbClr val="E54B0D"/>
              </a:solidFill>
            </a:ln>
          </c:spPr>
          <c:marker>
            <c:symbol val="none"/>
          </c:marker>
          <c:xVal>
            <c:numRef>
              <c:f>Allocation.LUP!$G$3:$G$4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Allocation.LUP!$I$3:$I$4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0-476B-B4CF-2C31B988254E}"/>
            </c:ext>
          </c:extLst>
        </c:ser>
        <c:ser>
          <c:idx val="10"/>
          <c:order val="2"/>
          <c:tx>
            <c:v>Normal Wet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Allocation.LUP!$G$23:$G$24</c:f>
              <c:numCache>
                <c:formatCode>General</c:formatCode>
                <c:ptCount val="2"/>
                <c:pt idx="0">
                  <c:v>2500</c:v>
                </c:pt>
                <c:pt idx="1">
                  <c:v>2500</c:v>
                </c:pt>
              </c:numCache>
            </c:numRef>
          </c:xVal>
          <c:yVal>
            <c:numRef>
              <c:f>Allocation.LUP!$H$23:$H$24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0-476B-B4CF-2C31B988254E}"/>
            </c:ext>
          </c:extLst>
        </c:ser>
        <c:ser>
          <c:idx val="2"/>
          <c:order val="3"/>
          <c:tx>
            <c:v>Critical High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Allocation.LUP!$G$5:$G$6</c:f>
              <c:numCache>
                <c:formatCode>General</c:formatCode>
                <c:ptCount val="2"/>
                <c:pt idx="0">
                  <c:v>400</c:v>
                </c:pt>
                <c:pt idx="1">
                  <c:v>670</c:v>
                </c:pt>
              </c:numCache>
            </c:numRef>
          </c:xVal>
          <c:yVal>
            <c:numRef>
              <c:f>Allocation.LUP!$I$5:$I$6</c:f>
              <c:numCache>
                <c:formatCode>General</c:formatCode>
                <c:ptCount val="2"/>
                <c:pt idx="0">
                  <c:v>70.919008264462803</c:v>
                </c:pt>
                <c:pt idx="1">
                  <c:v>70.919008264462803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0-476B-B4CF-2C31B988254E}"/>
            </c:ext>
          </c:extLst>
        </c:ser>
        <c:ser>
          <c:idx val="0"/>
          <c:order val="4"/>
          <c:tx>
            <c:v>Dry</c:v>
          </c:tx>
          <c:spPr>
            <a:ln>
              <a:solidFill>
                <a:srgbClr val="F2E704"/>
              </a:solidFill>
            </a:ln>
          </c:spPr>
          <c:marker>
            <c:symbol val="none"/>
          </c:marker>
          <c:xVal>
            <c:numRef>
              <c:f>Allocation.LUP!$G$7:$G$8</c:f>
              <c:numCache>
                <c:formatCode>General</c:formatCode>
                <c:ptCount val="2"/>
                <c:pt idx="0">
                  <c:v>670</c:v>
                </c:pt>
                <c:pt idx="1">
                  <c:v>930</c:v>
                </c:pt>
              </c:numCache>
            </c:numRef>
          </c:xVal>
          <c:yVal>
            <c:numRef>
              <c:f>Allocation.LUP!$I$7:$I$8</c:f>
              <c:numCache>
                <c:formatCode>General</c:formatCode>
                <c:ptCount val="2"/>
                <c:pt idx="0">
                  <c:v>155.41388429752101</c:v>
                </c:pt>
                <c:pt idx="1">
                  <c:v>213.43388429752099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0-476B-B4CF-2C31B988254E}"/>
            </c:ext>
          </c:extLst>
        </c:ser>
        <c:ser>
          <c:idx val="3"/>
          <c:order val="5"/>
          <c:tx>
            <c:v>Normal Dry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Allocation.LUP!$G$8:$G$9</c:f>
              <c:numCache>
                <c:formatCode>General</c:formatCode>
                <c:ptCount val="2"/>
                <c:pt idx="0">
                  <c:v>930</c:v>
                </c:pt>
                <c:pt idx="1">
                  <c:v>1450</c:v>
                </c:pt>
              </c:numCache>
            </c:numRef>
          </c:xVal>
          <c:yVal>
            <c:numRef>
              <c:f>Allocation.LUP!$I$8:$I$9</c:f>
              <c:numCache>
                <c:formatCode>General</c:formatCode>
                <c:ptCount val="2"/>
                <c:pt idx="0">
                  <c:v>213.43388429752099</c:v>
                </c:pt>
                <c:pt idx="1">
                  <c:v>283.43388415942104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0-476B-B4CF-2C31B988254E}"/>
            </c:ext>
          </c:extLst>
        </c:ser>
        <c:ser>
          <c:idx val="4"/>
          <c:order val="6"/>
          <c:tx>
            <c:v>Normal Wet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8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570-476B-B4CF-2C31B988254E}"/>
              </c:ext>
            </c:extLst>
          </c:dPt>
          <c:xVal>
            <c:numRef>
              <c:f>Allocation.LUP!$G$9:$G$10</c:f>
              <c:numCache>
                <c:formatCode>General</c:formatCode>
                <c:ptCount val="2"/>
                <c:pt idx="0">
                  <c:v>1450</c:v>
                </c:pt>
                <c:pt idx="1">
                  <c:v>2500</c:v>
                </c:pt>
              </c:numCache>
            </c:numRef>
          </c:xVal>
          <c:yVal>
            <c:numRef>
              <c:f>Allocation.LUP!$I$9:$I$10</c:f>
              <c:numCache>
                <c:formatCode>General</c:formatCode>
                <c:ptCount val="2"/>
                <c:pt idx="0">
                  <c:v>283.43388415942104</c:v>
                </c:pt>
                <c:pt idx="1">
                  <c:v>430.53388405942104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70-476B-B4CF-2C31B988254E}"/>
            </c:ext>
          </c:extLst>
        </c:ser>
        <c:ser>
          <c:idx val="5"/>
          <c:order val="7"/>
          <c:tx>
            <c:v>Wet</c:v>
          </c:tx>
          <c:spPr>
            <a:ln>
              <a:solidFill>
                <a:schemeClr val="accent1">
                  <a:lumMod val="75000"/>
                </a:schemeClr>
              </a:solidFill>
              <a:tailEnd type="arrow"/>
            </a:ln>
          </c:spPr>
          <c:marker>
            <c:symbol val="none"/>
          </c:marker>
          <c:xVal>
            <c:numRef>
              <c:f>Allocation.LUP!$G$11:$G$12</c:f>
              <c:numCache>
                <c:formatCode>General</c:formatCode>
                <c:ptCount val="2"/>
                <c:pt idx="0">
                  <c:v>2500</c:v>
                </c:pt>
                <c:pt idx="1">
                  <c:v>3500</c:v>
                </c:pt>
              </c:numCache>
            </c:numRef>
          </c:xVal>
          <c:yVal>
            <c:numRef>
              <c:f>Allocation.LUP!$I$11:$I$12</c:f>
              <c:numCache>
                <c:formatCode>General</c:formatCode>
                <c:ptCount val="2"/>
                <c:pt idx="0">
                  <c:v>556.62148760330592</c:v>
                </c:pt>
                <c:pt idx="1">
                  <c:v>556.62148760330592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70-476B-B4CF-2C31B988254E}"/>
            </c:ext>
          </c:extLst>
        </c:ser>
        <c:ser>
          <c:idx val="6"/>
          <c:order val="8"/>
          <c:tx>
            <c:v>Critical Low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Allocation.LUP!$G$15:$G$16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xVal>
          <c:yVal>
            <c:numRef>
              <c:f>Allocation.LUP!$H$15:$H$16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70-476B-B4CF-2C31B988254E}"/>
            </c:ext>
          </c:extLst>
        </c:ser>
        <c:ser>
          <c:idx val="7"/>
          <c:order val="9"/>
          <c:tx>
            <c:v>Critical High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Allocation.LUP!$G$17:$G$18</c:f>
              <c:numCache>
                <c:formatCode>General</c:formatCode>
                <c:ptCount val="2"/>
                <c:pt idx="0">
                  <c:v>670</c:v>
                </c:pt>
                <c:pt idx="1">
                  <c:v>670</c:v>
                </c:pt>
              </c:numCache>
            </c:numRef>
          </c:xVal>
          <c:yVal>
            <c:numRef>
              <c:f>Allocation.LUP!$H$17:$H$18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70-476B-B4CF-2C31B988254E}"/>
            </c:ext>
          </c:extLst>
        </c:ser>
        <c:ser>
          <c:idx val="8"/>
          <c:order val="10"/>
          <c:tx>
            <c:v>Dry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Allocation.LUP!$G$19:$G$20</c:f>
              <c:numCache>
                <c:formatCode>General</c:formatCode>
                <c:ptCount val="2"/>
                <c:pt idx="0">
                  <c:v>930</c:v>
                </c:pt>
                <c:pt idx="1">
                  <c:v>930</c:v>
                </c:pt>
              </c:numCache>
            </c:numRef>
          </c:xVal>
          <c:yVal>
            <c:numRef>
              <c:f>Allocation.LUP!$H$19:$H$20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70-476B-B4CF-2C31B988254E}"/>
            </c:ext>
          </c:extLst>
        </c:ser>
        <c:ser>
          <c:idx val="9"/>
          <c:order val="11"/>
          <c:tx>
            <c:v>Normal Dry</c:v>
          </c:tx>
          <c:spPr>
            <a:ln w="254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Allocation.LUP!$G$21:$G$22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Allocation.LUP!$H$21:$H$22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70-476B-B4CF-2C31B988254E}"/>
            </c:ext>
          </c:extLst>
        </c:ser>
        <c:ser>
          <c:idx val="11"/>
          <c:order val="12"/>
          <c:tx>
            <c:v>Pt1</c:v>
          </c:tx>
          <c:marker>
            <c:symbol val="circle"/>
            <c:size val="8"/>
          </c:marker>
          <c:xVal>
            <c:numRef>
              <c:f>Allocation.LUP!$G$5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Allocation.LUP!$I$5</c:f>
              <c:numCache>
                <c:formatCode>General</c:formatCode>
                <c:ptCount val="1"/>
                <c:pt idx="0">
                  <c:v>70.919008264462803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70-476B-B4CF-2C31B988254E}"/>
            </c:ext>
          </c:extLst>
        </c:ser>
        <c:ser>
          <c:idx val="12"/>
          <c:order val="13"/>
          <c:tx>
            <c:v>Pt 2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2E704"/>
              </a:solidFill>
              <a:ln>
                <a:noFill/>
              </a:ln>
            </c:spPr>
          </c:marker>
          <c:xVal>
            <c:numRef>
              <c:f>Allocation.LUP!$G$7</c:f>
              <c:numCache>
                <c:formatCode>General</c:formatCode>
                <c:ptCount val="1"/>
                <c:pt idx="0">
                  <c:v>670</c:v>
                </c:pt>
              </c:numCache>
            </c:numRef>
          </c:xVal>
          <c:yVal>
            <c:numRef>
              <c:f>Allocation.LUP!$I$7</c:f>
              <c:numCache>
                <c:formatCode>General</c:formatCode>
                <c:ptCount val="1"/>
                <c:pt idx="0">
                  <c:v>155.41388429752101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70-476B-B4CF-2C31B988254E}"/>
            </c:ext>
          </c:extLst>
        </c:ser>
        <c:ser>
          <c:idx val="13"/>
          <c:order val="14"/>
          <c:tx>
            <c:v>Pt 3</c:v>
          </c:tx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Allocation.LUP!$G$8</c:f>
              <c:numCache>
                <c:formatCode>General</c:formatCode>
                <c:ptCount val="1"/>
                <c:pt idx="0">
                  <c:v>930</c:v>
                </c:pt>
              </c:numCache>
            </c:numRef>
          </c:xVal>
          <c:yVal>
            <c:numRef>
              <c:f>Allocation.LUP!$I$8</c:f>
              <c:numCache>
                <c:formatCode>General</c:formatCode>
                <c:ptCount val="1"/>
                <c:pt idx="0">
                  <c:v>213.43388429752099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70-476B-B4CF-2C31B988254E}"/>
            </c:ext>
          </c:extLst>
        </c:ser>
        <c:ser>
          <c:idx val="14"/>
          <c:order val="15"/>
          <c:tx>
            <c:v>Pt 4</c:v>
          </c:tx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Allocation.LUP!$G$9</c:f>
              <c:numCache>
                <c:formatCode>General</c:formatCode>
                <c:ptCount val="1"/>
                <c:pt idx="0">
                  <c:v>1450</c:v>
                </c:pt>
              </c:numCache>
            </c:numRef>
          </c:xVal>
          <c:yVal>
            <c:numRef>
              <c:f>Allocation.LUP!$I$9</c:f>
              <c:numCache>
                <c:formatCode>General</c:formatCode>
                <c:ptCount val="1"/>
                <c:pt idx="0">
                  <c:v>283.43388415942104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70-476B-B4CF-2C31B988254E}"/>
            </c:ext>
          </c:extLst>
        </c:ser>
        <c:ser>
          <c:idx val="15"/>
          <c:order val="16"/>
          <c:tx>
            <c:v>Pt 6</c:v>
          </c:tx>
          <c:spPr>
            <a:ln>
              <a:headEnd type="arrow"/>
              <a:tailEnd type="arrow" w="lg" len="med"/>
            </a:ln>
          </c:spPr>
          <c:marker>
            <c:symbol val="none"/>
          </c:marker>
          <c:xVal>
            <c:numRef>
              <c:f>Allocation.LUP!$G$10</c:f>
              <c:numCache>
                <c:formatCode>General</c:formatCode>
                <c:ptCount val="1"/>
                <c:pt idx="0">
                  <c:v>2500</c:v>
                </c:pt>
              </c:numCache>
            </c:numRef>
          </c:xVal>
          <c:yVal>
            <c:numRef>
              <c:f>Allocation.LUP!$I$11</c:f>
              <c:numCache>
                <c:formatCode>General</c:formatCode>
                <c:ptCount val="1"/>
                <c:pt idx="0">
                  <c:v>556.62148760330592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570-476B-B4CF-2C31B988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83424"/>
        <c:axId val="274983816"/>
      </c:scatterChart>
      <c:valAx>
        <c:axId val="274983424"/>
        <c:scaling>
          <c:orientation val="minMax"/>
          <c:max val="3500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Unimpaired Water Year Runoff at Friant Dam (TAF)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74983816"/>
        <c:crosses val="autoZero"/>
        <c:crossBetween val="midCat"/>
      </c:valAx>
      <c:valAx>
        <c:axId val="274983816"/>
        <c:scaling>
          <c:orientation val="minMax"/>
          <c:max val="800"/>
        </c:scaling>
        <c:delete val="0"/>
        <c:axPos val="l"/>
        <c:majorGridlines>
          <c:spPr>
            <a:ln>
              <a:solidFill>
                <a:schemeClr val="lt1">
                  <a:shade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SJRRP Annual Allocation at                 Gravelly Ford (TAF)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74983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57150</xdr:rowOff>
    </xdr:from>
    <xdr:to>
      <xdr:col>14</xdr:col>
      <xdr:colOff>142875</xdr:colOff>
      <xdr:row>24</xdr:row>
      <xdr:rowOff>171450</xdr:rowOff>
    </xdr:to>
    <xdr:graphicFrame macro="">
      <xdr:nvGraphicFramePr>
        <xdr:cNvPr id="2145" name="Chart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14</xdr:col>
      <xdr:colOff>133350</xdr:colOff>
      <xdr:row>25</xdr:row>
      <xdr:rowOff>19050</xdr:rowOff>
    </xdr:to>
    <xdr:graphicFrame macro="">
      <xdr:nvGraphicFramePr>
        <xdr:cNvPr id="8286" name="Chart 2">
          <a:extLst>
            <a:ext uri="{FF2B5EF4-FFF2-40B4-BE49-F238E27FC236}">
              <a16:creationId xmlns:a16="http://schemas.microsoft.com/office/drawing/2014/main" id="{00000000-0008-0000-0400-00005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14</xdr:col>
      <xdr:colOff>123825</xdr:colOff>
      <xdr:row>25</xdr:row>
      <xdr:rowOff>0</xdr:rowOff>
    </xdr:to>
    <xdr:graphicFrame macro="">
      <xdr:nvGraphicFramePr>
        <xdr:cNvPr id="23641" name="Chart 2">
          <a:extLst>
            <a:ext uri="{FF2B5EF4-FFF2-40B4-BE49-F238E27FC236}">
              <a16:creationId xmlns:a16="http://schemas.microsoft.com/office/drawing/2014/main" id="{00000000-0008-0000-0600-000059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14</xdr:col>
      <xdr:colOff>123825</xdr:colOff>
      <xdr:row>25</xdr:row>
      <xdr:rowOff>0</xdr:rowOff>
    </xdr:to>
    <xdr:graphicFrame macro="">
      <xdr:nvGraphicFramePr>
        <xdr:cNvPr id="31831" name="Chart 1">
          <a:extLst>
            <a:ext uri="{FF2B5EF4-FFF2-40B4-BE49-F238E27FC236}">
              <a16:creationId xmlns:a16="http://schemas.microsoft.com/office/drawing/2014/main" id="{00000000-0008-0000-0800-000057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95251</xdr:colOff>
      <xdr:row>0</xdr:row>
      <xdr:rowOff>119062</xdr:rowOff>
    </xdr:from>
    <xdr:to>
      <xdr:col>18</xdr:col>
      <xdr:colOff>542926</xdr:colOff>
      <xdr:row>21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80968</xdr:colOff>
      <xdr:row>9</xdr:row>
      <xdr:rowOff>166688</xdr:rowOff>
    </xdr:from>
    <xdr:to>
      <xdr:col>12</xdr:col>
      <xdr:colOff>361954</xdr:colOff>
      <xdr:row>15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 rot="16200000">
          <a:off x="6705605" y="2305051"/>
          <a:ext cx="1128712" cy="280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up to 400; 116.9</a:t>
          </a:r>
        </a:p>
      </xdr:txBody>
    </xdr:sp>
    <xdr:clientData/>
  </xdr:twoCellAnchor>
  <xdr:twoCellAnchor>
    <xdr:from>
      <xdr:col>12</xdr:col>
      <xdr:colOff>500069</xdr:colOff>
      <xdr:row>7</xdr:row>
      <xdr:rowOff>19050</xdr:rowOff>
    </xdr:from>
    <xdr:to>
      <xdr:col>12</xdr:col>
      <xdr:colOff>766769</xdr:colOff>
      <xdr:row>14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 rot="16200000">
          <a:off x="6991356" y="1909763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400 up to 670; 187.8</a:t>
          </a:r>
        </a:p>
      </xdr:txBody>
    </xdr:sp>
    <xdr:clientData/>
  </xdr:twoCellAnchor>
  <xdr:twoCellAnchor>
    <xdr:from>
      <xdr:col>12</xdr:col>
      <xdr:colOff>762004</xdr:colOff>
      <xdr:row>12</xdr:row>
      <xdr:rowOff>90488</xdr:rowOff>
    </xdr:from>
    <xdr:to>
      <xdr:col>13</xdr:col>
      <xdr:colOff>438154</xdr:colOff>
      <xdr:row>13</xdr:row>
      <xdr:rowOff>166688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7810504" y="2376488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(670; 272.3)</a:t>
          </a:r>
        </a:p>
      </xdr:txBody>
    </xdr:sp>
    <xdr:clientData/>
  </xdr:twoCellAnchor>
  <xdr:twoCellAnchor>
    <xdr:from>
      <xdr:col>12</xdr:col>
      <xdr:colOff>1162054</xdr:colOff>
      <xdr:row>11</xdr:row>
      <xdr:rowOff>42863</xdr:rowOff>
    </xdr:from>
    <xdr:to>
      <xdr:col>14</xdr:col>
      <xdr:colOff>228604</xdr:colOff>
      <xdr:row>12</xdr:row>
      <xdr:rowOff>119063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8210554" y="2138363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(930; 330.3)</a:t>
          </a:r>
        </a:p>
      </xdr:txBody>
    </xdr:sp>
    <xdr:clientData/>
  </xdr:twoCellAnchor>
  <xdr:twoCellAnchor>
    <xdr:from>
      <xdr:col>13</xdr:col>
      <xdr:colOff>219079</xdr:colOff>
      <xdr:row>9</xdr:row>
      <xdr:rowOff>157163</xdr:rowOff>
    </xdr:from>
    <xdr:to>
      <xdr:col>15</xdr:col>
      <xdr:colOff>381004</xdr:colOff>
      <xdr:row>11</xdr:row>
      <xdr:rowOff>42863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8972554" y="1871663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(1,450; 400.3)</a:t>
          </a:r>
        </a:p>
      </xdr:txBody>
    </xdr:sp>
    <xdr:clientData/>
  </xdr:twoCellAnchor>
  <xdr:twoCellAnchor>
    <xdr:from>
      <xdr:col>15</xdr:col>
      <xdr:colOff>561979</xdr:colOff>
      <xdr:row>6</xdr:row>
      <xdr:rowOff>138113</xdr:rowOff>
    </xdr:from>
    <xdr:to>
      <xdr:col>18</xdr:col>
      <xdr:colOff>114304</xdr:colOff>
      <xdr:row>8</xdr:row>
      <xdr:rowOff>23813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10534654" y="1281113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(2,500; 547.4)</a:t>
          </a:r>
        </a:p>
      </xdr:txBody>
    </xdr:sp>
    <xdr:clientData/>
  </xdr:twoCellAnchor>
  <xdr:twoCellAnchor>
    <xdr:from>
      <xdr:col>16</xdr:col>
      <xdr:colOff>57154</xdr:colOff>
      <xdr:row>4</xdr:row>
      <xdr:rowOff>52388</xdr:rowOff>
    </xdr:from>
    <xdr:to>
      <xdr:col>18</xdr:col>
      <xdr:colOff>219079</xdr:colOff>
      <xdr:row>5</xdr:row>
      <xdr:rowOff>128588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0639429" y="814388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(above</a:t>
          </a:r>
          <a:r>
            <a:rPr lang="en-US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2,500; 673.5)</a:t>
          </a:r>
        </a:p>
      </xdr:txBody>
    </xdr:sp>
    <xdr:clientData/>
  </xdr:twoCellAnchor>
  <xdr:twoCellAnchor>
    <xdr:from>
      <xdr:col>12</xdr:col>
      <xdr:colOff>109538</xdr:colOff>
      <xdr:row>1</xdr:row>
      <xdr:rowOff>123824</xdr:rowOff>
    </xdr:from>
    <xdr:to>
      <xdr:col>12</xdr:col>
      <xdr:colOff>376238</xdr:colOff>
      <xdr:row>6</xdr:row>
      <xdr:rowOff>14287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 rot="16200000">
          <a:off x="6869906" y="602456"/>
          <a:ext cx="84296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Critical</a:t>
          </a:r>
          <a:r>
            <a:rPr lang="en-US" sz="1100" baseline="0"/>
            <a:t> Low</a:t>
          </a:r>
          <a:endParaRPr lang="en-US" sz="1100"/>
        </a:p>
      </xdr:txBody>
    </xdr:sp>
    <xdr:clientData/>
  </xdr:twoCellAnchor>
  <xdr:twoCellAnchor>
    <xdr:from>
      <xdr:col>12</xdr:col>
      <xdr:colOff>519114</xdr:colOff>
      <xdr:row>1</xdr:row>
      <xdr:rowOff>85724</xdr:rowOff>
    </xdr:from>
    <xdr:to>
      <xdr:col>12</xdr:col>
      <xdr:colOff>785814</xdr:colOff>
      <xdr:row>6</xdr:row>
      <xdr:rowOff>47624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 rot="16200000">
          <a:off x="7243764" y="600074"/>
          <a:ext cx="914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Critical</a:t>
          </a:r>
          <a:r>
            <a:rPr lang="en-US" sz="1100" baseline="0"/>
            <a:t> High</a:t>
          </a:r>
          <a:endParaRPr lang="en-US" sz="1100"/>
        </a:p>
      </xdr:txBody>
    </xdr:sp>
    <xdr:clientData/>
  </xdr:twoCellAnchor>
  <xdr:twoCellAnchor>
    <xdr:from>
      <xdr:col>12</xdr:col>
      <xdr:colOff>909639</xdr:colOff>
      <xdr:row>1</xdr:row>
      <xdr:rowOff>57149</xdr:rowOff>
    </xdr:from>
    <xdr:to>
      <xdr:col>12</xdr:col>
      <xdr:colOff>1176339</xdr:colOff>
      <xdr:row>3</xdr:row>
      <xdr:rowOff>123825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 rot="16200000">
          <a:off x="7867651" y="338137"/>
          <a:ext cx="4476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Dry</a:t>
          </a:r>
        </a:p>
      </xdr:txBody>
    </xdr:sp>
    <xdr:clientData/>
  </xdr:twoCellAnchor>
  <xdr:twoCellAnchor>
    <xdr:from>
      <xdr:col>12</xdr:col>
      <xdr:colOff>1662114</xdr:colOff>
      <xdr:row>1</xdr:row>
      <xdr:rowOff>95249</xdr:rowOff>
    </xdr:from>
    <xdr:to>
      <xdr:col>13</xdr:col>
      <xdr:colOff>223839</xdr:colOff>
      <xdr:row>6</xdr:row>
      <xdr:rowOff>28575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 txBox="1"/>
      </xdr:nvSpPr>
      <xdr:spPr>
        <a:xfrm rot="16200000">
          <a:off x="8401051" y="595312"/>
          <a:ext cx="8858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Normal-Dry</a:t>
          </a:r>
        </a:p>
      </xdr:txBody>
    </xdr:sp>
    <xdr:clientData/>
  </xdr:twoCellAnchor>
  <xdr:twoCellAnchor>
    <xdr:from>
      <xdr:col>15</xdr:col>
      <xdr:colOff>300039</xdr:colOff>
      <xdr:row>1</xdr:row>
      <xdr:rowOff>38099</xdr:rowOff>
    </xdr:from>
    <xdr:to>
      <xdr:col>15</xdr:col>
      <xdr:colOff>566739</xdr:colOff>
      <xdr:row>6</xdr:row>
      <xdr:rowOff>66675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rot="16200000">
          <a:off x="9915526" y="585787"/>
          <a:ext cx="9810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Normal-Wet</a:t>
          </a:r>
        </a:p>
      </xdr:txBody>
    </xdr:sp>
    <xdr:clientData/>
  </xdr:twoCellAnchor>
  <xdr:twoCellAnchor>
    <xdr:from>
      <xdr:col>17</xdr:col>
      <xdr:colOff>576264</xdr:colOff>
      <xdr:row>0</xdr:row>
      <xdr:rowOff>142874</xdr:rowOff>
    </xdr:from>
    <xdr:to>
      <xdr:col>18</xdr:col>
      <xdr:colOff>233364</xdr:colOff>
      <xdr:row>3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rot="16200000">
          <a:off x="11610976" y="300037"/>
          <a:ext cx="5810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Wet</a:t>
          </a:r>
        </a:p>
      </xdr:txBody>
    </xdr:sp>
    <xdr:clientData/>
  </xdr:twoCellAnchor>
  <xdr:twoCellAnchor>
    <xdr:from>
      <xdr:col>20</xdr:col>
      <xdr:colOff>0</xdr:colOff>
      <xdr:row>1</xdr:row>
      <xdr:rowOff>0</xdr:rowOff>
    </xdr:from>
    <xdr:to>
      <xdr:col>30</xdr:col>
      <xdr:colOff>323850</xdr:colOff>
      <xdr:row>21</xdr:row>
      <xdr:rowOff>138114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4765</xdr:colOff>
      <xdr:row>2</xdr:row>
      <xdr:rowOff>57150</xdr:rowOff>
    </xdr:from>
    <xdr:to>
      <xdr:col>22</xdr:col>
      <xdr:colOff>271465</xdr:colOff>
      <xdr:row>6</xdr:row>
      <xdr:rowOff>138113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 rot="16200000">
          <a:off x="15175708" y="726282"/>
          <a:ext cx="84296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Critical</a:t>
          </a:r>
          <a:r>
            <a:rPr lang="en-US" sz="1100" baseline="0"/>
            <a:t> Low</a:t>
          </a:r>
          <a:endParaRPr lang="en-US" sz="1100"/>
        </a:p>
      </xdr:txBody>
    </xdr:sp>
    <xdr:clientData/>
  </xdr:twoCellAnchor>
  <xdr:twoCellAnchor>
    <xdr:from>
      <xdr:col>22</xdr:col>
      <xdr:colOff>414341</xdr:colOff>
      <xdr:row>2</xdr:row>
      <xdr:rowOff>19050</xdr:rowOff>
    </xdr:from>
    <xdr:to>
      <xdr:col>23</xdr:col>
      <xdr:colOff>71441</xdr:colOff>
      <xdr:row>6</xdr:row>
      <xdr:rowOff>171450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 rot="16200000">
          <a:off x="15549566" y="723900"/>
          <a:ext cx="914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Critical</a:t>
          </a:r>
          <a:r>
            <a:rPr lang="en-US" sz="1100" baseline="0"/>
            <a:t> High</a:t>
          </a:r>
          <a:endParaRPr lang="en-US" sz="1100"/>
        </a:p>
      </xdr:txBody>
    </xdr:sp>
    <xdr:clientData/>
  </xdr:twoCellAnchor>
  <xdr:twoCellAnchor>
    <xdr:from>
      <xdr:col>23</xdr:col>
      <xdr:colOff>195266</xdr:colOff>
      <xdr:row>1</xdr:row>
      <xdr:rowOff>180975</xdr:rowOff>
    </xdr:from>
    <xdr:to>
      <xdr:col>23</xdr:col>
      <xdr:colOff>461966</xdr:colOff>
      <xdr:row>4</xdr:row>
      <xdr:rowOff>57151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 rot="16200000">
          <a:off x="16173453" y="461963"/>
          <a:ext cx="4476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Dry</a:t>
          </a:r>
        </a:p>
      </xdr:txBody>
    </xdr:sp>
    <xdr:clientData/>
  </xdr:twoCellAnchor>
  <xdr:twoCellAnchor>
    <xdr:from>
      <xdr:col>24</xdr:col>
      <xdr:colOff>338141</xdr:colOff>
      <xdr:row>2</xdr:row>
      <xdr:rowOff>28575</xdr:rowOff>
    </xdr:from>
    <xdr:to>
      <xdr:col>24</xdr:col>
      <xdr:colOff>604841</xdr:colOff>
      <xdr:row>6</xdr:row>
      <xdr:rowOff>152401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 rot="16200000">
          <a:off x="16706853" y="719138"/>
          <a:ext cx="8858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Normal-Dry</a:t>
          </a:r>
        </a:p>
      </xdr:txBody>
    </xdr:sp>
    <xdr:clientData/>
  </xdr:twoCellAnchor>
  <xdr:twoCellAnchor>
    <xdr:from>
      <xdr:col>27</xdr:col>
      <xdr:colOff>71441</xdr:colOff>
      <xdr:row>1</xdr:row>
      <xdr:rowOff>161925</xdr:rowOff>
    </xdr:from>
    <xdr:to>
      <xdr:col>27</xdr:col>
      <xdr:colOff>338141</xdr:colOff>
      <xdr:row>7</xdr:row>
      <xdr:rowOff>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 rot="16200000">
          <a:off x="18221328" y="709613"/>
          <a:ext cx="9810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Normal-Wet</a:t>
          </a:r>
        </a:p>
      </xdr:txBody>
    </xdr:sp>
    <xdr:clientData/>
  </xdr:twoCellAnchor>
  <xdr:twoCellAnchor>
    <xdr:from>
      <xdr:col>29</xdr:col>
      <xdr:colOff>347666</xdr:colOff>
      <xdr:row>1</xdr:row>
      <xdr:rowOff>76200</xdr:rowOff>
    </xdr:from>
    <xdr:to>
      <xdr:col>30</xdr:col>
      <xdr:colOff>4766</xdr:colOff>
      <xdr:row>4</xdr:row>
      <xdr:rowOff>85726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 rot="16200000">
          <a:off x="19916778" y="423863"/>
          <a:ext cx="5810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Wet</a:t>
          </a:r>
        </a:p>
      </xdr:txBody>
    </xdr:sp>
    <xdr:clientData/>
  </xdr:twoCellAnchor>
  <xdr:twoCellAnchor>
    <xdr:from>
      <xdr:col>21</xdr:col>
      <xdr:colOff>585793</xdr:colOff>
      <xdr:row>12</xdr:row>
      <xdr:rowOff>138113</xdr:rowOff>
    </xdr:from>
    <xdr:to>
      <xdr:col>22</xdr:col>
      <xdr:colOff>257179</xdr:colOff>
      <xdr:row>18</xdr:row>
      <xdr:rowOff>123825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 rot="16200000">
          <a:off x="15011405" y="2847976"/>
          <a:ext cx="1128712" cy="280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up to 400; 0</a:t>
          </a:r>
        </a:p>
      </xdr:txBody>
    </xdr:sp>
    <xdr:clientData/>
  </xdr:twoCellAnchor>
  <xdr:twoCellAnchor>
    <xdr:from>
      <xdr:col>22</xdr:col>
      <xdr:colOff>395294</xdr:colOff>
      <xdr:row>9</xdr:row>
      <xdr:rowOff>180975</xdr:rowOff>
    </xdr:from>
    <xdr:to>
      <xdr:col>23</xdr:col>
      <xdr:colOff>52394</xdr:colOff>
      <xdr:row>17</xdr:row>
      <xdr:rowOff>38100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 rot="16200000">
          <a:off x="15297156" y="2452688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400 up to 670; 70.9</a:t>
          </a:r>
        </a:p>
      </xdr:txBody>
    </xdr:sp>
    <xdr:clientData/>
  </xdr:twoCellAnchor>
  <xdr:twoCellAnchor>
    <xdr:from>
      <xdr:col>23</xdr:col>
      <xdr:colOff>47629</xdr:colOff>
      <xdr:row>15</xdr:row>
      <xdr:rowOff>61913</xdr:rowOff>
    </xdr:from>
    <xdr:to>
      <xdr:col>25</xdr:col>
      <xdr:colOff>209554</xdr:colOff>
      <xdr:row>16</xdr:row>
      <xdr:rowOff>138113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6116304" y="2919413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(670; 155.4)</a:t>
          </a:r>
        </a:p>
      </xdr:txBody>
    </xdr:sp>
    <xdr:clientData/>
  </xdr:twoCellAnchor>
  <xdr:twoCellAnchor>
    <xdr:from>
      <xdr:col>23</xdr:col>
      <xdr:colOff>447679</xdr:colOff>
      <xdr:row>14</xdr:row>
      <xdr:rowOff>14288</xdr:rowOff>
    </xdr:from>
    <xdr:to>
      <xdr:col>26</xdr:col>
      <xdr:colOff>4</xdr:colOff>
      <xdr:row>15</xdr:row>
      <xdr:rowOff>90488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16516354" y="2681288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(930; 213.4)</a:t>
          </a:r>
        </a:p>
      </xdr:txBody>
    </xdr:sp>
    <xdr:clientData/>
  </xdr:twoCellAnchor>
  <xdr:twoCellAnchor>
    <xdr:from>
      <xdr:col>24</xdr:col>
      <xdr:colOff>600079</xdr:colOff>
      <xdr:row>12</xdr:row>
      <xdr:rowOff>128588</xdr:rowOff>
    </xdr:from>
    <xdr:to>
      <xdr:col>27</xdr:col>
      <xdr:colOff>152404</xdr:colOff>
      <xdr:row>14</xdr:row>
      <xdr:rowOff>14288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17278354" y="2414588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(1,450; 283.4)</a:t>
          </a:r>
        </a:p>
      </xdr:txBody>
    </xdr:sp>
    <xdr:clientData/>
  </xdr:twoCellAnchor>
  <xdr:twoCellAnchor>
    <xdr:from>
      <xdr:col>27</xdr:col>
      <xdr:colOff>333379</xdr:colOff>
      <xdr:row>9</xdr:row>
      <xdr:rowOff>109538</xdr:rowOff>
    </xdr:from>
    <xdr:to>
      <xdr:col>29</xdr:col>
      <xdr:colOff>495304</xdr:colOff>
      <xdr:row>10</xdr:row>
      <xdr:rowOff>185738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840454" y="1824038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(2,500; 430.5)</a:t>
          </a:r>
        </a:p>
      </xdr:txBody>
    </xdr:sp>
    <xdr:clientData/>
  </xdr:twoCellAnchor>
  <xdr:twoCellAnchor>
    <xdr:from>
      <xdr:col>27</xdr:col>
      <xdr:colOff>438154</xdr:colOff>
      <xdr:row>7</xdr:row>
      <xdr:rowOff>23813</xdr:rowOff>
    </xdr:from>
    <xdr:to>
      <xdr:col>29</xdr:col>
      <xdr:colOff>600079</xdr:colOff>
      <xdr:row>8</xdr:row>
      <xdr:rowOff>100013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945229" y="1357313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(above</a:t>
          </a:r>
          <a:r>
            <a:rPr lang="en-US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2,500; 556.6)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8:B13"/>
  <sheetViews>
    <sheetView workbookViewId="0">
      <selection activeCell="F16" sqref="F16"/>
    </sheetView>
  </sheetViews>
  <sheetFormatPr defaultRowHeight="15" x14ac:dyDescent="0.25"/>
  <sheetData>
    <row r="8" spans="1:2" x14ac:dyDescent="0.25">
      <c r="A8" t="s">
        <v>62</v>
      </c>
    </row>
    <row r="10" spans="1:2" x14ac:dyDescent="0.25">
      <c r="A10" s="6"/>
      <c r="B10" t="s">
        <v>61</v>
      </c>
    </row>
    <row r="11" spans="1:2" x14ac:dyDescent="0.25">
      <c r="A11" s="9"/>
      <c r="B11" t="s">
        <v>64</v>
      </c>
    </row>
    <row r="12" spans="1:2" x14ac:dyDescent="0.25">
      <c r="A12" s="7"/>
      <c r="B12" t="s">
        <v>63</v>
      </c>
    </row>
    <row r="13" spans="1:2" x14ac:dyDescent="0.25">
      <c r="A13" s="12"/>
      <c r="B13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N15"/>
  <sheetViews>
    <sheetView workbookViewId="0">
      <selection activeCell="G13" sqref="G13:G14"/>
    </sheetView>
  </sheetViews>
  <sheetFormatPr defaultRowHeight="15" x14ac:dyDescent="0.25"/>
  <cols>
    <col min="1" max="1" width="14.5703125" bestFit="1" customWidth="1"/>
    <col min="2" max="2" width="6.140625" bestFit="1" customWidth="1"/>
    <col min="3" max="3" width="12.85546875" bestFit="1" customWidth="1"/>
    <col min="4" max="4" width="19.7109375" bestFit="1" customWidth="1"/>
    <col min="5" max="5" width="12.7109375" bestFit="1" customWidth="1"/>
    <col min="6" max="6" width="9.28515625" bestFit="1" customWidth="1"/>
    <col min="7" max="7" width="13.5703125" bestFit="1" customWidth="1"/>
    <col min="8" max="8" width="14.7109375" bestFit="1" customWidth="1"/>
    <col min="9" max="9" width="18.5703125" bestFit="1" customWidth="1"/>
    <col min="10" max="10" width="11.140625" bestFit="1" customWidth="1"/>
    <col min="14" max="14" width="11.5703125" bestFit="1" customWidth="1"/>
  </cols>
  <sheetData>
    <row r="1" spans="1:14" ht="15.75" thickBot="1" x14ac:dyDescent="0.3">
      <c r="A1" t="s">
        <v>85</v>
      </c>
      <c r="B1" t="str">
        <f>Friant!C5</f>
        <v>N-D</v>
      </c>
      <c r="L1" s="61" t="s">
        <v>139</v>
      </c>
      <c r="M1" s="62"/>
      <c r="N1" s="63"/>
    </row>
    <row r="2" spans="1:14" x14ac:dyDescent="0.25">
      <c r="B2" t="s">
        <v>89</v>
      </c>
      <c r="C2" t="s">
        <v>67</v>
      </c>
      <c r="D2" s="2" t="s">
        <v>76</v>
      </c>
      <c r="E2" s="2" t="s">
        <v>87</v>
      </c>
      <c r="F2" t="s">
        <v>78</v>
      </c>
      <c r="G2" t="s">
        <v>86</v>
      </c>
      <c r="H2" t="s">
        <v>80</v>
      </c>
      <c r="I2" t="s">
        <v>81</v>
      </c>
      <c r="J2" t="s">
        <v>88</v>
      </c>
      <c r="L2" s="53" t="s">
        <v>137</v>
      </c>
      <c r="M2" s="54" t="s">
        <v>138</v>
      </c>
      <c r="N2" s="55" t="s">
        <v>33</v>
      </c>
    </row>
    <row r="3" spans="1:14" x14ac:dyDescent="0.25">
      <c r="A3" t="s">
        <v>21</v>
      </c>
      <c r="B3">
        <f>HLOOKUP(B$1,YearType.LUP!D$1:O$13,2,FALSE)</f>
        <v>500</v>
      </c>
      <c r="C3">
        <v>125</v>
      </c>
      <c r="D3">
        <v>125</v>
      </c>
      <c r="E3">
        <f>IF(OR(B$1="Wet",B$1="N-W",B$1="N-D",B$1="Dry"),B3-C3,B3-D3)</f>
        <v>375</v>
      </c>
      <c r="F3">
        <f>VLOOKUP(E3,'R2 Losses.LUP'!A$2:B$10,2,TRUE)</f>
        <v>90</v>
      </c>
      <c r="G3">
        <f>E3-F3</f>
        <v>285</v>
      </c>
      <c r="H3">
        <v>500</v>
      </c>
      <c r="I3">
        <v>500</v>
      </c>
      <c r="J3">
        <f>IF(OR(B$1="Wet",B$1="N-W",B$1="N-D",B$1="Dry"),G3+H3,G3+I3)</f>
        <v>785</v>
      </c>
      <c r="L3" s="56">
        <f>C3+5</f>
        <v>130</v>
      </c>
      <c r="M3" s="19">
        <v>15</v>
      </c>
      <c r="N3" s="57">
        <f>L3*M3*86400/43560</f>
        <v>3867.7685950413224</v>
      </c>
    </row>
    <row r="4" spans="1:14" x14ac:dyDescent="0.25">
      <c r="A4" t="s">
        <v>22</v>
      </c>
      <c r="B4">
        <f>HLOOKUP(B$1,YearType.LUP!D$1:O$13,3,FALSE)</f>
        <v>1500</v>
      </c>
      <c r="C4">
        <v>125</v>
      </c>
      <c r="D4">
        <v>125</v>
      </c>
      <c r="E4">
        <f t="shared" ref="E4:E14" si="0">IF(OR(B$1="Wet",B$1="N-W",B$1="N-D",B$1="Dry"),B4-C4,B4-D4)</f>
        <v>1375</v>
      </c>
      <c r="F4">
        <f>VLOOKUP(E4,'R2 Losses.LUP'!A$2:B$10,2,TRUE)</f>
        <v>150</v>
      </c>
      <c r="G4">
        <f t="shared" ref="G4:G14" si="1">E4-F4</f>
        <v>1225</v>
      </c>
      <c r="H4">
        <v>475</v>
      </c>
      <c r="I4">
        <v>475</v>
      </c>
      <c r="J4">
        <f t="shared" ref="J4:J14" si="2">IF(OR(B$1="Wet",B$1="N-W",B$1="N-D",B$1="Dry"),G4+H4,G4+I4)</f>
        <v>1700</v>
      </c>
      <c r="L4" s="56">
        <f t="shared" ref="L4:L14" si="3">C4+5</f>
        <v>130</v>
      </c>
      <c r="M4" s="19">
        <v>16</v>
      </c>
      <c r="N4" s="57">
        <f t="shared" ref="N4:N14" si="4">L4*M4*86400/43560</f>
        <v>4125.6198347107438</v>
      </c>
    </row>
    <row r="5" spans="1:14" x14ac:dyDescent="0.25">
      <c r="A5" t="s">
        <v>23</v>
      </c>
      <c r="B5">
        <f>HLOOKUP(B$1,YearType.LUP!D$1:O$13,4,FALSE)</f>
        <v>2500</v>
      </c>
      <c r="C5">
        <v>145</v>
      </c>
      <c r="D5">
        <v>145</v>
      </c>
      <c r="E5">
        <f t="shared" si="0"/>
        <v>2355</v>
      </c>
      <c r="F5">
        <f>VLOOKUP(E5,'R2 Losses.LUP'!A$2:B$10,2,TRUE)</f>
        <v>175</v>
      </c>
      <c r="G5">
        <f t="shared" si="1"/>
        <v>2180</v>
      </c>
      <c r="H5">
        <v>400</v>
      </c>
      <c r="I5">
        <v>400</v>
      </c>
      <c r="J5">
        <f t="shared" si="2"/>
        <v>2580</v>
      </c>
      <c r="L5" s="56">
        <f t="shared" si="3"/>
        <v>150</v>
      </c>
      <c r="M5" s="19">
        <v>15</v>
      </c>
      <c r="N5" s="57">
        <f t="shared" si="4"/>
        <v>4462.8099173553719</v>
      </c>
    </row>
    <row r="6" spans="1:14" x14ac:dyDescent="0.25">
      <c r="A6" t="s">
        <v>24</v>
      </c>
      <c r="B6">
        <f>HLOOKUP(B$1,YearType.LUP!D$1:O$13,5,FALSE)</f>
        <v>350</v>
      </c>
      <c r="C6">
        <v>145</v>
      </c>
      <c r="D6">
        <v>145</v>
      </c>
      <c r="E6">
        <f t="shared" si="0"/>
        <v>205</v>
      </c>
      <c r="F6">
        <f>VLOOKUP(E6,'R2 Losses.LUP'!A$2:B$10,2,TRUE)</f>
        <v>80</v>
      </c>
      <c r="G6">
        <f t="shared" si="1"/>
        <v>125</v>
      </c>
      <c r="H6">
        <v>400</v>
      </c>
      <c r="I6">
        <v>400</v>
      </c>
      <c r="J6">
        <f t="shared" si="2"/>
        <v>525</v>
      </c>
      <c r="L6" s="56">
        <f t="shared" si="3"/>
        <v>150</v>
      </c>
      <c r="M6" s="19">
        <v>15</v>
      </c>
      <c r="N6" s="57">
        <f t="shared" si="4"/>
        <v>4462.8099173553719</v>
      </c>
    </row>
    <row r="7" spans="1:14" x14ac:dyDescent="0.25">
      <c r="A7" t="s">
        <v>31</v>
      </c>
      <c r="B7">
        <f>HLOOKUP(B$1,YearType.LUP!D$1:O$13,6,FALSE)</f>
        <v>350</v>
      </c>
      <c r="C7">
        <v>185</v>
      </c>
      <c r="D7">
        <v>185</v>
      </c>
      <c r="E7">
        <f t="shared" si="0"/>
        <v>165</v>
      </c>
      <c r="F7">
        <f>VLOOKUP(E7,'R2 Losses.LUP'!A$2:B$10,2,TRUE)</f>
        <v>80</v>
      </c>
      <c r="G7">
        <f t="shared" si="1"/>
        <v>85</v>
      </c>
      <c r="H7">
        <v>400</v>
      </c>
      <c r="I7">
        <v>400</v>
      </c>
      <c r="J7">
        <f t="shared" si="2"/>
        <v>485</v>
      </c>
      <c r="L7" s="56">
        <f t="shared" si="3"/>
        <v>190</v>
      </c>
      <c r="M7" s="19">
        <v>61</v>
      </c>
      <c r="N7" s="57">
        <f t="shared" si="4"/>
        <v>22988.429752066117</v>
      </c>
    </row>
    <row r="8" spans="1:14" x14ac:dyDescent="0.25">
      <c r="A8" t="s">
        <v>25</v>
      </c>
      <c r="B8">
        <f>HLOOKUP(B$1,YearType.LUP!D$1:O$13,7,FALSE)</f>
        <v>350</v>
      </c>
      <c r="C8">
        <v>225</v>
      </c>
      <c r="D8">
        <v>225</v>
      </c>
      <c r="E8">
        <f t="shared" si="0"/>
        <v>125</v>
      </c>
      <c r="F8">
        <f>VLOOKUP(E8,'R2 Losses.LUP'!A$2:B$10,2,TRUE)</f>
        <v>80</v>
      </c>
      <c r="G8">
        <f t="shared" si="1"/>
        <v>45</v>
      </c>
      <c r="H8">
        <v>275</v>
      </c>
      <c r="I8">
        <v>275</v>
      </c>
      <c r="J8">
        <f t="shared" si="2"/>
        <v>320</v>
      </c>
      <c r="L8" s="56">
        <f t="shared" si="3"/>
        <v>230</v>
      </c>
      <c r="M8" s="19">
        <v>62</v>
      </c>
      <c r="N8" s="57">
        <f t="shared" si="4"/>
        <v>28284.297520661155</v>
      </c>
    </row>
    <row r="9" spans="1:14" x14ac:dyDescent="0.25">
      <c r="A9" t="s">
        <v>26</v>
      </c>
      <c r="B9">
        <f>HLOOKUP(B$1,YearType.LUP!D$1:O$13,8,FALSE)</f>
        <v>350</v>
      </c>
      <c r="C9">
        <v>205</v>
      </c>
      <c r="D9">
        <v>205</v>
      </c>
      <c r="E9">
        <f t="shared" si="0"/>
        <v>145</v>
      </c>
      <c r="F9">
        <f>VLOOKUP(E9,'R2 Losses.LUP'!A$2:B$10,2,TRUE)</f>
        <v>80</v>
      </c>
      <c r="G9">
        <f t="shared" si="1"/>
        <v>65</v>
      </c>
      <c r="H9">
        <v>275</v>
      </c>
      <c r="I9">
        <v>275</v>
      </c>
      <c r="J9">
        <f t="shared" si="2"/>
        <v>340</v>
      </c>
      <c r="L9" s="56">
        <f t="shared" si="3"/>
        <v>210</v>
      </c>
      <c r="M9" s="19">
        <v>30</v>
      </c>
      <c r="N9" s="57">
        <f t="shared" si="4"/>
        <v>12495.867768595041</v>
      </c>
    </row>
    <row r="10" spans="1:14" x14ac:dyDescent="0.25">
      <c r="A10" t="s">
        <v>27</v>
      </c>
      <c r="B10">
        <f>HLOOKUP(B$1,YearType.LUP!D$1:O$13,9,FALSE)</f>
        <v>350</v>
      </c>
      <c r="C10">
        <v>155</v>
      </c>
      <c r="D10">
        <v>155</v>
      </c>
      <c r="E10">
        <f t="shared" si="0"/>
        <v>195</v>
      </c>
      <c r="F10">
        <f>VLOOKUP(E10,'R2 Losses.LUP'!A$2:B$10,2,TRUE)</f>
        <v>80</v>
      </c>
      <c r="G10">
        <f t="shared" si="1"/>
        <v>115</v>
      </c>
      <c r="H10">
        <v>300</v>
      </c>
      <c r="I10">
        <v>300</v>
      </c>
      <c r="J10">
        <f t="shared" si="2"/>
        <v>415</v>
      </c>
      <c r="L10" s="56">
        <f t="shared" si="3"/>
        <v>160</v>
      </c>
      <c r="M10" s="19">
        <v>31</v>
      </c>
      <c r="N10" s="57">
        <f t="shared" si="4"/>
        <v>9838.0165289256202</v>
      </c>
    </row>
    <row r="11" spans="1:14" x14ac:dyDescent="0.25">
      <c r="A11" t="s">
        <v>29</v>
      </c>
      <c r="B11">
        <f>HLOOKUP(B$1,YearType.LUP!D$1:O$13,10,FALSE)</f>
        <v>700</v>
      </c>
      <c r="C11">
        <v>125</v>
      </c>
      <c r="D11">
        <v>125</v>
      </c>
      <c r="E11">
        <f t="shared" si="0"/>
        <v>575</v>
      </c>
      <c r="F11">
        <f>VLOOKUP(E11,'R2 Losses.LUP'!A$2:B$10,2,TRUE)</f>
        <v>100</v>
      </c>
      <c r="G11">
        <f t="shared" si="1"/>
        <v>475</v>
      </c>
      <c r="H11">
        <v>300</v>
      </c>
      <c r="I11">
        <v>300</v>
      </c>
      <c r="J11">
        <f t="shared" si="2"/>
        <v>775</v>
      </c>
      <c r="L11" s="56">
        <f t="shared" si="3"/>
        <v>130</v>
      </c>
      <c r="M11" s="19">
        <v>6</v>
      </c>
      <c r="N11" s="57">
        <f t="shared" si="4"/>
        <v>1547.1074380165289</v>
      </c>
    </row>
    <row r="12" spans="1:14" x14ac:dyDescent="0.25">
      <c r="A12" t="s">
        <v>28</v>
      </c>
      <c r="B12">
        <f>HLOOKUP(B$1,YearType.LUP!D$1:O$13,11,FALSE)</f>
        <v>700</v>
      </c>
      <c r="C12">
        <v>125</v>
      </c>
      <c r="D12">
        <v>115</v>
      </c>
      <c r="E12">
        <f t="shared" si="0"/>
        <v>575</v>
      </c>
      <c r="F12">
        <f>VLOOKUP(E12,'R2 Losses.LUP'!A$2:B$10,2,TRUE)</f>
        <v>100</v>
      </c>
      <c r="G12">
        <f t="shared" si="1"/>
        <v>475</v>
      </c>
      <c r="H12">
        <v>300</v>
      </c>
      <c r="I12">
        <v>400</v>
      </c>
      <c r="J12">
        <f t="shared" si="2"/>
        <v>775</v>
      </c>
      <c r="L12" s="56">
        <f t="shared" si="3"/>
        <v>130</v>
      </c>
      <c r="M12" s="19">
        <v>4</v>
      </c>
      <c r="N12" s="57">
        <f t="shared" si="4"/>
        <v>1031.404958677686</v>
      </c>
    </row>
    <row r="13" spans="1:14" x14ac:dyDescent="0.25">
      <c r="A13" t="s">
        <v>32</v>
      </c>
      <c r="B13">
        <f>HLOOKUP(B$1,YearType.LUP!D$1:O$13,12,FALSE)</f>
        <v>350</v>
      </c>
      <c r="C13">
        <v>115</v>
      </c>
      <c r="D13">
        <v>115</v>
      </c>
      <c r="E13">
        <f t="shared" si="0"/>
        <v>235</v>
      </c>
      <c r="F13">
        <f>VLOOKUP(E13,'R2 Losses.LUP'!A$2:B$10,2,TRUE)</f>
        <v>80</v>
      </c>
      <c r="G13">
        <f t="shared" si="1"/>
        <v>155</v>
      </c>
      <c r="H13">
        <v>400</v>
      </c>
      <c r="I13">
        <v>400</v>
      </c>
      <c r="J13">
        <f t="shared" si="2"/>
        <v>555</v>
      </c>
      <c r="L13" s="56">
        <f t="shared" si="3"/>
        <v>120</v>
      </c>
      <c r="M13" s="19">
        <v>51</v>
      </c>
      <c r="N13" s="57">
        <f t="shared" si="4"/>
        <v>12138.842975206611</v>
      </c>
    </row>
    <row r="14" spans="1:14" x14ac:dyDescent="0.25">
      <c r="A14" t="s">
        <v>30</v>
      </c>
      <c r="B14">
        <f>HLOOKUP(B$1,YearType.LUP!D$1:O$13,13,FALSE)</f>
        <v>350</v>
      </c>
      <c r="C14">
        <v>95</v>
      </c>
      <c r="D14">
        <v>95</v>
      </c>
      <c r="E14">
        <f t="shared" si="0"/>
        <v>255</v>
      </c>
      <c r="F14">
        <f>VLOOKUP(E14,'R2 Losses.LUP'!A$2:B$10,2,TRUE)</f>
        <v>80</v>
      </c>
      <c r="G14">
        <f t="shared" si="1"/>
        <v>175</v>
      </c>
      <c r="H14">
        <v>500</v>
      </c>
      <c r="I14">
        <v>500</v>
      </c>
      <c r="J14">
        <f t="shared" si="2"/>
        <v>675</v>
      </c>
      <c r="L14" s="56">
        <f t="shared" si="3"/>
        <v>100</v>
      </c>
      <c r="M14" s="19">
        <v>59</v>
      </c>
      <c r="N14" s="57">
        <f t="shared" si="4"/>
        <v>11702.479338842975</v>
      </c>
    </row>
    <row r="15" spans="1:14" ht="15.75" thickBot="1" x14ac:dyDescent="0.3">
      <c r="L15" s="58"/>
      <c r="M15" s="59">
        <f>SUM(M3:M14)</f>
        <v>365</v>
      </c>
      <c r="N15" s="60">
        <f>SUM(N3:N14)</f>
        <v>116945.45454545453</v>
      </c>
    </row>
  </sheetData>
  <mergeCells count="1">
    <mergeCell ref="L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A1:P30"/>
  <sheetViews>
    <sheetView workbookViewId="0">
      <selection activeCell="H16" sqref="H16"/>
    </sheetView>
  </sheetViews>
  <sheetFormatPr defaultRowHeight="15" x14ac:dyDescent="0.25"/>
  <cols>
    <col min="1" max="1" width="4.28515625" bestFit="1" customWidth="1"/>
    <col min="2" max="2" width="14.5703125" bestFit="1" customWidth="1"/>
    <col min="3" max="3" width="6.5703125" bestFit="1" customWidth="1"/>
    <col min="4" max="4" width="8.7109375" customWidth="1"/>
    <col min="5" max="5" width="12.5703125" bestFit="1" customWidth="1"/>
    <col min="6" max="15" width="8.7109375" customWidth="1"/>
    <col min="16" max="16" width="9.5703125" bestFit="1" customWidth="1"/>
  </cols>
  <sheetData>
    <row r="1" spans="1:16" x14ac:dyDescent="0.25">
      <c r="A1" t="s">
        <v>11</v>
      </c>
      <c r="B1" t="s">
        <v>1</v>
      </c>
      <c r="C1" t="s">
        <v>2</v>
      </c>
      <c r="D1" t="s">
        <v>53</v>
      </c>
      <c r="E1" s="2" t="s">
        <v>41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13</v>
      </c>
      <c r="M1" t="s">
        <v>42</v>
      </c>
      <c r="N1" t="s">
        <v>43</v>
      </c>
      <c r="O1" t="s">
        <v>14</v>
      </c>
      <c r="P1" s="1"/>
    </row>
    <row r="2" spans="1:16" x14ac:dyDescent="0.25">
      <c r="A2" t="s">
        <v>12</v>
      </c>
      <c r="B2" t="s">
        <v>21</v>
      </c>
      <c r="C2">
        <v>15</v>
      </c>
      <c r="D2">
        <v>130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 s="1"/>
    </row>
    <row r="3" spans="1:16" x14ac:dyDescent="0.25">
      <c r="A3" t="s">
        <v>12</v>
      </c>
      <c r="B3" t="s">
        <v>22</v>
      </c>
      <c r="C3">
        <v>16</v>
      </c>
      <c r="D3">
        <v>130</v>
      </c>
      <c r="E3">
        <v>1500</v>
      </c>
      <c r="F3">
        <v>1500</v>
      </c>
      <c r="G3">
        <v>1500</v>
      </c>
      <c r="H3">
        <v>1500</v>
      </c>
      <c r="I3">
        <v>1500</v>
      </c>
      <c r="J3">
        <v>1500</v>
      </c>
      <c r="K3">
        <v>1500</v>
      </c>
      <c r="L3">
        <v>1500</v>
      </c>
      <c r="M3">
        <v>1500</v>
      </c>
      <c r="N3">
        <v>1500</v>
      </c>
      <c r="O3">
        <v>1500</v>
      </c>
      <c r="P3" s="1"/>
    </row>
    <row r="4" spans="1:16" x14ac:dyDescent="0.25">
      <c r="A4" t="s">
        <v>3</v>
      </c>
      <c r="B4" t="s">
        <v>23</v>
      </c>
      <c r="C4">
        <v>15</v>
      </c>
      <c r="D4">
        <v>150</v>
      </c>
      <c r="E4">
        <v>200</v>
      </c>
      <c r="F4">
        <v>200</v>
      </c>
      <c r="G4">
        <v>200</v>
      </c>
      <c r="H4">
        <v>260</v>
      </c>
      <c r="I4">
        <v>260</v>
      </c>
      <c r="J4">
        <v>350</v>
      </c>
      <c r="K4">
        <v>350</v>
      </c>
      <c r="L4">
        <v>350</v>
      </c>
      <c r="M4">
        <v>2500</v>
      </c>
      <c r="N4">
        <v>2500</v>
      </c>
      <c r="O4">
        <v>2500</v>
      </c>
      <c r="P4" s="1"/>
    </row>
    <row r="5" spans="1:16" x14ac:dyDescent="0.25">
      <c r="A5" t="s">
        <v>3</v>
      </c>
      <c r="B5" t="s">
        <v>24</v>
      </c>
      <c r="C5">
        <v>15</v>
      </c>
      <c r="D5">
        <v>150</v>
      </c>
      <c r="E5">
        <v>200</v>
      </c>
      <c r="F5">
        <v>200</v>
      </c>
      <c r="G5">
        <v>200</v>
      </c>
      <c r="H5">
        <v>260</v>
      </c>
      <c r="I5">
        <v>260</v>
      </c>
      <c r="J5">
        <v>350</v>
      </c>
      <c r="K5">
        <v>350</v>
      </c>
      <c r="L5">
        <v>350</v>
      </c>
      <c r="M5">
        <v>350</v>
      </c>
      <c r="N5">
        <v>4000</v>
      </c>
      <c r="O5">
        <v>4000</v>
      </c>
      <c r="P5" s="1"/>
    </row>
    <row r="6" spans="1:16" x14ac:dyDescent="0.25">
      <c r="A6" t="s">
        <v>4</v>
      </c>
      <c r="B6" t="s">
        <v>31</v>
      </c>
      <c r="C6">
        <v>61</v>
      </c>
      <c r="D6">
        <v>190</v>
      </c>
      <c r="E6">
        <v>215</v>
      </c>
      <c r="F6">
        <v>215</v>
      </c>
      <c r="G6">
        <v>215</v>
      </c>
      <c r="H6">
        <v>260</v>
      </c>
      <c r="I6">
        <v>260</v>
      </c>
      <c r="J6">
        <v>260</v>
      </c>
      <c r="K6">
        <v>260</v>
      </c>
      <c r="L6">
        <v>350</v>
      </c>
      <c r="M6">
        <v>350</v>
      </c>
      <c r="N6">
        <v>350</v>
      </c>
      <c r="O6">
        <v>2000</v>
      </c>
      <c r="P6" s="1"/>
    </row>
    <row r="7" spans="1:16" x14ac:dyDescent="0.25">
      <c r="A7" t="s">
        <v>4</v>
      </c>
      <c r="B7" t="s">
        <v>25</v>
      </c>
      <c r="C7">
        <v>62</v>
      </c>
      <c r="D7">
        <v>230</v>
      </c>
      <c r="E7">
        <v>255</v>
      </c>
      <c r="F7">
        <v>255</v>
      </c>
      <c r="G7">
        <v>255</v>
      </c>
      <c r="H7">
        <v>260</v>
      </c>
      <c r="I7">
        <v>260</v>
      </c>
      <c r="J7">
        <v>260</v>
      </c>
      <c r="K7">
        <v>260</v>
      </c>
      <c r="L7">
        <v>350</v>
      </c>
      <c r="M7">
        <v>350</v>
      </c>
      <c r="N7">
        <v>350</v>
      </c>
      <c r="O7">
        <v>350</v>
      </c>
      <c r="P7" s="1"/>
    </row>
    <row r="8" spans="1:16" x14ac:dyDescent="0.25">
      <c r="A8" t="s">
        <v>5</v>
      </c>
      <c r="B8" t="s">
        <v>26</v>
      </c>
      <c r="C8">
        <v>30</v>
      </c>
      <c r="D8">
        <v>210</v>
      </c>
      <c r="E8">
        <v>260</v>
      </c>
      <c r="F8">
        <v>260</v>
      </c>
      <c r="G8">
        <v>260</v>
      </c>
      <c r="H8">
        <v>260</v>
      </c>
      <c r="I8">
        <v>350</v>
      </c>
      <c r="J8">
        <v>350</v>
      </c>
      <c r="K8">
        <v>350</v>
      </c>
      <c r="L8">
        <v>350</v>
      </c>
      <c r="M8">
        <v>350</v>
      </c>
      <c r="N8">
        <v>350</v>
      </c>
      <c r="O8">
        <v>350</v>
      </c>
      <c r="P8" s="1"/>
    </row>
    <row r="9" spans="1:16" x14ac:dyDescent="0.25">
      <c r="A9" t="s">
        <v>6</v>
      </c>
      <c r="B9" t="s">
        <v>27</v>
      </c>
      <c r="C9">
        <v>31</v>
      </c>
      <c r="D9">
        <v>160</v>
      </c>
      <c r="E9">
        <v>160</v>
      </c>
      <c r="F9">
        <v>260</v>
      </c>
      <c r="G9">
        <v>260</v>
      </c>
      <c r="H9">
        <v>260</v>
      </c>
      <c r="I9">
        <v>350</v>
      </c>
      <c r="J9">
        <v>350</v>
      </c>
      <c r="K9">
        <v>350</v>
      </c>
      <c r="L9">
        <v>350</v>
      </c>
      <c r="M9">
        <v>350</v>
      </c>
      <c r="N9">
        <v>350</v>
      </c>
      <c r="O9">
        <v>350</v>
      </c>
      <c r="P9" s="1"/>
    </row>
    <row r="10" spans="1:16" x14ac:dyDescent="0.25">
      <c r="A10" t="s">
        <v>7</v>
      </c>
      <c r="B10" t="s">
        <v>29</v>
      </c>
      <c r="C10">
        <v>6</v>
      </c>
      <c r="D10">
        <v>130</v>
      </c>
      <c r="E10">
        <v>400</v>
      </c>
      <c r="F10">
        <v>400</v>
      </c>
      <c r="G10">
        <v>400</v>
      </c>
      <c r="H10">
        <v>400</v>
      </c>
      <c r="I10">
        <v>400</v>
      </c>
      <c r="J10">
        <v>400</v>
      </c>
      <c r="K10">
        <v>700</v>
      </c>
      <c r="L10">
        <v>700</v>
      </c>
      <c r="M10">
        <v>700</v>
      </c>
      <c r="N10">
        <v>700</v>
      </c>
      <c r="O10">
        <v>700</v>
      </c>
      <c r="P10" s="1"/>
    </row>
    <row r="11" spans="1:16" x14ac:dyDescent="0.25">
      <c r="A11" t="s">
        <v>8</v>
      </c>
      <c r="B11" t="s">
        <v>28</v>
      </c>
      <c r="C11">
        <v>4</v>
      </c>
      <c r="D11">
        <v>120</v>
      </c>
      <c r="E11">
        <v>120</v>
      </c>
      <c r="F11">
        <v>260</v>
      </c>
      <c r="G11">
        <v>260</v>
      </c>
      <c r="H11">
        <v>260</v>
      </c>
      <c r="I11">
        <v>350</v>
      </c>
      <c r="J11">
        <v>350</v>
      </c>
      <c r="K11">
        <v>700</v>
      </c>
      <c r="L11">
        <v>700</v>
      </c>
      <c r="M11">
        <v>700</v>
      </c>
      <c r="N11">
        <v>700</v>
      </c>
      <c r="O11">
        <v>700</v>
      </c>
      <c r="P11" s="1"/>
    </row>
    <row r="12" spans="1:16" x14ac:dyDescent="0.25">
      <c r="A12" t="s">
        <v>9</v>
      </c>
      <c r="B12" t="s">
        <v>32</v>
      </c>
      <c r="C12">
        <f>(30-10)+31</f>
        <v>51</v>
      </c>
      <c r="D12">
        <v>120</v>
      </c>
      <c r="E12">
        <v>120</v>
      </c>
      <c r="F12">
        <v>260</v>
      </c>
      <c r="G12">
        <v>260</v>
      </c>
      <c r="H12">
        <v>260</v>
      </c>
      <c r="I12">
        <v>350</v>
      </c>
      <c r="J12">
        <v>350</v>
      </c>
      <c r="K12">
        <v>350</v>
      </c>
      <c r="L12">
        <v>350</v>
      </c>
      <c r="M12">
        <v>350</v>
      </c>
      <c r="N12">
        <v>350</v>
      </c>
      <c r="O12">
        <v>350</v>
      </c>
      <c r="P12" s="1"/>
    </row>
    <row r="13" spans="1:16" x14ac:dyDescent="0.25">
      <c r="A13" t="s">
        <v>10</v>
      </c>
      <c r="B13" t="s">
        <v>30</v>
      </c>
      <c r="C13">
        <f>31+28</f>
        <v>59</v>
      </c>
      <c r="D13">
        <v>100</v>
      </c>
      <c r="E13">
        <v>110</v>
      </c>
      <c r="F13">
        <v>110</v>
      </c>
      <c r="G13">
        <v>260</v>
      </c>
      <c r="H13">
        <v>260</v>
      </c>
      <c r="I13">
        <v>350</v>
      </c>
      <c r="J13">
        <v>350</v>
      </c>
      <c r="K13">
        <v>350</v>
      </c>
      <c r="L13">
        <v>350</v>
      </c>
      <c r="M13">
        <v>350</v>
      </c>
      <c r="N13">
        <v>350</v>
      </c>
      <c r="O13">
        <v>350</v>
      </c>
      <c r="P13" s="1"/>
    </row>
    <row r="14" spans="1:16" x14ac:dyDescent="0.25">
      <c r="B14" t="s">
        <v>91</v>
      </c>
      <c r="D14" s="5">
        <v>116.866</v>
      </c>
      <c r="E14" s="5">
        <v>187.785</v>
      </c>
      <c r="F14" s="5">
        <v>209.20699999999999</v>
      </c>
      <c r="G14" s="5">
        <v>226.76</v>
      </c>
      <c r="H14" s="5">
        <v>236.39</v>
      </c>
      <c r="I14" s="5">
        <v>267.63</v>
      </c>
      <c r="J14" s="5">
        <v>272.98500000000001</v>
      </c>
      <c r="K14" s="5">
        <v>279.33199999999999</v>
      </c>
      <c r="L14" s="5">
        <v>301.28899999999999</v>
      </c>
      <c r="M14" s="5">
        <v>365.25599999999997</v>
      </c>
      <c r="N14" s="5">
        <v>473.851</v>
      </c>
      <c r="O14" s="5">
        <v>673.48800000000006</v>
      </c>
      <c r="P14" s="1"/>
    </row>
    <row r="15" spans="1:16" x14ac:dyDescent="0.25">
      <c r="D15" t="s">
        <v>53</v>
      </c>
      <c r="E15" s="2" t="s">
        <v>41</v>
      </c>
      <c r="F15" t="s">
        <v>20</v>
      </c>
      <c r="G15" t="s">
        <v>19</v>
      </c>
      <c r="H15" t="s">
        <v>18</v>
      </c>
      <c r="I15" t="s">
        <v>17</v>
      </c>
      <c r="J15" t="s">
        <v>16</v>
      </c>
      <c r="K15" t="s">
        <v>15</v>
      </c>
      <c r="L15" t="s">
        <v>13</v>
      </c>
      <c r="M15" t="s">
        <v>42</v>
      </c>
      <c r="N15" t="s">
        <v>43</v>
      </c>
      <c r="O15" t="s">
        <v>14</v>
      </c>
      <c r="P15" s="1"/>
    </row>
    <row r="16" spans="1:16" x14ac:dyDescent="0.25">
      <c r="E16" s="2"/>
      <c r="P16" s="1"/>
    </row>
    <row r="17" spans="1:15" x14ac:dyDescent="0.25">
      <c r="D17" s="64" t="s">
        <v>92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</row>
    <row r="18" spans="1:15" x14ac:dyDescent="0.25">
      <c r="A18" t="s">
        <v>12</v>
      </c>
      <c r="B18" t="s">
        <v>21</v>
      </c>
      <c r="C18">
        <v>15</v>
      </c>
      <c r="D18">
        <f>D2*($C$18*24*60*60)/43560</f>
        <v>3867.7685950413224</v>
      </c>
      <c r="E18">
        <f>E2*($C$18*24*60*60)/43560</f>
        <v>14876.03305785124</v>
      </c>
      <c r="F18">
        <f t="shared" ref="F18:O18" si="0">F2*($C$18*24*60*60)/43560</f>
        <v>14876.03305785124</v>
      </c>
      <c r="G18">
        <f t="shared" si="0"/>
        <v>14876.03305785124</v>
      </c>
      <c r="H18">
        <f t="shared" si="0"/>
        <v>14876.03305785124</v>
      </c>
      <c r="I18">
        <f t="shared" si="0"/>
        <v>14876.03305785124</v>
      </c>
      <c r="J18">
        <f t="shared" si="0"/>
        <v>14876.03305785124</v>
      </c>
      <c r="K18">
        <f t="shared" si="0"/>
        <v>14876.03305785124</v>
      </c>
      <c r="L18">
        <f t="shared" si="0"/>
        <v>14876.03305785124</v>
      </c>
      <c r="M18">
        <f t="shared" si="0"/>
        <v>14876.03305785124</v>
      </c>
      <c r="N18">
        <f t="shared" si="0"/>
        <v>14876.03305785124</v>
      </c>
      <c r="O18">
        <f t="shared" si="0"/>
        <v>14876.03305785124</v>
      </c>
    </row>
    <row r="19" spans="1:15" x14ac:dyDescent="0.25">
      <c r="A19" t="s">
        <v>12</v>
      </c>
      <c r="B19" t="s">
        <v>22</v>
      </c>
      <c r="C19">
        <v>16</v>
      </c>
      <c r="D19">
        <f>D3*($C$19*24*60*60)/43560</f>
        <v>4125.6198347107438</v>
      </c>
      <c r="E19">
        <f t="shared" ref="E19:O19" si="1">E3*($C$19*24*60*60)/43560</f>
        <v>47603.305785123965</v>
      </c>
      <c r="F19">
        <f t="shared" si="1"/>
        <v>47603.305785123965</v>
      </c>
      <c r="G19">
        <f t="shared" si="1"/>
        <v>47603.305785123965</v>
      </c>
      <c r="H19">
        <f t="shared" si="1"/>
        <v>47603.305785123965</v>
      </c>
      <c r="I19">
        <f t="shared" si="1"/>
        <v>47603.305785123965</v>
      </c>
      <c r="J19">
        <f t="shared" si="1"/>
        <v>47603.305785123965</v>
      </c>
      <c r="K19">
        <f t="shared" si="1"/>
        <v>47603.305785123965</v>
      </c>
      <c r="L19">
        <f t="shared" si="1"/>
        <v>47603.305785123965</v>
      </c>
      <c r="M19">
        <f t="shared" si="1"/>
        <v>47603.305785123965</v>
      </c>
      <c r="N19">
        <f t="shared" si="1"/>
        <v>47603.305785123965</v>
      </c>
      <c r="O19">
        <f t="shared" si="1"/>
        <v>47603.305785123965</v>
      </c>
    </row>
    <row r="20" spans="1:15" x14ac:dyDescent="0.25">
      <c r="A20" t="s">
        <v>3</v>
      </c>
      <c r="B20" t="s">
        <v>23</v>
      </c>
      <c r="C20">
        <v>15</v>
      </c>
      <c r="D20">
        <f>D4*($C$20*24*60*60)/43560</f>
        <v>4462.8099173553719</v>
      </c>
      <c r="E20">
        <f t="shared" ref="E20:O20" si="2">E4*($C$20*24*60*60)/43560</f>
        <v>5950.4132231404956</v>
      </c>
      <c r="F20">
        <f t="shared" si="2"/>
        <v>5950.4132231404956</v>
      </c>
      <c r="G20">
        <f t="shared" si="2"/>
        <v>5950.4132231404956</v>
      </c>
      <c r="H20">
        <f t="shared" si="2"/>
        <v>7735.5371900826449</v>
      </c>
      <c r="I20">
        <f t="shared" si="2"/>
        <v>7735.5371900826449</v>
      </c>
      <c r="J20">
        <f t="shared" si="2"/>
        <v>10413.223140495867</v>
      </c>
      <c r="K20">
        <f t="shared" si="2"/>
        <v>10413.223140495867</v>
      </c>
      <c r="L20">
        <f t="shared" si="2"/>
        <v>10413.223140495867</v>
      </c>
      <c r="M20">
        <f t="shared" si="2"/>
        <v>74380.165289256198</v>
      </c>
      <c r="N20">
        <f t="shared" si="2"/>
        <v>74380.165289256198</v>
      </c>
      <c r="O20">
        <f t="shared" si="2"/>
        <v>74380.165289256198</v>
      </c>
    </row>
    <row r="21" spans="1:15" x14ac:dyDescent="0.25">
      <c r="A21" t="s">
        <v>3</v>
      </c>
      <c r="B21" t="s">
        <v>24</v>
      </c>
      <c r="C21">
        <v>15</v>
      </c>
      <c r="D21">
        <f>D5*($C$21*24*60*60)/43560</f>
        <v>4462.8099173553719</v>
      </c>
      <c r="E21">
        <f t="shared" ref="E21:O21" si="3">E5*($C$21*24*60*60)/43560</f>
        <v>5950.4132231404956</v>
      </c>
      <c r="F21">
        <f t="shared" si="3"/>
        <v>5950.4132231404956</v>
      </c>
      <c r="G21">
        <f t="shared" si="3"/>
        <v>5950.4132231404956</v>
      </c>
      <c r="H21">
        <f t="shared" si="3"/>
        <v>7735.5371900826449</v>
      </c>
      <c r="I21">
        <f t="shared" si="3"/>
        <v>7735.5371900826449</v>
      </c>
      <c r="J21">
        <f t="shared" si="3"/>
        <v>10413.223140495867</v>
      </c>
      <c r="K21">
        <f t="shared" si="3"/>
        <v>10413.223140495867</v>
      </c>
      <c r="L21">
        <f t="shared" si="3"/>
        <v>10413.223140495867</v>
      </c>
      <c r="M21">
        <f t="shared" si="3"/>
        <v>10413.223140495867</v>
      </c>
      <c r="N21">
        <f t="shared" si="3"/>
        <v>119008.26446280992</v>
      </c>
      <c r="O21">
        <f t="shared" si="3"/>
        <v>119008.26446280992</v>
      </c>
    </row>
    <row r="22" spans="1:15" x14ac:dyDescent="0.25">
      <c r="A22" t="s">
        <v>4</v>
      </c>
      <c r="B22" t="s">
        <v>31</v>
      </c>
      <c r="C22">
        <v>61</v>
      </c>
      <c r="D22">
        <f>D6*($C$22*24*60*60)/43560</f>
        <v>22988.429752066117</v>
      </c>
      <c r="E22">
        <f t="shared" ref="E22:O22" si="4">E6*($C$22*24*60*60)/43560</f>
        <v>26013.223140495869</v>
      </c>
      <c r="F22">
        <f t="shared" si="4"/>
        <v>26013.223140495869</v>
      </c>
      <c r="G22">
        <f t="shared" si="4"/>
        <v>26013.223140495869</v>
      </c>
      <c r="H22">
        <f t="shared" si="4"/>
        <v>31457.85123966942</v>
      </c>
      <c r="I22">
        <f t="shared" si="4"/>
        <v>31457.85123966942</v>
      </c>
      <c r="J22">
        <f t="shared" si="4"/>
        <v>31457.85123966942</v>
      </c>
      <c r="K22">
        <f t="shared" si="4"/>
        <v>31457.85123966942</v>
      </c>
      <c r="L22">
        <f t="shared" si="4"/>
        <v>42347.10743801653</v>
      </c>
      <c r="M22">
        <f t="shared" si="4"/>
        <v>42347.10743801653</v>
      </c>
      <c r="N22">
        <f t="shared" si="4"/>
        <v>42347.10743801653</v>
      </c>
      <c r="O22">
        <f t="shared" si="4"/>
        <v>241983.47107438016</v>
      </c>
    </row>
    <row r="23" spans="1:15" x14ac:dyDescent="0.25">
      <c r="A23" t="s">
        <v>4</v>
      </c>
      <c r="B23" t="s">
        <v>25</v>
      </c>
      <c r="C23">
        <v>62</v>
      </c>
      <c r="D23">
        <f>D7*($C$23*24*60*60)/43560</f>
        <v>28284.297520661155</v>
      </c>
      <c r="E23">
        <f t="shared" ref="E23:O23" si="5">E7*($C$23*24*60*60)/43560</f>
        <v>31358.677685950413</v>
      </c>
      <c r="F23">
        <f t="shared" si="5"/>
        <v>31358.677685950413</v>
      </c>
      <c r="G23">
        <f t="shared" si="5"/>
        <v>31358.677685950413</v>
      </c>
      <c r="H23">
        <f t="shared" si="5"/>
        <v>31973.553719008265</v>
      </c>
      <c r="I23">
        <f t="shared" si="5"/>
        <v>31973.553719008265</v>
      </c>
      <c r="J23">
        <f t="shared" si="5"/>
        <v>31973.553719008265</v>
      </c>
      <c r="K23">
        <f t="shared" si="5"/>
        <v>31973.553719008265</v>
      </c>
      <c r="L23">
        <f t="shared" si="5"/>
        <v>43041.32231404959</v>
      </c>
      <c r="M23">
        <f t="shared" si="5"/>
        <v>43041.32231404959</v>
      </c>
      <c r="N23">
        <f t="shared" si="5"/>
        <v>43041.32231404959</v>
      </c>
      <c r="O23">
        <f t="shared" si="5"/>
        <v>43041.32231404959</v>
      </c>
    </row>
    <row r="24" spans="1:15" x14ac:dyDescent="0.25">
      <c r="A24" t="s">
        <v>5</v>
      </c>
      <c r="B24" t="s">
        <v>26</v>
      </c>
      <c r="C24">
        <v>30</v>
      </c>
      <c r="D24">
        <f>D8*($C$24*24*60*60)/43560</f>
        <v>12495.867768595041</v>
      </c>
      <c r="E24">
        <f t="shared" ref="E24:O24" si="6">E8*($C$24*24*60*60)/43560</f>
        <v>15471.07438016529</v>
      </c>
      <c r="F24">
        <f t="shared" si="6"/>
        <v>15471.07438016529</v>
      </c>
      <c r="G24">
        <f t="shared" si="6"/>
        <v>15471.07438016529</v>
      </c>
      <c r="H24">
        <f t="shared" si="6"/>
        <v>15471.07438016529</v>
      </c>
      <c r="I24">
        <f t="shared" si="6"/>
        <v>20826.446280991735</v>
      </c>
      <c r="J24">
        <f t="shared" si="6"/>
        <v>20826.446280991735</v>
      </c>
      <c r="K24">
        <f t="shared" si="6"/>
        <v>20826.446280991735</v>
      </c>
      <c r="L24">
        <f t="shared" si="6"/>
        <v>20826.446280991735</v>
      </c>
      <c r="M24">
        <f t="shared" si="6"/>
        <v>20826.446280991735</v>
      </c>
      <c r="N24">
        <f t="shared" si="6"/>
        <v>20826.446280991735</v>
      </c>
      <c r="O24">
        <f t="shared" si="6"/>
        <v>20826.446280991735</v>
      </c>
    </row>
    <row r="25" spans="1:15" x14ac:dyDescent="0.25">
      <c r="A25" t="s">
        <v>6</v>
      </c>
      <c r="B25" t="s">
        <v>27</v>
      </c>
      <c r="C25">
        <v>31</v>
      </c>
      <c r="D25">
        <f>D9*($C$25*24*60*60)/43560</f>
        <v>9838.0165289256202</v>
      </c>
      <c r="E25">
        <f t="shared" ref="E25:O25" si="7">E9*($C$25*24*60*60)/43560</f>
        <v>9838.0165289256202</v>
      </c>
      <c r="F25">
        <f t="shared" si="7"/>
        <v>15986.776859504133</v>
      </c>
      <c r="G25">
        <f t="shared" si="7"/>
        <v>15986.776859504133</v>
      </c>
      <c r="H25">
        <f t="shared" si="7"/>
        <v>15986.776859504133</v>
      </c>
      <c r="I25">
        <f t="shared" si="7"/>
        <v>21520.661157024795</v>
      </c>
      <c r="J25">
        <f t="shared" si="7"/>
        <v>21520.661157024795</v>
      </c>
      <c r="K25">
        <f t="shared" si="7"/>
        <v>21520.661157024795</v>
      </c>
      <c r="L25">
        <f t="shared" si="7"/>
        <v>21520.661157024795</v>
      </c>
      <c r="M25">
        <f t="shared" si="7"/>
        <v>21520.661157024795</v>
      </c>
      <c r="N25">
        <f t="shared" si="7"/>
        <v>21520.661157024795</v>
      </c>
      <c r="O25">
        <f t="shared" si="7"/>
        <v>21520.661157024795</v>
      </c>
    </row>
    <row r="26" spans="1:15" x14ac:dyDescent="0.25">
      <c r="A26" t="s">
        <v>7</v>
      </c>
      <c r="B26" t="s">
        <v>29</v>
      </c>
      <c r="C26">
        <v>6</v>
      </c>
      <c r="D26">
        <f>D10*($C$26*24*60*60)/43560</f>
        <v>1547.1074380165289</v>
      </c>
      <c r="E26">
        <f t="shared" ref="E26:O26" si="8">E10*($C$26*24*60*60)/43560</f>
        <v>4760.3305785123966</v>
      </c>
      <c r="F26">
        <f t="shared" si="8"/>
        <v>4760.3305785123966</v>
      </c>
      <c r="G26">
        <f t="shared" si="8"/>
        <v>4760.3305785123966</v>
      </c>
      <c r="H26">
        <f t="shared" si="8"/>
        <v>4760.3305785123966</v>
      </c>
      <c r="I26">
        <f t="shared" si="8"/>
        <v>4760.3305785123966</v>
      </c>
      <c r="J26">
        <f t="shared" si="8"/>
        <v>4760.3305785123966</v>
      </c>
      <c r="K26">
        <f t="shared" si="8"/>
        <v>8330.5785123966944</v>
      </c>
      <c r="L26">
        <f t="shared" si="8"/>
        <v>8330.5785123966944</v>
      </c>
      <c r="M26">
        <f t="shared" si="8"/>
        <v>8330.5785123966944</v>
      </c>
      <c r="N26">
        <f t="shared" si="8"/>
        <v>8330.5785123966944</v>
      </c>
      <c r="O26">
        <f t="shared" si="8"/>
        <v>8330.5785123966944</v>
      </c>
    </row>
    <row r="27" spans="1:15" x14ac:dyDescent="0.25">
      <c r="A27" t="s">
        <v>8</v>
      </c>
      <c r="B27" t="s">
        <v>28</v>
      </c>
      <c r="C27">
        <v>4</v>
      </c>
      <c r="D27">
        <f>D11*($C$27*24*60*60)/43560</f>
        <v>952.06611570247935</v>
      </c>
      <c r="E27">
        <f t="shared" ref="E27:O27" si="9">E11*($C$27*24*60*60)/43560</f>
        <v>952.06611570247935</v>
      </c>
      <c r="F27">
        <f t="shared" si="9"/>
        <v>2062.8099173553719</v>
      </c>
      <c r="G27">
        <f t="shared" si="9"/>
        <v>2062.8099173553719</v>
      </c>
      <c r="H27">
        <f t="shared" si="9"/>
        <v>2062.8099173553719</v>
      </c>
      <c r="I27">
        <f t="shared" si="9"/>
        <v>2776.8595041322315</v>
      </c>
      <c r="J27">
        <f t="shared" si="9"/>
        <v>2776.8595041322315</v>
      </c>
      <c r="K27">
        <f t="shared" si="9"/>
        <v>5553.7190082644629</v>
      </c>
      <c r="L27">
        <f t="shared" si="9"/>
        <v>5553.7190082644629</v>
      </c>
      <c r="M27">
        <f t="shared" si="9"/>
        <v>5553.7190082644629</v>
      </c>
      <c r="N27">
        <f t="shared" si="9"/>
        <v>5553.7190082644629</v>
      </c>
      <c r="O27">
        <f t="shared" si="9"/>
        <v>5553.7190082644629</v>
      </c>
    </row>
    <row r="28" spans="1:15" x14ac:dyDescent="0.25">
      <c r="A28" t="s">
        <v>9</v>
      </c>
      <c r="B28" t="s">
        <v>32</v>
      </c>
      <c r="C28">
        <f>(30-10)+31</f>
        <v>51</v>
      </c>
      <c r="D28">
        <f>D12*($C$28*24*60*60)/43560</f>
        <v>12138.842975206611</v>
      </c>
      <c r="E28">
        <f t="shared" ref="E28:O28" si="10">E12*($C$28*24*60*60)/43560</f>
        <v>12138.842975206611</v>
      </c>
      <c r="F28">
        <f t="shared" si="10"/>
        <v>26300.826446280993</v>
      </c>
      <c r="G28">
        <f t="shared" si="10"/>
        <v>26300.826446280993</v>
      </c>
      <c r="H28">
        <f t="shared" si="10"/>
        <v>26300.826446280993</v>
      </c>
      <c r="I28">
        <f t="shared" si="10"/>
        <v>35404.958677685951</v>
      </c>
      <c r="J28">
        <f t="shared" si="10"/>
        <v>35404.958677685951</v>
      </c>
      <c r="K28">
        <f t="shared" si="10"/>
        <v>35404.958677685951</v>
      </c>
      <c r="L28">
        <f t="shared" si="10"/>
        <v>35404.958677685951</v>
      </c>
      <c r="M28">
        <f t="shared" si="10"/>
        <v>35404.958677685951</v>
      </c>
      <c r="N28">
        <f t="shared" si="10"/>
        <v>35404.958677685951</v>
      </c>
      <c r="O28">
        <f t="shared" si="10"/>
        <v>35404.958677685951</v>
      </c>
    </row>
    <row r="29" spans="1:15" x14ac:dyDescent="0.25">
      <c r="A29" t="s">
        <v>10</v>
      </c>
      <c r="B29" t="s">
        <v>30</v>
      </c>
      <c r="C29">
        <f>31+28</f>
        <v>59</v>
      </c>
      <c r="D29">
        <f>D13*($C$29*24*60*60)/43560</f>
        <v>11702.479338842975</v>
      </c>
      <c r="E29">
        <f t="shared" ref="E29:O29" si="11">E13*($C$29*24*60*60)/43560</f>
        <v>12872.727272727272</v>
      </c>
      <c r="F29">
        <f t="shared" si="11"/>
        <v>12872.727272727272</v>
      </c>
      <c r="G29">
        <f t="shared" si="11"/>
        <v>30426.446280991735</v>
      </c>
      <c r="H29">
        <f t="shared" si="11"/>
        <v>30426.446280991735</v>
      </c>
      <c r="I29">
        <f t="shared" si="11"/>
        <v>40958.67768595041</v>
      </c>
      <c r="J29">
        <f t="shared" si="11"/>
        <v>40958.67768595041</v>
      </c>
      <c r="K29">
        <f t="shared" si="11"/>
        <v>40958.67768595041</v>
      </c>
      <c r="L29">
        <f t="shared" si="11"/>
        <v>40958.67768595041</v>
      </c>
      <c r="M29">
        <f t="shared" si="11"/>
        <v>40958.67768595041</v>
      </c>
      <c r="N29">
        <f t="shared" si="11"/>
        <v>40958.67768595041</v>
      </c>
      <c r="O29">
        <f t="shared" si="11"/>
        <v>40958.67768595041</v>
      </c>
    </row>
    <row r="30" spans="1:15" x14ac:dyDescent="0.25">
      <c r="D30" s="3">
        <f>SUM(D18:D29)</f>
        <v>116866.11570247932</v>
      </c>
      <c r="E30" s="3">
        <f t="shared" ref="E30:O30" si="12">SUM(E18:E29)</f>
        <v>187785.12396694213</v>
      </c>
      <c r="F30" s="3">
        <f t="shared" si="12"/>
        <v>209206.61157024791</v>
      </c>
      <c r="G30" s="3">
        <f t="shared" si="12"/>
        <v>226760.3305785124</v>
      </c>
      <c r="H30" s="3">
        <f t="shared" si="12"/>
        <v>236390.0826446281</v>
      </c>
      <c r="I30" s="3">
        <f t="shared" si="12"/>
        <v>267629.75206611573</v>
      </c>
      <c r="J30" s="3">
        <f t="shared" si="12"/>
        <v>272985.12396694219</v>
      </c>
      <c r="K30" s="3">
        <f t="shared" si="12"/>
        <v>279332.2314049587</v>
      </c>
      <c r="L30" s="3">
        <f t="shared" si="12"/>
        <v>301289.25619834714</v>
      </c>
      <c r="M30" s="3">
        <f t="shared" si="12"/>
        <v>365256.19834710751</v>
      </c>
      <c r="N30" s="3">
        <f t="shared" si="12"/>
        <v>473851.23966942151</v>
      </c>
      <c r="O30" s="3">
        <f t="shared" si="12"/>
        <v>673487.6033057851</v>
      </c>
    </row>
  </sheetData>
  <mergeCells count="1">
    <mergeCell ref="D17:N1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 tint="0.499984740745262"/>
  </sheetPr>
  <dimension ref="A1:H14"/>
  <sheetViews>
    <sheetView workbookViewId="0">
      <selection activeCell="I32" sqref="I32"/>
    </sheetView>
  </sheetViews>
  <sheetFormatPr defaultRowHeight="15" x14ac:dyDescent="0.25"/>
  <sheetData>
    <row r="1" spans="1:8" x14ac:dyDescent="0.25">
      <c r="A1" t="s">
        <v>47</v>
      </c>
    </row>
    <row r="2" spans="1:8" x14ac:dyDescent="0.25">
      <c r="A2" t="s">
        <v>48</v>
      </c>
      <c r="C2" t="s">
        <v>49</v>
      </c>
      <c r="H2" t="s">
        <v>54</v>
      </c>
    </row>
    <row r="3" spans="1:8" x14ac:dyDescent="0.25">
      <c r="A3" t="s">
        <v>53</v>
      </c>
      <c r="B3">
        <v>3</v>
      </c>
    </row>
    <row r="4" spans="1:8" x14ac:dyDescent="0.25">
      <c r="A4" t="s">
        <v>41</v>
      </c>
      <c r="B4">
        <v>4</v>
      </c>
      <c r="C4" t="s">
        <v>6</v>
      </c>
      <c r="D4" t="s">
        <v>9</v>
      </c>
      <c r="E4" t="s">
        <v>8</v>
      </c>
      <c r="H4">
        <v>260</v>
      </c>
    </row>
    <row r="5" spans="1:8" x14ac:dyDescent="0.25">
      <c r="A5" t="s">
        <v>20</v>
      </c>
      <c r="B5">
        <v>5</v>
      </c>
      <c r="C5" t="s">
        <v>10</v>
      </c>
      <c r="H5">
        <v>260</v>
      </c>
    </row>
    <row r="6" spans="1:8" x14ac:dyDescent="0.25">
      <c r="A6" t="s">
        <v>19</v>
      </c>
      <c r="B6">
        <v>6</v>
      </c>
      <c r="C6" t="s">
        <v>38</v>
      </c>
      <c r="D6" t="s">
        <v>37</v>
      </c>
      <c r="E6" t="s">
        <v>39</v>
      </c>
      <c r="F6" t="s">
        <v>40</v>
      </c>
      <c r="H6">
        <v>260</v>
      </c>
    </row>
    <row r="7" spans="1:8" x14ac:dyDescent="0.25">
      <c r="A7" t="s">
        <v>18</v>
      </c>
      <c r="B7">
        <v>7</v>
      </c>
      <c r="C7" t="s">
        <v>5</v>
      </c>
      <c r="D7" t="s">
        <v>6</v>
      </c>
      <c r="E7" t="s">
        <v>9</v>
      </c>
      <c r="F7" t="s">
        <v>8</v>
      </c>
      <c r="G7" t="s">
        <v>10</v>
      </c>
      <c r="H7">
        <v>350</v>
      </c>
    </row>
    <row r="8" spans="1:8" x14ac:dyDescent="0.25">
      <c r="A8" t="s">
        <v>17</v>
      </c>
      <c r="B8">
        <v>8</v>
      </c>
      <c r="C8" t="s">
        <v>38</v>
      </c>
      <c r="D8" t="s">
        <v>37</v>
      </c>
      <c r="H8">
        <v>350</v>
      </c>
    </row>
    <row r="9" spans="1:8" x14ac:dyDescent="0.25">
      <c r="A9" t="s">
        <v>16</v>
      </c>
      <c r="B9">
        <v>9</v>
      </c>
      <c r="C9" t="s">
        <v>7</v>
      </c>
      <c r="D9" t="s">
        <v>8</v>
      </c>
      <c r="H9">
        <v>700</v>
      </c>
    </row>
    <row r="10" spans="1:8" x14ac:dyDescent="0.25">
      <c r="A10" t="s">
        <v>15</v>
      </c>
      <c r="B10">
        <v>10</v>
      </c>
      <c r="C10" t="s">
        <v>39</v>
      </c>
      <c r="D10" t="s">
        <v>40</v>
      </c>
      <c r="H10">
        <v>350</v>
      </c>
    </row>
    <row r="11" spans="1:8" x14ac:dyDescent="0.25">
      <c r="A11" t="s">
        <v>13</v>
      </c>
      <c r="B11">
        <v>11</v>
      </c>
      <c r="C11" t="s">
        <v>38</v>
      </c>
      <c r="H11">
        <v>2500</v>
      </c>
    </row>
    <row r="12" spans="1:8" x14ac:dyDescent="0.25">
      <c r="A12" t="s">
        <v>42</v>
      </c>
      <c r="B12">
        <v>12</v>
      </c>
      <c r="C12" t="s">
        <v>37</v>
      </c>
      <c r="H12">
        <v>4000</v>
      </c>
    </row>
    <row r="13" spans="1:8" x14ac:dyDescent="0.25">
      <c r="A13" t="s">
        <v>43</v>
      </c>
      <c r="B13">
        <v>13</v>
      </c>
      <c r="C13" t="s">
        <v>39</v>
      </c>
      <c r="H13">
        <v>2000</v>
      </c>
    </row>
    <row r="14" spans="1:8" x14ac:dyDescent="0.25">
      <c r="A14" t="s">
        <v>14</v>
      </c>
      <c r="B14">
        <v>14</v>
      </c>
      <c r="C14" t="s">
        <v>39</v>
      </c>
      <c r="H14">
        <v>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R40"/>
  <sheetViews>
    <sheetView workbookViewId="0">
      <selection activeCell="T25" sqref="T25"/>
    </sheetView>
  </sheetViews>
  <sheetFormatPr defaultRowHeight="15" x14ac:dyDescent="0.25"/>
  <cols>
    <col min="1" max="1" width="22" bestFit="1" customWidth="1"/>
    <col min="2" max="2" width="10.5703125" bestFit="1" customWidth="1"/>
    <col min="6" max="6" width="9.140625" style="26"/>
    <col min="13" max="13" width="25.5703125" customWidth="1"/>
  </cols>
  <sheetData>
    <row r="1" spans="1:9" x14ac:dyDescent="0.25">
      <c r="A1" t="s">
        <v>50</v>
      </c>
      <c r="F1" s="26" t="s">
        <v>121</v>
      </c>
    </row>
    <row r="2" spans="1:9" x14ac:dyDescent="0.25">
      <c r="A2" t="s">
        <v>51</v>
      </c>
      <c r="B2" t="s">
        <v>52</v>
      </c>
      <c r="F2" s="27" t="s">
        <v>127</v>
      </c>
      <c r="G2" s="28"/>
      <c r="H2" s="28" t="s">
        <v>123</v>
      </c>
      <c r="I2" s="29" t="s">
        <v>124</v>
      </c>
    </row>
    <row r="3" spans="1:9" x14ac:dyDescent="0.25">
      <c r="A3">
        <v>0</v>
      </c>
      <c r="B3" s="5">
        <v>116.86611570247899</v>
      </c>
      <c r="C3" s="5">
        <v>116.86611570247899</v>
      </c>
      <c r="D3" s="5"/>
      <c r="E3" s="5"/>
      <c r="G3" s="19">
        <v>0</v>
      </c>
      <c r="H3" s="31">
        <v>116.86611570247899</v>
      </c>
      <c r="I3" s="30">
        <v>1</v>
      </c>
    </row>
    <row r="4" spans="1:9" x14ac:dyDescent="0.25">
      <c r="A4">
        <v>400</v>
      </c>
      <c r="B4" s="5">
        <v>187.785123966942</v>
      </c>
      <c r="C4" s="5">
        <v>187.785123966942</v>
      </c>
      <c r="D4" s="5"/>
      <c r="E4" s="5"/>
      <c r="G4" s="19">
        <v>400</v>
      </c>
      <c r="H4" s="31">
        <v>116.86611570247899</v>
      </c>
      <c r="I4" s="30">
        <v>1</v>
      </c>
    </row>
    <row r="5" spans="1:9" x14ac:dyDescent="0.25">
      <c r="A5">
        <v>670</v>
      </c>
      <c r="B5" s="5">
        <f>0.223153846*Friant!D3+122.76692318</f>
        <v>406.17230759999995</v>
      </c>
      <c r="C5" s="5">
        <f>0.223153846*A5+122.76692318</f>
        <v>272.27999999999997</v>
      </c>
      <c r="D5" s="5"/>
      <c r="E5" s="5"/>
      <c r="G5" s="19">
        <v>400</v>
      </c>
      <c r="H5" s="31">
        <v>187.785123966942</v>
      </c>
      <c r="I5" s="30">
        <f>70919.0082644628/1000</f>
        <v>70.919008264462803</v>
      </c>
    </row>
    <row r="6" spans="1:9" x14ac:dyDescent="0.25">
      <c r="A6">
        <v>930</v>
      </c>
      <c r="B6" s="5">
        <f>0.1346153846*Friant!D3+205.107692322</f>
        <v>376.069230764</v>
      </c>
      <c r="C6" s="5">
        <f>0.1346153846*A6+205.107692322</f>
        <v>330.29999999999995</v>
      </c>
      <c r="D6" s="5"/>
      <c r="E6" s="5"/>
      <c r="G6" s="19">
        <v>670</v>
      </c>
      <c r="H6" s="31">
        <v>187.785123966942</v>
      </c>
      <c r="I6" s="30">
        <f>70919.0082644628/1000</f>
        <v>70.919008264462803</v>
      </c>
    </row>
    <row r="7" spans="1:9" x14ac:dyDescent="0.25">
      <c r="A7">
        <v>1450</v>
      </c>
      <c r="B7" s="5">
        <f>0.140095238*Friant!D3+197.1619047619</f>
        <v>375.0828570219</v>
      </c>
      <c r="C7" s="5">
        <f>0.140095238*A7+197.1619047619</f>
        <v>400.29999986190001</v>
      </c>
      <c r="D7" s="5"/>
      <c r="E7" s="5"/>
      <c r="G7" s="19">
        <v>670</v>
      </c>
      <c r="H7" s="31">
        <v>272.27999999999997</v>
      </c>
      <c r="I7" s="30">
        <f>155413.884297521/1000</f>
        <v>155.41388429752101</v>
      </c>
    </row>
    <row r="8" spans="1:9" x14ac:dyDescent="0.25">
      <c r="A8">
        <v>2500.0010000000002</v>
      </c>
      <c r="B8" s="5">
        <v>673.487603305785</v>
      </c>
      <c r="C8" s="5">
        <v>673.487603305785</v>
      </c>
      <c r="D8" s="5"/>
      <c r="E8" s="5"/>
      <c r="G8" s="19">
        <v>930</v>
      </c>
      <c r="H8" s="19">
        <v>330.29999999999995</v>
      </c>
      <c r="I8" s="30">
        <f>213433.884297521/1000</f>
        <v>213.43388429752099</v>
      </c>
    </row>
    <row r="9" spans="1:9" x14ac:dyDescent="0.25">
      <c r="G9" s="19">
        <v>1450</v>
      </c>
      <c r="H9" s="19">
        <v>400.29999986190001</v>
      </c>
      <c r="I9" s="30">
        <f>283433.884159421/1000</f>
        <v>283.43388415942104</v>
      </c>
    </row>
    <row r="10" spans="1:9" x14ac:dyDescent="0.25">
      <c r="G10" s="19">
        <v>2500</v>
      </c>
      <c r="H10" s="31">
        <v>547.4</v>
      </c>
      <c r="I10" s="30">
        <f>430533.884059421/1000</f>
        <v>430.53388405942104</v>
      </c>
    </row>
    <row r="11" spans="1:9" x14ac:dyDescent="0.25">
      <c r="G11" s="19">
        <v>2500</v>
      </c>
      <c r="H11" s="31">
        <v>673.487603305785</v>
      </c>
      <c r="I11" s="30">
        <f>556621.487603306/1000</f>
        <v>556.62148760330592</v>
      </c>
    </row>
    <row r="12" spans="1:9" x14ac:dyDescent="0.25">
      <c r="F12" s="32"/>
      <c r="G12" s="33">
        <v>3500</v>
      </c>
      <c r="H12" s="34">
        <v>673.487603305785</v>
      </c>
      <c r="I12" s="35">
        <f>556621.487603306/1000</f>
        <v>556.62148760330592</v>
      </c>
    </row>
    <row r="13" spans="1:9" x14ac:dyDescent="0.25">
      <c r="H13" s="5"/>
    </row>
    <row r="14" spans="1:9" x14ac:dyDescent="0.25">
      <c r="G14" t="s">
        <v>126</v>
      </c>
    </row>
    <row r="15" spans="1:9" x14ac:dyDescent="0.25">
      <c r="G15">
        <v>400</v>
      </c>
      <c r="H15">
        <v>0</v>
      </c>
    </row>
    <row r="16" spans="1:9" x14ac:dyDescent="0.25">
      <c r="G16">
        <v>400</v>
      </c>
      <c r="H16">
        <v>800</v>
      </c>
    </row>
    <row r="17" spans="6:18" x14ac:dyDescent="0.25">
      <c r="G17">
        <v>670</v>
      </c>
      <c r="H17">
        <v>0</v>
      </c>
    </row>
    <row r="18" spans="6:18" x14ac:dyDescent="0.25">
      <c r="G18">
        <v>670</v>
      </c>
      <c r="H18">
        <v>800</v>
      </c>
    </row>
    <row r="19" spans="6:18" x14ac:dyDescent="0.25">
      <c r="G19">
        <v>930</v>
      </c>
      <c r="H19">
        <v>0</v>
      </c>
    </row>
    <row r="20" spans="6:18" x14ac:dyDescent="0.25">
      <c r="G20">
        <v>930</v>
      </c>
      <c r="H20">
        <v>800</v>
      </c>
    </row>
    <row r="21" spans="6:18" x14ac:dyDescent="0.25">
      <c r="G21">
        <v>1450</v>
      </c>
      <c r="H21">
        <v>0</v>
      </c>
    </row>
    <row r="22" spans="6:18" x14ac:dyDescent="0.25">
      <c r="G22">
        <v>1450</v>
      </c>
      <c r="H22">
        <v>800</v>
      </c>
    </row>
    <row r="23" spans="6:18" x14ac:dyDescent="0.25">
      <c r="G23">
        <v>2500</v>
      </c>
      <c r="H23">
        <v>0</v>
      </c>
    </row>
    <row r="24" spans="6:18" x14ac:dyDescent="0.25">
      <c r="G24">
        <v>2500</v>
      </c>
      <c r="H24">
        <v>800</v>
      </c>
    </row>
    <row r="25" spans="6:18" x14ac:dyDescent="0.25">
      <c r="G25">
        <v>3500</v>
      </c>
    </row>
    <row r="26" spans="6:18" x14ac:dyDescent="0.25">
      <c r="M26" t="s">
        <v>1</v>
      </c>
      <c r="N26" t="s">
        <v>2</v>
      </c>
      <c r="O26" s="2" t="s">
        <v>101</v>
      </c>
      <c r="P26" s="2" t="s">
        <v>33</v>
      </c>
      <c r="Q26" s="2" t="s">
        <v>122</v>
      </c>
      <c r="R26" s="2" t="s">
        <v>33</v>
      </c>
    </row>
    <row r="27" spans="6:18" x14ac:dyDescent="0.25">
      <c r="F27" s="27" t="s">
        <v>125</v>
      </c>
      <c r="G27" s="28"/>
      <c r="H27" s="28"/>
      <c r="I27" s="28"/>
      <c r="J27" s="29"/>
      <c r="M27" t="s">
        <v>21</v>
      </c>
      <c r="N27">
        <v>15</v>
      </c>
      <c r="O27" s="11">
        <v>500</v>
      </c>
      <c r="P27" s="2">
        <f>O27*(60*60*24*N27)/43560</f>
        <v>14876.03305785124</v>
      </c>
      <c r="Q27" s="3">
        <f>O27-130</f>
        <v>370</v>
      </c>
      <c r="R27" s="2">
        <f>Q27*(60*60*24*N27)/43560</f>
        <v>11008.264462809917</v>
      </c>
    </row>
    <row r="28" spans="6:18" x14ac:dyDescent="0.25">
      <c r="G28" s="19"/>
      <c r="H28" s="19"/>
      <c r="I28" s="19" t="s">
        <v>123</v>
      </c>
      <c r="J28" s="30" t="s">
        <v>124</v>
      </c>
      <c r="M28" t="s">
        <v>22</v>
      </c>
      <c r="N28">
        <v>16</v>
      </c>
      <c r="O28" s="11">
        <v>1500</v>
      </c>
      <c r="P28" s="2">
        <f t="shared" ref="P28:P38" si="0">O28*(60*60*24*N28)/43560</f>
        <v>47603.305785123965</v>
      </c>
      <c r="Q28" s="3">
        <f>O28-130</f>
        <v>1370</v>
      </c>
      <c r="R28" s="2">
        <f t="shared" ref="R28:R38" si="1">Q28*(60*60*24*N28)/43560</f>
        <v>43477.685950413223</v>
      </c>
    </row>
    <row r="29" spans="6:18" x14ac:dyDescent="0.25">
      <c r="F29" s="26" t="s">
        <v>53</v>
      </c>
      <c r="G29" s="19">
        <v>0</v>
      </c>
      <c r="H29" s="19">
        <v>116866</v>
      </c>
      <c r="I29" s="19">
        <f>H29/1000</f>
        <v>116.866</v>
      </c>
      <c r="J29" s="30">
        <v>0</v>
      </c>
      <c r="M29" t="s">
        <v>23</v>
      </c>
      <c r="N29">
        <v>15</v>
      </c>
      <c r="O29" s="11">
        <v>2500</v>
      </c>
      <c r="P29" s="2">
        <f t="shared" si="0"/>
        <v>74380.165289256198</v>
      </c>
      <c r="Q29" s="3">
        <f>O29-150</f>
        <v>2350</v>
      </c>
      <c r="R29" s="2">
        <f t="shared" si="1"/>
        <v>69917.35537190082</v>
      </c>
    </row>
    <row r="30" spans="6:18" x14ac:dyDescent="0.25">
      <c r="G30" s="19">
        <v>400</v>
      </c>
      <c r="H30" s="19">
        <v>116866</v>
      </c>
      <c r="I30" s="19">
        <f t="shared" ref="I30:I38" si="2">H30/1000</f>
        <v>116.866</v>
      </c>
      <c r="J30" s="30">
        <v>0</v>
      </c>
      <c r="M30" t="s">
        <v>24</v>
      </c>
      <c r="N30">
        <v>15</v>
      </c>
      <c r="O30" s="11">
        <v>4000</v>
      </c>
      <c r="P30" s="2">
        <f t="shared" si="0"/>
        <v>119008.26446280992</v>
      </c>
      <c r="Q30" s="3">
        <f>O30-150</f>
        <v>3850</v>
      </c>
      <c r="R30" s="2">
        <f t="shared" si="1"/>
        <v>114545.45454545454</v>
      </c>
    </row>
    <row r="31" spans="6:18" x14ac:dyDescent="0.25">
      <c r="F31" s="26" t="s">
        <v>41</v>
      </c>
      <c r="G31" s="19">
        <v>400</v>
      </c>
      <c r="H31" s="19">
        <v>187785</v>
      </c>
      <c r="I31" s="19">
        <f t="shared" si="2"/>
        <v>187.785</v>
      </c>
      <c r="J31" s="30">
        <f>70919.0082644628/1000</f>
        <v>70.919008264462803</v>
      </c>
      <c r="M31" t="s">
        <v>31</v>
      </c>
      <c r="N31">
        <v>61</v>
      </c>
      <c r="O31" s="11">
        <v>1999.9999999999986</v>
      </c>
      <c r="P31" s="2">
        <f t="shared" si="0"/>
        <v>241983.47107437998</v>
      </c>
      <c r="Q31" s="3">
        <f>O31-190</f>
        <v>1809.9999999999986</v>
      </c>
      <c r="R31" s="2">
        <f t="shared" si="1"/>
        <v>218995.04132231386</v>
      </c>
    </row>
    <row r="32" spans="6:18" x14ac:dyDescent="0.25">
      <c r="G32" s="19">
        <v>670</v>
      </c>
      <c r="H32" s="19">
        <v>187785</v>
      </c>
      <c r="I32" s="19">
        <f t="shared" si="2"/>
        <v>187.785</v>
      </c>
      <c r="J32" s="30">
        <f>70919.0082644628/1000</f>
        <v>70.919008264462803</v>
      </c>
      <c r="M32" t="s">
        <v>25</v>
      </c>
      <c r="N32">
        <v>62</v>
      </c>
      <c r="O32" s="11">
        <v>350</v>
      </c>
      <c r="P32" s="2">
        <f t="shared" si="0"/>
        <v>43041.32231404959</v>
      </c>
      <c r="Q32" s="3">
        <f>O32-230</f>
        <v>120</v>
      </c>
      <c r="R32" s="2">
        <f t="shared" si="1"/>
        <v>14757.024793388429</v>
      </c>
    </row>
    <row r="33" spans="6:18" x14ac:dyDescent="0.25">
      <c r="F33" s="26" t="s">
        <v>13</v>
      </c>
      <c r="G33" s="19">
        <v>670</v>
      </c>
      <c r="H33" s="19">
        <v>301289.25619834714</v>
      </c>
      <c r="I33" s="19">
        <f t="shared" si="2"/>
        <v>301.28925619834712</v>
      </c>
      <c r="J33" s="30">
        <f>184343.801652893/1000</f>
        <v>184.34380165289298</v>
      </c>
      <c r="M33" t="s">
        <v>26</v>
      </c>
      <c r="N33">
        <v>30</v>
      </c>
      <c r="O33" s="11">
        <v>350</v>
      </c>
      <c r="P33" s="2">
        <f t="shared" si="0"/>
        <v>20826.446280991735</v>
      </c>
      <c r="Q33" s="3">
        <f>O33-210</f>
        <v>140</v>
      </c>
      <c r="R33" s="2">
        <f t="shared" si="1"/>
        <v>8330.5785123966944</v>
      </c>
    </row>
    <row r="34" spans="6:18" x14ac:dyDescent="0.25">
      <c r="G34" s="19">
        <v>930</v>
      </c>
      <c r="H34" s="19">
        <v>301289.25619834714</v>
      </c>
      <c r="I34" s="19">
        <f t="shared" si="2"/>
        <v>301.28925619834712</v>
      </c>
      <c r="J34" s="30">
        <f>184343.801652893/1000</f>
        <v>184.34380165289298</v>
      </c>
      <c r="M34" t="s">
        <v>27</v>
      </c>
      <c r="N34">
        <v>31</v>
      </c>
      <c r="O34" s="11">
        <v>350</v>
      </c>
      <c r="P34" s="2">
        <f t="shared" si="0"/>
        <v>21520.661157024795</v>
      </c>
      <c r="Q34" s="3">
        <f>O34-160</f>
        <v>190</v>
      </c>
      <c r="R34" s="2">
        <f t="shared" si="1"/>
        <v>11682.644628099173</v>
      </c>
    </row>
    <row r="35" spans="6:18" x14ac:dyDescent="0.25">
      <c r="F35" s="26" t="s">
        <v>118</v>
      </c>
      <c r="G35" s="19">
        <v>930</v>
      </c>
      <c r="H35" s="19">
        <v>365256.19834710751</v>
      </c>
      <c r="I35" s="19">
        <f t="shared" si="2"/>
        <v>365.2561983471075</v>
      </c>
      <c r="J35" s="30">
        <f>248310.743801653/1000</f>
        <v>248.31074380165302</v>
      </c>
      <c r="M35" t="s">
        <v>29</v>
      </c>
      <c r="N35">
        <v>6</v>
      </c>
      <c r="O35" s="11">
        <v>700</v>
      </c>
      <c r="P35" s="2">
        <f t="shared" si="0"/>
        <v>8330.5785123966944</v>
      </c>
      <c r="Q35" s="3">
        <f>O35-130</f>
        <v>570</v>
      </c>
      <c r="R35" s="2">
        <f t="shared" si="1"/>
        <v>6783.4710743801652</v>
      </c>
    </row>
    <row r="36" spans="6:18" x14ac:dyDescent="0.25">
      <c r="G36" s="19">
        <v>1450</v>
      </c>
      <c r="H36" s="19">
        <v>365256.19834710751</v>
      </c>
      <c r="I36" s="19">
        <f t="shared" si="2"/>
        <v>365.2561983471075</v>
      </c>
      <c r="J36" s="30">
        <f>248310.743801653/1000</f>
        <v>248.31074380165302</v>
      </c>
      <c r="M36" t="s">
        <v>28</v>
      </c>
      <c r="N36">
        <v>4</v>
      </c>
      <c r="O36" s="11">
        <v>700</v>
      </c>
      <c r="P36" s="2">
        <f t="shared" si="0"/>
        <v>5553.7190082644629</v>
      </c>
      <c r="Q36" s="3">
        <f>O36-120</f>
        <v>580</v>
      </c>
      <c r="R36" s="2">
        <f t="shared" si="1"/>
        <v>4601.6528925619832</v>
      </c>
    </row>
    <row r="37" spans="6:18" x14ac:dyDescent="0.25">
      <c r="F37" s="26" t="s">
        <v>119</v>
      </c>
      <c r="G37" s="19">
        <v>1450</v>
      </c>
      <c r="H37" s="19">
        <v>473851.23966942151</v>
      </c>
      <c r="I37" s="19">
        <f t="shared" si="2"/>
        <v>473.85123966942149</v>
      </c>
      <c r="J37" s="30">
        <f>356905.785123967/1000</f>
        <v>356.90578512396701</v>
      </c>
      <c r="M37" t="s">
        <v>32</v>
      </c>
      <c r="N37">
        <f>(30-10)+31</f>
        <v>51</v>
      </c>
      <c r="O37" s="11">
        <v>350</v>
      </c>
      <c r="P37" s="2">
        <f t="shared" si="0"/>
        <v>35404.958677685951</v>
      </c>
      <c r="Q37" s="3">
        <f>O37-120</f>
        <v>230</v>
      </c>
      <c r="R37" s="2">
        <f t="shared" si="1"/>
        <v>23266.115702479339</v>
      </c>
    </row>
    <row r="38" spans="6:18" x14ac:dyDescent="0.25">
      <c r="G38" s="19">
        <v>2500</v>
      </c>
      <c r="H38" s="19">
        <v>473851.23966942151</v>
      </c>
      <c r="I38" s="19">
        <f t="shared" si="2"/>
        <v>473.85123966942149</v>
      </c>
      <c r="J38" s="30">
        <f>356905.785123967/1000</f>
        <v>356.90578512396701</v>
      </c>
      <c r="M38" t="s">
        <v>30</v>
      </c>
      <c r="N38">
        <f>31+28</f>
        <v>59</v>
      </c>
      <c r="O38" s="11">
        <v>350</v>
      </c>
      <c r="P38" s="2">
        <f t="shared" si="0"/>
        <v>40958.67768595041</v>
      </c>
      <c r="Q38" s="3">
        <f>O38-100</f>
        <v>250</v>
      </c>
      <c r="R38" s="2">
        <f t="shared" si="1"/>
        <v>29256.198347107438</v>
      </c>
    </row>
    <row r="39" spans="6:18" x14ac:dyDescent="0.25">
      <c r="F39" s="26" t="s">
        <v>120</v>
      </c>
      <c r="G39" s="19">
        <v>2500</v>
      </c>
      <c r="H39" s="19">
        <v>673487.6033057851</v>
      </c>
      <c r="I39" s="31">
        <v>670.48599999999999</v>
      </c>
      <c r="J39" s="30">
        <f>556542.148760331/1000</f>
        <v>556.54214876033097</v>
      </c>
      <c r="O39" s="19"/>
      <c r="P39" s="2">
        <f>SUM(P27:P38)</f>
        <v>673487.60330578499</v>
      </c>
      <c r="R39" s="2">
        <f>SUM(R27:R38)</f>
        <v>556621.48760330561</v>
      </c>
    </row>
    <row r="40" spans="6:18" x14ac:dyDescent="0.25">
      <c r="F40" s="32"/>
      <c r="G40" s="33">
        <v>3500</v>
      </c>
      <c r="H40" s="33">
        <v>673487.6033057851</v>
      </c>
      <c r="I40" s="34">
        <v>670.48599999999999</v>
      </c>
      <c r="J40" s="30">
        <f>556542.148760331/1000</f>
        <v>556.54214876033097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G15"/>
  <sheetViews>
    <sheetView workbookViewId="0">
      <selection activeCell="G16" sqref="G16"/>
    </sheetView>
  </sheetViews>
  <sheetFormatPr defaultRowHeight="15" x14ac:dyDescent="0.25"/>
  <cols>
    <col min="4" max="4" width="12.7109375" bestFit="1" customWidth="1"/>
    <col min="5" max="5" width="15.140625" customWidth="1"/>
    <col min="6" max="6" width="12.7109375" bestFit="1" customWidth="1"/>
  </cols>
  <sheetData>
    <row r="1" spans="1:7" x14ac:dyDescent="0.25">
      <c r="A1" t="s">
        <v>79</v>
      </c>
      <c r="B1" t="s">
        <v>78</v>
      </c>
      <c r="F1" t="s">
        <v>87</v>
      </c>
      <c r="G1" t="s">
        <v>96</v>
      </c>
    </row>
    <row r="2" spans="1:7" x14ac:dyDescent="0.25">
      <c r="A2">
        <v>0</v>
      </c>
      <c r="B2">
        <v>80</v>
      </c>
      <c r="D2" t="s">
        <v>44</v>
      </c>
      <c r="E2" t="s">
        <v>21</v>
      </c>
      <c r="F2" s="3">
        <f>'Gravelly Ford'!I8</f>
        <v>375</v>
      </c>
      <c r="G2">
        <f>IF(F2&lt;1000,IF(VLOOKUP(F2,'R2 Losses.LUP'!A$2:B$10,2,TRUE)&lt;F2,VLOOKUP(F2,'R2 Losses.LUP'!A$2:B$10,2,TRUE),F2),47.932*LN(F2)-195.9)</f>
        <v>90</v>
      </c>
    </row>
    <row r="3" spans="1:7" x14ac:dyDescent="0.25">
      <c r="A3">
        <v>300</v>
      </c>
      <c r="B3">
        <v>90</v>
      </c>
      <c r="D3" t="s">
        <v>45</v>
      </c>
      <c r="E3" t="s">
        <v>22</v>
      </c>
      <c r="F3" s="3">
        <f>'Gravelly Ford'!I9</f>
        <v>1375</v>
      </c>
      <c r="G3">
        <f>IF(F3&lt;1000,IF(VLOOKUP(F3,'R2 Losses.LUP'!A$2:B$10,2,TRUE)&lt;F3,VLOOKUP(F3,'R2 Losses.LUP'!A$2:B$10,2,TRUE),F3),47.932*LN(F3)-195.9)</f>
        <v>150.46665027214536</v>
      </c>
    </row>
    <row r="4" spans="1:7" x14ac:dyDescent="0.25">
      <c r="A4">
        <v>400</v>
      </c>
      <c r="B4">
        <v>100</v>
      </c>
      <c r="D4" t="s">
        <v>38</v>
      </c>
      <c r="E4" t="s">
        <v>23</v>
      </c>
      <c r="F4" s="3">
        <f>'Gravelly Ford'!I10</f>
        <v>2355</v>
      </c>
      <c r="G4">
        <f>IF(F4&lt;1000,IF(VLOOKUP(F4,'R2 Losses.LUP'!A$2:B$10,2,TRUE)&lt;F4,VLOOKUP(F4,'R2 Losses.LUP'!A$2:B$10,2,TRUE),F4),47.932*LN(F4)-195.9)</f>
        <v>176.25823618118628</v>
      </c>
    </row>
    <row r="5" spans="1:7" x14ac:dyDescent="0.25">
      <c r="A5">
        <v>800</v>
      </c>
      <c r="B5">
        <v>115</v>
      </c>
      <c r="D5" t="s">
        <v>37</v>
      </c>
      <c r="E5" t="s">
        <v>24</v>
      </c>
      <c r="F5" s="3">
        <f>'Gravelly Ford'!I11</f>
        <v>568.43803401221908</v>
      </c>
      <c r="G5">
        <f>IF(F5&lt;1000,IF(VLOOKUP(F5,'R2 Losses.LUP'!A$2:B$10,2,TRUE)&lt;F5,VLOOKUP(F5,'R2 Losses.LUP'!A$2:B$10,2,TRUE),F5),47.932*LN(F5)-195.9)</f>
        <v>100</v>
      </c>
    </row>
    <row r="6" spans="1:7" x14ac:dyDescent="0.25">
      <c r="A6">
        <v>1000</v>
      </c>
      <c r="B6">
        <v>125</v>
      </c>
      <c r="D6" t="s">
        <v>39</v>
      </c>
      <c r="E6" t="s">
        <v>31</v>
      </c>
      <c r="F6" s="3">
        <f>'Gravelly Ford'!I12</f>
        <v>165</v>
      </c>
      <c r="G6">
        <f>IF(F6&lt;1000,IF(VLOOKUP(F6,'R2 Losses.LUP'!A$2:B$10,2,TRUE)&lt;F6,VLOOKUP(F6,'R2 Losses.LUP'!A$2:B$10,2,TRUE),F6),47.932*LN(F6)-195.9)</f>
        <v>80</v>
      </c>
    </row>
    <row r="7" spans="1:7" x14ac:dyDescent="0.25">
      <c r="A7">
        <v>1375</v>
      </c>
      <c r="B7">
        <v>150</v>
      </c>
      <c r="D7" t="s">
        <v>40</v>
      </c>
      <c r="E7" t="s">
        <v>25</v>
      </c>
      <c r="F7" s="3">
        <f>'Gravelly Ford'!I13</f>
        <v>125</v>
      </c>
      <c r="G7">
        <f>IF(F7&lt;1000,IF(VLOOKUP(F7,'R2 Losses.LUP'!A$2:B$10,2,TRUE)&lt;F7,VLOOKUP(F7,'R2 Losses.LUP'!A$2:B$10,2,TRUE),F7),47.932*LN(F7)-195.9)</f>
        <v>80</v>
      </c>
    </row>
    <row r="8" spans="1:7" x14ac:dyDescent="0.25">
      <c r="A8">
        <v>1815</v>
      </c>
      <c r="B8">
        <v>165</v>
      </c>
      <c r="D8" t="s">
        <v>5</v>
      </c>
      <c r="E8" t="s">
        <v>26</v>
      </c>
      <c r="F8" s="3">
        <f>'Gravelly Ford'!I14</f>
        <v>145</v>
      </c>
      <c r="G8">
        <f>IF(F8&lt;1000,IF(VLOOKUP(F8,'R2 Losses.LUP'!A$2:B$10,2,TRUE)&lt;F8,VLOOKUP(F8,'R2 Losses.LUP'!A$2:B$10,2,TRUE),F8),47.932*LN(F8)-195.9)</f>
        <v>80</v>
      </c>
    </row>
    <row r="9" spans="1:7" x14ac:dyDescent="0.25">
      <c r="A9">
        <v>2355</v>
      </c>
      <c r="B9">
        <v>175</v>
      </c>
      <c r="D9" t="s">
        <v>6</v>
      </c>
      <c r="E9" t="s">
        <v>27</v>
      </c>
      <c r="F9" s="3">
        <f>'Gravelly Ford'!I15</f>
        <v>195</v>
      </c>
      <c r="G9">
        <f>IF(F9&lt;1000,IF(VLOOKUP(F9,'R2 Losses.LUP'!A$2:B$10,2,TRUE)&lt;F9,VLOOKUP(F9,'R2 Losses.LUP'!A$2:B$10,2,TRUE),F9),47.932*LN(F9)-195.9)</f>
        <v>80</v>
      </c>
    </row>
    <row r="10" spans="1:7" x14ac:dyDescent="0.25">
      <c r="A10">
        <v>3855</v>
      </c>
      <c r="B10">
        <v>200</v>
      </c>
      <c r="D10" t="s">
        <v>7</v>
      </c>
      <c r="E10" t="s">
        <v>29</v>
      </c>
      <c r="F10" s="3">
        <f>'Gravelly Ford'!I16</f>
        <v>575</v>
      </c>
      <c r="G10">
        <f>IF(F10&lt;1000,IF(VLOOKUP(F10,'R2 Losses.LUP'!A$2:B$10,2,TRUE)&lt;F10,VLOOKUP(F10,'R2 Losses.LUP'!A$2:B$10,2,TRUE),F10),47.932*LN(F10)-195.9)</f>
        <v>100</v>
      </c>
    </row>
    <row r="11" spans="1:7" x14ac:dyDescent="0.25">
      <c r="D11" t="s">
        <v>8</v>
      </c>
      <c r="E11" t="s">
        <v>28</v>
      </c>
      <c r="F11" s="3">
        <f>'Gravelly Ford'!I17</f>
        <v>575</v>
      </c>
      <c r="G11">
        <f>IF(F11&lt;1000,IF(VLOOKUP(F11,'R2 Losses.LUP'!A$2:B$10,2,TRUE)&lt;F11,VLOOKUP(F11,'R2 Losses.LUP'!A$2:B$10,2,TRUE),F11),47.932*LN(F11)-195.9)</f>
        <v>100</v>
      </c>
    </row>
    <row r="12" spans="1:7" x14ac:dyDescent="0.25">
      <c r="D12" t="s">
        <v>9</v>
      </c>
      <c r="E12" t="s">
        <v>32</v>
      </c>
      <c r="F12" s="3">
        <f>'Gravelly Ford'!I18</f>
        <v>235</v>
      </c>
      <c r="G12">
        <f>IF(F12&lt;1000,IF(VLOOKUP(F12,'R2 Losses.LUP'!A$2:B$10,2,TRUE)&lt;F12,VLOOKUP(F12,'R2 Losses.LUP'!A$2:B$10,2,TRUE),F12),47.932*LN(F12)-195.9)</f>
        <v>80</v>
      </c>
    </row>
    <row r="13" spans="1:7" x14ac:dyDescent="0.25">
      <c r="D13" t="s">
        <v>10</v>
      </c>
      <c r="E13" t="s">
        <v>30</v>
      </c>
      <c r="F13" s="3">
        <f>'Gravelly Ford'!I19</f>
        <v>255</v>
      </c>
      <c r="G13">
        <f>IF(F13&lt;1000,IF(VLOOKUP(F13,'R2 Losses.LUP'!A$2:B$10,2,TRUE)&lt;F13,VLOOKUP(F13,'R2 Losses.LUP'!A$2:B$10,2,TRUE),F13),47.932*LN(F13)-195.9)</f>
        <v>80</v>
      </c>
    </row>
    <row r="14" spans="1:7" x14ac:dyDescent="0.25">
      <c r="D14" s="3"/>
    </row>
    <row r="15" spans="1:7" x14ac:dyDescent="0.25">
      <c r="D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2:Q101"/>
  <sheetViews>
    <sheetView tabSelected="1" topLeftCell="A7" workbookViewId="0">
      <selection activeCell="H19" sqref="H19"/>
    </sheetView>
  </sheetViews>
  <sheetFormatPr defaultColWidth="4.7109375" defaultRowHeight="15" x14ac:dyDescent="0.25"/>
  <cols>
    <col min="1" max="1" width="6.28515625" customWidth="1"/>
    <col min="2" max="2" width="14.5703125" bestFit="1" customWidth="1"/>
    <col min="3" max="5" width="12.140625" customWidth="1"/>
    <col min="6" max="6" width="19.28515625" bestFit="1" customWidth="1"/>
    <col min="7" max="8" width="12.140625" customWidth="1"/>
    <col min="9" max="9" width="15.28515625" customWidth="1"/>
    <col min="10" max="10" width="12.85546875" customWidth="1"/>
    <col min="11" max="11" width="20.5703125" customWidth="1"/>
    <col min="12" max="12" width="16.7109375" customWidth="1"/>
    <col min="13" max="13" width="7" bestFit="1" customWidth="1"/>
    <col min="14" max="15" width="2" bestFit="1" customWidth="1"/>
    <col min="16" max="16" width="9.5703125" style="1" bestFit="1" customWidth="1"/>
    <col min="17" max="17" width="9.7109375" customWidth="1"/>
    <col min="18" max="18" width="4.7109375" customWidth="1"/>
    <col min="19" max="19" width="9.140625" customWidth="1"/>
    <col min="20" max="20" width="6.42578125" customWidth="1"/>
    <col min="21" max="25" width="4.7109375" customWidth="1"/>
    <col min="26" max="26" width="6.42578125" customWidth="1"/>
    <col min="27" max="27" width="8.85546875" customWidth="1"/>
    <col min="28" max="28" width="15" customWidth="1"/>
    <col min="29" max="29" width="10.28515625" customWidth="1"/>
  </cols>
  <sheetData>
    <row r="2" spans="1:17" x14ac:dyDescent="0.25">
      <c r="A2" t="s">
        <v>34</v>
      </c>
    </row>
    <row r="3" spans="1:17" ht="15" customHeight="1" x14ac:dyDescent="0.25">
      <c r="B3" s="6" t="s">
        <v>46</v>
      </c>
      <c r="C3" s="6"/>
      <c r="D3" s="6">
        <v>1270</v>
      </c>
      <c r="H3" t="s">
        <v>60</v>
      </c>
      <c r="I3" s="4"/>
      <c r="J3" s="2"/>
      <c r="K3" s="3">
        <f>E4-E21</f>
        <v>10813.032416892471</v>
      </c>
      <c r="L3" t="s">
        <v>56</v>
      </c>
    </row>
    <row r="4" spans="1:17" x14ac:dyDescent="0.25">
      <c r="B4" t="s">
        <v>35</v>
      </c>
      <c r="C4" s="25">
        <f>VLOOKUP($D$3,Allocation.LUP!$A$3:$B$8,2,TRUE)</f>
        <v>376.069230764</v>
      </c>
      <c r="D4" t="s">
        <v>0</v>
      </c>
      <c r="E4" s="3">
        <f>C4*1000</f>
        <v>376069.23076399998</v>
      </c>
      <c r="F4" t="s">
        <v>33</v>
      </c>
      <c r="H4" t="s">
        <v>2</v>
      </c>
      <c r="I4">
        <f>SUM(IF(K5&gt;0,VLOOKUP(K5,A9:C20,3,FALSE),0),IF(L5&gt;0,VLOOKUP(L5,A9:C20,3,FALSE),0),IF(M5&gt;0,VLOOKUP(M5,A9:C20,3,FALSE),0),IF(N5&gt;0,VLOOKUP(N5,A9:C20,3,FALSE),0),IF(O5&gt;0,VLOOKUP(O5,A9:C20,3,FALSE),0))</f>
        <v>15</v>
      </c>
      <c r="J4" s="1"/>
    </row>
    <row r="5" spans="1:17" x14ac:dyDescent="0.25">
      <c r="B5" t="s">
        <v>36</v>
      </c>
      <c r="C5" t="str">
        <f>HLOOKUP(C4,YearType.LUP!$D$14:$O$15,2,TRUE)</f>
        <v>N-D</v>
      </c>
      <c r="E5">
        <f>C4*1000-IF(D3&lt;670,116866,116945)</f>
        <v>259124.23076399998</v>
      </c>
      <c r="F5" t="s">
        <v>113</v>
      </c>
      <c r="H5" t="s">
        <v>65</v>
      </c>
      <c r="K5" t="str">
        <f>VLOOKUP(C5,Transformation.LUP!A3:G14,3,FALSE)</f>
        <v>A2</v>
      </c>
      <c r="L5">
        <f>VLOOKUP(C5,Transformation.LUP!A3:G14,4,FALSE)</f>
        <v>0</v>
      </c>
      <c r="M5">
        <f>VLOOKUP(C5,Transformation.LUP!A3:G14,5,FALSE)</f>
        <v>0</v>
      </c>
      <c r="N5">
        <f>VLOOKUP(C5,Transformation.LUP!A3:G14,6,FALSE)</f>
        <v>0</v>
      </c>
      <c r="O5">
        <f>VLOOKUP(C5,Transformation.LUP!A3:G14,7,FALSE)</f>
        <v>0</v>
      </c>
    </row>
    <row r="6" spans="1:17" x14ac:dyDescent="0.25">
      <c r="B6" s="6" t="s">
        <v>90</v>
      </c>
      <c r="C6" s="6"/>
      <c r="D6" s="6">
        <v>1520</v>
      </c>
    </row>
    <row r="7" spans="1:17" x14ac:dyDescent="0.25">
      <c r="B7" s="6" t="s">
        <v>95</v>
      </c>
      <c r="C7" s="6"/>
      <c r="D7" s="6"/>
      <c r="E7" s="6"/>
      <c r="F7" s="6"/>
      <c r="G7" s="6" t="s">
        <v>136</v>
      </c>
    </row>
    <row r="8" spans="1:17" x14ac:dyDescent="0.25">
      <c r="A8" t="s">
        <v>11</v>
      </c>
      <c r="B8" t="s">
        <v>1</v>
      </c>
      <c r="C8" t="s">
        <v>2</v>
      </c>
      <c r="D8" t="str">
        <f>C5</f>
        <v>N-D</v>
      </c>
      <c r="E8" s="1" t="s">
        <v>33</v>
      </c>
      <c r="H8" t="s">
        <v>58</v>
      </c>
      <c r="I8" t="s">
        <v>57</v>
      </c>
      <c r="J8" s="9" t="s">
        <v>55</v>
      </c>
      <c r="K8" t="s">
        <v>59</v>
      </c>
      <c r="L8" s="9" t="s">
        <v>94</v>
      </c>
      <c r="M8" s="1"/>
      <c r="P8" s="10" t="s">
        <v>111</v>
      </c>
    </row>
    <row r="9" spans="1:17" x14ac:dyDescent="0.25">
      <c r="A9" t="s">
        <v>44</v>
      </c>
      <c r="B9" t="s">
        <v>21</v>
      </c>
      <c r="C9">
        <v>15</v>
      </c>
      <c r="D9">
        <f>ExhibitB.LUP!B3</f>
        <v>500</v>
      </c>
      <c r="E9" s="3">
        <f>D9*(60*60*24*C9)/43560</f>
        <v>14876.03305785124</v>
      </c>
      <c r="H9">
        <f>IF(AND(OR(K$5=A9,L$5=A9,M$5=A9,N$5=A9,O$5=A9),K$3&gt;0),1,0)</f>
        <v>0</v>
      </c>
      <c r="I9">
        <f>IF(AND(VLOOKUP(C$5,Transformation.LUP!A$3:H$14,8,FALSE)&gt;D9,H9=1),(VLOOKUP(C$5,Transformation.LUP!A$3:H$14,8,FALSE)*(C9*24*60*60)/43560)-E9,0)</f>
        <v>0</v>
      </c>
      <c r="J9" s="8">
        <f>IF(K$3&lt;I9,D9+(K$3*43560/(C9*24*60*60)),D9+I9*43560/(C9*24*60*60))</f>
        <v>500</v>
      </c>
      <c r="K9" s="1">
        <f>K$3-(J9-D9)*(60*60*24*C9)/43560</f>
        <v>10813.032416892471</v>
      </c>
      <c r="L9" s="8">
        <f>IF(J9&gt;$D$6,$D$6,J9)</f>
        <v>500</v>
      </c>
      <c r="M9" s="3">
        <f>IF($G$7="N",L9*(60*60*24*C9)/43560,J9*(60*60*24*C9)/43560)</f>
        <v>14876.03305785124</v>
      </c>
      <c r="P9" s="10" t="s">
        <v>112</v>
      </c>
      <c r="Q9" t="s">
        <v>33</v>
      </c>
    </row>
    <row r="10" spans="1:17" x14ac:dyDescent="0.25">
      <c r="A10" t="s">
        <v>45</v>
      </c>
      <c r="B10" t="s">
        <v>22</v>
      </c>
      <c r="C10">
        <v>16</v>
      </c>
      <c r="D10">
        <f>ExhibitB.LUP!B4</f>
        <v>1500</v>
      </c>
      <c r="E10" s="3">
        <f>D10*(60*60*24*C10)/43560</f>
        <v>47603.305785123965</v>
      </c>
      <c r="H10">
        <f t="shared" ref="H10:H20" si="0">IF(AND(OR(K$5=A10,L$5=A10,M$5=A10,N$5=A10,O$5=A10),K$3&gt;0),1,0)</f>
        <v>0</v>
      </c>
      <c r="I10">
        <f>IF(AND(VLOOKUP(C$5,Transformation.LUP!A$3:H$14,8,FALSE)&gt;D10,H10=1),(VLOOKUP(C$5,Transformation.LUP!A$3:H$14,8,FALSE)*(C10*24*60*60)/43560)-E10,0)</f>
        <v>0</v>
      </c>
      <c r="J10" s="8">
        <f t="shared" ref="J10:J20" si="1">IF(K9&lt;I10,D10+(K9*43560/(C10*24*60*60)),D10+I10*43560/(C10*24*60*60))</f>
        <v>1500</v>
      </c>
      <c r="K10" s="1">
        <f t="shared" ref="K10:K20" si="2">K9-(J10-D10)*(60*60*24*C10)/43560</f>
        <v>10813.032416892471</v>
      </c>
      <c r="L10" s="8">
        <f>IF(J10&gt;$D$6,$D$6,J10)</f>
        <v>1500</v>
      </c>
      <c r="M10" s="3">
        <f t="shared" ref="M10:M20" si="3">IF($G$7="N",L10*(60*60*24*C10)/43560,J10*(60*60*24*C10)/43560)</f>
        <v>47603.305785123965</v>
      </c>
      <c r="P10" s="3">
        <f>J10-L10</f>
        <v>0</v>
      </c>
      <c r="Q10">
        <f>P10*C10*(60*60*24)/43560</f>
        <v>0</v>
      </c>
    </row>
    <row r="11" spans="1:17" x14ac:dyDescent="0.25">
      <c r="A11" t="s">
        <v>38</v>
      </c>
      <c r="B11" t="s">
        <v>23</v>
      </c>
      <c r="C11">
        <v>15</v>
      </c>
      <c r="D11">
        <f>ExhibitB.LUP!B5</f>
        <v>2500</v>
      </c>
      <c r="E11" s="3">
        <f>D11*(60*60*24*C11)/43560</f>
        <v>74380.165289256198</v>
      </c>
      <c r="H11">
        <f t="shared" si="0"/>
        <v>0</v>
      </c>
      <c r="I11">
        <f>IF(AND(VLOOKUP(C$5,Transformation.LUP!A$3:H$14,8,FALSE)&gt;D11,H11=1),(VLOOKUP(C$5,Transformation.LUP!A$3:H$14,8,FALSE)*(C11*24*60*60)/43560)-E11,0)</f>
        <v>0</v>
      </c>
      <c r="J11" s="8">
        <f t="shared" si="1"/>
        <v>2500</v>
      </c>
      <c r="K11" s="1">
        <f t="shared" si="2"/>
        <v>10813.032416892471</v>
      </c>
      <c r="L11" s="8">
        <f t="shared" ref="L11:L20" si="4">IF(J11&gt;$D$6,$D$6,J11)</f>
        <v>1520</v>
      </c>
      <c r="M11" s="3">
        <f t="shared" si="3"/>
        <v>45223.140495867767</v>
      </c>
      <c r="P11">
        <f t="shared" ref="P11:P16" si="5">J11-L11</f>
        <v>980</v>
      </c>
      <c r="Q11">
        <f t="shared" ref="Q11:Q16" si="6">P11*C11*(60*60*24)/43560</f>
        <v>29157.024793388431</v>
      </c>
    </row>
    <row r="12" spans="1:17" x14ac:dyDescent="0.25">
      <c r="A12" t="s">
        <v>37</v>
      </c>
      <c r="B12" t="s">
        <v>24</v>
      </c>
      <c r="C12">
        <v>15</v>
      </c>
      <c r="D12">
        <f>ExhibitB.LUP!B6</f>
        <v>350</v>
      </c>
      <c r="E12" s="3">
        <f>D12*(60*60*24*C12)/43560</f>
        <v>10413.223140495867</v>
      </c>
      <c r="H12">
        <f t="shared" si="0"/>
        <v>1</v>
      </c>
      <c r="I12">
        <f>IF(AND(VLOOKUP(C$5,Transformation.LUP!A$3:H$14,8,FALSE)&gt;D12,H12=1),(VLOOKUP(C$5,Transformation.LUP!A$3:H$14,8,FALSE)*(C12*24*60*60)/43560)-E12,0)</f>
        <v>108595.04132231405</v>
      </c>
      <c r="J12" s="8">
        <f t="shared" si="1"/>
        <v>713.43803401221908</v>
      </c>
      <c r="K12" s="1">
        <f t="shared" si="2"/>
        <v>0</v>
      </c>
      <c r="L12" s="8">
        <f t="shared" si="4"/>
        <v>713.43803401221908</v>
      </c>
      <c r="M12" s="3">
        <f t="shared" si="3"/>
        <v>21226.255557388336</v>
      </c>
      <c r="P12">
        <f t="shared" si="5"/>
        <v>0</v>
      </c>
      <c r="Q12">
        <f t="shared" si="6"/>
        <v>0</v>
      </c>
    </row>
    <row r="13" spans="1:17" x14ac:dyDescent="0.25">
      <c r="A13" t="s">
        <v>39</v>
      </c>
      <c r="B13" t="s">
        <v>31</v>
      </c>
      <c r="C13">
        <v>61</v>
      </c>
      <c r="D13">
        <f>ExhibitB.LUP!B7</f>
        <v>350</v>
      </c>
      <c r="E13" s="3">
        <f>D13*(60*60*24*C13)/43560</f>
        <v>42347.10743801653</v>
      </c>
      <c r="H13">
        <f t="shared" si="0"/>
        <v>0</v>
      </c>
      <c r="I13">
        <f>IF(AND(VLOOKUP(C$5,Transformation.LUP!A$3:H$14,8,FALSE)&gt;D13,H13=1),(VLOOKUP(C$5,Transformation.LUP!A$3:H$14,8,FALSE)*(C13*24*60*60)/43560)-E13,0)</f>
        <v>0</v>
      </c>
      <c r="J13" s="8">
        <f t="shared" si="1"/>
        <v>350</v>
      </c>
      <c r="K13" s="1">
        <f t="shared" si="2"/>
        <v>0</v>
      </c>
      <c r="L13" s="8">
        <f t="shared" si="4"/>
        <v>350</v>
      </c>
      <c r="M13" s="3">
        <f t="shared" si="3"/>
        <v>42347.10743801653</v>
      </c>
      <c r="P13">
        <f t="shared" si="5"/>
        <v>0</v>
      </c>
      <c r="Q13">
        <f t="shared" si="6"/>
        <v>0</v>
      </c>
    </row>
    <row r="14" spans="1:17" x14ac:dyDescent="0.25">
      <c r="A14" t="s">
        <v>40</v>
      </c>
      <c r="B14" t="s">
        <v>25</v>
      </c>
      <c r="C14">
        <v>62</v>
      </c>
      <c r="D14">
        <f>ExhibitB.LUP!B8</f>
        <v>350</v>
      </c>
      <c r="E14" s="3">
        <f t="shared" ref="E14:E19" si="7">D14*(60*60*24*C14)/43560</f>
        <v>43041.32231404959</v>
      </c>
      <c r="H14">
        <f t="shared" si="0"/>
        <v>0</v>
      </c>
      <c r="I14">
        <f>IF(AND(VLOOKUP(C$5,Transformation.LUP!A$3:H$14,8,FALSE)&gt;D14,H14=1),(VLOOKUP(C$5,Transformation.LUP!A$3:H$14,8,FALSE)*(C14*24*60*60)/43560)-E14,0)</f>
        <v>0</v>
      </c>
      <c r="J14" s="8">
        <f t="shared" si="1"/>
        <v>350</v>
      </c>
      <c r="K14" s="1">
        <f t="shared" si="2"/>
        <v>0</v>
      </c>
      <c r="L14" s="8">
        <f t="shared" si="4"/>
        <v>350</v>
      </c>
      <c r="M14" s="3">
        <f t="shared" si="3"/>
        <v>43041.32231404959</v>
      </c>
      <c r="P14">
        <f t="shared" si="5"/>
        <v>0</v>
      </c>
      <c r="Q14">
        <f t="shared" si="6"/>
        <v>0</v>
      </c>
    </row>
    <row r="15" spans="1:17" x14ac:dyDescent="0.25">
      <c r="A15" t="s">
        <v>5</v>
      </c>
      <c r="B15" t="s">
        <v>26</v>
      </c>
      <c r="C15">
        <v>30</v>
      </c>
      <c r="D15">
        <f>ExhibitB.LUP!B9</f>
        <v>350</v>
      </c>
      <c r="E15" s="3">
        <f>D15*(60*60*24*C15)/43560</f>
        <v>20826.446280991735</v>
      </c>
      <c r="H15">
        <f t="shared" si="0"/>
        <v>0</v>
      </c>
      <c r="I15">
        <f>IF(AND(VLOOKUP(C$5,Transformation.LUP!A$3:H$14,8,FALSE)&gt;D15,H15=1),(VLOOKUP(C$5,Transformation.LUP!A$3:H$14,8,FALSE)*(C15*24*60*60)/43560)-E15,0)</f>
        <v>0</v>
      </c>
      <c r="J15" s="8">
        <f t="shared" si="1"/>
        <v>350</v>
      </c>
      <c r="K15" s="1">
        <f t="shared" si="2"/>
        <v>0</v>
      </c>
      <c r="L15" s="8">
        <f t="shared" si="4"/>
        <v>350</v>
      </c>
      <c r="M15" s="3">
        <f t="shared" si="3"/>
        <v>20826.446280991735</v>
      </c>
      <c r="P15">
        <f t="shared" si="5"/>
        <v>0</v>
      </c>
      <c r="Q15">
        <f t="shared" si="6"/>
        <v>0</v>
      </c>
    </row>
    <row r="16" spans="1:17" x14ac:dyDescent="0.25">
      <c r="A16" t="s">
        <v>6</v>
      </c>
      <c r="B16" t="s">
        <v>27</v>
      </c>
      <c r="C16">
        <v>31</v>
      </c>
      <c r="D16">
        <f>ExhibitB.LUP!B10</f>
        <v>350</v>
      </c>
      <c r="E16" s="3">
        <f t="shared" si="7"/>
        <v>21520.661157024795</v>
      </c>
      <c r="H16">
        <f t="shared" si="0"/>
        <v>0</v>
      </c>
      <c r="I16">
        <f>IF(AND(VLOOKUP(C$5,Transformation.LUP!A$3:H$14,8,FALSE)&gt;D16,H16=1),(VLOOKUP(C$5,Transformation.LUP!A$3:H$14,8,FALSE)*(C16*24*60*60)/43560)-E16,0)</f>
        <v>0</v>
      </c>
      <c r="J16" s="8">
        <f t="shared" si="1"/>
        <v>350</v>
      </c>
      <c r="K16" s="1">
        <f t="shared" si="2"/>
        <v>0</v>
      </c>
      <c r="L16" s="8">
        <f t="shared" si="4"/>
        <v>350</v>
      </c>
      <c r="M16" s="3">
        <f t="shared" si="3"/>
        <v>21520.661157024795</v>
      </c>
      <c r="P16">
        <f t="shared" si="5"/>
        <v>0</v>
      </c>
      <c r="Q16">
        <f t="shared" si="6"/>
        <v>0</v>
      </c>
    </row>
    <row r="17" spans="1:17" x14ac:dyDescent="0.25">
      <c r="A17" t="s">
        <v>7</v>
      </c>
      <c r="B17" t="s">
        <v>29</v>
      </c>
      <c r="C17">
        <v>6</v>
      </c>
      <c r="D17">
        <f>ExhibitB.LUP!B11</f>
        <v>700</v>
      </c>
      <c r="E17" s="3">
        <f t="shared" si="7"/>
        <v>8330.5785123966944</v>
      </c>
      <c r="H17">
        <f t="shared" si="0"/>
        <v>0</v>
      </c>
      <c r="I17">
        <f>IF(AND(VLOOKUP(C$5,Transformation.LUP!A$3:H$14,8,FALSE)&gt;D17,H17=1),(VLOOKUP(C$5,Transformation.LUP!A$3:H$14,8,FALSE)*(C17*24*60*60)/43560)-E17,0)</f>
        <v>0</v>
      </c>
      <c r="J17" s="8">
        <f t="shared" si="1"/>
        <v>700</v>
      </c>
      <c r="K17" s="1">
        <f t="shared" si="2"/>
        <v>0</v>
      </c>
      <c r="L17" s="8">
        <f t="shared" si="4"/>
        <v>700</v>
      </c>
      <c r="M17" s="3">
        <f t="shared" si="3"/>
        <v>8330.5785123966944</v>
      </c>
      <c r="P17">
        <f>J17-L17</f>
        <v>0</v>
      </c>
      <c r="Q17">
        <f>P17*C17*(60*60*24)/43560</f>
        <v>0</v>
      </c>
    </row>
    <row r="18" spans="1:17" x14ac:dyDescent="0.25">
      <c r="A18" t="s">
        <v>8</v>
      </c>
      <c r="B18" t="s">
        <v>28</v>
      </c>
      <c r="C18">
        <v>4</v>
      </c>
      <c r="D18">
        <f>ExhibitB.LUP!B12</f>
        <v>700</v>
      </c>
      <c r="E18" s="3">
        <f t="shared" si="7"/>
        <v>5553.7190082644629</v>
      </c>
      <c r="H18">
        <f t="shared" si="0"/>
        <v>0</v>
      </c>
      <c r="I18">
        <f>IF(AND(VLOOKUP(C$5,Transformation.LUP!A$3:H$14,8,FALSE)&gt;D18,H18=1),(VLOOKUP(C$5,Transformation.LUP!A$3:H$14,8,FALSE)*(C18*24*60*60)/43560)-E18,0)</f>
        <v>0</v>
      </c>
      <c r="J18" s="8">
        <f t="shared" si="1"/>
        <v>700</v>
      </c>
      <c r="K18" s="1">
        <f t="shared" si="2"/>
        <v>0</v>
      </c>
      <c r="L18" s="8">
        <f t="shared" si="4"/>
        <v>700</v>
      </c>
      <c r="M18" s="3">
        <f t="shared" si="3"/>
        <v>5553.7190082644629</v>
      </c>
      <c r="P18">
        <f>J18-L18</f>
        <v>0</v>
      </c>
      <c r="Q18">
        <f>P18*C18*(60*60*24)/43560</f>
        <v>0</v>
      </c>
    </row>
    <row r="19" spans="1:17" x14ac:dyDescent="0.25">
      <c r="A19" t="s">
        <v>9</v>
      </c>
      <c r="B19" t="s">
        <v>32</v>
      </c>
      <c r="C19">
        <f>(30-10)+31</f>
        <v>51</v>
      </c>
      <c r="D19">
        <f>ExhibitB.LUP!B13</f>
        <v>350</v>
      </c>
      <c r="E19" s="3">
        <f t="shared" si="7"/>
        <v>35404.958677685951</v>
      </c>
      <c r="H19">
        <f t="shared" si="0"/>
        <v>0</v>
      </c>
      <c r="I19">
        <f>IF(AND(VLOOKUP(C$5,Transformation.LUP!A$3:H$14,8,FALSE)&gt;D19,H19=1),(VLOOKUP(C$5,Transformation.LUP!A$3:H$14,8,FALSE)*(C19*24*60*60)/43560)-E19,0)</f>
        <v>0</v>
      </c>
      <c r="J19" s="8">
        <f t="shared" si="1"/>
        <v>350</v>
      </c>
      <c r="K19" s="1">
        <f t="shared" si="2"/>
        <v>0</v>
      </c>
      <c r="L19" s="8">
        <f t="shared" si="4"/>
        <v>350</v>
      </c>
      <c r="M19" s="3">
        <f t="shared" si="3"/>
        <v>35404.958677685951</v>
      </c>
      <c r="P19">
        <f>J19-L19</f>
        <v>0</v>
      </c>
      <c r="Q19">
        <f>P19*C19*(60*60*24)/43560</f>
        <v>0</v>
      </c>
    </row>
    <row r="20" spans="1:17" x14ac:dyDescent="0.25">
      <c r="A20" t="s">
        <v>10</v>
      </c>
      <c r="B20" t="s">
        <v>30</v>
      </c>
      <c r="C20">
        <f>31+28</f>
        <v>59</v>
      </c>
      <c r="D20">
        <f>ExhibitB.LUP!B14</f>
        <v>350</v>
      </c>
      <c r="E20" s="3">
        <f>D20*(60*60*24*C20)/43560</f>
        <v>40958.67768595041</v>
      </c>
      <c r="H20">
        <f t="shared" si="0"/>
        <v>0</v>
      </c>
      <c r="I20">
        <f>IF(AND(VLOOKUP(C$5,Transformation.LUP!A$3:H$14,8,FALSE)&gt;D20,H20=1),(VLOOKUP(C$5,Transformation.LUP!A$3:H$14,8,FALSE)*(C20*24*60*60)/43560)-E20,0)</f>
        <v>0</v>
      </c>
      <c r="J20" s="8">
        <f t="shared" si="1"/>
        <v>350</v>
      </c>
      <c r="K20" s="1">
        <f t="shared" si="2"/>
        <v>0</v>
      </c>
      <c r="L20" s="8">
        <f t="shared" si="4"/>
        <v>350</v>
      </c>
      <c r="M20" s="3">
        <f t="shared" si="3"/>
        <v>40958.67768595041</v>
      </c>
      <c r="P20">
        <f>J20-L20</f>
        <v>0</v>
      </c>
      <c r="Q20">
        <f>P20*C20*(60*60*24)/43560</f>
        <v>0</v>
      </c>
    </row>
    <row r="21" spans="1:17" x14ac:dyDescent="0.25">
      <c r="D21" s="19" t="s">
        <v>115</v>
      </c>
      <c r="E21" s="20">
        <f>SUM(E9:E20)</f>
        <v>365256.19834710751</v>
      </c>
      <c r="F21" s="3"/>
      <c r="G21" s="23"/>
      <c r="M21" s="3">
        <f>SUM(M9:M20)</f>
        <v>346912.20597061148</v>
      </c>
      <c r="Q21">
        <f>SUM(Q10:Q20)</f>
        <v>29157.024793388431</v>
      </c>
    </row>
    <row r="22" spans="1:17" ht="15.75" thickBot="1" x14ac:dyDescent="0.3">
      <c r="B22" s="36" t="s">
        <v>140</v>
      </c>
      <c r="C22" s="36">
        <f>D3</f>
        <v>1270</v>
      </c>
    </row>
    <row r="23" spans="1:17" ht="48.75" thickBot="1" x14ac:dyDescent="0.3">
      <c r="B23" s="46" t="s">
        <v>97</v>
      </c>
      <c r="C23" s="47" t="s">
        <v>98</v>
      </c>
      <c r="D23" s="47" t="s">
        <v>99</v>
      </c>
      <c r="E23" s="47" t="s">
        <v>100</v>
      </c>
      <c r="F23" s="47" t="s">
        <v>135</v>
      </c>
      <c r="G23" s="47" t="s">
        <v>106</v>
      </c>
      <c r="H23" s="17" t="s">
        <v>108</v>
      </c>
      <c r="P23"/>
    </row>
    <row r="24" spans="1:17" ht="15.75" thickBot="1" x14ac:dyDescent="0.3">
      <c r="B24" s="48" t="s">
        <v>21</v>
      </c>
      <c r="C24" s="49">
        <f>IF($G$7="Y",Friant!L9,J9)</f>
        <v>500</v>
      </c>
      <c r="D24" s="49">
        <f>'Gravelly Ford'!I8</f>
        <v>375</v>
      </c>
      <c r="E24" s="49">
        <f t="shared" ref="E24:E35" si="8">D24-5</f>
        <v>370</v>
      </c>
      <c r="F24" s="50">
        <f>(C24)*(60*60*24*'Gravelly Ford'!C8)/43560</f>
        <v>14876.03305785124</v>
      </c>
      <c r="G24" s="50">
        <f>'Gravelly Ford'!J8</f>
        <v>11008.264462809917</v>
      </c>
      <c r="H24" s="18">
        <f>J9*0.1*(60*60*24*'Gravelly Ford'!C8)/43560</f>
        <v>1487.6033057851239</v>
      </c>
      <c r="P24"/>
    </row>
    <row r="25" spans="1:17" ht="15.75" thickBot="1" x14ac:dyDescent="0.3">
      <c r="B25" s="48" t="s">
        <v>22</v>
      </c>
      <c r="C25" s="49">
        <f>IF($G$7="Y",Friant!L10,J10)</f>
        <v>1500</v>
      </c>
      <c r="D25" s="49">
        <f>'Gravelly Ford'!I9</f>
        <v>1375</v>
      </c>
      <c r="E25" s="49">
        <f t="shared" si="8"/>
        <v>1370</v>
      </c>
      <c r="F25" s="50">
        <f>(C25)*(60*60*24*'Gravelly Ford'!C9)/43560</f>
        <v>47603.305785123965</v>
      </c>
      <c r="G25" s="50">
        <f>'Gravelly Ford'!J9</f>
        <v>43477.685950413223</v>
      </c>
      <c r="H25" s="18">
        <f>J10*0.1*(60*60*24*'Gravelly Ford'!C9)/43560</f>
        <v>4760.3305785123966</v>
      </c>
      <c r="P25"/>
    </row>
    <row r="26" spans="1:17" ht="15.75" thickBot="1" x14ac:dyDescent="0.3">
      <c r="B26" s="48" t="s">
        <v>23</v>
      </c>
      <c r="C26" s="49">
        <f>IF($G$7="Y",Friant!L11,J11)</f>
        <v>2500</v>
      </c>
      <c r="D26" s="49">
        <f>'Gravelly Ford'!I10</f>
        <v>2355</v>
      </c>
      <c r="E26" s="49">
        <f t="shared" si="8"/>
        <v>2350</v>
      </c>
      <c r="F26" s="50">
        <f>(C26)*(60*60*24*'Gravelly Ford'!C10)/43560</f>
        <v>74380.165289256198</v>
      </c>
      <c r="G26" s="50">
        <f>'Gravelly Ford'!J10</f>
        <v>69917.35537190082</v>
      </c>
      <c r="H26" s="18">
        <f>J11*0.1*(60*60*24*'Gravelly Ford'!C10)/43560</f>
        <v>7438.0165289256202</v>
      </c>
      <c r="P26"/>
    </row>
    <row r="27" spans="1:17" ht="15.75" thickBot="1" x14ac:dyDescent="0.3">
      <c r="B27" s="48" t="s">
        <v>24</v>
      </c>
      <c r="C27" s="49">
        <f>IF($G$7="Y",Friant!L12,J12)</f>
        <v>713.43803401221908</v>
      </c>
      <c r="D27" s="49">
        <f>'Gravelly Ford'!I11</f>
        <v>568.43803401221908</v>
      </c>
      <c r="E27" s="49">
        <f t="shared" si="8"/>
        <v>563.43803401221908</v>
      </c>
      <c r="F27" s="50">
        <f>(C27)*(60*60*24*'Gravelly Ford'!C11)/43560</f>
        <v>21226.255557388336</v>
      </c>
      <c r="G27" s="50">
        <f>'Gravelly Ford'!J11</f>
        <v>16763.445640032962</v>
      </c>
      <c r="H27" s="18">
        <f>J12*0.1*(60*60*24*'Gravelly Ford'!C11)/43560</f>
        <v>2122.6255557388336</v>
      </c>
      <c r="P27"/>
    </row>
    <row r="28" spans="1:17" ht="15.75" thickBot="1" x14ac:dyDescent="0.3">
      <c r="B28" s="48" t="s">
        <v>31</v>
      </c>
      <c r="C28" s="49">
        <f>IF($G$7="Y",Friant!L13,J13)</f>
        <v>350</v>
      </c>
      <c r="D28" s="49">
        <f>'Gravelly Ford'!I12</f>
        <v>165</v>
      </c>
      <c r="E28" s="49">
        <f t="shared" si="8"/>
        <v>160</v>
      </c>
      <c r="F28" s="50">
        <f>(C28)*(60*60*24*'Gravelly Ford'!C12)/43560</f>
        <v>42347.10743801653</v>
      </c>
      <c r="G28" s="50">
        <f>'Gravelly Ford'!J12</f>
        <v>19358.677685950413</v>
      </c>
      <c r="H28" s="18">
        <f>J13*0.1*(60*60*24*'Gravelly Ford'!C12)/43560</f>
        <v>4234.7107438016528</v>
      </c>
      <c r="P28"/>
    </row>
    <row r="29" spans="1:17" ht="15.75" thickBot="1" x14ac:dyDescent="0.3">
      <c r="B29" s="48" t="s">
        <v>25</v>
      </c>
      <c r="C29" s="49">
        <f>IF($G$7="Y",Friant!L14,J14)</f>
        <v>350</v>
      </c>
      <c r="D29" s="49">
        <f>'Gravelly Ford'!I13</f>
        <v>125</v>
      </c>
      <c r="E29" s="49">
        <f t="shared" si="8"/>
        <v>120</v>
      </c>
      <c r="F29" s="50">
        <f>(C29)*(60*60*24*'Gravelly Ford'!C13)/43560</f>
        <v>43041.32231404959</v>
      </c>
      <c r="G29" s="50">
        <f>'Gravelly Ford'!J13</f>
        <v>14757.024793388429</v>
      </c>
      <c r="H29" s="18">
        <f>J14*0.1*(60*60*24*'Gravelly Ford'!C13)/43560</f>
        <v>4304.1322314049585</v>
      </c>
      <c r="P29"/>
    </row>
    <row r="30" spans="1:17" ht="15.75" thickBot="1" x14ac:dyDescent="0.3">
      <c r="B30" s="48" t="s">
        <v>26</v>
      </c>
      <c r="C30" s="49">
        <f>IF($G$7="Y",Friant!L15,J15)</f>
        <v>350</v>
      </c>
      <c r="D30" s="49">
        <f>'Gravelly Ford'!I14</f>
        <v>145</v>
      </c>
      <c r="E30" s="49">
        <f t="shared" si="8"/>
        <v>140</v>
      </c>
      <c r="F30" s="50">
        <f>(C30)*(60*60*24*'Gravelly Ford'!C14)/43560</f>
        <v>20826.446280991735</v>
      </c>
      <c r="G30" s="50">
        <f>'Gravelly Ford'!J14</f>
        <v>8330.5785123966944</v>
      </c>
      <c r="H30" s="18">
        <f>J15*0.1*(60*60*24*'Gravelly Ford'!C14)/43560</f>
        <v>2082.6446280991736</v>
      </c>
      <c r="P30"/>
    </row>
    <row r="31" spans="1:17" ht="15.75" thickBot="1" x14ac:dyDescent="0.3">
      <c r="B31" s="48" t="s">
        <v>27</v>
      </c>
      <c r="C31" s="49">
        <f>IF($G$7="Y",Friant!L16,J16)</f>
        <v>350</v>
      </c>
      <c r="D31" s="49">
        <f>'Gravelly Ford'!I15</f>
        <v>195</v>
      </c>
      <c r="E31" s="49">
        <f t="shared" si="8"/>
        <v>190</v>
      </c>
      <c r="F31" s="50">
        <f>(C31)*(60*60*24*'Gravelly Ford'!C15)/43560</f>
        <v>21520.661157024795</v>
      </c>
      <c r="G31" s="50">
        <f>'Gravelly Ford'!J15</f>
        <v>11682.644628099173</v>
      </c>
      <c r="H31" s="18">
        <f>J16*0.1*(60*60*24*'Gravelly Ford'!C15)/43560</f>
        <v>2152.0661157024792</v>
      </c>
      <c r="P31"/>
    </row>
    <row r="32" spans="1:17" ht="15.75" thickBot="1" x14ac:dyDescent="0.3">
      <c r="B32" s="48" t="s">
        <v>29</v>
      </c>
      <c r="C32" s="49">
        <f>IF($G$7="Y",Friant!L17,J17)</f>
        <v>700</v>
      </c>
      <c r="D32" s="49">
        <f>'Gravelly Ford'!I16</f>
        <v>575</v>
      </c>
      <c r="E32" s="49">
        <f t="shared" si="8"/>
        <v>570</v>
      </c>
      <c r="F32" s="50">
        <f>(C32)*(60*60*24*'Gravelly Ford'!C16)/43560</f>
        <v>8330.5785123966944</v>
      </c>
      <c r="G32" s="50">
        <f>'Gravelly Ford'!J16</f>
        <v>6783.4710743801652</v>
      </c>
      <c r="H32" s="18">
        <f>J17*0.1*(60*60*24*'Gravelly Ford'!C16)/43560</f>
        <v>833.05785123966939</v>
      </c>
      <c r="P32"/>
    </row>
    <row r="33" spans="2:16" ht="15.75" thickBot="1" x14ac:dyDescent="0.3">
      <c r="B33" s="48" t="s">
        <v>28</v>
      </c>
      <c r="C33" s="49">
        <f>IF($G$7="Y",Friant!L18,J18)</f>
        <v>700</v>
      </c>
      <c r="D33" s="49">
        <f>'Gravelly Ford'!I17</f>
        <v>575</v>
      </c>
      <c r="E33" s="49">
        <f t="shared" si="8"/>
        <v>570</v>
      </c>
      <c r="F33" s="50">
        <f>(C33)*(60*60*24*'Gravelly Ford'!C17)/43560</f>
        <v>5553.7190082644629</v>
      </c>
      <c r="G33" s="50">
        <f>'Gravelly Ford'!J17</f>
        <v>4522.3140495867765</v>
      </c>
      <c r="H33" s="18">
        <f>J18*0.1*(60*60*24*'Gravelly Ford'!C17)/43560</f>
        <v>555.37190082644634</v>
      </c>
      <c r="P33"/>
    </row>
    <row r="34" spans="2:16" ht="15.75" thickBot="1" x14ac:dyDescent="0.3">
      <c r="B34" s="48" t="s">
        <v>32</v>
      </c>
      <c r="C34" s="49">
        <f>IF($G$7="Y",Friant!L19,J19)</f>
        <v>350</v>
      </c>
      <c r="D34" s="49">
        <f>'Gravelly Ford'!I18</f>
        <v>235</v>
      </c>
      <c r="E34" s="49">
        <f t="shared" si="8"/>
        <v>230</v>
      </c>
      <c r="F34" s="50">
        <f>(C34)*(60*60*24*'Gravelly Ford'!C18)/43560</f>
        <v>35404.958677685951</v>
      </c>
      <c r="G34" s="50">
        <f>'Gravelly Ford'!J18</f>
        <v>23266.115702479339</v>
      </c>
      <c r="H34" s="18">
        <f>J19*0.1*(60*60*24*'Gravelly Ford'!C18)/43560</f>
        <v>3540.495867768595</v>
      </c>
      <c r="P34"/>
    </row>
    <row r="35" spans="2:16" ht="15.75" thickBot="1" x14ac:dyDescent="0.3">
      <c r="B35" s="48" t="s">
        <v>30</v>
      </c>
      <c r="C35" s="49">
        <f>IF($G$7="Y",Friant!L20,J20)</f>
        <v>350</v>
      </c>
      <c r="D35" s="49">
        <f>'Gravelly Ford'!I19</f>
        <v>255</v>
      </c>
      <c r="E35" s="49">
        <f t="shared" si="8"/>
        <v>250</v>
      </c>
      <c r="F35" s="50">
        <f>(C35)*(60*60*24*'Gravelly Ford'!C19)/43560</f>
        <v>40958.67768595041</v>
      </c>
      <c r="G35" s="50">
        <f>'Gravelly Ford'!J19</f>
        <v>29256.198347107438</v>
      </c>
      <c r="H35" s="18">
        <f>J20*0.1*(60*60*24*'Gravelly Ford'!C19)/43560</f>
        <v>4095.8677685950415</v>
      </c>
      <c r="P35"/>
    </row>
    <row r="36" spans="2:16" ht="15.75" thickBot="1" x14ac:dyDescent="0.3">
      <c r="B36" s="48"/>
      <c r="C36" s="49"/>
      <c r="D36" s="51"/>
      <c r="E36" s="51"/>
      <c r="F36" s="50">
        <f>SUM(F24:F35)</f>
        <v>376069.23076399992</v>
      </c>
      <c r="G36" s="50">
        <f>SUM(G24:G35)</f>
        <v>259123.77621854536</v>
      </c>
      <c r="H36" s="18">
        <f>SUM(H24:H35)</f>
        <v>37606.923076399988</v>
      </c>
      <c r="P36"/>
    </row>
    <row r="37" spans="2:16" x14ac:dyDescent="0.25">
      <c r="B37" s="2"/>
      <c r="C37" s="2"/>
      <c r="D37" s="2" t="s">
        <v>116</v>
      </c>
      <c r="E37" s="2"/>
      <c r="F37" s="52">
        <f>F36+IF(G7="Y",Q21,0)</f>
        <v>376069.23076399992</v>
      </c>
      <c r="G37" s="2"/>
      <c r="P37"/>
    </row>
    <row r="38" spans="2:16" x14ac:dyDescent="0.25">
      <c r="B38" s="2"/>
      <c r="C38" s="2"/>
      <c r="D38" s="2" t="s">
        <v>107</v>
      </c>
      <c r="E38" s="2"/>
      <c r="F38" s="52">
        <f>F36-G36</f>
        <v>116945.45454545456</v>
      </c>
      <c r="G38" s="2"/>
      <c r="P38"/>
    </row>
    <row r="39" spans="2:16" x14ac:dyDescent="0.25">
      <c r="B39" s="2"/>
      <c r="C39" s="2"/>
      <c r="D39" s="2" t="s">
        <v>117</v>
      </c>
      <c r="E39" s="2"/>
      <c r="F39" s="52">
        <f>F37-F38</f>
        <v>259123.77621854536</v>
      </c>
      <c r="G39" s="52"/>
      <c r="P39"/>
    </row>
    <row r="40" spans="2:16" x14ac:dyDescent="0.25">
      <c r="P40"/>
    </row>
    <row r="41" spans="2:16" x14ac:dyDescent="0.25">
      <c r="P41"/>
    </row>
    <row r="42" spans="2:16" x14ac:dyDescent="0.25">
      <c r="P42"/>
    </row>
    <row r="50" spans="1:16" x14ac:dyDescent="0.25">
      <c r="A50" t="s">
        <v>11</v>
      </c>
      <c r="B50" t="s">
        <v>1</v>
      </c>
      <c r="C50" t="s">
        <v>2</v>
      </c>
      <c r="H50" t="s">
        <v>101</v>
      </c>
      <c r="I50" t="s">
        <v>102</v>
      </c>
      <c r="J50" t="s">
        <v>103</v>
      </c>
      <c r="K50" t="s">
        <v>104</v>
      </c>
      <c r="L50" t="s">
        <v>105</v>
      </c>
    </row>
    <row r="51" spans="1:16" x14ac:dyDescent="0.25">
      <c r="A51" t="s">
        <v>44</v>
      </c>
      <c r="B51" t="s">
        <v>21</v>
      </c>
      <c r="C51">
        <v>15</v>
      </c>
      <c r="E51" s="10">
        <v>41334</v>
      </c>
      <c r="H51" s="19">
        <v>500</v>
      </c>
      <c r="I51" s="20">
        <f t="shared" ref="I51:I62" si="9">$F52*H51*(60*60*24)/43560</f>
        <v>14876.03305785124</v>
      </c>
      <c r="J51">
        <v>125</v>
      </c>
      <c r="K51" s="3">
        <f>H51-J51</f>
        <v>375</v>
      </c>
      <c r="L51" s="20">
        <f t="shared" ref="L51:L62" si="10">$F52*K51*(60*60*24)/43560</f>
        <v>11157.024793388429</v>
      </c>
      <c r="P51" s="1">
        <f>J51*F52*(60*60*24)/43560</f>
        <v>3719.0082644628101</v>
      </c>
    </row>
    <row r="52" spans="1:16" x14ac:dyDescent="0.25">
      <c r="A52" t="s">
        <v>45</v>
      </c>
      <c r="B52" t="s">
        <v>22</v>
      </c>
      <c r="C52">
        <v>16</v>
      </c>
      <c r="E52" s="10">
        <v>41349</v>
      </c>
      <c r="F52">
        <f>E52-E51</f>
        <v>15</v>
      </c>
      <c r="G52" s="16"/>
      <c r="H52" s="19">
        <v>1500</v>
      </c>
      <c r="I52" s="20">
        <f t="shared" si="9"/>
        <v>47603.305785123965</v>
      </c>
      <c r="J52">
        <v>125</v>
      </c>
      <c r="K52" s="3">
        <f t="shared" ref="K52:K62" si="11">H52-J52</f>
        <v>1375</v>
      </c>
      <c r="L52" s="20">
        <f t="shared" si="10"/>
        <v>43636.36363636364</v>
      </c>
      <c r="P52" s="1">
        <f>J52*F53*(60*60*24)/43560</f>
        <v>3966.9421487603304</v>
      </c>
    </row>
    <row r="53" spans="1:16" x14ac:dyDescent="0.25">
      <c r="A53" t="s">
        <v>38</v>
      </c>
      <c r="B53" t="s">
        <v>23</v>
      </c>
      <c r="C53">
        <v>15</v>
      </c>
      <c r="E53" s="10">
        <v>41365</v>
      </c>
      <c r="F53">
        <f t="shared" ref="F53:F62" si="12">E53-E52</f>
        <v>16</v>
      </c>
      <c r="H53" s="19">
        <v>350</v>
      </c>
      <c r="I53" s="20">
        <f t="shared" si="9"/>
        <v>10413.223140495867</v>
      </c>
      <c r="J53">
        <v>145</v>
      </c>
      <c r="K53" s="3">
        <f t="shared" si="11"/>
        <v>205</v>
      </c>
      <c r="L53" s="20">
        <f t="shared" si="10"/>
        <v>6099.1735537190079</v>
      </c>
      <c r="P53" s="1">
        <f>J53*F54*(60*60*24)/43560</f>
        <v>4314.0495867768595</v>
      </c>
    </row>
    <row r="54" spans="1:16" x14ac:dyDescent="0.25">
      <c r="A54" t="s">
        <v>37</v>
      </c>
      <c r="B54" t="s">
        <v>24</v>
      </c>
      <c r="C54">
        <v>15</v>
      </c>
      <c r="E54" s="10">
        <v>41380</v>
      </c>
      <c r="F54">
        <f t="shared" si="12"/>
        <v>15</v>
      </c>
      <c r="H54">
        <v>350</v>
      </c>
      <c r="I54" s="20">
        <f t="shared" si="9"/>
        <v>10413.223140495867</v>
      </c>
      <c r="J54">
        <v>145</v>
      </c>
      <c r="K54" s="3">
        <f t="shared" si="11"/>
        <v>205</v>
      </c>
      <c r="L54" s="20">
        <f t="shared" si="10"/>
        <v>6099.1735537190079</v>
      </c>
      <c r="P54" s="1">
        <f>J54*F55*(60*60*24)/43560</f>
        <v>4314.0495867768595</v>
      </c>
    </row>
    <row r="55" spans="1:16" x14ac:dyDescent="0.25">
      <c r="A55" t="s">
        <v>39</v>
      </c>
      <c r="B55" t="s">
        <v>31</v>
      </c>
      <c r="C55">
        <v>61</v>
      </c>
      <c r="E55" s="10">
        <v>41395</v>
      </c>
      <c r="F55">
        <f t="shared" si="12"/>
        <v>15</v>
      </c>
      <c r="H55">
        <v>350</v>
      </c>
      <c r="I55" s="20">
        <f t="shared" si="9"/>
        <v>19438.016528925618</v>
      </c>
      <c r="J55">
        <v>185</v>
      </c>
      <c r="K55" s="3">
        <f t="shared" si="11"/>
        <v>165</v>
      </c>
      <c r="L55" s="20">
        <f t="shared" si="10"/>
        <v>9163.636363636364</v>
      </c>
      <c r="P55" s="1">
        <f>J55*F56*(60*60*24)/43560</f>
        <v>10274.380165289256</v>
      </c>
    </row>
    <row r="56" spans="1:16" x14ac:dyDescent="0.25">
      <c r="E56" s="10">
        <v>41423</v>
      </c>
      <c r="F56">
        <f t="shared" si="12"/>
        <v>28</v>
      </c>
      <c r="H56">
        <v>350</v>
      </c>
      <c r="I56" s="20">
        <f t="shared" si="9"/>
        <v>22909.090909090908</v>
      </c>
      <c r="J56">
        <v>185</v>
      </c>
      <c r="K56" s="3">
        <f t="shared" si="11"/>
        <v>165</v>
      </c>
      <c r="L56" s="20">
        <f t="shared" si="10"/>
        <v>10800</v>
      </c>
      <c r="P56" s="1">
        <f>SUM(P51:P55)</f>
        <v>26588.429752066113</v>
      </c>
    </row>
    <row r="57" spans="1:16" x14ac:dyDescent="0.25">
      <c r="A57" t="s">
        <v>40</v>
      </c>
      <c r="B57" t="s">
        <v>25</v>
      </c>
      <c r="C57">
        <v>62</v>
      </c>
      <c r="E57" s="10">
        <v>41456</v>
      </c>
      <c r="F57">
        <f t="shared" si="12"/>
        <v>33</v>
      </c>
      <c r="H57">
        <v>268.34793723857501</v>
      </c>
      <c r="I57" s="20">
        <f t="shared" si="9"/>
        <v>33000.143025702448</v>
      </c>
      <c r="J57">
        <v>125</v>
      </c>
      <c r="K57" s="3">
        <f t="shared" si="11"/>
        <v>143.34793723857501</v>
      </c>
      <c r="L57" s="20">
        <f t="shared" si="10"/>
        <v>17628.242199256165</v>
      </c>
    </row>
    <row r="58" spans="1:16" x14ac:dyDescent="0.25">
      <c r="A58" t="s">
        <v>5</v>
      </c>
      <c r="B58" t="s">
        <v>26</v>
      </c>
      <c r="C58">
        <v>30</v>
      </c>
      <c r="E58" s="10">
        <v>41518</v>
      </c>
      <c r="F58">
        <f t="shared" si="12"/>
        <v>62</v>
      </c>
      <c r="H58">
        <v>349.99999999999994</v>
      </c>
      <c r="I58" s="20">
        <f t="shared" si="9"/>
        <v>20826.446280991731</v>
      </c>
      <c r="J58">
        <v>205</v>
      </c>
      <c r="K58" s="3">
        <f t="shared" si="11"/>
        <v>144.99999999999994</v>
      </c>
      <c r="L58" s="20">
        <f t="shared" si="10"/>
        <v>8628.0991735537154</v>
      </c>
    </row>
    <row r="59" spans="1:16" x14ac:dyDescent="0.25">
      <c r="A59" t="s">
        <v>6</v>
      </c>
      <c r="B59" t="s">
        <v>27</v>
      </c>
      <c r="C59">
        <v>31</v>
      </c>
      <c r="E59" s="10">
        <v>41548</v>
      </c>
      <c r="F59">
        <f t="shared" si="12"/>
        <v>30</v>
      </c>
      <c r="H59">
        <v>350</v>
      </c>
      <c r="I59" s="20">
        <f t="shared" si="9"/>
        <v>21520.661157024795</v>
      </c>
      <c r="J59">
        <v>155</v>
      </c>
      <c r="K59" s="3">
        <f t="shared" si="11"/>
        <v>195</v>
      </c>
      <c r="L59" s="20">
        <f t="shared" si="10"/>
        <v>11990.082644628099</v>
      </c>
    </row>
    <row r="60" spans="1:16" x14ac:dyDescent="0.25">
      <c r="A60" t="s">
        <v>7</v>
      </c>
      <c r="B60" t="s">
        <v>29</v>
      </c>
      <c r="C60">
        <v>6</v>
      </c>
      <c r="E60" s="10">
        <v>41579</v>
      </c>
      <c r="F60">
        <f t="shared" si="12"/>
        <v>31</v>
      </c>
      <c r="H60">
        <v>700</v>
      </c>
      <c r="I60" s="20">
        <f t="shared" si="9"/>
        <v>8330.5785123966944</v>
      </c>
      <c r="J60">
        <v>125</v>
      </c>
      <c r="K60" s="3">
        <f t="shared" si="11"/>
        <v>575</v>
      </c>
      <c r="L60" s="20">
        <f t="shared" si="10"/>
        <v>6842.9752066115707</v>
      </c>
    </row>
    <row r="61" spans="1:16" x14ac:dyDescent="0.25">
      <c r="A61" t="s">
        <v>8</v>
      </c>
      <c r="B61" t="s">
        <v>28</v>
      </c>
      <c r="C61">
        <v>4</v>
      </c>
      <c r="E61" s="10">
        <v>41585</v>
      </c>
      <c r="F61">
        <f t="shared" si="12"/>
        <v>6</v>
      </c>
      <c r="H61">
        <v>700</v>
      </c>
      <c r="I61" s="20">
        <f t="shared" si="9"/>
        <v>5553.7190082644629</v>
      </c>
      <c r="J61">
        <v>125</v>
      </c>
      <c r="K61" s="3">
        <f t="shared" si="11"/>
        <v>575</v>
      </c>
      <c r="L61" s="20">
        <f t="shared" si="10"/>
        <v>4561.9834710743798</v>
      </c>
    </row>
    <row r="62" spans="1:16" x14ac:dyDescent="0.25">
      <c r="A62" t="s">
        <v>9</v>
      </c>
      <c r="B62" t="s">
        <v>32</v>
      </c>
      <c r="C62">
        <f>(30-10)+31</f>
        <v>51</v>
      </c>
      <c r="E62" s="10">
        <v>41589</v>
      </c>
      <c r="F62">
        <f t="shared" si="12"/>
        <v>4</v>
      </c>
      <c r="H62">
        <v>350</v>
      </c>
      <c r="I62" s="20">
        <f t="shared" si="9"/>
        <v>35404.958677685951</v>
      </c>
      <c r="J62">
        <v>115</v>
      </c>
      <c r="K62" s="3">
        <f t="shared" si="11"/>
        <v>235</v>
      </c>
      <c r="L62" s="20">
        <f t="shared" si="10"/>
        <v>23771.900826446283</v>
      </c>
    </row>
    <row r="63" spans="1:16" x14ac:dyDescent="0.25">
      <c r="A63" t="s">
        <v>10</v>
      </c>
      <c r="B63" t="s">
        <v>30</v>
      </c>
      <c r="C63">
        <f>31+28</f>
        <v>59</v>
      </c>
      <c r="E63" s="10">
        <v>41640</v>
      </c>
      <c r="F63">
        <f>E63-E62</f>
        <v>51</v>
      </c>
      <c r="J63">
        <v>95</v>
      </c>
    </row>
    <row r="86" spans="12:12" ht="15.75" thickBot="1" x14ac:dyDescent="0.3"/>
    <row r="87" spans="12:12" ht="15.75" thickBot="1" x14ac:dyDescent="0.3">
      <c r="L87" s="43">
        <v>3.8679999999999999</v>
      </c>
    </row>
    <row r="88" spans="12:12" ht="15.75" thickBot="1" x14ac:dyDescent="0.3">
      <c r="L88" s="44">
        <v>4.1260000000000003</v>
      </c>
    </row>
    <row r="89" spans="12:12" ht="15.75" thickBot="1" x14ac:dyDescent="0.3">
      <c r="L89" s="44">
        <v>4.4630000000000001</v>
      </c>
    </row>
    <row r="90" spans="12:12" ht="15.75" thickBot="1" x14ac:dyDescent="0.3">
      <c r="L90" s="44">
        <v>4.4630000000000001</v>
      </c>
    </row>
    <row r="91" spans="12:12" ht="15.75" thickBot="1" x14ac:dyDescent="0.3">
      <c r="L91" s="45">
        <v>10.552</v>
      </c>
    </row>
    <row r="92" spans="12:12" ht="15.75" thickBot="1" x14ac:dyDescent="0.3">
      <c r="L92" s="44">
        <v>12.436</v>
      </c>
    </row>
    <row r="93" spans="12:12" ht="15.75" thickBot="1" x14ac:dyDescent="0.3">
      <c r="L93" s="44">
        <v>28.283999999999999</v>
      </c>
    </row>
    <row r="94" spans="12:12" ht="15.75" thickBot="1" x14ac:dyDescent="0.3">
      <c r="L94" s="44">
        <v>12.496</v>
      </c>
    </row>
    <row r="95" spans="12:12" ht="15.75" thickBot="1" x14ac:dyDescent="0.3">
      <c r="L95" s="44">
        <v>9.8379999999999992</v>
      </c>
    </row>
    <row r="96" spans="12:12" ht="15.75" thickBot="1" x14ac:dyDescent="0.3">
      <c r="L96" s="44">
        <v>1.5469999999999999</v>
      </c>
    </row>
    <row r="97" spans="12:12" ht="15.75" thickBot="1" x14ac:dyDescent="0.3">
      <c r="L97" s="44">
        <v>0.95199999999999996</v>
      </c>
    </row>
    <row r="98" spans="12:12" ht="15.75" thickBot="1" x14ac:dyDescent="0.3">
      <c r="L98" s="44">
        <v>4.76</v>
      </c>
    </row>
    <row r="99" spans="12:12" ht="15.75" thickBot="1" x14ac:dyDescent="0.3">
      <c r="L99" s="44">
        <v>7.3789999999999996</v>
      </c>
    </row>
    <row r="100" spans="12:12" ht="15.75" thickBot="1" x14ac:dyDescent="0.3">
      <c r="L100" s="44">
        <v>6.149</v>
      </c>
    </row>
    <row r="101" spans="12:12" ht="15.75" thickBot="1" x14ac:dyDescent="0.3">
      <c r="L101" s="44">
        <v>5.5540000000000003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25"/>
  <sheetViews>
    <sheetView workbookViewId="0">
      <selection activeCell="O16" sqref="O16"/>
    </sheetView>
  </sheetViews>
  <sheetFormatPr defaultRowHeight="15" x14ac:dyDescent="0.25"/>
  <sheetData>
    <row r="1" spans="1:5" x14ac:dyDescent="0.25">
      <c r="B1" t="s">
        <v>84</v>
      </c>
      <c r="C1" s="2" t="str">
        <f>Friant!C5</f>
        <v>N-D</v>
      </c>
      <c r="D1" s="2" t="s">
        <v>93</v>
      </c>
      <c r="E1" s="2"/>
    </row>
    <row r="2" spans="1:5" x14ac:dyDescent="0.25">
      <c r="A2" s="10">
        <v>40238</v>
      </c>
      <c r="B2" s="8">
        <f>Friant!J9</f>
        <v>500</v>
      </c>
      <c r="C2" s="2">
        <f>HLOOKUP(C$1,YearType.LUP!B$1:O$13,2,FALSE)</f>
        <v>500</v>
      </c>
      <c r="D2" s="2">
        <f>Friant!L9</f>
        <v>500</v>
      </c>
      <c r="E2" s="11"/>
    </row>
    <row r="3" spans="1:5" x14ac:dyDescent="0.25">
      <c r="A3" s="10">
        <v>40252</v>
      </c>
      <c r="B3" s="8">
        <f>Friant!J9</f>
        <v>500</v>
      </c>
      <c r="C3" s="2">
        <f>HLOOKUP(C$1,YearType.LUP!B$1:O$13,2,FALSE)</f>
        <v>500</v>
      </c>
      <c r="D3" s="2">
        <f>Friant!L9</f>
        <v>500</v>
      </c>
      <c r="E3" s="11"/>
    </row>
    <row r="4" spans="1:5" x14ac:dyDescent="0.25">
      <c r="A4" s="10">
        <v>40253</v>
      </c>
      <c r="B4" s="8">
        <f>Friant!J10</f>
        <v>1500</v>
      </c>
      <c r="C4" s="2">
        <f>HLOOKUP(C$1,YearType.LUP!B$1:O$13,3,FALSE)</f>
        <v>1500</v>
      </c>
      <c r="D4" s="2">
        <f>Friant!L10</f>
        <v>1500</v>
      </c>
      <c r="E4" s="11"/>
    </row>
    <row r="5" spans="1:5" x14ac:dyDescent="0.25">
      <c r="A5" s="10">
        <v>40268</v>
      </c>
      <c r="B5" s="8">
        <f>Friant!J10</f>
        <v>1500</v>
      </c>
      <c r="C5" s="2">
        <f>HLOOKUP(C$1,YearType.LUP!B$1:O$13,3,FALSE)</f>
        <v>1500</v>
      </c>
      <c r="D5" s="2">
        <f>Friant!L10</f>
        <v>1500</v>
      </c>
      <c r="E5" s="11"/>
    </row>
    <row r="6" spans="1:5" x14ac:dyDescent="0.25">
      <c r="A6" s="10">
        <v>40269</v>
      </c>
      <c r="B6" s="8">
        <f>Friant!J11</f>
        <v>2500</v>
      </c>
      <c r="C6" s="2">
        <f>HLOOKUP(C$1,YearType.LUP!B$1:O$13,4,FALSE)</f>
        <v>2500</v>
      </c>
      <c r="D6" s="2">
        <f>Friant!L11</f>
        <v>1520</v>
      </c>
      <c r="E6" s="11"/>
    </row>
    <row r="7" spans="1:5" x14ac:dyDescent="0.25">
      <c r="A7" s="10">
        <v>40283</v>
      </c>
      <c r="B7" s="8">
        <f>Friant!J11</f>
        <v>2500</v>
      </c>
      <c r="C7" s="2">
        <f>HLOOKUP(C$1,YearType.LUP!B$1:O$13,4,FALSE)</f>
        <v>2500</v>
      </c>
      <c r="D7" s="2">
        <f>Friant!L11</f>
        <v>1520</v>
      </c>
      <c r="E7" s="11"/>
    </row>
    <row r="8" spans="1:5" x14ac:dyDescent="0.25">
      <c r="A8" s="10">
        <v>40284</v>
      </c>
      <c r="B8" s="8">
        <f>Friant!J12</f>
        <v>713.43803401221908</v>
      </c>
      <c r="C8" s="2">
        <f>HLOOKUP(C$1,YearType.LUP!B$1:O$13,5,FALSE)</f>
        <v>350</v>
      </c>
      <c r="D8" s="2">
        <f>Friant!L12</f>
        <v>713.43803401221908</v>
      </c>
      <c r="E8" s="11"/>
    </row>
    <row r="9" spans="1:5" x14ac:dyDescent="0.25">
      <c r="A9" s="10">
        <v>40298</v>
      </c>
      <c r="B9" s="8">
        <f>Friant!J12</f>
        <v>713.43803401221908</v>
      </c>
      <c r="C9" s="2">
        <f>HLOOKUP(C$1,YearType.LUP!B$1:O$13,5,FALSE)</f>
        <v>350</v>
      </c>
      <c r="D9" s="2">
        <f>Friant!L12</f>
        <v>713.43803401221908</v>
      </c>
      <c r="E9" s="11"/>
    </row>
    <row r="10" spans="1:5" x14ac:dyDescent="0.25">
      <c r="A10" s="10">
        <v>40299</v>
      </c>
      <c r="B10" s="8">
        <f>Friant!J13</f>
        <v>350</v>
      </c>
      <c r="C10" s="2">
        <f>HLOOKUP(C$1,YearType.LUP!B$1:O$13,6,FALSE)</f>
        <v>350</v>
      </c>
      <c r="D10" s="2">
        <f>Friant!L13</f>
        <v>350</v>
      </c>
      <c r="E10" s="11"/>
    </row>
    <row r="11" spans="1:5" x14ac:dyDescent="0.25">
      <c r="A11" s="10">
        <v>40359</v>
      </c>
      <c r="B11" s="8">
        <f>Friant!J13</f>
        <v>350</v>
      </c>
      <c r="C11" s="2">
        <f>HLOOKUP(C$1,YearType.LUP!B$1:O$13,6,FALSE)</f>
        <v>350</v>
      </c>
      <c r="D11" s="2">
        <f>Friant!L13</f>
        <v>350</v>
      </c>
      <c r="E11" s="11"/>
    </row>
    <row r="12" spans="1:5" x14ac:dyDescent="0.25">
      <c r="A12" s="10">
        <v>40360</v>
      </c>
      <c r="B12" s="8">
        <f>Friant!J14</f>
        <v>350</v>
      </c>
      <c r="C12" s="2">
        <f>HLOOKUP(C$1,YearType.LUP!B$1:O$13,7,FALSE)</f>
        <v>350</v>
      </c>
      <c r="D12" s="2">
        <f>Friant!L14</f>
        <v>350</v>
      </c>
      <c r="E12" s="11"/>
    </row>
    <row r="13" spans="1:5" x14ac:dyDescent="0.25">
      <c r="A13" s="10">
        <v>40421</v>
      </c>
      <c r="B13" s="8">
        <f>Friant!J14</f>
        <v>350</v>
      </c>
      <c r="C13" s="2">
        <f>HLOOKUP(C$1,YearType.LUP!B$1:O$13,7,FALSE)</f>
        <v>350</v>
      </c>
      <c r="D13" s="2">
        <f>Friant!L14</f>
        <v>350</v>
      </c>
      <c r="E13" s="11"/>
    </row>
    <row r="14" spans="1:5" x14ac:dyDescent="0.25">
      <c r="A14" s="10">
        <v>40422</v>
      </c>
      <c r="B14" s="8">
        <f>Friant!J15</f>
        <v>350</v>
      </c>
      <c r="C14" s="2">
        <f>HLOOKUP(C$1,YearType.LUP!B$1:O$13,8,FALSE)</f>
        <v>350</v>
      </c>
      <c r="D14" s="2">
        <f>Friant!L15</f>
        <v>350</v>
      </c>
      <c r="E14" s="11"/>
    </row>
    <row r="15" spans="1:5" x14ac:dyDescent="0.25">
      <c r="A15" s="10">
        <v>40451</v>
      </c>
      <c r="B15" s="8">
        <f>Friant!J15</f>
        <v>350</v>
      </c>
      <c r="C15" s="2">
        <f>HLOOKUP(C$1,YearType.LUP!B$1:O$13,8,FALSE)</f>
        <v>350</v>
      </c>
      <c r="D15" s="2">
        <f>Friant!L15</f>
        <v>350</v>
      </c>
      <c r="E15" s="2"/>
    </row>
    <row r="16" spans="1:5" x14ac:dyDescent="0.25">
      <c r="A16" s="10">
        <v>40452</v>
      </c>
      <c r="B16" s="8">
        <f>Friant!J16</f>
        <v>350</v>
      </c>
      <c r="C16" s="2">
        <f>HLOOKUP(C$1,YearType.LUP!B$1:O$13,9,FALSE)</f>
        <v>350</v>
      </c>
      <c r="D16" s="2">
        <f>Friant!L16</f>
        <v>350</v>
      </c>
      <c r="E16" s="2"/>
    </row>
    <row r="17" spans="1:4" x14ac:dyDescent="0.25">
      <c r="A17" s="10">
        <v>40482</v>
      </c>
      <c r="B17" s="8">
        <f>Friant!J16</f>
        <v>350</v>
      </c>
      <c r="C17" s="2">
        <f>HLOOKUP(C$1,YearType.LUP!B$1:O$13,9,FALSE)</f>
        <v>350</v>
      </c>
      <c r="D17" s="2">
        <f>Friant!L16</f>
        <v>350</v>
      </c>
    </row>
    <row r="18" spans="1:4" x14ac:dyDescent="0.25">
      <c r="A18" s="10">
        <v>40483</v>
      </c>
      <c r="B18" s="8">
        <f>Friant!J17</f>
        <v>700</v>
      </c>
      <c r="C18" s="2">
        <f>HLOOKUP(C$1,YearType.LUP!B$1:O$13,10,FALSE)</f>
        <v>700</v>
      </c>
      <c r="D18" s="2">
        <f>Friant!L17</f>
        <v>700</v>
      </c>
    </row>
    <row r="19" spans="1:4" x14ac:dyDescent="0.25">
      <c r="A19" s="10">
        <v>40488</v>
      </c>
      <c r="B19" s="8">
        <f>Friant!J17</f>
        <v>700</v>
      </c>
      <c r="C19" s="2">
        <f>HLOOKUP(C$1,YearType.LUP!B$1:O$13,10,FALSE)</f>
        <v>700</v>
      </c>
      <c r="D19" s="2">
        <f>Friant!L17</f>
        <v>700</v>
      </c>
    </row>
    <row r="20" spans="1:4" x14ac:dyDescent="0.25">
      <c r="A20" s="10">
        <v>40489</v>
      </c>
      <c r="B20" s="8">
        <f>Friant!J18</f>
        <v>700</v>
      </c>
      <c r="C20" s="2">
        <f>HLOOKUP(C$1,YearType.LUP!B$1:O$13,11,FALSE)</f>
        <v>700</v>
      </c>
      <c r="D20" s="2">
        <f>Friant!L18</f>
        <v>700</v>
      </c>
    </row>
    <row r="21" spans="1:4" x14ac:dyDescent="0.25">
      <c r="A21" s="10">
        <v>40492</v>
      </c>
      <c r="B21" s="8">
        <f>Friant!J18</f>
        <v>700</v>
      </c>
      <c r="C21" s="2">
        <f>HLOOKUP(C$1,YearType.LUP!B$1:O$13,11,FALSE)</f>
        <v>700</v>
      </c>
      <c r="D21" s="2">
        <f>Friant!L18</f>
        <v>700</v>
      </c>
    </row>
    <row r="22" spans="1:4" x14ac:dyDescent="0.25">
      <c r="A22" s="10">
        <v>40493</v>
      </c>
      <c r="B22" s="8">
        <f>Friant!J19</f>
        <v>350</v>
      </c>
      <c r="C22" s="2">
        <f>HLOOKUP(C$1,YearType.LUP!B$1:O$13,12,FALSE)</f>
        <v>350</v>
      </c>
      <c r="D22" s="2">
        <f>Friant!L19</f>
        <v>350</v>
      </c>
    </row>
    <row r="23" spans="1:4" x14ac:dyDescent="0.25">
      <c r="A23" s="10">
        <v>40543</v>
      </c>
      <c r="B23" s="8">
        <f>Friant!J19</f>
        <v>350</v>
      </c>
      <c r="C23" s="2">
        <f>HLOOKUP(C$1,YearType.LUP!B$1:O$13,12,FALSE)</f>
        <v>350</v>
      </c>
      <c r="D23" s="2">
        <f>Friant!L19</f>
        <v>350</v>
      </c>
    </row>
    <row r="24" spans="1:4" x14ac:dyDescent="0.25">
      <c r="A24" s="10">
        <v>40179</v>
      </c>
      <c r="B24" s="8">
        <f>Friant!J20</f>
        <v>350</v>
      </c>
      <c r="C24" s="2">
        <f>HLOOKUP(C$1,YearType.LUP!B$1:O$13,13,FALSE)</f>
        <v>350</v>
      </c>
      <c r="D24" s="2">
        <f>Friant!L20</f>
        <v>350</v>
      </c>
    </row>
    <row r="25" spans="1:4" x14ac:dyDescent="0.25">
      <c r="A25" s="10">
        <v>40237</v>
      </c>
      <c r="B25" s="8">
        <f>Friant!J20</f>
        <v>350</v>
      </c>
      <c r="C25" s="2">
        <f>HLOOKUP(C$1,YearType.LUP!B$1:O$13,13,FALSE)</f>
        <v>350</v>
      </c>
      <c r="D25" s="2">
        <f>Friant!L20</f>
        <v>350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Q376"/>
  <sheetViews>
    <sheetView topLeftCell="F351" workbookViewId="0">
      <selection activeCell="N8" sqref="N8:N372"/>
    </sheetView>
  </sheetViews>
  <sheetFormatPr defaultColWidth="4.7109375" defaultRowHeight="15" x14ac:dyDescent="0.25"/>
  <cols>
    <col min="1" max="1" width="9.7109375" customWidth="1"/>
    <col min="2" max="2" width="14.5703125" bestFit="1" customWidth="1"/>
    <col min="3" max="3" width="6.5703125" bestFit="1" customWidth="1"/>
    <col min="4" max="4" width="12.85546875" bestFit="1" customWidth="1"/>
    <col min="5" max="5" width="19.7109375" bestFit="1" customWidth="1"/>
    <col min="6" max="6" width="7" bestFit="1" customWidth="1"/>
    <col min="7" max="7" width="20.28515625" bestFit="1" customWidth="1"/>
    <col min="8" max="8" width="15.7109375" bestFit="1" customWidth="1"/>
    <col min="9" max="9" width="13.5703125" bestFit="1" customWidth="1"/>
    <col min="10" max="10" width="7" bestFit="1" customWidth="1"/>
    <col min="11" max="11" width="7.42578125" bestFit="1" customWidth="1"/>
    <col min="12" max="12" width="4.7109375" customWidth="1"/>
    <col min="13" max="13" width="22.7109375" customWidth="1"/>
    <col min="14" max="14" width="11.7109375" customWidth="1"/>
    <col min="15" max="15" width="21.5703125" style="1" customWidth="1"/>
    <col min="16" max="16" width="11.140625" customWidth="1"/>
    <col min="17" max="17" width="26.7109375" customWidth="1"/>
    <col min="18" max="18" width="13.28515625" customWidth="1"/>
    <col min="19" max="19" width="10.28515625" customWidth="1"/>
    <col min="20" max="24" width="4.7109375" customWidth="1"/>
    <col min="25" max="25" width="6.42578125" customWidth="1"/>
    <col min="26" max="26" width="8.85546875" customWidth="1"/>
    <col min="27" max="27" width="15" customWidth="1"/>
    <col min="28" max="28" width="10.28515625" customWidth="1"/>
  </cols>
  <sheetData>
    <row r="2" spans="1:16" x14ac:dyDescent="0.25">
      <c r="A2" t="s">
        <v>34</v>
      </c>
      <c r="E2" s="12" t="s">
        <v>74</v>
      </c>
      <c r="F2" s="12" t="s">
        <v>75</v>
      </c>
      <c r="G2" s="12"/>
      <c r="H2" s="12"/>
      <c r="I2" s="12"/>
      <c r="J2" s="12"/>
      <c r="K2" s="12"/>
      <c r="L2" s="12"/>
      <c r="M2" s="12"/>
    </row>
    <row r="3" spans="1:16" x14ac:dyDescent="0.25">
      <c r="E3" s="13"/>
      <c r="F3" s="12" t="s">
        <v>71</v>
      </c>
      <c r="G3" s="12"/>
      <c r="H3" s="12"/>
      <c r="I3" s="14"/>
      <c r="J3" s="12"/>
      <c r="K3" s="12"/>
      <c r="L3" s="12"/>
    </row>
    <row r="4" spans="1:16" x14ac:dyDescent="0.25">
      <c r="B4" t="s">
        <v>68</v>
      </c>
      <c r="C4" t="str">
        <f>Friant!C5</f>
        <v>N-D</v>
      </c>
      <c r="D4" t="s">
        <v>69</v>
      </c>
      <c r="E4" s="12"/>
      <c r="F4" s="12" t="s">
        <v>73</v>
      </c>
      <c r="G4" s="12"/>
      <c r="H4" s="12"/>
      <c r="I4" s="12"/>
      <c r="J4" s="12"/>
      <c r="K4" s="12"/>
      <c r="L4" s="12"/>
    </row>
    <row r="6" spans="1:16" x14ac:dyDescent="0.25">
      <c r="L6" s="1"/>
      <c r="O6"/>
    </row>
    <row r="7" spans="1:16" x14ac:dyDescent="0.25">
      <c r="A7" t="s">
        <v>11</v>
      </c>
      <c r="B7" s="36" t="s">
        <v>1</v>
      </c>
      <c r="C7" s="36" t="s">
        <v>2</v>
      </c>
      <c r="D7" s="36" t="s">
        <v>67</v>
      </c>
      <c r="E7" s="37" t="s">
        <v>76</v>
      </c>
      <c r="F7" s="38"/>
      <c r="G7" s="36" t="s">
        <v>70</v>
      </c>
      <c r="H7" s="36" t="s">
        <v>66</v>
      </c>
      <c r="I7" s="39" t="s">
        <v>55</v>
      </c>
      <c r="J7" s="36"/>
      <c r="K7" s="36"/>
      <c r="L7" s="38"/>
      <c r="M7" s="36" t="s">
        <v>128</v>
      </c>
      <c r="N7" s="36" t="s">
        <v>129</v>
      </c>
      <c r="O7" s="36" t="s">
        <v>130</v>
      </c>
      <c r="P7" s="36" t="s">
        <v>129</v>
      </c>
    </row>
    <row r="8" spans="1:16" x14ac:dyDescent="0.25">
      <c r="A8" t="s">
        <v>44</v>
      </c>
      <c r="B8" t="s">
        <v>21</v>
      </c>
      <c r="C8">
        <v>15</v>
      </c>
      <c r="D8">
        <f>ExhibitB.LUP!C3</f>
        <v>125</v>
      </c>
      <c r="E8">
        <f>ExhibitB.LUP!D3</f>
        <v>125</v>
      </c>
      <c r="F8" s="3"/>
      <c r="G8" s="1">
        <f>IF(Friant!$G$7="N",Friant!J9,Friant!L9)</f>
        <v>500</v>
      </c>
      <c r="H8">
        <f>IF(Friant!$D$3&lt;670,E8,D8)</f>
        <v>125</v>
      </c>
      <c r="I8" s="8">
        <f t="shared" ref="I8:I19" si="0">G8-H8</f>
        <v>375</v>
      </c>
      <c r="J8" s="3">
        <f>(I8-5)*(60*60*24*C8)/43560</f>
        <v>11008.264462809917</v>
      </c>
      <c r="L8" s="1"/>
      <c r="M8" s="10">
        <v>42430</v>
      </c>
      <c r="N8" s="3">
        <f>$I$8-5</f>
        <v>370</v>
      </c>
      <c r="O8" s="10">
        <v>42430</v>
      </c>
      <c r="P8" s="3">
        <f>$I$8-5</f>
        <v>370</v>
      </c>
    </row>
    <row r="9" spans="1:16" x14ac:dyDescent="0.25">
      <c r="A9" t="s">
        <v>45</v>
      </c>
      <c r="B9" t="s">
        <v>22</v>
      </c>
      <c r="C9">
        <v>16</v>
      </c>
      <c r="D9">
        <f>ExhibitB.LUP!C4</f>
        <v>125</v>
      </c>
      <c r="E9">
        <f>ExhibitB.LUP!D4</f>
        <v>125</v>
      </c>
      <c r="F9" s="3"/>
      <c r="G9" s="1">
        <f>IF(Friant!$G$7="N",Friant!J10,Friant!L10)</f>
        <v>1500</v>
      </c>
      <c r="H9">
        <f>IF(Friant!$D$3&lt;670,E9,D9)</f>
        <v>125</v>
      </c>
      <c r="I9" s="8">
        <f t="shared" si="0"/>
        <v>1375</v>
      </c>
      <c r="J9" s="3">
        <f t="shared" ref="J9:J19" si="1">(I9-5)*(60*60*24*C9)/43560</f>
        <v>43477.685950413223</v>
      </c>
      <c r="L9" s="1"/>
      <c r="M9" s="10">
        <v>42431</v>
      </c>
      <c r="N9" s="3">
        <f t="shared" ref="N9:P22" si="2">$I$8-5</f>
        <v>370</v>
      </c>
      <c r="O9" s="10">
        <v>42431</v>
      </c>
      <c r="P9" s="3">
        <f t="shared" si="2"/>
        <v>370</v>
      </c>
    </row>
    <row r="10" spans="1:16" x14ac:dyDescent="0.25">
      <c r="A10" t="s">
        <v>38</v>
      </c>
      <c r="B10" t="s">
        <v>23</v>
      </c>
      <c r="C10">
        <v>15</v>
      </c>
      <c r="D10">
        <f>ExhibitB.LUP!C5</f>
        <v>145</v>
      </c>
      <c r="E10">
        <f>ExhibitB.LUP!D5</f>
        <v>145</v>
      </c>
      <c r="F10" s="3"/>
      <c r="G10" s="1">
        <f>IF(Friant!$G$7="N",Friant!J11,Friant!L11)</f>
        <v>2500</v>
      </c>
      <c r="H10">
        <f>IF(Friant!$D$3&lt;670,E10,D10)</f>
        <v>145</v>
      </c>
      <c r="I10" s="8">
        <f t="shared" si="0"/>
        <v>2355</v>
      </c>
      <c r="J10" s="3">
        <f t="shared" si="1"/>
        <v>69917.35537190082</v>
      </c>
      <c r="L10" s="1"/>
      <c r="M10" s="10">
        <v>42432</v>
      </c>
      <c r="N10" s="3">
        <f t="shared" si="2"/>
        <v>370</v>
      </c>
      <c r="O10" s="10">
        <v>42432</v>
      </c>
      <c r="P10" s="3">
        <f t="shared" si="2"/>
        <v>370</v>
      </c>
    </row>
    <row r="11" spans="1:16" x14ac:dyDescent="0.25">
      <c r="A11" t="s">
        <v>37</v>
      </c>
      <c r="B11" t="s">
        <v>24</v>
      </c>
      <c r="C11">
        <v>15</v>
      </c>
      <c r="D11">
        <f>ExhibitB.LUP!C6</f>
        <v>145</v>
      </c>
      <c r="E11">
        <f>ExhibitB.LUP!D6</f>
        <v>145</v>
      </c>
      <c r="F11" s="3"/>
      <c r="G11" s="1">
        <f>IF(Friant!$G$7="N",Friant!J12,Friant!L12)</f>
        <v>713.43803401221908</v>
      </c>
      <c r="H11">
        <f>IF(Friant!$D$3&lt;670,E11,D11)</f>
        <v>145</v>
      </c>
      <c r="I11" s="8">
        <f t="shared" si="0"/>
        <v>568.43803401221908</v>
      </c>
      <c r="J11" s="3">
        <f t="shared" si="1"/>
        <v>16763.445640032962</v>
      </c>
      <c r="L11" s="1"/>
      <c r="M11" s="10">
        <v>42433</v>
      </c>
      <c r="N11" s="3">
        <f t="shared" si="2"/>
        <v>370</v>
      </c>
      <c r="O11" s="10">
        <v>42433</v>
      </c>
      <c r="P11" s="3">
        <f t="shared" si="2"/>
        <v>370</v>
      </c>
    </row>
    <row r="12" spans="1:16" x14ac:dyDescent="0.25">
      <c r="A12" t="s">
        <v>39</v>
      </c>
      <c r="B12" t="s">
        <v>31</v>
      </c>
      <c r="C12">
        <v>61</v>
      </c>
      <c r="D12">
        <f>ExhibitB.LUP!C7</f>
        <v>185</v>
      </c>
      <c r="E12">
        <f>ExhibitB.LUP!D7</f>
        <v>185</v>
      </c>
      <c r="F12" s="3"/>
      <c r="G12" s="1">
        <f>IF(Friant!$G$7="N",Friant!J13,Friant!L13)</f>
        <v>350</v>
      </c>
      <c r="H12">
        <f>IF(Friant!$D$3&lt;670,E12,D12)</f>
        <v>185</v>
      </c>
      <c r="I12" s="8">
        <f t="shared" si="0"/>
        <v>165</v>
      </c>
      <c r="J12" s="3">
        <f t="shared" si="1"/>
        <v>19358.677685950413</v>
      </c>
      <c r="K12">
        <f>25*31*(60*60*24)/43560</f>
        <v>1537.1900826446281</v>
      </c>
      <c r="L12" s="1"/>
      <c r="M12" s="10">
        <v>42434</v>
      </c>
      <c r="N12" s="3">
        <f t="shared" si="2"/>
        <v>370</v>
      </c>
      <c r="O12" s="10">
        <v>42434</v>
      </c>
      <c r="P12" s="3">
        <f t="shared" si="2"/>
        <v>370</v>
      </c>
    </row>
    <row r="13" spans="1:16" x14ac:dyDescent="0.25">
      <c r="A13" t="s">
        <v>40</v>
      </c>
      <c r="B13" t="s">
        <v>25</v>
      </c>
      <c r="C13">
        <v>62</v>
      </c>
      <c r="D13">
        <f>ExhibitB.LUP!C8</f>
        <v>225</v>
      </c>
      <c r="E13">
        <f>ExhibitB.LUP!D8</f>
        <v>225</v>
      </c>
      <c r="F13" s="3"/>
      <c r="G13" s="1">
        <f>IF(Friant!$G$7="N",Friant!J14,Friant!L14)</f>
        <v>350</v>
      </c>
      <c r="H13">
        <f>IF(Friant!$D$3&lt;670,E13,D13)</f>
        <v>225</v>
      </c>
      <c r="I13" s="8">
        <f t="shared" si="0"/>
        <v>125</v>
      </c>
      <c r="J13" s="3">
        <f t="shared" si="1"/>
        <v>14757.024793388429</v>
      </c>
      <c r="L13" s="1"/>
      <c r="M13" s="10">
        <v>42435</v>
      </c>
      <c r="N13" s="3">
        <f t="shared" si="2"/>
        <v>370</v>
      </c>
      <c r="O13" s="10">
        <v>42435</v>
      </c>
      <c r="P13" s="3">
        <f t="shared" si="2"/>
        <v>370</v>
      </c>
    </row>
    <row r="14" spans="1:16" x14ac:dyDescent="0.25">
      <c r="A14" t="s">
        <v>5</v>
      </c>
      <c r="B14" t="s">
        <v>26</v>
      </c>
      <c r="C14">
        <v>30</v>
      </c>
      <c r="D14">
        <f>ExhibitB.LUP!C9</f>
        <v>205</v>
      </c>
      <c r="E14">
        <f>ExhibitB.LUP!D9</f>
        <v>205</v>
      </c>
      <c r="F14" s="3"/>
      <c r="G14" s="1">
        <f>IF(Friant!$G$7="N",Friant!J15,Friant!L15)</f>
        <v>350</v>
      </c>
      <c r="H14">
        <f>IF(Friant!$D$3&lt;670,E14,D14)</f>
        <v>205</v>
      </c>
      <c r="I14" s="8">
        <f t="shared" si="0"/>
        <v>145</v>
      </c>
      <c r="J14" s="3">
        <f t="shared" si="1"/>
        <v>8330.5785123966944</v>
      </c>
      <c r="L14" s="1"/>
      <c r="M14" s="10">
        <v>42436</v>
      </c>
      <c r="N14" s="3">
        <f t="shared" si="2"/>
        <v>370</v>
      </c>
      <c r="O14" s="10">
        <v>42436</v>
      </c>
      <c r="P14" s="3">
        <f t="shared" si="2"/>
        <v>370</v>
      </c>
    </row>
    <row r="15" spans="1:16" x14ac:dyDescent="0.25">
      <c r="A15" t="s">
        <v>6</v>
      </c>
      <c r="B15" t="s">
        <v>27</v>
      </c>
      <c r="C15">
        <v>31</v>
      </c>
      <c r="D15">
        <f>ExhibitB.LUP!C10</f>
        <v>155</v>
      </c>
      <c r="E15">
        <f>ExhibitB.LUP!D10</f>
        <v>155</v>
      </c>
      <c r="F15" s="3"/>
      <c r="G15" s="1">
        <f>IF(Friant!$G$7="N",Friant!J16,Friant!L16)</f>
        <v>350</v>
      </c>
      <c r="H15">
        <f>IF(Friant!$D$3&lt;670,E15,D15)</f>
        <v>155</v>
      </c>
      <c r="I15" s="8">
        <f t="shared" si="0"/>
        <v>195</v>
      </c>
      <c r="J15" s="3">
        <f t="shared" si="1"/>
        <v>11682.644628099173</v>
      </c>
      <c r="L15" s="1"/>
      <c r="M15" s="10">
        <v>42437</v>
      </c>
      <c r="N15" s="3">
        <f t="shared" si="2"/>
        <v>370</v>
      </c>
      <c r="O15" s="10">
        <v>42437</v>
      </c>
      <c r="P15" s="3">
        <f t="shared" si="2"/>
        <v>370</v>
      </c>
    </row>
    <row r="16" spans="1:16" x14ac:dyDescent="0.25">
      <c r="A16" t="s">
        <v>7</v>
      </c>
      <c r="B16" t="s">
        <v>29</v>
      </c>
      <c r="C16">
        <v>6</v>
      </c>
      <c r="D16">
        <f>ExhibitB.LUP!C11</f>
        <v>125</v>
      </c>
      <c r="E16">
        <f>ExhibitB.LUP!D11</f>
        <v>125</v>
      </c>
      <c r="F16" s="3"/>
      <c r="G16" s="1">
        <f>IF(Friant!$G$7="N",Friant!J17,Friant!L17)</f>
        <v>700</v>
      </c>
      <c r="H16">
        <f>IF(Friant!$D$3&lt;670,E16,D16)</f>
        <v>125</v>
      </c>
      <c r="I16" s="8">
        <f t="shared" si="0"/>
        <v>575</v>
      </c>
      <c r="J16" s="3">
        <f t="shared" si="1"/>
        <v>6783.4710743801652</v>
      </c>
      <c r="L16" s="1"/>
      <c r="M16" s="10">
        <v>42438</v>
      </c>
      <c r="N16" s="3">
        <f t="shared" si="2"/>
        <v>370</v>
      </c>
      <c r="O16" s="10">
        <v>42438</v>
      </c>
      <c r="P16" s="3">
        <f t="shared" si="2"/>
        <v>370</v>
      </c>
    </row>
    <row r="17" spans="1:16" x14ac:dyDescent="0.25">
      <c r="A17" t="s">
        <v>8</v>
      </c>
      <c r="B17" t="s">
        <v>28</v>
      </c>
      <c r="C17">
        <v>4</v>
      </c>
      <c r="D17">
        <f>ExhibitB.LUP!C12</f>
        <v>125</v>
      </c>
      <c r="E17">
        <f>ExhibitB.LUP!D12</f>
        <v>115</v>
      </c>
      <c r="F17" s="3"/>
      <c r="G17" s="1">
        <f>IF(Friant!$G$7="N",Friant!J18,Friant!L18)</f>
        <v>700</v>
      </c>
      <c r="H17">
        <f>IF(Friant!$D$3&lt;670,E17,D17)</f>
        <v>125</v>
      </c>
      <c r="I17" s="8">
        <f>G17-H17</f>
        <v>575</v>
      </c>
      <c r="J17" s="3">
        <f t="shared" si="1"/>
        <v>4522.3140495867765</v>
      </c>
      <c r="L17" s="1"/>
      <c r="M17" s="10">
        <v>42439</v>
      </c>
      <c r="N17" s="3">
        <f t="shared" si="2"/>
        <v>370</v>
      </c>
      <c r="O17" s="10">
        <v>42439</v>
      </c>
      <c r="P17" s="3">
        <f t="shared" si="2"/>
        <v>370</v>
      </c>
    </row>
    <row r="18" spans="1:16" x14ac:dyDescent="0.25">
      <c r="A18" t="s">
        <v>9</v>
      </c>
      <c r="B18" t="s">
        <v>32</v>
      </c>
      <c r="C18">
        <f>(30-10)+31</f>
        <v>51</v>
      </c>
      <c r="D18">
        <f>ExhibitB.LUP!C13</f>
        <v>115</v>
      </c>
      <c r="E18">
        <f>ExhibitB.LUP!D13</f>
        <v>115</v>
      </c>
      <c r="F18" s="3"/>
      <c r="G18" s="1">
        <f>IF(Friant!$G$7="N",Friant!J19,Friant!L19)</f>
        <v>350</v>
      </c>
      <c r="H18">
        <f>IF(Friant!$D$3&lt;670,E18,D18)</f>
        <v>115</v>
      </c>
      <c r="I18" s="8">
        <f t="shared" si="0"/>
        <v>235</v>
      </c>
      <c r="J18" s="3">
        <f t="shared" si="1"/>
        <v>23266.115702479339</v>
      </c>
      <c r="M18" s="10">
        <v>42440</v>
      </c>
      <c r="N18" s="3">
        <f t="shared" si="2"/>
        <v>370</v>
      </c>
      <c r="O18" s="10">
        <v>42440</v>
      </c>
      <c r="P18" s="3">
        <f t="shared" si="2"/>
        <v>370</v>
      </c>
    </row>
    <row r="19" spans="1:16" x14ac:dyDescent="0.25">
      <c r="A19" t="s">
        <v>10</v>
      </c>
      <c r="B19" t="s">
        <v>30</v>
      </c>
      <c r="C19">
        <f>31+28</f>
        <v>59</v>
      </c>
      <c r="D19">
        <f>ExhibitB.LUP!C14</f>
        <v>95</v>
      </c>
      <c r="E19">
        <f>ExhibitB.LUP!D14</f>
        <v>95</v>
      </c>
      <c r="F19" s="3"/>
      <c r="G19" s="1">
        <f>IF(Friant!$G$7="N",Friant!J20,Friant!L20)</f>
        <v>350</v>
      </c>
      <c r="H19">
        <f>IF(Friant!$D$3&lt;670,E19,D19)</f>
        <v>95</v>
      </c>
      <c r="I19" s="8">
        <f t="shared" si="0"/>
        <v>255</v>
      </c>
      <c r="J19" s="3">
        <f t="shared" si="1"/>
        <v>29256.198347107438</v>
      </c>
      <c r="M19" s="10">
        <v>42441</v>
      </c>
      <c r="N19" s="3">
        <f t="shared" si="2"/>
        <v>370</v>
      </c>
      <c r="O19" s="10">
        <v>42441</v>
      </c>
      <c r="P19" s="3">
        <f t="shared" si="2"/>
        <v>370</v>
      </c>
    </row>
    <row r="20" spans="1:16" x14ac:dyDescent="0.25">
      <c r="B20" t="s">
        <v>109</v>
      </c>
      <c r="C20">
        <v>28</v>
      </c>
      <c r="F20" s="3"/>
      <c r="M20" s="10">
        <v>42442</v>
      </c>
      <c r="N20" s="3">
        <f t="shared" si="2"/>
        <v>370</v>
      </c>
      <c r="O20" s="10">
        <v>42442</v>
      </c>
      <c r="P20" s="3">
        <f t="shared" si="2"/>
        <v>370</v>
      </c>
    </row>
    <row r="21" spans="1:16" x14ac:dyDescent="0.25">
      <c r="H21" s="19"/>
      <c r="I21" s="19"/>
      <c r="J21" s="20"/>
      <c r="K21" s="19"/>
      <c r="M21" s="10">
        <v>42443</v>
      </c>
      <c r="N21" s="3">
        <f t="shared" si="2"/>
        <v>370</v>
      </c>
      <c r="O21" s="10">
        <v>42443</v>
      </c>
      <c r="P21" s="3">
        <f t="shared" si="2"/>
        <v>370</v>
      </c>
    </row>
    <row r="22" spans="1:16" x14ac:dyDescent="0.25">
      <c r="H22" s="21"/>
      <c r="I22" s="21"/>
      <c r="J22" s="21"/>
      <c r="K22" s="22"/>
      <c r="M22" s="10">
        <v>42444</v>
      </c>
      <c r="N22" s="3">
        <f t="shared" si="2"/>
        <v>370</v>
      </c>
      <c r="O22" s="10">
        <v>42444</v>
      </c>
      <c r="P22" s="3">
        <f t="shared" si="2"/>
        <v>370</v>
      </c>
    </row>
    <row r="23" spans="1:16" x14ac:dyDescent="0.25">
      <c r="M23" s="10">
        <v>42445</v>
      </c>
      <c r="N23" s="3">
        <f>$I$9-5</f>
        <v>1370</v>
      </c>
      <c r="O23" s="10">
        <v>42445</v>
      </c>
      <c r="P23" s="3">
        <f>$I$9-5</f>
        <v>1370</v>
      </c>
    </row>
    <row r="24" spans="1:16" x14ac:dyDescent="0.25">
      <c r="M24" s="10">
        <v>42446</v>
      </c>
      <c r="N24" s="3">
        <f t="shared" ref="N24:P38" si="3">$I$9-5</f>
        <v>1370</v>
      </c>
      <c r="O24" s="10">
        <v>42446</v>
      </c>
      <c r="P24" s="3">
        <f t="shared" si="3"/>
        <v>1370</v>
      </c>
    </row>
    <row r="25" spans="1:16" x14ac:dyDescent="0.25">
      <c r="M25" s="10">
        <v>42447</v>
      </c>
      <c r="N25" s="3">
        <f t="shared" si="3"/>
        <v>1370</v>
      </c>
      <c r="O25" s="10">
        <v>42447</v>
      </c>
      <c r="P25" s="3">
        <f t="shared" si="3"/>
        <v>1370</v>
      </c>
    </row>
    <row r="26" spans="1:16" x14ac:dyDescent="0.25">
      <c r="M26" s="10">
        <v>42448</v>
      </c>
      <c r="N26" s="3">
        <f t="shared" si="3"/>
        <v>1370</v>
      </c>
      <c r="O26" s="10">
        <v>42448</v>
      </c>
      <c r="P26" s="3">
        <f t="shared" si="3"/>
        <v>1370</v>
      </c>
    </row>
    <row r="27" spans="1:16" x14ac:dyDescent="0.25">
      <c r="M27" s="10">
        <v>42449</v>
      </c>
      <c r="N27" s="3">
        <f t="shared" si="3"/>
        <v>1370</v>
      </c>
      <c r="O27" s="10">
        <v>42449</v>
      </c>
      <c r="P27" s="3">
        <f t="shared" si="3"/>
        <v>1370</v>
      </c>
    </row>
    <row r="28" spans="1:16" x14ac:dyDescent="0.25">
      <c r="M28" s="10">
        <v>42450</v>
      </c>
      <c r="N28" s="3">
        <f t="shared" si="3"/>
        <v>1370</v>
      </c>
      <c r="O28" s="10">
        <v>42450</v>
      </c>
      <c r="P28" s="3">
        <f t="shared" si="3"/>
        <v>1370</v>
      </c>
    </row>
    <row r="29" spans="1:16" x14ac:dyDescent="0.25">
      <c r="M29" s="10">
        <v>42451</v>
      </c>
      <c r="N29" s="3">
        <f t="shared" si="3"/>
        <v>1370</v>
      </c>
      <c r="O29" s="10">
        <v>42451</v>
      </c>
      <c r="P29" s="3">
        <f t="shared" si="3"/>
        <v>1370</v>
      </c>
    </row>
    <row r="30" spans="1:16" x14ac:dyDescent="0.25">
      <c r="M30" s="10">
        <v>42452</v>
      </c>
      <c r="N30" s="3">
        <f t="shared" si="3"/>
        <v>1370</v>
      </c>
      <c r="O30" s="10">
        <v>42452</v>
      </c>
      <c r="P30" s="3">
        <f t="shared" si="3"/>
        <v>1370</v>
      </c>
    </row>
    <row r="31" spans="1:16" x14ac:dyDescent="0.25">
      <c r="M31" s="10">
        <v>42453</v>
      </c>
      <c r="N31" s="3">
        <f t="shared" si="3"/>
        <v>1370</v>
      </c>
      <c r="O31" s="10">
        <v>42453</v>
      </c>
      <c r="P31" s="3">
        <f t="shared" si="3"/>
        <v>1370</v>
      </c>
    </row>
    <row r="32" spans="1:16" x14ac:dyDescent="0.25">
      <c r="M32" s="10">
        <v>42454</v>
      </c>
      <c r="N32" s="3">
        <f t="shared" si="3"/>
        <v>1370</v>
      </c>
      <c r="O32" s="10">
        <v>42454</v>
      </c>
      <c r="P32" s="3">
        <f t="shared" si="3"/>
        <v>1370</v>
      </c>
    </row>
    <row r="33" spans="13:16" x14ac:dyDescent="0.25">
      <c r="M33" s="10">
        <v>42455</v>
      </c>
      <c r="N33" s="3">
        <f t="shared" si="3"/>
        <v>1370</v>
      </c>
      <c r="O33" s="10">
        <v>42455</v>
      </c>
      <c r="P33" s="3">
        <f t="shared" si="3"/>
        <v>1370</v>
      </c>
    </row>
    <row r="34" spans="13:16" x14ac:dyDescent="0.25">
      <c r="M34" s="10">
        <v>42456</v>
      </c>
      <c r="N34" s="3">
        <f t="shared" si="3"/>
        <v>1370</v>
      </c>
      <c r="O34" s="10">
        <v>42456</v>
      </c>
      <c r="P34" s="3">
        <f t="shared" si="3"/>
        <v>1370</v>
      </c>
    </row>
    <row r="35" spans="13:16" x14ac:dyDescent="0.25">
      <c r="M35" s="10">
        <v>42457</v>
      </c>
      <c r="N35" s="3">
        <f t="shared" si="3"/>
        <v>1370</v>
      </c>
      <c r="O35" s="10">
        <v>42457</v>
      </c>
      <c r="P35" s="3">
        <f t="shared" si="3"/>
        <v>1370</v>
      </c>
    </row>
    <row r="36" spans="13:16" x14ac:dyDescent="0.25">
      <c r="M36" s="10">
        <v>42458</v>
      </c>
      <c r="N36" s="3">
        <f t="shared" si="3"/>
        <v>1370</v>
      </c>
      <c r="O36" s="10">
        <v>42458</v>
      </c>
      <c r="P36" s="3">
        <f t="shared" si="3"/>
        <v>1370</v>
      </c>
    </row>
    <row r="37" spans="13:16" x14ac:dyDescent="0.25">
      <c r="M37" s="10">
        <v>42459</v>
      </c>
      <c r="N37" s="3">
        <f t="shared" si="3"/>
        <v>1370</v>
      </c>
      <c r="O37" s="10">
        <v>42459</v>
      </c>
      <c r="P37" s="3">
        <f t="shared" si="3"/>
        <v>1370</v>
      </c>
    </row>
    <row r="38" spans="13:16" x14ac:dyDescent="0.25">
      <c r="M38" s="10">
        <v>42460</v>
      </c>
      <c r="N38" s="3">
        <f t="shared" si="3"/>
        <v>1370</v>
      </c>
      <c r="O38" s="10">
        <v>42460</v>
      </c>
      <c r="P38" s="3">
        <f t="shared" si="3"/>
        <v>1370</v>
      </c>
    </row>
    <row r="39" spans="13:16" x14ac:dyDescent="0.25">
      <c r="M39" s="10">
        <v>42461</v>
      </c>
      <c r="N39" s="3">
        <f>$I$10-5</f>
        <v>2350</v>
      </c>
      <c r="O39" s="10">
        <v>42461</v>
      </c>
      <c r="P39" s="3">
        <f>$I$10-5</f>
        <v>2350</v>
      </c>
    </row>
    <row r="40" spans="13:16" x14ac:dyDescent="0.25">
      <c r="M40" s="10">
        <v>42462</v>
      </c>
      <c r="N40" s="3">
        <f t="shared" ref="N40:P53" si="4">$I$10-5</f>
        <v>2350</v>
      </c>
      <c r="O40" s="10">
        <v>42462</v>
      </c>
      <c r="P40" s="3">
        <f t="shared" si="4"/>
        <v>2350</v>
      </c>
    </row>
    <row r="41" spans="13:16" x14ac:dyDescent="0.25">
      <c r="M41" s="10">
        <v>42463</v>
      </c>
      <c r="N41" s="3">
        <f t="shared" si="4"/>
        <v>2350</v>
      </c>
      <c r="O41" s="10">
        <v>42463</v>
      </c>
      <c r="P41" s="3">
        <f t="shared" si="4"/>
        <v>2350</v>
      </c>
    </row>
    <row r="42" spans="13:16" x14ac:dyDescent="0.25">
      <c r="M42" s="10">
        <v>42464</v>
      </c>
      <c r="N42" s="3">
        <f t="shared" si="4"/>
        <v>2350</v>
      </c>
      <c r="O42" s="10">
        <v>42464</v>
      </c>
      <c r="P42" s="3">
        <f t="shared" si="4"/>
        <v>2350</v>
      </c>
    </row>
    <row r="43" spans="13:16" x14ac:dyDescent="0.25">
      <c r="M43" s="10">
        <v>42465</v>
      </c>
      <c r="N43" s="3">
        <f t="shared" si="4"/>
        <v>2350</v>
      </c>
      <c r="O43" s="10">
        <v>42465</v>
      </c>
      <c r="P43" s="3">
        <f t="shared" si="4"/>
        <v>2350</v>
      </c>
    </row>
    <row r="44" spans="13:16" x14ac:dyDescent="0.25">
      <c r="M44" s="10">
        <v>42466</v>
      </c>
      <c r="N44" s="3">
        <f t="shared" si="4"/>
        <v>2350</v>
      </c>
      <c r="O44" s="10">
        <v>42466</v>
      </c>
      <c r="P44" s="3">
        <f t="shared" si="4"/>
        <v>2350</v>
      </c>
    </row>
    <row r="45" spans="13:16" x14ac:dyDescent="0.25">
      <c r="M45" s="10">
        <v>42467</v>
      </c>
      <c r="N45" s="3">
        <f t="shared" si="4"/>
        <v>2350</v>
      </c>
      <c r="O45" s="10">
        <v>42467</v>
      </c>
      <c r="P45" s="3">
        <f t="shared" si="4"/>
        <v>2350</v>
      </c>
    </row>
    <row r="46" spans="13:16" x14ac:dyDescent="0.25">
      <c r="M46" s="10">
        <v>42468</v>
      </c>
      <c r="N46" s="3">
        <f t="shared" si="4"/>
        <v>2350</v>
      </c>
      <c r="O46" s="10">
        <v>42468</v>
      </c>
      <c r="P46" s="3">
        <f t="shared" si="4"/>
        <v>2350</v>
      </c>
    </row>
    <row r="47" spans="13:16" x14ac:dyDescent="0.25">
      <c r="M47" s="10">
        <v>42469</v>
      </c>
      <c r="N47" s="3">
        <f t="shared" si="4"/>
        <v>2350</v>
      </c>
      <c r="O47" s="10">
        <v>42469</v>
      </c>
      <c r="P47" s="3">
        <f t="shared" si="4"/>
        <v>2350</v>
      </c>
    </row>
    <row r="48" spans="13:16" x14ac:dyDescent="0.25">
      <c r="M48" s="10">
        <v>42470</v>
      </c>
      <c r="N48" s="3">
        <f t="shared" si="4"/>
        <v>2350</v>
      </c>
      <c r="O48" s="10">
        <v>42470</v>
      </c>
      <c r="P48" s="3">
        <f t="shared" si="4"/>
        <v>2350</v>
      </c>
    </row>
    <row r="49" spans="13:16" x14ac:dyDescent="0.25">
      <c r="M49" s="10">
        <v>42471</v>
      </c>
      <c r="N49" s="3">
        <f t="shared" si="4"/>
        <v>2350</v>
      </c>
      <c r="O49" s="10">
        <v>42471</v>
      </c>
      <c r="P49" s="3">
        <f t="shared" si="4"/>
        <v>2350</v>
      </c>
    </row>
    <row r="50" spans="13:16" x14ac:dyDescent="0.25">
      <c r="M50" s="10">
        <v>42472</v>
      </c>
      <c r="N50" s="3">
        <f t="shared" si="4"/>
        <v>2350</v>
      </c>
      <c r="O50" s="10">
        <v>42472</v>
      </c>
      <c r="P50" s="3">
        <f t="shared" si="4"/>
        <v>2350</v>
      </c>
    </row>
    <row r="51" spans="13:16" x14ac:dyDescent="0.25">
      <c r="M51" s="10">
        <v>42473</v>
      </c>
      <c r="N51" s="3">
        <f t="shared" si="4"/>
        <v>2350</v>
      </c>
      <c r="O51" s="10">
        <v>42473</v>
      </c>
      <c r="P51" s="3">
        <f t="shared" si="4"/>
        <v>2350</v>
      </c>
    </row>
    <row r="52" spans="13:16" x14ac:dyDescent="0.25">
      <c r="M52" s="10">
        <v>42474</v>
      </c>
      <c r="N52" s="3">
        <f t="shared" si="4"/>
        <v>2350</v>
      </c>
      <c r="O52" s="10">
        <v>42474</v>
      </c>
      <c r="P52" s="3">
        <f t="shared" si="4"/>
        <v>2350</v>
      </c>
    </row>
    <row r="53" spans="13:16" x14ac:dyDescent="0.25">
      <c r="M53" s="10">
        <v>42475</v>
      </c>
      <c r="N53" s="3">
        <f t="shared" si="4"/>
        <v>2350</v>
      </c>
      <c r="O53" s="10">
        <v>42475</v>
      </c>
      <c r="P53" s="3">
        <f t="shared" si="4"/>
        <v>2350</v>
      </c>
    </row>
    <row r="54" spans="13:16" x14ac:dyDescent="0.25">
      <c r="M54" s="10">
        <v>42476</v>
      </c>
      <c r="N54" s="3">
        <f>$I$11-5</f>
        <v>563.43803401221908</v>
      </c>
      <c r="O54" s="10">
        <v>42476</v>
      </c>
      <c r="P54" s="3">
        <f>$I$11-5</f>
        <v>563.43803401221908</v>
      </c>
    </row>
    <row r="55" spans="13:16" x14ac:dyDescent="0.25">
      <c r="M55" s="10">
        <v>42477</v>
      </c>
      <c r="N55" s="3">
        <f t="shared" ref="N55:P68" si="5">$I$11-5</f>
        <v>563.43803401221908</v>
      </c>
      <c r="O55" s="10">
        <v>42477</v>
      </c>
      <c r="P55" s="3">
        <f t="shared" si="5"/>
        <v>563.43803401221908</v>
      </c>
    </row>
    <row r="56" spans="13:16" x14ac:dyDescent="0.25">
      <c r="M56" s="10">
        <v>42478</v>
      </c>
      <c r="N56" s="3">
        <f t="shared" si="5"/>
        <v>563.43803401221908</v>
      </c>
      <c r="O56" s="10">
        <v>42478</v>
      </c>
      <c r="P56" s="3">
        <f t="shared" si="5"/>
        <v>563.43803401221908</v>
      </c>
    </row>
    <row r="57" spans="13:16" x14ac:dyDescent="0.25">
      <c r="M57" s="10">
        <v>42479</v>
      </c>
      <c r="N57" s="3">
        <f t="shared" si="5"/>
        <v>563.43803401221908</v>
      </c>
      <c r="O57" s="10">
        <v>42479</v>
      </c>
      <c r="P57" s="3">
        <f t="shared" si="5"/>
        <v>563.43803401221908</v>
      </c>
    </row>
    <row r="58" spans="13:16" x14ac:dyDescent="0.25">
      <c r="M58" s="10">
        <v>42480</v>
      </c>
      <c r="N58" s="3">
        <f t="shared" si="5"/>
        <v>563.43803401221908</v>
      </c>
      <c r="O58" s="10">
        <v>42480</v>
      </c>
      <c r="P58" s="3">
        <f t="shared" si="5"/>
        <v>563.43803401221908</v>
      </c>
    </row>
    <row r="59" spans="13:16" x14ac:dyDescent="0.25">
      <c r="M59" s="10">
        <v>42481</v>
      </c>
      <c r="N59" s="3">
        <f t="shared" si="5"/>
        <v>563.43803401221908</v>
      </c>
      <c r="O59" s="10">
        <v>42481</v>
      </c>
      <c r="P59" s="3">
        <f t="shared" si="5"/>
        <v>563.43803401221908</v>
      </c>
    </row>
    <row r="60" spans="13:16" x14ac:dyDescent="0.25">
      <c r="M60" s="10">
        <v>42482</v>
      </c>
      <c r="N60" s="3">
        <f t="shared" si="5"/>
        <v>563.43803401221908</v>
      </c>
      <c r="O60" s="10">
        <v>42482</v>
      </c>
      <c r="P60" s="3">
        <f t="shared" si="5"/>
        <v>563.43803401221908</v>
      </c>
    </row>
    <row r="61" spans="13:16" x14ac:dyDescent="0.25">
      <c r="M61" s="10">
        <v>42483</v>
      </c>
      <c r="N61" s="3">
        <f t="shared" si="5"/>
        <v>563.43803401221908</v>
      </c>
      <c r="O61" s="10">
        <v>42483</v>
      </c>
      <c r="P61" s="3">
        <f t="shared" si="5"/>
        <v>563.43803401221908</v>
      </c>
    </row>
    <row r="62" spans="13:16" x14ac:dyDescent="0.25">
      <c r="M62" s="10">
        <v>42484</v>
      </c>
      <c r="N62" s="3">
        <f t="shared" si="5"/>
        <v>563.43803401221908</v>
      </c>
      <c r="O62" s="10">
        <v>42484</v>
      </c>
      <c r="P62" s="3">
        <f t="shared" si="5"/>
        <v>563.43803401221908</v>
      </c>
    </row>
    <row r="63" spans="13:16" x14ac:dyDescent="0.25">
      <c r="M63" s="10">
        <v>42485</v>
      </c>
      <c r="N63" s="3">
        <f t="shared" si="5"/>
        <v>563.43803401221908</v>
      </c>
      <c r="O63" s="10">
        <v>42485</v>
      </c>
      <c r="P63" s="3">
        <f t="shared" si="5"/>
        <v>563.43803401221908</v>
      </c>
    </row>
    <row r="64" spans="13:16" x14ac:dyDescent="0.25">
      <c r="M64" s="10">
        <v>42486</v>
      </c>
      <c r="N64" s="3">
        <f t="shared" si="5"/>
        <v>563.43803401221908</v>
      </c>
      <c r="O64" s="10">
        <v>42486</v>
      </c>
      <c r="P64" s="3">
        <f t="shared" si="5"/>
        <v>563.43803401221908</v>
      </c>
    </row>
    <row r="65" spans="13:16" x14ac:dyDescent="0.25">
      <c r="M65" s="10">
        <v>42487</v>
      </c>
      <c r="N65" s="3">
        <f t="shared" si="5"/>
        <v>563.43803401221908</v>
      </c>
      <c r="O65" s="10">
        <v>42487</v>
      </c>
      <c r="P65" s="3">
        <f t="shared" si="5"/>
        <v>563.43803401221908</v>
      </c>
    </row>
    <row r="66" spans="13:16" x14ac:dyDescent="0.25">
      <c r="M66" s="10">
        <v>42488</v>
      </c>
      <c r="N66" s="3">
        <f t="shared" si="5"/>
        <v>563.43803401221908</v>
      </c>
      <c r="O66" s="10">
        <v>42488</v>
      </c>
      <c r="P66" s="3">
        <f t="shared" si="5"/>
        <v>563.43803401221908</v>
      </c>
    </row>
    <row r="67" spans="13:16" x14ac:dyDescent="0.25">
      <c r="M67" s="10">
        <v>42489</v>
      </c>
      <c r="N67" s="3">
        <f t="shared" si="5"/>
        <v>563.43803401221908</v>
      </c>
      <c r="O67" s="10">
        <v>42489</v>
      </c>
      <c r="P67" s="3">
        <f t="shared" si="5"/>
        <v>563.43803401221908</v>
      </c>
    </row>
    <row r="68" spans="13:16" x14ac:dyDescent="0.25">
      <c r="M68" s="10">
        <v>42490</v>
      </c>
      <c r="N68" s="3">
        <f t="shared" si="5"/>
        <v>563.43803401221908</v>
      </c>
      <c r="O68" s="10">
        <v>42490</v>
      </c>
      <c r="P68" s="3">
        <f t="shared" si="5"/>
        <v>563.43803401221908</v>
      </c>
    </row>
    <row r="69" spans="13:16" x14ac:dyDescent="0.25">
      <c r="M69" s="10">
        <v>42491</v>
      </c>
      <c r="N69" s="3">
        <f>$I$12-5</f>
        <v>160</v>
      </c>
      <c r="O69" s="10">
        <v>42491</v>
      </c>
      <c r="P69" s="3">
        <f>$I$12-5</f>
        <v>160</v>
      </c>
    </row>
    <row r="70" spans="13:16" x14ac:dyDescent="0.25">
      <c r="M70" s="10">
        <v>42492</v>
      </c>
      <c r="N70" s="3">
        <f t="shared" ref="N70:P85" si="6">$I$12-5</f>
        <v>160</v>
      </c>
      <c r="O70" s="10">
        <v>42492</v>
      </c>
      <c r="P70" s="3">
        <f t="shared" si="6"/>
        <v>160</v>
      </c>
    </row>
    <row r="71" spans="13:16" x14ac:dyDescent="0.25">
      <c r="M71" s="10">
        <v>42493</v>
      </c>
      <c r="N71" s="3">
        <f t="shared" si="6"/>
        <v>160</v>
      </c>
      <c r="O71" s="10">
        <v>42493</v>
      </c>
      <c r="P71" s="3">
        <f t="shared" si="6"/>
        <v>160</v>
      </c>
    </row>
    <row r="72" spans="13:16" x14ac:dyDescent="0.25">
      <c r="M72" s="10">
        <v>42494</v>
      </c>
      <c r="N72" s="3">
        <f t="shared" si="6"/>
        <v>160</v>
      </c>
      <c r="O72" s="10">
        <v>42494</v>
      </c>
      <c r="P72" s="3">
        <f t="shared" si="6"/>
        <v>160</v>
      </c>
    </row>
    <row r="73" spans="13:16" x14ac:dyDescent="0.25">
      <c r="M73" s="10">
        <v>42495</v>
      </c>
      <c r="N73" s="3">
        <f t="shared" si="6"/>
        <v>160</v>
      </c>
      <c r="O73" s="10">
        <v>42495</v>
      </c>
      <c r="P73" s="3">
        <f t="shared" si="6"/>
        <v>160</v>
      </c>
    </row>
    <row r="74" spans="13:16" x14ac:dyDescent="0.25">
      <c r="M74" s="10">
        <v>42496</v>
      </c>
      <c r="N74" s="3">
        <f t="shared" si="6"/>
        <v>160</v>
      </c>
      <c r="O74" s="10">
        <v>42496</v>
      </c>
      <c r="P74" s="3">
        <f t="shared" si="6"/>
        <v>160</v>
      </c>
    </row>
    <row r="75" spans="13:16" x14ac:dyDescent="0.25">
      <c r="M75" s="10">
        <v>42497</v>
      </c>
      <c r="N75" s="3">
        <f t="shared" si="6"/>
        <v>160</v>
      </c>
      <c r="O75" s="10">
        <v>42497</v>
      </c>
      <c r="P75" s="3">
        <f t="shared" si="6"/>
        <v>160</v>
      </c>
    </row>
    <row r="76" spans="13:16" x14ac:dyDescent="0.25">
      <c r="M76" s="10">
        <v>42498</v>
      </c>
      <c r="N76" s="3">
        <f t="shared" si="6"/>
        <v>160</v>
      </c>
      <c r="O76" s="10">
        <v>42498</v>
      </c>
      <c r="P76" s="3">
        <f t="shared" si="6"/>
        <v>160</v>
      </c>
    </row>
    <row r="77" spans="13:16" x14ac:dyDescent="0.25">
      <c r="M77" s="10">
        <v>42499</v>
      </c>
      <c r="N77" s="3">
        <f t="shared" si="6"/>
        <v>160</v>
      </c>
      <c r="O77" s="10">
        <v>42499</v>
      </c>
      <c r="P77" s="3">
        <f t="shared" si="6"/>
        <v>160</v>
      </c>
    </row>
    <row r="78" spans="13:16" x14ac:dyDescent="0.25">
      <c r="M78" s="10">
        <v>42500</v>
      </c>
      <c r="N78" s="3">
        <f t="shared" si="6"/>
        <v>160</v>
      </c>
      <c r="O78" s="10">
        <v>42500</v>
      </c>
      <c r="P78" s="3">
        <f t="shared" si="6"/>
        <v>160</v>
      </c>
    </row>
    <row r="79" spans="13:16" x14ac:dyDescent="0.25">
      <c r="M79" s="10">
        <v>42501</v>
      </c>
      <c r="N79" s="3">
        <f t="shared" si="6"/>
        <v>160</v>
      </c>
      <c r="O79" s="10">
        <v>42501</v>
      </c>
      <c r="P79" s="3">
        <f t="shared" si="6"/>
        <v>160</v>
      </c>
    </row>
    <row r="80" spans="13:16" x14ac:dyDescent="0.25">
      <c r="M80" s="10">
        <v>42502</v>
      </c>
      <c r="N80" s="3">
        <f t="shared" si="6"/>
        <v>160</v>
      </c>
      <c r="O80" s="10">
        <v>42502</v>
      </c>
      <c r="P80" s="3">
        <f t="shared" si="6"/>
        <v>160</v>
      </c>
    </row>
    <row r="81" spans="13:16" x14ac:dyDescent="0.25">
      <c r="M81" s="10">
        <v>42503</v>
      </c>
      <c r="N81" s="3">
        <f t="shared" si="6"/>
        <v>160</v>
      </c>
      <c r="O81" s="10">
        <v>42503</v>
      </c>
      <c r="P81" s="3">
        <f t="shared" si="6"/>
        <v>160</v>
      </c>
    </row>
    <row r="82" spans="13:16" x14ac:dyDescent="0.25">
      <c r="M82" s="10">
        <v>42504</v>
      </c>
      <c r="N82" s="3">
        <f t="shared" si="6"/>
        <v>160</v>
      </c>
      <c r="O82" s="10">
        <v>42504</v>
      </c>
      <c r="P82" s="3">
        <f t="shared" si="6"/>
        <v>160</v>
      </c>
    </row>
    <row r="83" spans="13:16" x14ac:dyDescent="0.25">
      <c r="M83" s="10">
        <v>42505</v>
      </c>
      <c r="N83" s="3">
        <f t="shared" si="6"/>
        <v>160</v>
      </c>
      <c r="O83" s="10">
        <v>42505</v>
      </c>
      <c r="P83" s="3">
        <f t="shared" si="6"/>
        <v>160</v>
      </c>
    </row>
    <row r="84" spans="13:16" x14ac:dyDescent="0.25">
      <c r="M84" s="10">
        <v>42506</v>
      </c>
      <c r="N84" s="3">
        <f t="shared" si="6"/>
        <v>160</v>
      </c>
      <c r="O84" s="10">
        <v>42506</v>
      </c>
      <c r="P84" s="3">
        <f t="shared" si="6"/>
        <v>160</v>
      </c>
    </row>
    <row r="85" spans="13:16" x14ac:dyDescent="0.25">
      <c r="M85" s="10">
        <v>42507</v>
      </c>
      <c r="N85" s="3">
        <f t="shared" si="6"/>
        <v>160</v>
      </c>
      <c r="O85" s="10">
        <v>42507</v>
      </c>
      <c r="P85" s="3">
        <f t="shared" si="6"/>
        <v>160</v>
      </c>
    </row>
    <row r="86" spans="13:16" x14ac:dyDescent="0.25">
      <c r="M86" s="10">
        <v>42508</v>
      </c>
      <c r="N86" s="3">
        <f t="shared" ref="N86:P129" si="7">$I$12-5</f>
        <v>160</v>
      </c>
      <c r="O86" s="10">
        <v>42508</v>
      </c>
      <c r="P86" s="3">
        <f t="shared" si="7"/>
        <v>160</v>
      </c>
    </row>
    <row r="87" spans="13:16" x14ac:dyDescent="0.25">
      <c r="M87" s="10">
        <v>42509</v>
      </c>
      <c r="N87" s="3">
        <f t="shared" si="7"/>
        <v>160</v>
      </c>
      <c r="O87" s="10">
        <v>42509</v>
      </c>
      <c r="P87" s="3">
        <f t="shared" si="7"/>
        <v>160</v>
      </c>
    </row>
    <row r="88" spans="13:16" x14ac:dyDescent="0.25">
      <c r="M88" s="10">
        <v>42510</v>
      </c>
      <c r="N88" s="3">
        <f t="shared" si="7"/>
        <v>160</v>
      </c>
      <c r="O88" s="10">
        <v>42510</v>
      </c>
      <c r="P88" s="3">
        <f t="shared" si="7"/>
        <v>160</v>
      </c>
    </row>
    <row r="89" spans="13:16" x14ac:dyDescent="0.25">
      <c r="M89" s="10">
        <v>42511</v>
      </c>
      <c r="N89" s="3">
        <f t="shared" si="7"/>
        <v>160</v>
      </c>
      <c r="O89" s="10">
        <v>42511</v>
      </c>
      <c r="P89" s="3">
        <f t="shared" si="7"/>
        <v>160</v>
      </c>
    </row>
    <row r="90" spans="13:16" x14ac:dyDescent="0.25">
      <c r="M90" s="10">
        <v>42512</v>
      </c>
      <c r="N90" s="3">
        <f t="shared" si="7"/>
        <v>160</v>
      </c>
      <c r="O90" s="10">
        <v>42512</v>
      </c>
      <c r="P90" s="3">
        <f t="shared" si="7"/>
        <v>160</v>
      </c>
    </row>
    <row r="91" spans="13:16" x14ac:dyDescent="0.25">
      <c r="M91" s="10">
        <v>42513</v>
      </c>
      <c r="N91" s="3">
        <f t="shared" si="7"/>
        <v>160</v>
      </c>
      <c r="O91" s="10">
        <v>42513</v>
      </c>
      <c r="P91" s="3">
        <f t="shared" si="7"/>
        <v>160</v>
      </c>
    </row>
    <row r="92" spans="13:16" x14ac:dyDescent="0.25">
      <c r="M92" s="10">
        <v>42514</v>
      </c>
      <c r="N92" s="3">
        <f t="shared" si="7"/>
        <v>160</v>
      </c>
      <c r="O92" s="10">
        <v>42514</v>
      </c>
      <c r="P92" s="3">
        <f t="shared" si="7"/>
        <v>160</v>
      </c>
    </row>
    <row r="93" spans="13:16" x14ac:dyDescent="0.25">
      <c r="M93" s="10">
        <v>42515</v>
      </c>
      <c r="N93" s="3">
        <f t="shared" si="7"/>
        <v>160</v>
      </c>
      <c r="O93" s="10">
        <v>42515</v>
      </c>
      <c r="P93" s="3">
        <f t="shared" si="7"/>
        <v>160</v>
      </c>
    </row>
    <row r="94" spans="13:16" x14ac:dyDescent="0.25">
      <c r="M94" s="10">
        <v>42516</v>
      </c>
      <c r="N94" s="3">
        <f t="shared" si="7"/>
        <v>160</v>
      </c>
      <c r="O94" s="10">
        <v>42516</v>
      </c>
      <c r="P94" s="3">
        <f t="shared" si="7"/>
        <v>160</v>
      </c>
    </row>
    <row r="95" spans="13:16" x14ac:dyDescent="0.25">
      <c r="M95" s="10">
        <v>42517</v>
      </c>
      <c r="N95" s="3">
        <f t="shared" si="7"/>
        <v>160</v>
      </c>
      <c r="O95" s="10">
        <v>42517</v>
      </c>
      <c r="P95" s="3">
        <f t="shared" si="7"/>
        <v>160</v>
      </c>
    </row>
    <row r="96" spans="13:16" x14ac:dyDescent="0.25">
      <c r="M96" s="10">
        <v>42518</v>
      </c>
      <c r="N96" s="3">
        <f t="shared" si="7"/>
        <v>160</v>
      </c>
      <c r="O96" s="10">
        <v>42518</v>
      </c>
      <c r="P96" s="3">
        <f t="shared" si="7"/>
        <v>160</v>
      </c>
    </row>
    <row r="97" spans="13:16" x14ac:dyDescent="0.25">
      <c r="M97" s="10">
        <v>42519</v>
      </c>
      <c r="N97" s="3">
        <f t="shared" si="7"/>
        <v>160</v>
      </c>
      <c r="O97" s="10">
        <v>42519</v>
      </c>
      <c r="P97" s="3">
        <f t="shared" si="7"/>
        <v>160</v>
      </c>
    </row>
    <row r="98" spans="13:16" x14ac:dyDescent="0.25">
      <c r="M98" s="10">
        <v>42520</v>
      </c>
      <c r="N98" s="3">
        <f t="shared" si="7"/>
        <v>160</v>
      </c>
      <c r="O98" s="10">
        <v>42520</v>
      </c>
      <c r="P98" s="3">
        <f t="shared" si="7"/>
        <v>160</v>
      </c>
    </row>
    <row r="99" spans="13:16" x14ac:dyDescent="0.25">
      <c r="M99" s="10">
        <v>42521</v>
      </c>
      <c r="N99" s="3">
        <f t="shared" si="7"/>
        <v>160</v>
      </c>
      <c r="O99" s="10">
        <v>42521</v>
      </c>
      <c r="P99" s="3">
        <f t="shared" si="7"/>
        <v>160</v>
      </c>
    </row>
    <row r="100" spans="13:16" x14ac:dyDescent="0.25">
      <c r="M100" s="10">
        <v>42522</v>
      </c>
      <c r="N100" s="3">
        <f t="shared" si="7"/>
        <v>160</v>
      </c>
      <c r="O100" s="10">
        <v>42522</v>
      </c>
      <c r="P100" s="3">
        <f t="shared" si="7"/>
        <v>160</v>
      </c>
    </row>
    <row r="101" spans="13:16" x14ac:dyDescent="0.25">
      <c r="M101" s="10">
        <v>42523</v>
      </c>
      <c r="N101" s="3">
        <f t="shared" si="7"/>
        <v>160</v>
      </c>
      <c r="O101" s="10">
        <v>42523</v>
      </c>
      <c r="P101" s="3">
        <f t="shared" si="7"/>
        <v>160</v>
      </c>
    </row>
    <row r="102" spans="13:16" x14ac:dyDescent="0.25">
      <c r="M102" s="10">
        <v>42524</v>
      </c>
      <c r="N102" s="3">
        <f t="shared" si="7"/>
        <v>160</v>
      </c>
      <c r="O102" s="10">
        <v>42524</v>
      </c>
      <c r="P102" s="3">
        <f t="shared" si="7"/>
        <v>160</v>
      </c>
    </row>
    <row r="103" spans="13:16" x14ac:dyDescent="0.25">
      <c r="M103" s="10">
        <v>42525</v>
      </c>
      <c r="N103" s="3">
        <f t="shared" si="7"/>
        <v>160</v>
      </c>
      <c r="O103" s="10">
        <v>42525</v>
      </c>
      <c r="P103" s="3">
        <f t="shared" si="7"/>
        <v>160</v>
      </c>
    </row>
    <row r="104" spans="13:16" x14ac:dyDescent="0.25">
      <c r="M104" s="10">
        <v>42526</v>
      </c>
      <c r="N104" s="3">
        <f t="shared" si="7"/>
        <v>160</v>
      </c>
      <c r="O104" s="10">
        <v>42526</v>
      </c>
      <c r="P104" s="3">
        <f t="shared" si="7"/>
        <v>160</v>
      </c>
    </row>
    <row r="105" spans="13:16" x14ac:dyDescent="0.25">
      <c r="M105" s="10">
        <v>42527</v>
      </c>
      <c r="N105" s="3">
        <f t="shared" si="7"/>
        <v>160</v>
      </c>
      <c r="O105" s="10">
        <v>42527</v>
      </c>
      <c r="P105" s="3">
        <f t="shared" si="7"/>
        <v>160</v>
      </c>
    </row>
    <row r="106" spans="13:16" x14ac:dyDescent="0.25">
      <c r="M106" s="10">
        <v>42528</v>
      </c>
      <c r="N106" s="3">
        <f t="shared" si="7"/>
        <v>160</v>
      </c>
      <c r="O106" s="10">
        <v>42528</v>
      </c>
      <c r="P106" s="3">
        <f t="shared" si="7"/>
        <v>160</v>
      </c>
    </row>
    <row r="107" spans="13:16" x14ac:dyDescent="0.25">
      <c r="M107" s="10">
        <v>42529</v>
      </c>
      <c r="N107" s="3">
        <f t="shared" si="7"/>
        <v>160</v>
      </c>
      <c r="O107" s="10">
        <v>42529</v>
      </c>
      <c r="P107" s="3">
        <f t="shared" si="7"/>
        <v>160</v>
      </c>
    </row>
    <row r="108" spans="13:16" x14ac:dyDescent="0.25">
      <c r="M108" s="10">
        <v>42530</v>
      </c>
      <c r="N108" s="3">
        <f t="shared" si="7"/>
        <v>160</v>
      </c>
      <c r="O108" s="10">
        <v>42530</v>
      </c>
      <c r="P108" s="3">
        <f t="shared" si="7"/>
        <v>160</v>
      </c>
    </row>
    <row r="109" spans="13:16" x14ac:dyDescent="0.25">
      <c r="M109" s="10">
        <v>42531</v>
      </c>
      <c r="N109" s="3">
        <f t="shared" si="7"/>
        <v>160</v>
      </c>
      <c r="O109" s="10">
        <v>42531</v>
      </c>
      <c r="P109" s="3">
        <f t="shared" si="7"/>
        <v>160</v>
      </c>
    </row>
    <row r="110" spans="13:16" x14ac:dyDescent="0.25">
      <c r="M110" s="10">
        <v>42532</v>
      </c>
      <c r="N110" s="3">
        <f t="shared" si="7"/>
        <v>160</v>
      </c>
      <c r="O110" s="10">
        <v>42532</v>
      </c>
      <c r="P110" s="3">
        <f t="shared" si="7"/>
        <v>160</v>
      </c>
    </row>
    <row r="111" spans="13:16" x14ac:dyDescent="0.25">
      <c r="M111" s="10">
        <v>42533</v>
      </c>
      <c r="N111" s="3">
        <f t="shared" si="7"/>
        <v>160</v>
      </c>
      <c r="O111" s="10">
        <v>42533</v>
      </c>
      <c r="P111" s="3">
        <f t="shared" si="7"/>
        <v>160</v>
      </c>
    </row>
    <row r="112" spans="13:16" x14ac:dyDescent="0.25">
      <c r="M112" s="10">
        <v>42534</v>
      </c>
      <c r="N112" s="3">
        <f t="shared" si="7"/>
        <v>160</v>
      </c>
      <c r="O112" s="10">
        <v>42534</v>
      </c>
      <c r="P112" s="3">
        <f t="shared" si="7"/>
        <v>160</v>
      </c>
    </row>
    <row r="113" spans="13:16" x14ac:dyDescent="0.25">
      <c r="M113" s="10">
        <v>42535</v>
      </c>
      <c r="N113" s="3">
        <f t="shared" si="7"/>
        <v>160</v>
      </c>
      <c r="O113" s="10">
        <v>42535</v>
      </c>
      <c r="P113" s="3">
        <f t="shared" si="7"/>
        <v>160</v>
      </c>
    </row>
    <row r="114" spans="13:16" x14ac:dyDescent="0.25">
      <c r="M114" s="10">
        <v>42536</v>
      </c>
      <c r="N114" s="3">
        <f t="shared" si="7"/>
        <v>160</v>
      </c>
      <c r="O114" s="10">
        <v>42536</v>
      </c>
      <c r="P114" s="3">
        <f t="shared" si="7"/>
        <v>160</v>
      </c>
    </row>
    <row r="115" spans="13:16" x14ac:dyDescent="0.25">
      <c r="M115" s="10">
        <v>42537</v>
      </c>
      <c r="N115" s="3">
        <f t="shared" si="7"/>
        <v>160</v>
      </c>
      <c r="O115" s="10">
        <v>42537</v>
      </c>
      <c r="P115" s="3">
        <f t="shared" si="7"/>
        <v>160</v>
      </c>
    </row>
    <row r="116" spans="13:16" x14ac:dyDescent="0.25">
      <c r="M116" s="10">
        <v>42538</v>
      </c>
      <c r="N116" s="3">
        <f t="shared" si="7"/>
        <v>160</v>
      </c>
      <c r="O116" s="10">
        <v>42538</v>
      </c>
      <c r="P116" s="3">
        <f t="shared" si="7"/>
        <v>160</v>
      </c>
    </row>
    <row r="117" spans="13:16" x14ac:dyDescent="0.25">
      <c r="M117" s="10">
        <v>42539</v>
      </c>
      <c r="N117" s="3">
        <f t="shared" si="7"/>
        <v>160</v>
      </c>
      <c r="O117" s="10">
        <v>42539</v>
      </c>
      <c r="P117" s="3">
        <f t="shared" si="7"/>
        <v>160</v>
      </c>
    </row>
    <row r="118" spans="13:16" x14ac:dyDescent="0.25">
      <c r="M118" s="10">
        <v>42540</v>
      </c>
      <c r="N118" s="3">
        <f t="shared" si="7"/>
        <v>160</v>
      </c>
      <c r="O118" s="10">
        <v>42540</v>
      </c>
      <c r="P118" s="3">
        <f t="shared" si="7"/>
        <v>160</v>
      </c>
    </row>
    <row r="119" spans="13:16" x14ac:dyDescent="0.25">
      <c r="M119" s="10">
        <v>42541</v>
      </c>
      <c r="N119" s="3">
        <f t="shared" si="7"/>
        <v>160</v>
      </c>
      <c r="O119" s="10">
        <v>42541</v>
      </c>
      <c r="P119" s="3">
        <f t="shared" si="7"/>
        <v>160</v>
      </c>
    </row>
    <row r="120" spans="13:16" x14ac:dyDescent="0.25">
      <c r="M120" s="10">
        <v>42542</v>
      </c>
      <c r="N120" s="3">
        <f t="shared" si="7"/>
        <v>160</v>
      </c>
      <c r="O120" s="10">
        <v>42542</v>
      </c>
      <c r="P120" s="3">
        <f t="shared" si="7"/>
        <v>160</v>
      </c>
    </row>
    <row r="121" spans="13:16" x14ac:dyDescent="0.25">
      <c r="M121" s="10">
        <v>42543</v>
      </c>
      <c r="N121" s="3">
        <f t="shared" si="7"/>
        <v>160</v>
      </c>
      <c r="O121" s="10">
        <v>42543</v>
      </c>
      <c r="P121" s="3">
        <f t="shared" si="7"/>
        <v>160</v>
      </c>
    </row>
    <row r="122" spans="13:16" x14ac:dyDescent="0.25">
      <c r="M122" s="10">
        <v>42544</v>
      </c>
      <c r="N122" s="3">
        <f t="shared" si="7"/>
        <v>160</v>
      </c>
      <c r="O122" s="10">
        <v>42544</v>
      </c>
      <c r="P122" s="3">
        <f t="shared" si="7"/>
        <v>160</v>
      </c>
    </row>
    <row r="123" spans="13:16" x14ac:dyDescent="0.25">
      <c r="M123" s="10">
        <v>42545</v>
      </c>
      <c r="N123" s="3">
        <f t="shared" si="7"/>
        <v>160</v>
      </c>
      <c r="O123" s="10">
        <v>42545</v>
      </c>
      <c r="P123" s="3">
        <f t="shared" si="7"/>
        <v>160</v>
      </c>
    </row>
    <row r="124" spans="13:16" x14ac:dyDescent="0.25">
      <c r="M124" s="10">
        <v>42546</v>
      </c>
      <c r="N124" s="3">
        <f t="shared" si="7"/>
        <v>160</v>
      </c>
      <c r="O124" s="10">
        <v>42546</v>
      </c>
      <c r="P124" s="3">
        <f t="shared" si="7"/>
        <v>160</v>
      </c>
    </row>
    <row r="125" spans="13:16" x14ac:dyDescent="0.25">
      <c r="M125" s="10">
        <v>42547</v>
      </c>
      <c r="N125" s="3">
        <f t="shared" si="7"/>
        <v>160</v>
      </c>
      <c r="O125" s="10">
        <v>42547</v>
      </c>
      <c r="P125" s="3">
        <f t="shared" si="7"/>
        <v>160</v>
      </c>
    </row>
    <row r="126" spans="13:16" x14ac:dyDescent="0.25">
      <c r="M126" s="10">
        <v>42548</v>
      </c>
      <c r="N126" s="3">
        <f t="shared" si="7"/>
        <v>160</v>
      </c>
      <c r="O126" s="10">
        <v>42548</v>
      </c>
      <c r="P126" s="3">
        <f t="shared" si="7"/>
        <v>160</v>
      </c>
    </row>
    <row r="127" spans="13:16" x14ac:dyDescent="0.25">
      <c r="M127" s="10">
        <v>42549</v>
      </c>
      <c r="N127" s="3">
        <f t="shared" si="7"/>
        <v>160</v>
      </c>
      <c r="O127" s="10">
        <v>42549</v>
      </c>
      <c r="P127" s="3">
        <f t="shared" si="7"/>
        <v>160</v>
      </c>
    </row>
    <row r="128" spans="13:16" x14ac:dyDescent="0.25">
      <c r="M128" s="10">
        <v>42550</v>
      </c>
      <c r="N128" s="3">
        <f t="shared" si="7"/>
        <v>160</v>
      </c>
      <c r="O128" s="10">
        <v>42550</v>
      </c>
      <c r="P128" s="3">
        <f t="shared" si="7"/>
        <v>160</v>
      </c>
    </row>
    <row r="129" spans="13:16" x14ac:dyDescent="0.25">
      <c r="M129" s="10">
        <v>42551</v>
      </c>
      <c r="N129" s="3">
        <f t="shared" si="7"/>
        <v>160</v>
      </c>
      <c r="O129" s="10">
        <v>42551</v>
      </c>
      <c r="P129" s="3">
        <f t="shared" si="7"/>
        <v>160</v>
      </c>
    </row>
    <row r="130" spans="13:16" x14ac:dyDescent="0.25">
      <c r="M130" s="10">
        <v>42552</v>
      </c>
      <c r="N130" s="3">
        <f>$I$13-5</f>
        <v>120</v>
      </c>
      <c r="O130" s="10">
        <v>42552</v>
      </c>
      <c r="P130" s="3">
        <f>$I$13-5</f>
        <v>120</v>
      </c>
    </row>
    <row r="131" spans="13:16" x14ac:dyDescent="0.25">
      <c r="M131" s="10">
        <v>42553</v>
      </c>
      <c r="N131" s="3">
        <f t="shared" ref="N131:P191" si="8">$I$13-5</f>
        <v>120</v>
      </c>
      <c r="O131" s="10">
        <v>42553</v>
      </c>
      <c r="P131" s="3">
        <f t="shared" si="8"/>
        <v>120</v>
      </c>
    </row>
    <row r="132" spans="13:16" x14ac:dyDescent="0.25">
      <c r="M132" s="10">
        <v>42554</v>
      </c>
      <c r="N132" s="3">
        <f t="shared" si="8"/>
        <v>120</v>
      </c>
      <c r="O132" s="10">
        <v>42554</v>
      </c>
      <c r="P132" s="3">
        <f t="shared" si="8"/>
        <v>120</v>
      </c>
    </row>
    <row r="133" spans="13:16" x14ac:dyDescent="0.25">
      <c r="M133" s="10">
        <v>42555</v>
      </c>
      <c r="N133" s="3">
        <f t="shared" si="8"/>
        <v>120</v>
      </c>
      <c r="O133" s="10">
        <v>42555</v>
      </c>
      <c r="P133" s="3">
        <f t="shared" si="8"/>
        <v>120</v>
      </c>
    </row>
    <row r="134" spans="13:16" x14ac:dyDescent="0.25">
      <c r="M134" s="10">
        <v>42556</v>
      </c>
      <c r="N134" s="3">
        <f t="shared" si="8"/>
        <v>120</v>
      </c>
      <c r="O134" s="10">
        <v>42556</v>
      </c>
      <c r="P134" s="3">
        <f t="shared" si="8"/>
        <v>120</v>
      </c>
    </row>
    <row r="135" spans="13:16" x14ac:dyDescent="0.25">
      <c r="M135" s="10">
        <v>42557</v>
      </c>
      <c r="N135" s="3">
        <f t="shared" si="8"/>
        <v>120</v>
      </c>
      <c r="O135" s="10">
        <v>42557</v>
      </c>
      <c r="P135" s="3">
        <f t="shared" si="8"/>
        <v>120</v>
      </c>
    </row>
    <row r="136" spans="13:16" x14ac:dyDescent="0.25">
      <c r="M136" s="10">
        <v>42558</v>
      </c>
      <c r="N136" s="3">
        <f t="shared" si="8"/>
        <v>120</v>
      </c>
      <c r="O136" s="10">
        <v>42558</v>
      </c>
      <c r="P136" s="3">
        <f t="shared" si="8"/>
        <v>120</v>
      </c>
    </row>
    <row r="137" spans="13:16" x14ac:dyDescent="0.25">
      <c r="M137" s="10">
        <v>42559</v>
      </c>
      <c r="N137" s="3">
        <f t="shared" si="8"/>
        <v>120</v>
      </c>
      <c r="O137" s="10">
        <v>42559</v>
      </c>
      <c r="P137" s="3">
        <f t="shared" si="8"/>
        <v>120</v>
      </c>
    </row>
    <row r="138" spans="13:16" x14ac:dyDescent="0.25">
      <c r="M138" s="10">
        <v>42560</v>
      </c>
      <c r="N138" s="3">
        <f t="shared" si="8"/>
        <v>120</v>
      </c>
      <c r="O138" s="10">
        <v>42560</v>
      </c>
      <c r="P138" s="3">
        <f t="shared" si="8"/>
        <v>120</v>
      </c>
    </row>
    <row r="139" spans="13:16" x14ac:dyDescent="0.25">
      <c r="M139" s="10">
        <v>42561</v>
      </c>
      <c r="N139" s="3">
        <f t="shared" si="8"/>
        <v>120</v>
      </c>
      <c r="O139" s="10">
        <v>42561</v>
      </c>
      <c r="P139" s="3">
        <f t="shared" si="8"/>
        <v>120</v>
      </c>
    </row>
    <row r="140" spans="13:16" x14ac:dyDescent="0.25">
      <c r="M140" s="10">
        <v>42562</v>
      </c>
      <c r="N140" s="3">
        <f t="shared" si="8"/>
        <v>120</v>
      </c>
      <c r="O140" s="10">
        <v>42562</v>
      </c>
      <c r="P140" s="3">
        <f t="shared" si="8"/>
        <v>120</v>
      </c>
    </row>
    <row r="141" spans="13:16" x14ac:dyDescent="0.25">
      <c r="M141" s="10">
        <v>42563</v>
      </c>
      <c r="N141" s="3">
        <f t="shared" si="8"/>
        <v>120</v>
      </c>
      <c r="O141" s="10">
        <v>42563</v>
      </c>
      <c r="P141" s="3">
        <f t="shared" si="8"/>
        <v>120</v>
      </c>
    </row>
    <row r="142" spans="13:16" x14ac:dyDescent="0.25">
      <c r="M142" s="10">
        <v>42564</v>
      </c>
      <c r="N142" s="3">
        <f t="shared" si="8"/>
        <v>120</v>
      </c>
      <c r="O142" s="10">
        <v>42564</v>
      </c>
      <c r="P142" s="3">
        <f t="shared" si="8"/>
        <v>120</v>
      </c>
    </row>
    <row r="143" spans="13:16" x14ac:dyDescent="0.25">
      <c r="M143" s="10">
        <v>42565</v>
      </c>
      <c r="N143" s="3">
        <f t="shared" si="8"/>
        <v>120</v>
      </c>
      <c r="O143" s="10">
        <v>42565</v>
      </c>
      <c r="P143" s="3">
        <f t="shared" si="8"/>
        <v>120</v>
      </c>
    </row>
    <row r="144" spans="13:16" x14ac:dyDescent="0.25">
      <c r="M144" s="10">
        <v>42566</v>
      </c>
      <c r="N144" s="3">
        <f t="shared" si="8"/>
        <v>120</v>
      </c>
      <c r="O144" s="10">
        <v>42566</v>
      </c>
      <c r="P144" s="3">
        <f t="shared" si="8"/>
        <v>120</v>
      </c>
    </row>
    <row r="145" spans="13:16" x14ac:dyDescent="0.25">
      <c r="M145" s="10">
        <v>42567</v>
      </c>
      <c r="N145" s="3">
        <f t="shared" si="8"/>
        <v>120</v>
      </c>
      <c r="O145" s="10">
        <v>42567</v>
      </c>
      <c r="P145" s="3">
        <f t="shared" si="8"/>
        <v>120</v>
      </c>
    </row>
    <row r="146" spans="13:16" x14ac:dyDescent="0.25">
      <c r="M146" s="10">
        <v>42568</v>
      </c>
      <c r="N146" s="3">
        <f t="shared" si="8"/>
        <v>120</v>
      </c>
      <c r="O146" s="10">
        <v>42568</v>
      </c>
      <c r="P146" s="3">
        <f t="shared" si="8"/>
        <v>120</v>
      </c>
    </row>
    <row r="147" spans="13:16" x14ac:dyDescent="0.25">
      <c r="M147" s="10">
        <v>42569</v>
      </c>
      <c r="N147" s="3">
        <f t="shared" si="8"/>
        <v>120</v>
      </c>
      <c r="O147" s="10">
        <v>42569</v>
      </c>
      <c r="P147" s="3">
        <f t="shared" si="8"/>
        <v>120</v>
      </c>
    </row>
    <row r="148" spans="13:16" x14ac:dyDescent="0.25">
      <c r="M148" s="10">
        <v>42570</v>
      </c>
      <c r="N148" s="3">
        <f t="shared" si="8"/>
        <v>120</v>
      </c>
      <c r="O148" s="10">
        <v>42570</v>
      </c>
      <c r="P148" s="3">
        <f t="shared" si="8"/>
        <v>120</v>
      </c>
    </row>
    <row r="149" spans="13:16" x14ac:dyDescent="0.25">
      <c r="M149" s="10">
        <v>42571</v>
      </c>
      <c r="N149" s="3">
        <f t="shared" si="8"/>
        <v>120</v>
      </c>
      <c r="O149" s="10">
        <v>42571</v>
      </c>
      <c r="P149" s="3">
        <f t="shared" si="8"/>
        <v>120</v>
      </c>
    </row>
    <row r="150" spans="13:16" x14ac:dyDescent="0.25">
      <c r="M150" s="10">
        <v>42572</v>
      </c>
      <c r="N150" s="3">
        <f t="shared" si="8"/>
        <v>120</v>
      </c>
      <c r="O150" s="10">
        <v>42572</v>
      </c>
      <c r="P150" s="3">
        <f t="shared" si="8"/>
        <v>120</v>
      </c>
    </row>
    <row r="151" spans="13:16" x14ac:dyDescent="0.25">
      <c r="M151" s="10">
        <v>42573</v>
      </c>
      <c r="N151" s="3">
        <f t="shared" si="8"/>
        <v>120</v>
      </c>
      <c r="O151" s="10">
        <v>42573</v>
      </c>
      <c r="P151" s="3">
        <f t="shared" si="8"/>
        <v>120</v>
      </c>
    </row>
    <row r="152" spans="13:16" x14ac:dyDescent="0.25">
      <c r="M152" s="10">
        <v>42574</v>
      </c>
      <c r="N152" s="3">
        <f t="shared" si="8"/>
        <v>120</v>
      </c>
      <c r="O152" s="10">
        <v>42574</v>
      </c>
      <c r="P152" s="3">
        <f t="shared" si="8"/>
        <v>120</v>
      </c>
    </row>
    <row r="153" spans="13:16" x14ac:dyDescent="0.25">
      <c r="M153" s="10">
        <v>42575</v>
      </c>
      <c r="N153" s="3">
        <f t="shared" si="8"/>
        <v>120</v>
      </c>
      <c r="O153" s="10">
        <v>42575</v>
      </c>
      <c r="P153" s="3">
        <f t="shared" si="8"/>
        <v>120</v>
      </c>
    </row>
    <row r="154" spans="13:16" x14ac:dyDescent="0.25">
      <c r="M154" s="10">
        <v>42576</v>
      </c>
      <c r="N154" s="3">
        <f t="shared" si="8"/>
        <v>120</v>
      </c>
      <c r="O154" s="10">
        <v>42576</v>
      </c>
      <c r="P154" s="3">
        <f t="shared" si="8"/>
        <v>120</v>
      </c>
    </row>
    <row r="155" spans="13:16" x14ac:dyDescent="0.25">
      <c r="M155" s="10">
        <v>42577</v>
      </c>
      <c r="N155" s="3">
        <f t="shared" si="8"/>
        <v>120</v>
      </c>
      <c r="O155" s="10">
        <v>42577</v>
      </c>
      <c r="P155" s="3">
        <f t="shared" si="8"/>
        <v>120</v>
      </c>
    </row>
    <row r="156" spans="13:16" x14ac:dyDescent="0.25">
      <c r="M156" s="10">
        <v>42578</v>
      </c>
      <c r="N156" s="3">
        <f t="shared" si="8"/>
        <v>120</v>
      </c>
      <c r="O156" s="10">
        <v>42578</v>
      </c>
      <c r="P156" s="3">
        <f t="shared" si="8"/>
        <v>120</v>
      </c>
    </row>
    <row r="157" spans="13:16" x14ac:dyDescent="0.25">
      <c r="M157" s="10">
        <v>42579</v>
      </c>
      <c r="N157" s="3">
        <f t="shared" si="8"/>
        <v>120</v>
      </c>
      <c r="O157" s="10">
        <v>42579</v>
      </c>
      <c r="P157" s="3">
        <f t="shared" si="8"/>
        <v>120</v>
      </c>
    </row>
    <row r="158" spans="13:16" x14ac:dyDescent="0.25">
      <c r="M158" s="10">
        <v>42580</v>
      </c>
      <c r="N158" s="3">
        <f t="shared" si="8"/>
        <v>120</v>
      </c>
      <c r="O158" s="10">
        <v>42580</v>
      </c>
      <c r="P158" s="3">
        <f t="shared" si="8"/>
        <v>120</v>
      </c>
    </row>
    <row r="159" spans="13:16" x14ac:dyDescent="0.25">
      <c r="M159" s="10">
        <v>42581</v>
      </c>
      <c r="N159" s="3">
        <f t="shared" si="8"/>
        <v>120</v>
      </c>
      <c r="O159" s="10">
        <v>42581</v>
      </c>
      <c r="P159" s="3">
        <f t="shared" si="8"/>
        <v>120</v>
      </c>
    </row>
    <row r="160" spans="13:16" x14ac:dyDescent="0.25">
      <c r="M160" s="10">
        <v>42582</v>
      </c>
      <c r="N160" s="3">
        <f t="shared" si="8"/>
        <v>120</v>
      </c>
      <c r="O160" s="10">
        <v>42582</v>
      </c>
      <c r="P160" s="3">
        <f t="shared" si="8"/>
        <v>120</v>
      </c>
    </row>
    <row r="161" spans="13:16" x14ac:dyDescent="0.25">
      <c r="M161" s="10">
        <v>42583</v>
      </c>
      <c r="N161" s="3">
        <f t="shared" si="8"/>
        <v>120</v>
      </c>
      <c r="O161" s="10">
        <v>42583</v>
      </c>
      <c r="P161" s="3">
        <f t="shared" si="8"/>
        <v>120</v>
      </c>
    </row>
    <row r="162" spans="13:16" x14ac:dyDescent="0.25">
      <c r="M162" s="10">
        <v>42584</v>
      </c>
      <c r="N162" s="3">
        <f t="shared" si="8"/>
        <v>120</v>
      </c>
      <c r="O162" s="10">
        <v>42584</v>
      </c>
      <c r="P162" s="3">
        <f t="shared" si="8"/>
        <v>120</v>
      </c>
    </row>
    <row r="163" spans="13:16" x14ac:dyDescent="0.25">
      <c r="M163" s="10">
        <v>42585</v>
      </c>
      <c r="N163" s="3">
        <f t="shared" si="8"/>
        <v>120</v>
      </c>
      <c r="O163" s="10">
        <v>42585</v>
      </c>
      <c r="P163" s="3">
        <f t="shared" si="8"/>
        <v>120</v>
      </c>
    </row>
    <row r="164" spans="13:16" x14ac:dyDescent="0.25">
      <c r="M164" s="10">
        <v>42586</v>
      </c>
      <c r="N164" s="3">
        <f t="shared" si="8"/>
        <v>120</v>
      </c>
      <c r="O164" s="10">
        <v>42586</v>
      </c>
      <c r="P164" s="3">
        <f t="shared" si="8"/>
        <v>120</v>
      </c>
    </row>
    <row r="165" spans="13:16" x14ac:dyDescent="0.25">
      <c r="M165" s="10">
        <v>42587</v>
      </c>
      <c r="N165" s="3">
        <f t="shared" si="8"/>
        <v>120</v>
      </c>
      <c r="O165" s="10">
        <v>42587</v>
      </c>
      <c r="P165" s="3">
        <f t="shared" si="8"/>
        <v>120</v>
      </c>
    </row>
    <row r="166" spans="13:16" x14ac:dyDescent="0.25">
      <c r="M166" s="10">
        <v>42588</v>
      </c>
      <c r="N166" s="3">
        <f t="shared" si="8"/>
        <v>120</v>
      </c>
      <c r="O166" s="10">
        <v>42588</v>
      </c>
      <c r="P166" s="3">
        <f t="shared" si="8"/>
        <v>120</v>
      </c>
    </row>
    <row r="167" spans="13:16" x14ac:dyDescent="0.25">
      <c r="M167" s="10">
        <v>42589</v>
      </c>
      <c r="N167" s="3">
        <f t="shared" si="8"/>
        <v>120</v>
      </c>
      <c r="O167" s="10">
        <v>42589</v>
      </c>
      <c r="P167" s="3">
        <f t="shared" si="8"/>
        <v>120</v>
      </c>
    </row>
    <row r="168" spans="13:16" x14ac:dyDescent="0.25">
      <c r="M168" s="10">
        <v>42590</v>
      </c>
      <c r="N168" s="3">
        <f t="shared" si="8"/>
        <v>120</v>
      </c>
      <c r="O168" s="10">
        <v>42590</v>
      </c>
      <c r="P168" s="3">
        <f t="shared" si="8"/>
        <v>120</v>
      </c>
    </row>
    <row r="169" spans="13:16" x14ac:dyDescent="0.25">
      <c r="M169" s="10">
        <v>42591</v>
      </c>
      <c r="N169" s="3">
        <f t="shared" si="8"/>
        <v>120</v>
      </c>
      <c r="O169" s="10">
        <v>42591</v>
      </c>
      <c r="P169" s="3">
        <f t="shared" si="8"/>
        <v>120</v>
      </c>
    </row>
    <row r="170" spans="13:16" x14ac:dyDescent="0.25">
      <c r="M170" s="10">
        <v>42592</v>
      </c>
      <c r="N170" s="3">
        <f t="shared" si="8"/>
        <v>120</v>
      </c>
      <c r="O170" s="10">
        <v>42592</v>
      </c>
      <c r="P170" s="3">
        <f t="shared" si="8"/>
        <v>120</v>
      </c>
    </row>
    <row r="171" spans="13:16" x14ac:dyDescent="0.25">
      <c r="M171" s="10">
        <v>42593</v>
      </c>
      <c r="N171" s="3">
        <f t="shared" si="8"/>
        <v>120</v>
      </c>
      <c r="O171" s="10">
        <v>42593</v>
      </c>
      <c r="P171" s="3">
        <f t="shared" si="8"/>
        <v>120</v>
      </c>
    </row>
    <row r="172" spans="13:16" x14ac:dyDescent="0.25">
      <c r="M172" s="10">
        <v>42594</v>
      </c>
      <c r="N172" s="3">
        <f t="shared" si="8"/>
        <v>120</v>
      </c>
      <c r="O172" s="10">
        <v>42594</v>
      </c>
      <c r="P172" s="3">
        <f t="shared" si="8"/>
        <v>120</v>
      </c>
    </row>
    <row r="173" spans="13:16" x14ac:dyDescent="0.25">
      <c r="M173" s="10">
        <v>42595</v>
      </c>
      <c r="N173" s="3">
        <f t="shared" si="8"/>
        <v>120</v>
      </c>
      <c r="O173" s="10">
        <v>42595</v>
      </c>
      <c r="P173" s="3">
        <f t="shared" si="8"/>
        <v>120</v>
      </c>
    </row>
    <row r="174" spans="13:16" x14ac:dyDescent="0.25">
      <c r="M174" s="10">
        <v>42596</v>
      </c>
      <c r="N174" s="3">
        <f t="shared" si="8"/>
        <v>120</v>
      </c>
      <c r="O174" s="10">
        <v>42596</v>
      </c>
      <c r="P174" s="3">
        <f t="shared" si="8"/>
        <v>120</v>
      </c>
    </row>
    <row r="175" spans="13:16" x14ac:dyDescent="0.25">
      <c r="M175" s="10">
        <v>42597</v>
      </c>
      <c r="N175" s="3">
        <f t="shared" si="8"/>
        <v>120</v>
      </c>
      <c r="O175" s="10">
        <v>42597</v>
      </c>
      <c r="P175" s="3">
        <f t="shared" si="8"/>
        <v>120</v>
      </c>
    </row>
    <row r="176" spans="13:16" x14ac:dyDescent="0.25">
      <c r="M176" s="10">
        <v>42598</v>
      </c>
      <c r="N176" s="3">
        <f t="shared" si="8"/>
        <v>120</v>
      </c>
      <c r="O176" s="10">
        <v>42598</v>
      </c>
      <c r="P176" s="3">
        <f t="shared" si="8"/>
        <v>120</v>
      </c>
    </row>
    <row r="177" spans="13:16" x14ac:dyDescent="0.25">
      <c r="M177" s="10">
        <v>42599</v>
      </c>
      <c r="N177" s="3">
        <f t="shared" si="8"/>
        <v>120</v>
      </c>
      <c r="O177" s="10">
        <v>42599</v>
      </c>
      <c r="P177" s="3">
        <f t="shared" si="8"/>
        <v>120</v>
      </c>
    </row>
    <row r="178" spans="13:16" x14ac:dyDescent="0.25">
      <c r="M178" s="10">
        <v>42600</v>
      </c>
      <c r="N178" s="3">
        <f t="shared" si="8"/>
        <v>120</v>
      </c>
      <c r="O178" s="10">
        <v>42600</v>
      </c>
      <c r="P178" s="3">
        <f t="shared" si="8"/>
        <v>120</v>
      </c>
    </row>
    <row r="179" spans="13:16" x14ac:dyDescent="0.25">
      <c r="M179" s="10">
        <v>42601</v>
      </c>
      <c r="N179" s="3">
        <f t="shared" si="8"/>
        <v>120</v>
      </c>
      <c r="O179" s="10">
        <v>42601</v>
      </c>
      <c r="P179" s="3">
        <f t="shared" si="8"/>
        <v>120</v>
      </c>
    </row>
    <row r="180" spans="13:16" x14ac:dyDescent="0.25">
      <c r="M180" s="10">
        <v>42602</v>
      </c>
      <c r="N180" s="3">
        <f t="shared" si="8"/>
        <v>120</v>
      </c>
      <c r="O180" s="10">
        <v>42602</v>
      </c>
      <c r="P180" s="3">
        <f t="shared" si="8"/>
        <v>120</v>
      </c>
    </row>
    <row r="181" spans="13:16" x14ac:dyDescent="0.25">
      <c r="M181" s="10">
        <v>42603</v>
      </c>
      <c r="N181" s="3">
        <f t="shared" si="8"/>
        <v>120</v>
      </c>
      <c r="O181" s="10">
        <v>42603</v>
      </c>
      <c r="P181" s="3">
        <f t="shared" si="8"/>
        <v>120</v>
      </c>
    </row>
    <row r="182" spans="13:16" x14ac:dyDescent="0.25">
      <c r="M182" s="10">
        <v>42604</v>
      </c>
      <c r="N182" s="3">
        <f t="shared" si="8"/>
        <v>120</v>
      </c>
      <c r="O182" s="10">
        <v>42604</v>
      </c>
      <c r="P182" s="3">
        <f t="shared" si="8"/>
        <v>120</v>
      </c>
    </row>
    <row r="183" spans="13:16" x14ac:dyDescent="0.25">
      <c r="M183" s="10">
        <v>42605</v>
      </c>
      <c r="N183" s="3">
        <f t="shared" si="8"/>
        <v>120</v>
      </c>
      <c r="O183" s="10">
        <v>42605</v>
      </c>
      <c r="P183" s="3">
        <f t="shared" si="8"/>
        <v>120</v>
      </c>
    </row>
    <row r="184" spans="13:16" x14ac:dyDescent="0.25">
      <c r="M184" s="10">
        <v>42606</v>
      </c>
      <c r="N184" s="3">
        <f t="shared" si="8"/>
        <v>120</v>
      </c>
      <c r="O184" s="10">
        <v>42606</v>
      </c>
      <c r="P184" s="3">
        <f t="shared" si="8"/>
        <v>120</v>
      </c>
    </row>
    <row r="185" spans="13:16" x14ac:dyDescent="0.25">
      <c r="M185" s="10">
        <v>42607</v>
      </c>
      <c r="N185" s="3">
        <f t="shared" si="8"/>
        <v>120</v>
      </c>
      <c r="O185" s="10">
        <v>42607</v>
      </c>
      <c r="P185" s="3">
        <f t="shared" si="8"/>
        <v>120</v>
      </c>
    </row>
    <row r="186" spans="13:16" x14ac:dyDescent="0.25">
      <c r="M186" s="10">
        <v>42608</v>
      </c>
      <c r="N186" s="3">
        <f t="shared" si="8"/>
        <v>120</v>
      </c>
      <c r="O186" s="10">
        <v>42608</v>
      </c>
      <c r="P186" s="3">
        <f t="shared" si="8"/>
        <v>120</v>
      </c>
    </row>
    <row r="187" spans="13:16" x14ac:dyDescent="0.25">
      <c r="M187" s="10">
        <v>42609</v>
      </c>
      <c r="N187" s="3">
        <f t="shared" si="8"/>
        <v>120</v>
      </c>
      <c r="O187" s="10">
        <v>42609</v>
      </c>
      <c r="P187" s="3">
        <f t="shared" si="8"/>
        <v>120</v>
      </c>
    </row>
    <row r="188" spans="13:16" x14ac:dyDescent="0.25">
      <c r="M188" s="10">
        <v>42610</v>
      </c>
      <c r="N188" s="3">
        <f t="shared" si="8"/>
        <v>120</v>
      </c>
      <c r="O188" s="10">
        <v>42610</v>
      </c>
      <c r="P188" s="3">
        <f t="shared" si="8"/>
        <v>120</v>
      </c>
    </row>
    <row r="189" spans="13:16" x14ac:dyDescent="0.25">
      <c r="M189" s="10">
        <v>42611</v>
      </c>
      <c r="N189" s="3">
        <f t="shared" si="8"/>
        <v>120</v>
      </c>
      <c r="O189" s="10">
        <v>42611</v>
      </c>
      <c r="P189" s="3">
        <f t="shared" si="8"/>
        <v>120</v>
      </c>
    </row>
    <row r="190" spans="13:16" x14ac:dyDescent="0.25">
      <c r="M190" s="10">
        <v>42612</v>
      </c>
      <c r="N190" s="3">
        <f t="shared" si="8"/>
        <v>120</v>
      </c>
      <c r="O190" s="10">
        <v>42612</v>
      </c>
      <c r="P190" s="3">
        <f t="shared" si="8"/>
        <v>120</v>
      </c>
    </row>
    <row r="191" spans="13:16" x14ac:dyDescent="0.25">
      <c r="M191" s="10">
        <v>42613</v>
      </c>
      <c r="N191" s="3">
        <f t="shared" si="8"/>
        <v>120</v>
      </c>
      <c r="O191" s="10">
        <v>42613</v>
      </c>
      <c r="P191" s="3">
        <f t="shared" si="8"/>
        <v>120</v>
      </c>
    </row>
    <row r="192" spans="13:16" x14ac:dyDescent="0.25">
      <c r="M192" s="10">
        <v>42614</v>
      </c>
      <c r="N192" s="3">
        <f>$I$14-5</f>
        <v>140</v>
      </c>
      <c r="O192" s="10">
        <v>42614</v>
      </c>
      <c r="P192" s="3">
        <f>$I$14-5</f>
        <v>140</v>
      </c>
    </row>
    <row r="193" spans="13:16" x14ac:dyDescent="0.25">
      <c r="M193" s="10">
        <v>42615</v>
      </c>
      <c r="N193" s="3">
        <f t="shared" ref="N193:P221" si="9">$I$14-5</f>
        <v>140</v>
      </c>
      <c r="O193" s="10">
        <v>42615</v>
      </c>
      <c r="P193" s="3">
        <f t="shared" si="9"/>
        <v>140</v>
      </c>
    </row>
    <row r="194" spans="13:16" x14ac:dyDescent="0.25">
      <c r="M194" s="10">
        <v>42616</v>
      </c>
      <c r="N194" s="3">
        <f t="shared" si="9"/>
        <v>140</v>
      </c>
      <c r="O194" s="10">
        <v>42616</v>
      </c>
      <c r="P194" s="3">
        <f t="shared" si="9"/>
        <v>140</v>
      </c>
    </row>
    <row r="195" spans="13:16" x14ac:dyDescent="0.25">
      <c r="M195" s="10">
        <v>42617</v>
      </c>
      <c r="N195" s="3">
        <f t="shared" si="9"/>
        <v>140</v>
      </c>
      <c r="O195" s="10">
        <v>42617</v>
      </c>
      <c r="P195" s="3">
        <f t="shared" si="9"/>
        <v>140</v>
      </c>
    </row>
    <row r="196" spans="13:16" x14ac:dyDescent="0.25">
      <c r="M196" s="10">
        <v>42618</v>
      </c>
      <c r="N196" s="3">
        <f t="shared" si="9"/>
        <v>140</v>
      </c>
      <c r="O196" s="10">
        <v>42618</v>
      </c>
      <c r="P196" s="3">
        <f t="shared" si="9"/>
        <v>140</v>
      </c>
    </row>
    <row r="197" spans="13:16" x14ac:dyDescent="0.25">
      <c r="M197" s="10">
        <v>42619</v>
      </c>
      <c r="N197" s="3">
        <f t="shared" si="9"/>
        <v>140</v>
      </c>
      <c r="O197" s="10">
        <v>42619</v>
      </c>
      <c r="P197" s="3">
        <f t="shared" si="9"/>
        <v>140</v>
      </c>
    </row>
    <row r="198" spans="13:16" x14ac:dyDescent="0.25">
      <c r="M198" s="10">
        <v>42620</v>
      </c>
      <c r="N198" s="3">
        <f t="shared" si="9"/>
        <v>140</v>
      </c>
      <c r="O198" s="10">
        <v>42620</v>
      </c>
      <c r="P198" s="3">
        <f t="shared" si="9"/>
        <v>140</v>
      </c>
    </row>
    <row r="199" spans="13:16" x14ac:dyDescent="0.25">
      <c r="M199" s="10">
        <v>42621</v>
      </c>
      <c r="N199" s="3">
        <f t="shared" si="9"/>
        <v>140</v>
      </c>
      <c r="O199" s="10">
        <v>42621</v>
      </c>
      <c r="P199" s="3">
        <f t="shared" si="9"/>
        <v>140</v>
      </c>
    </row>
    <row r="200" spans="13:16" x14ac:dyDescent="0.25">
      <c r="M200" s="10">
        <v>42622</v>
      </c>
      <c r="N200" s="3">
        <f t="shared" si="9"/>
        <v>140</v>
      </c>
      <c r="O200" s="10">
        <v>42622</v>
      </c>
      <c r="P200" s="3">
        <f t="shared" si="9"/>
        <v>140</v>
      </c>
    </row>
    <row r="201" spans="13:16" x14ac:dyDescent="0.25">
      <c r="M201" s="10">
        <v>42623</v>
      </c>
      <c r="N201" s="3">
        <f t="shared" si="9"/>
        <v>140</v>
      </c>
      <c r="O201" s="10">
        <v>42623</v>
      </c>
      <c r="P201" s="3">
        <f t="shared" si="9"/>
        <v>140</v>
      </c>
    </row>
    <row r="202" spans="13:16" x14ac:dyDescent="0.25">
      <c r="M202" s="10">
        <v>42624</v>
      </c>
      <c r="N202" s="3">
        <f t="shared" si="9"/>
        <v>140</v>
      </c>
      <c r="O202" s="10">
        <v>42624</v>
      </c>
      <c r="P202" s="3">
        <f t="shared" si="9"/>
        <v>140</v>
      </c>
    </row>
    <row r="203" spans="13:16" x14ac:dyDescent="0.25">
      <c r="M203" s="10">
        <v>42625</v>
      </c>
      <c r="N203" s="3">
        <f t="shared" si="9"/>
        <v>140</v>
      </c>
      <c r="O203" s="10">
        <v>42625</v>
      </c>
      <c r="P203" s="3">
        <f t="shared" si="9"/>
        <v>140</v>
      </c>
    </row>
    <row r="204" spans="13:16" x14ac:dyDescent="0.25">
      <c r="M204" s="10">
        <v>42626</v>
      </c>
      <c r="N204" s="3">
        <f t="shared" si="9"/>
        <v>140</v>
      </c>
      <c r="O204" s="10">
        <v>42626</v>
      </c>
      <c r="P204" s="3">
        <f t="shared" si="9"/>
        <v>140</v>
      </c>
    </row>
    <row r="205" spans="13:16" x14ac:dyDescent="0.25">
      <c r="M205" s="10">
        <v>42627</v>
      </c>
      <c r="N205" s="3">
        <f t="shared" si="9"/>
        <v>140</v>
      </c>
      <c r="O205" s="10">
        <v>42627</v>
      </c>
      <c r="P205" s="3">
        <f t="shared" si="9"/>
        <v>140</v>
      </c>
    </row>
    <row r="206" spans="13:16" x14ac:dyDescent="0.25">
      <c r="M206" s="10">
        <v>42628</v>
      </c>
      <c r="N206" s="3">
        <f t="shared" si="9"/>
        <v>140</v>
      </c>
      <c r="O206" s="10">
        <v>42628</v>
      </c>
      <c r="P206" s="3">
        <f t="shared" si="9"/>
        <v>140</v>
      </c>
    </row>
    <row r="207" spans="13:16" x14ac:dyDescent="0.25">
      <c r="M207" s="10">
        <v>42629</v>
      </c>
      <c r="N207" s="3">
        <f t="shared" si="9"/>
        <v>140</v>
      </c>
      <c r="O207" s="10">
        <v>42629</v>
      </c>
      <c r="P207" s="3">
        <f t="shared" si="9"/>
        <v>140</v>
      </c>
    </row>
    <row r="208" spans="13:16" x14ac:dyDescent="0.25">
      <c r="M208" s="10">
        <v>42630</v>
      </c>
      <c r="N208" s="3">
        <f t="shared" si="9"/>
        <v>140</v>
      </c>
      <c r="O208" s="10">
        <v>42630</v>
      </c>
      <c r="P208" s="3">
        <f t="shared" si="9"/>
        <v>140</v>
      </c>
    </row>
    <row r="209" spans="13:16" x14ac:dyDescent="0.25">
      <c r="M209" s="10">
        <v>42631</v>
      </c>
      <c r="N209" s="3">
        <f t="shared" si="9"/>
        <v>140</v>
      </c>
      <c r="O209" s="10">
        <v>42631</v>
      </c>
      <c r="P209" s="3">
        <f t="shared" si="9"/>
        <v>140</v>
      </c>
    </row>
    <row r="210" spans="13:16" x14ac:dyDescent="0.25">
      <c r="M210" s="10">
        <v>42632</v>
      </c>
      <c r="N210" s="3">
        <f t="shared" si="9"/>
        <v>140</v>
      </c>
      <c r="O210" s="10">
        <v>42632</v>
      </c>
      <c r="P210" s="3">
        <f t="shared" si="9"/>
        <v>140</v>
      </c>
    </row>
    <row r="211" spans="13:16" x14ac:dyDescent="0.25">
      <c r="M211" s="10">
        <v>42633</v>
      </c>
      <c r="N211" s="3">
        <f t="shared" si="9"/>
        <v>140</v>
      </c>
      <c r="O211" s="10">
        <v>42633</v>
      </c>
      <c r="P211" s="3">
        <f t="shared" si="9"/>
        <v>140</v>
      </c>
    </row>
    <row r="212" spans="13:16" x14ac:dyDescent="0.25">
      <c r="M212" s="10">
        <v>42634</v>
      </c>
      <c r="N212" s="3">
        <f t="shared" si="9"/>
        <v>140</v>
      </c>
      <c r="O212" s="10">
        <v>42634</v>
      </c>
      <c r="P212" s="3">
        <f t="shared" si="9"/>
        <v>140</v>
      </c>
    </row>
    <row r="213" spans="13:16" x14ac:dyDescent="0.25">
      <c r="M213" s="10">
        <v>42635</v>
      </c>
      <c r="N213" s="3">
        <f t="shared" si="9"/>
        <v>140</v>
      </c>
      <c r="O213" s="10">
        <v>42635</v>
      </c>
      <c r="P213" s="3">
        <f t="shared" si="9"/>
        <v>140</v>
      </c>
    </row>
    <row r="214" spans="13:16" x14ac:dyDescent="0.25">
      <c r="M214" s="10">
        <v>42636</v>
      </c>
      <c r="N214" s="3">
        <f t="shared" si="9"/>
        <v>140</v>
      </c>
      <c r="O214" s="10">
        <v>42636</v>
      </c>
      <c r="P214" s="3">
        <f t="shared" si="9"/>
        <v>140</v>
      </c>
    </row>
    <row r="215" spans="13:16" x14ac:dyDescent="0.25">
      <c r="M215" s="10">
        <v>42637</v>
      </c>
      <c r="N215" s="3">
        <f t="shared" si="9"/>
        <v>140</v>
      </c>
      <c r="O215" s="10">
        <v>42637</v>
      </c>
      <c r="P215" s="3">
        <f t="shared" si="9"/>
        <v>140</v>
      </c>
    </row>
    <row r="216" spans="13:16" x14ac:dyDescent="0.25">
      <c r="M216" s="10">
        <v>42638</v>
      </c>
      <c r="N216" s="3">
        <f t="shared" si="9"/>
        <v>140</v>
      </c>
      <c r="O216" s="10">
        <v>42638</v>
      </c>
      <c r="P216" s="3">
        <f t="shared" si="9"/>
        <v>140</v>
      </c>
    </row>
    <row r="217" spans="13:16" x14ac:dyDescent="0.25">
      <c r="M217" s="10">
        <v>42639</v>
      </c>
      <c r="N217" s="3">
        <f t="shared" si="9"/>
        <v>140</v>
      </c>
      <c r="O217" s="10">
        <v>42639</v>
      </c>
      <c r="P217" s="3">
        <f t="shared" si="9"/>
        <v>140</v>
      </c>
    </row>
    <row r="218" spans="13:16" x14ac:dyDescent="0.25">
      <c r="M218" s="10">
        <v>42640</v>
      </c>
      <c r="N218" s="3">
        <f t="shared" si="9"/>
        <v>140</v>
      </c>
      <c r="O218" s="10">
        <v>42640</v>
      </c>
      <c r="P218" s="3">
        <f t="shared" si="9"/>
        <v>140</v>
      </c>
    </row>
    <row r="219" spans="13:16" x14ac:dyDescent="0.25">
      <c r="M219" s="10">
        <v>42641</v>
      </c>
      <c r="N219" s="3">
        <f t="shared" si="9"/>
        <v>140</v>
      </c>
      <c r="O219" s="10">
        <v>42641</v>
      </c>
      <c r="P219" s="3">
        <f t="shared" si="9"/>
        <v>140</v>
      </c>
    </row>
    <row r="220" spans="13:16" x14ac:dyDescent="0.25">
      <c r="M220" s="10">
        <v>42642</v>
      </c>
      <c r="N220" s="3">
        <f t="shared" si="9"/>
        <v>140</v>
      </c>
      <c r="O220" s="10">
        <v>42642</v>
      </c>
      <c r="P220" s="3">
        <f t="shared" si="9"/>
        <v>140</v>
      </c>
    </row>
    <row r="221" spans="13:16" x14ac:dyDescent="0.25">
      <c r="M221" s="10">
        <v>42643</v>
      </c>
      <c r="N221" s="3">
        <f t="shared" si="9"/>
        <v>140</v>
      </c>
      <c r="O221" s="10">
        <v>42643</v>
      </c>
      <c r="P221" s="3">
        <f t="shared" si="9"/>
        <v>140</v>
      </c>
    </row>
    <row r="222" spans="13:16" x14ac:dyDescent="0.25">
      <c r="M222" s="10">
        <v>42644</v>
      </c>
      <c r="N222" s="3">
        <f>$I$15-5</f>
        <v>190</v>
      </c>
      <c r="O222" s="10">
        <v>42644</v>
      </c>
      <c r="P222" s="3">
        <f>$I$15-5</f>
        <v>190</v>
      </c>
    </row>
    <row r="223" spans="13:16" x14ac:dyDescent="0.25">
      <c r="M223" s="10">
        <v>42645</v>
      </c>
      <c r="N223" s="3">
        <f t="shared" ref="N223:P252" si="10">$I$15-5</f>
        <v>190</v>
      </c>
      <c r="O223" s="10">
        <v>42645</v>
      </c>
      <c r="P223" s="3">
        <f t="shared" si="10"/>
        <v>190</v>
      </c>
    </row>
    <row r="224" spans="13:16" x14ac:dyDescent="0.25">
      <c r="M224" s="10">
        <v>42646</v>
      </c>
      <c r="N224" s="3">
        <f t="shared" si="10"/>
        <v>190</v>
      </c>
      <c r="O224" s="10">
        <v>42646</v>
      </c>
      <c r="P224" s="3">
        <f t="shared" si="10"/>
        <v>190</v>
      </c>
    </row>
    <row r="225" spans="13:16" x14ac:dyDescent="0.25">
      <c r="M225" s="10">
        <v>42647</v>
      </c>
      <c r="N225" s="3">
        <f t="shared" si="10"/>
        <v>190</v>
      </c>
      <c r="O225" s="10">
        <v>42647</v>
      </c>
      <c r="P225" s="3">
        <f t="shared" si="10"/>
        <v>190</v>
      </c>
    </row>
    <row r="226" spans="13:16" x14ac:dyDescent="0.25">
      <c r="M226" s="10">
        <v>42648</v>
      </c>
      <c r="N226" s="3">
        <f t="shared" si="10"/>
        <v>190</v>
      </c>
      <c r="O226" s="10">
        <v>42648</v>
      </c>
      <c r="P226" s="3">
        <f t="shared" si="10"/>
        <v>190</v>
      </c>
    </row>
    <row r="227" spans="13:16" x14ac:dyDescent="0.25">
      <c r="M227" s="10">
        <v>42649</v>
      </c>
      <c r="N227" s="3">
        <f t="shared" si="10"/>
        <v>190</v>
      </c>
      <c r="O227" s="10">
        <v>42649</v>
      </c>
      <c r="P227" s="3">
        <f t="shared" si="10"/>
        <v>190</v>
      </c>
    </row>
    <row r="228" spans="13:16" x14ac:dyDescent="0.25">
      <c r="M228" s="10">
        <v>42650</v>
      </c>
      <c r="N228" s="3">
        <f t="shared" si="10"/>
        <v>190</v>
      </c>
      <c r="O228" s="10">
        <v>42650</v>
      </c>
      <c r="P228" s="3">
        <f t="shared" si="10"/>
        <v>190</v>
      </c>
    </row>
    <row r="229" spans="13:16" x14ac:dyDescent="0.25">
      <c r="M229" s="10">
        <v>42651</v>
      </c>
      <c r="N229" s="3">
        <f t="shared" si="10"/>
        <v>190</v>
      </c>
      <c r="O229" s="10">
        <v>42651</v>
      </c>
      <c r="P229" s="3">
        <f t="shared" si="10"/>
        <v>190</v>
      </c>
    </row>
    <row r="230" spans="13:16" x14ac:dyDescent="0.25">
      <c r="M230" s="10">
        <v>42652</v>
      </c>
      <c r="N230" s="3">
        <f t="shared" si="10"/>
        <v>190</v>
      </c>
      <c r="O230" s="10">
        <v>42652</v>
      </c>
      <c r="P230" s="3">
        <f t="shared" si="10"/>
        <v>190</v>
      </c>
    </row>
    <row r="231" spans="13:16" x14ac:dyDescent="0.25">
      <c r="M231" s="10">
        <v>42653</v>
      </c>
      <c r="N231" s="3">
        <f t="shared" si="10"/>
        <v>190</v>
      </c>
      <c r="O231" s="10">
        <v>42653</v>
      </c>
      <c r="P231" s="3">
        <f t="shared" si="10"/>
        <v>190</v>
      </c>
    </row>
    <row r="232" spans="13:16" x14ac:dyDescent="0.25">
      <c r="M232" s="10">
        <v>42654</v>
      </c>
      <c r="N232" s="3">
        <f t="shared" si="10"/>
        <v>190</v>
      </c>
      <c r="O232" s="10">
        <v>42654</v>
      </c>
      <c r="P232" s="3">
        <f t="shared" si="10"/>
        <v>190</v>
      </c>
    </row>
    <row r="233" spans="13:16" x14ac:dyDescent="0.25">
      <c r="M233" s="10">
        <v>42655</v>
      </c>
      <c r="N233" s="3">
        <f t="shared" si="10"/>
        <v>190</v>
      </c>
      <c r="O233" s="10">
        <v>42655</v>
      </c>
      <c r="P233" s="3">
        <f t="shared" si="10"/>
        <v>190</v>
      </c>
    </row>
    <row r="234" spans="13:16" x14ac:dyDescent="0.25">
      <c r="M234" s="10">
        <v>42656</v>
      </c>
      <c r="N234" s="3">
        <f t="shared" si="10"/>
        <v>190</v>
      </c>
      <c r="O234" s="10">
        <v>42656</v>
      </c>
      <c r="P234" s="3">
        <f t="shared" si="10"/>
        <v>190</v>
      </c>
    </row>
    <row r="235" spans="13:16" x14ac:dyDescent="0.25">
      <c r="M235" s="10">
        <v>42657</v>
      </c>
      <c r="N235" s="3">
        <f t="shared" si="10"/>
        <v>190</v>
      </c>
      <c r="O235" s="10">
        <v>42657</v>
      </c>
      <c r="P235" s="3">
        <f t="shared" si="10"/>
        <v>190</v>
      </c>
    </row>
    <row r="236" spans="13:16" x14ac:dyDescent="0.25">
      <c r="M236" s="10">
        <v>42658</v>
      </c>
      <c r="N236" s="3">
        <f t="shared" si="10"/>
        <v>190</v>
      </c>
      <c r="O236" s="10">
        <v>42658</v>
      </c>
      <c r="P236" s="3">
        <f t="shared" si="10"/>
        <v>190</v>
      </c>
    </row>
    <row r="237" spans="13:16" x14ac:dyDescent="0.25">
      <c r="M237" s="10">
        <v>42659</v>
      </c>
      <c r="N237" s="3">
        <f t="shared" si="10"/>
        <v>190</v>
      </c>
      <c r="O237" s="10">
        <v>42659</v>
      </c>
      <c r="P237" s="3">
        <f t="shared" si="10"/>
        <v>190</v>
      </c>
    </row>
    <row r="238" spans="13:16" x14ac:dyDescent="0.25">
      <c r="M238" s="10">
        <v>42660</v>
      </c>
      <c r="N238" s="3">
        <f t="shared" si="10"/>
        <v>190</v>
      </c>
      <c r="O238" s="10">
        <v>42660</v>
      </c>
      <c r="P238" s="3">
        <f t="shared" si="10"/>
        <v>190</v>
      </c>
    </row>
    <row r="239" spans="13:16" x14ac:dyDescent="0.25">
      <c r="M239" s="10">
        <v>42661</v>
      </c>
      <c r="N239" s="3">
        <f t="shared" si="10"/>
        <v>190</v>
      </c>
      <c r="O239" s="10">
        <v>42661</v>
      </c>
      <c r="P239" s="3">
        <f t="shared" si="10"/>
        <v>190</v>
      </c>
    </row>
    <row r="240" spans="13:16" x14ac:dyDescent="0.25">
      <c r="M240" s="10">
        <v>42662</v>
      </c>
      <c r="N240" s="3">
        <f t="shared" si="10"/>
        <v>190</v>
      </c>
      <c r="O240" s="10">
        <v>42662</v>
      </c>
      <c r="P240" s="3">
        <f t="shared" si="10"/>
        <v>190</v>
      </c>
    </row>
    <row r="241" spans="13:16" x14ac:dyDescent="0.25">
      <c r="M241" s="10">
        <v>42663</v>
      </c>
      <c r="N241" s="3">
        <f t="shared" si="10"/>
        <v>190</v>
      </c>
      <c r="O241" s="10">
        <v>42663</v>
      </c>
      <c r="P241" s="3">
        <f t="shared" si="10"/>
        <v>190</v>
      </c>
    </row>
    <row r="242" spans="13:16" x14ac:dyDescent="0.25">
      <c r="M242" s="10">
        <v>42664</v>
      </c>
      <c r="N242" s="3">
        <f t="shared" si="10"/>
        <v>190</v>
      </c>
      <c r="O242" s="10">
        <v>42664</v>
      </c>
      <c r="P242" s="3">
        <f t="shared" si="10"/>
        <v>190</v>
      </c>
    </row>
    <row r="243" spans="13:16" x14ac:dyDescent="0.25">
      <c r="M243" s="10">
        <v>42665</v>
      </c>
      <c r="N243" s="3">
        <f t="shared" si="10"/>
        <v>190</v>
      </c>
      <c r="O243" s="10">
        <v>42665</v>
      </c>
      <c r="P243" s="3">
        <f t="shared" si="10"/>
        <v>190</v>
      </c>
    </row>
    <row r="244" spans="13:16" x14ac:dyDescent="0.25">
      <c r="M244" s="10">
        <v>42666</v>
      </c>
      <c r="N244" s="3">
        <f t="shared" si="10"/>
        <v>190</v>
      </c>
      <c r="O244" s="10">
        <v>42666</v>
      </c>
      <c r="P244" s="3">
        <f t="shared" si="10"/>
        <v>190</v>
      </c>
    </row>
    <row r="245" spans="13:16" x14ac:dyDescent="0.25">
      <c r="M245" s="10">
        <v>42667</v>
      </c>
      <c r="N245" s="3">
        <f t="shared" si="10"/>
        <v>190</v>
      </c>
      <c r="O245" s="10">
        <v>42667</v>
      </c>
      <c r="P245" s="3">
        <f t="shared" si="10"/>
        <v>190</v>
      </c>
    </row>
    <row r="246" spans="13:16" x14ac:dyDescent="0.25">
      <c r="M246" s="10">
        <v>42668</v>
      </c>
      <c r="N246" s="3">
        <f t="shared" si="10"/>
        <v>190</v>
      </c>
      <c r="O246" s="10">
        <v>42668</v>
      </c>
      <c r="P246" s="3">
        <f t="shared" si="10"/>
        <v>190</v>
      </c>
    </row>
    <row r="247" spans="13:16" x14ac:dyDescent="0.25">
      <c r="M247" s="10">
        <v>42669</v>
      </c>
      <c r="N247" s="3">
        <f t="shared" si="10"/>
        <v>190</v>
      </c>
      <c r="O247" s="10">
        <v>42669</v>
      </c>
      <c r="P247" s="3">
        <f t="shared" si="10"/>
        <v>190</v>
      </c>
    </row>
    <row r="248" spans="13:16" x14ac:dyDescent="0.25">
      <c r="M248" s="10">
        <v>42670</v>
      </c>
      <c r="N248" s="3">
        <f t="shared" si="10"/>
        <v>190</v>
      </c>
      <c r="O248" s="10">
        <v>42670</v>
      </c>
      <c r="P248" s="3">
        <f t="shared" si="10"/>
        <v>190</v>
      </c>
    </row>
    <row r="249" spans="13:16" x14ac:dyDescent="0.25">
      <c r="M249" s="10">
        <v>42671</v>
      </c>
      <c r="N249" s="3">
        <f t="shared" si="10"/>
        <v>190</v>
      </c>
      <c r="O249" s="10">
        <v>42671</v>
      </c>
      <c r="P249" s="3">
        <f t="shared" si="10"/>
        <v>190</v>
      </c>
    </row>
    <row r="250" spans="13:16" x14ac:dyDescent="0.25">
      <c r="M250" s="10">
        <v>42672</v>
      </c>
      <c r="N250" s="3">
        <f t="shared" si="10"/>
        <v>190</v>
      </c>
      <c r="O250" s="10">
        <v>42672</v>
      </c>
      <c r="P250" s="3">
        <f t="shared" si="10"/>
        <v>190</v>
      </c>
    </row>
    <row r="251" spans="13:16" x14ac:dyDescent="0.25">
      <c r="M251" s="10">
        <v>42673</v>
      </c>
      <c r="N251" s="3">
        <f t="shared" si="10"/>
        <v>190</v>
      </c>
      <c r="O251" s="10">
        <v>42673</v>
      </c>
      <c r="P251" s="3">
        <f t="shared" si="10"/>
        <v>190</v>
      </c>
    </row>
    <row r="252" spans="13:16" x14ac:dyDescent="0.25">
      <c r="M252" s="10">
        <v>42674</v>
      </c>
      <c r="N252" s="3">
        <f t="shared" si="10"/>
        <v>190</v>
      </c>
      <c r="O252" s="10">
        <v>42674</v>
      </c>
      <c r="P252" s="3">
        <f t="shared" si="10"/>
        <v>190</v>
      </c>
    </row>
    <row r="253" spans="13:16" x14ac:dyDescent="0.25">
      <c r="M253" s="10">
        <v>42675</v>
      </c>
      <c r="N253" s="3">
        <f>$I$16-5</f>
        <v>570</v>
      </c>
      <c r="O253" s="10">
        <v>42675</v>
      </c>
      <c r="P253" s="3">
        <f>$I$16-5</f>
        <v>570</v>
      </c>
    </row>
    <row r="254" spans="13:16" x14ac:dyDescent="0.25">
      <c r="M254" s="10">
        <v>42676</v>
      </c>
      <c r="N254" s="3">
        <f t="shared" ref="N254:P258" si="11">$I$16-5</f>
        <v>570</v>
      </c>
      <c r="O254" s="10">
        <v>42676</v>
      </c>
      <c r="P254" s="3">
        <f t="shared" si="11"/>
        <v>570</v>
      </c>
    </row>
    <row r="255" spans="13:16" x14ac:dyDescent="0.25">
      <c r="M255" s="10">
        <v>42677</v>
      </c>
      <c r="N255" s="3">
        <f t="shared" si="11"/>
        <v>570</v>
      </c>
      <c r="O255" s="10">
        <v>42677</v>
      </c>
      <c r="P255" s="3">
        <f t="shared" si="11"/>
        <v>570</v>
      </c>
    </row>
    <row r="256" spans="13:16" x14ac:dyDescent="0.25">
      <c r="M256" s="10">
        <v>42678</v>
      </c>
      <c r="N256" s="3">
        <f t="shared" si="11"/>
        <v>570</v>
      </c>
      <c r="O256" s="10">
        <v>42678</v>
      </c>
      <c r="P256" s="3">
        <f t="shared" si="11"/>
        <v>570</v>
      </c>
    </row>
    <row r="257" spans="13:16" x14ac:dyDescent="0.25">
      <c r="M257" s="10">
        <v>42679</v>
      </c>
      <c r="N257" s="3">
        <f t="shared" si="11"/>
        <v>570</v>
      </c>
      <c r="O257" s="10">
        <v>42679</v>
      </c>
      <c r="P257" s="3">
        <f t="shared" si="11"/>
        <v>570</v>
      </c>
    </row>
    <row r="258" spans="13:16" x14ac:dyDescent="0.25">
      <c r="M258" s="10">
        <v>42680</v>
      </c>
      <c r="N258" s="3">
        <f t="shared" si="11"/>
        <v>570</v>
      </c>
      <c r="O258" s="10">
        <v>42680</v>
      </c>
      <c r="P258" s="3">
        <f t="shared" si="11"/>
        <v>570</v>
      </c>
    </row>
    <row r="259" spans="13:16" x14ac:dyDescent="0.25">
      <c r="M259" s="10">
        <v>42681</v>
      </c>
      <c r="N259" s="3">
        <f>$I$17-5</f>
        <v>570</v>
      </c>
      <c r="O259" s="10">
        <v>42681</v>
      </c>
      <c r="P259" s="3">
        <f>$I$17-5</f>
        <v>570</v>
      </c>
    </row>
    <row r="260" spans="13:16" x14ac:dyDescent="0.25">
      <c r="M260" s="10">
        <v>42682</v>
      </c>
      <c r="N260" s="3">
        <f t="shared" ref="N260:P262" si="12">$I$17-5</f>
        <v>570</v>
      </c>
      <c r="O260" s="10">
        <v>42682</v>
      </c>
      <c r="P260" s="3">
        <f t="shared" si="12"/>
        <v>570</v>
      </c>
    </row>
    <row r="261" spans="13:16" x14ac:dyDescent="0.25">
      <c r="M261" s="10">
        <v>42683</v>
      </c>
      <c r="N261" s="3">
        <f t="shared" si="12"/>
        <v>570</v>
      </c>
      <c r="O261" s="10">
        <v>42683</v>
      </c>
      <c r="P261" s="3">
        <f t="shared" si="12"/>
        <v>570</v>
      </c>
    </row>
    <row r="262" spans="13:16" x14ac:dyDescent="0.25">
      <c r="M262" s="10">
        <v>42684</v>
      </c>
      <c r="N262" s="3">
        <f t="shared" si="12"/>
        <v>570</v>
      </c>
      <c r="O262" s="10">
        <v>42684</v>
      </c>
      <c r="P262" s="3">
        <f t="shared" si="12"/>
        <v>570</v>
      </c>
    </row>
    <row r="263" spans="13:16" x14ac:dyDescent="0.25">
      <c r="M263" s="10">
        <v>42685</v>
      </c>
      <c r="N263" s="3">
        <f>$I$18-5</f>
        <v>230</v>
      </c>
      <c r="O263" s="10">
        <v>42685</v>
      </c>
      <c r="P263" s="3">
        <f>$I$18-5</f>
        <v>230</v>
      </c>
    </row>
    <row r="264" spans="13:16" x14ac:dyDescent="0.25">
      <c r="M264" s="10">
        <v>42686</v>
      </c>
      <c r="N264" s="3">
        <f t="shared" ref="N264:P313" si="13">$I$18-5</f>
        <v>230</v>
      </c>
      <c r="O264" s="10">
        <v>42686</v>
      </c>
      <c r="P264" s="3">
        <f t="shared" si="13"/>
        <v>230</v>
      </c>
    </row>
    <row r="265" spans="13:16" x14ac:dyDescent="0.25">
      <c r="M265" s="10">
        <v>42687</v>
      </c>
      <c r="N265" s="3">
        <f t="shared" si="13"/>
        <v>230</v>
      </c>
      <c r="O265" s="10">
        <v>42687</v>
      </c>
      <c r="P265" s="3">
        <f t="shared" si="13"/>
        <v>230</v>
      </c>
    </row>
    <row r="266" spans="13:16" x14ac:dyDescent="0.25">
      <c r="M266" s="10">
        <v>42688</v>
      </c>
      <c r="N266" s="3">
        <f t="shared" si="13"/>
        <v>230</v>
      </c>
      <c r="O266" s="10">
        <v>42688</v>
      </c>
      <c r="P266" s="3">
        <f t="shared" si="13"/>
        <v>230</v>
      </c>
    </row>
    <row r="267" spans="13:16" x14ac:dyDescent="0.25">
      <c r="M267" s="10">
        <v>42689</v>
      </c>
      <c r="N267" s="3">
        <f t="shared" si="13"/>
        <v>230</v>
      </c>
      <c r="O267" s="10">
        <v>42689</v>
      </c>
      <c r="P267" s="3">
        <f t="shared" si="13"/>
        <v>230</v>
      </c>
    </row>
    <row r="268" spans="13:16" x14ac:dyDescent="0.25">
      <c r="M268" s="10">
        <v>42690</v>
      </c>
      <c r="N268" s="3">
        <f t="shared" si="13"/>
        <v>230</v>
      </c>
      <c r="O268" s="10">
        <v>42690</v>
      </c>
      <c r="P268" s="3">
        <f t="shared" si="13"/>
        <v>230</v>
      </c>
    </row>
    <row r="269" spans="13:16" x14ac:dyDescent="0.25">
      <c r="M269" s="10">
        <v>42691</v>
      </c>
      <c r="N269" s="3">
        <f t="shared" si="13"/>
        <v>230</v>
      </c>
      <c r="O269" s="10">
        <v>42691</v>
      </c>
      <c r="P269" s="3">
        <f t="shared" si="13"/>
        <v>230</v>
      </c>
    </row>
    <row r="270" spans="13:16" x14ac:dyDescent="0.25">
      <c r="M270" s="10">
        <v>42692</v>
      </c>
      <c r="N270" s="3">
        <f t="shared" si="13"/>
        <v>230</v>
      </c>
      <c r="O270" s="10">
        <v>42692</v>
      </c>
      <c r="P270" s="3">
        <f t="shared" si="13"/>
        <v>230</v>
      </c>
    </row>
    <row r="271" spans="13:16" x14ac:dyDescent="0.25">
      <c r="M271" s="10">
        <v>42693</v>
      </c>
      <c r="N271" s="3">
        <f t="shared" si="13"/>
        <v>230</v>
      </c>
      <c r="O271" s="10">
        <v>42693</v>
      </c>
      <c r="P271" s="3">
        <f t="shared" si="13"/>
        <v>230</v>
      </c>
    </row>
    <row r="272" spans="13:16" x14ac:dyDescent="0.25">
      <c r="M272" s="10">
        <v>42694</v>
      </c>
      <c r="N272" s="3">
        <f t="shared" si="13"/>
        <v>230</v>
      </c>
      <c r="O272" s="10">
        <v>42694</v>
      </c>
      <c r="P272" s="3">
        <f t="shared" si="13"/>
        <v>230</v>
      </c>
    </row>
    <row r="273" spans="13:16" x14ac:dyDescent="0.25">
      <c r="M273" s="10">
        <v>42695</v>
      </c>
      <c r="N273" s="3">
        <f t="shared" si="13"/>
        <v>230</v>
      </c>
      <c r="O273" s="10">
        <v>42695</v>
      </c>
      <c r="P273" s="3">
        <f t="shared" si="13"/>
        <v>230</v>
      </c>
    </row>
    <row r="274" spans="13:16" x14ac:dyDescent="0.25">
      <c r="M274" s="10">
        <v>42696</v>
      </c>
      <c r="N274" s="3">
        <f t="shared" si="13"/>
        <v>230</v>
      </c>
      <c r="O274" s="10">
        <v>42696</v>
      </c>
      <c r="P274" s="3">
        <f t="shared" si="13"/>
        <v>230</v>
      </c>
    </row>
    <row r="275" spans="13:16" x14ac:dyDescent="0.25">
      <c r="M275" s="10">
        <v>42697</v>
      </c>
      <c r="N275" s="3">
        <f t="shared" si="13"/>
        <v>230</v>
      </c>
      <c r="O275" s="10">
        <v>42697</v>
      </c>
      <c r="P275" s="3">
        <f t="shared" si="13"/>
        <v>230</v>
      </c>
    </row>
    <row r="276" spans="13:16" x14ac:dyDescent="0.25">
      <c r="M276" s="10">
        <v>42698</v>
      </c>
      <c r="N276" s="3">
        <f t="shared" si="13"/>
        <v>230</v>
      </c>
      <c r="O276" s="10">
        <v>42698</v>
      </c>
      <c r="P276" s="3">
        <f t="shared" si="13"/>
        <v>230</v>
      </c>
    </row>
    <row r="277" spans="13:16" x14ac:dyDescent="0.25">
      <c r="M277" s="10">
        <v>42699</v>
      </c>
      <c r="N277" s="3">
        <f t="shared" si="13"/>
        <v>230</v>
      </c>
      <c r="O277" s="10">
        <v>42699</v>
      </c>
      <c r="P277" s="3">
        <f t="shared" si="13"/>
        <v>230</v>
      </c>
    </row>
    <row r="278" spans="13:16" x14ac:dyDescent="0.25">
      <c r="M278" s="10">
        <v>42700</v>
      </c>
      <c r="N278" s="3">
        <f t="shared" si="13"/>
        <v>230</v>
      </c>
      <c r="O278" s="10">
        <v>42700</v>
      </c>
      <c r="P278" s="3">
        <f t="shared" si="13"/>
        <v>230</v>
      </c>
    </row>
    <row r="279" spans="13:16" x14ac:dyDescent="0.25">
      <c r="M279" s="10">
        <v>42701</v>
      </c>
      <c r="N279" s="3">
        <f t="shared" si="13"/>
        <v>230</v>
      </c>
      <c r="O279" s="10">
        <v>42701</v>
      </c>
      <c r="P279" s="3">
        <f t="shared" si="13"/>
        <v>230</v>
      </c>
    </row>
    <row r="280" spans="13:16" x14ac:dyDescent="0.25">
      <c r="M280" s="10">
        <v>42702</v>
      </c>
      <c r="N280" s="3">
        <f t="shared" si="13"/>
        <v>230</v>
      </c>
      <c r="O280" s="10">
        <v>42702</v>
      </c>
      <c r="P280" s="3">
        <f t="shared" si="13"/>
        <v>230</v>
      </c>
    </row>
    <row r="281" spans="13:16" x14ac:dyDescent="0.25">
      <c r="M281" s="10">
        <v>42703</v>
      </c>
      <c r="N281" s="3">
        <f t="shared" si="13"/>
        <v>230</v>
      </c>
      <c r="O281" s="10">
        <v>42703</v>
      </c>
      <c r="P281" s="3">
        <f t="shared" si="13"/>
        <v>230</v>
      </c>
    </row>
    <row r="282" spans="13:16" x14ac:dyDescent="0.25">
      <c r="M282" s="10">
        <v>42704</v>
      </c>
      <c r="N282" s="3">
        <f t="shared" si="13"/>
        <v>230</v>
      </c>
      <c r="O282" s="10">
        <v>42704</v>
      </c>
      <c r="P282" s="3">
        <f t="shared" si="13"/>
        <v>230</v>
      </c>
    </row>
    <row r="283" spans="13:16" x14ac:dyDescent="0.25">
      <c r="M283" s="10">
        <v>42705</v>
      </c>
      <c r="N283" s="3">
        <f t="shared" si="13"/>
        <v>230</v>
      </c>
      <c r="O283" s="10">
        <v>42705</v>
      </c>
      <c r="P283" s="3">
        <f t="shared" si="13"/>
        <v>230</v>
      </c>
    </row>
    <row r="284" spans="13:16" x14ac:dyDescent="0.25">
      <c r="M284" s="10">
        <v>42706</v>
      </c>
      <c r="N284" s="3">
        <f t="shared" si="13"/>
        <v>230</v>
      </c>
      <c r="O284" s="10">
        <v>42706</v>
      </c>
      <c r="P284" s="3">
        <f t="shared" si="13"/>
        <v>230</v>
      </c>
    </row>
    <row r="285" spans="13:16" x14ac:dyDescent="0.25">
      <c r="M285" s="10">
        <v>42707</v>
      </c>
      <c r="N285" s="3">
        <f t="shared" si="13"/>
        <v>230</v>
      </c>
      <c r="O285" s="10">
        <v>42707</v>
      </c>
      <c r="P285" s="3">
        <f t="shared" si="13"/>
        <v>230</v>
      </c>
    </row>
    <row r="286" spans="13:16" x14ac:dyDescent="0.25">
      <c r="M286" s="10">
        <v>42708</v>
      </c>
      <c r="N286" s="3">
        <f t="shared" si="13"/>
        <v>230</v>
      </c>
      <c r="O286" s="10">
        <v>42708</v>
      </c>
      <c r="P286" s="3">
        <f t="shared" si="13"/>
        <v>230</v>
      </c>
    </row>
    <row r="287" spans="13:16" x14ac:dyDescent="0.25">
      <c r="M287" s="10">
        <v>42709</v>
      </c>
      <c r="N287" s="3">
        <f t="shared" si="13"/>
        <v>230</v>
      </c>
      <c r="O287" s="10">
        <v>42709</v>
      </c>
      <c r="P287" s="3">
        <f t="shared" si="13"/>
        <v>230</v>
      </c>
    </row>
    <row r="288" spans="13:16" x14ac:dyDescent="0.25">
      <c r="M288" s="10">
        <v>42710</v>
      </c>
      <c r="N288" s="3">
        <f t="shared" si="13"/>
        <v>230</v>
      </c>
      <c r="O288" s="10">
        <v>42710</v>
      </c>
      <c r="P288" s="3">
        <f t="shared" si="13"/>
        <v>230</v>
      </c>
    </row>
    <row r="289" spans="13:16" x14ac:dyDescent="0.25">
      <c r="M289" s="10">
        <v>42711</v>
      </c>
      <c r="N289" s="3">
        <f t="shared" si="13"/>
        <v>230</v>
      </c>
      <c r="O289" s="10">
        <v>42711</v>
      </c>
      <c r="P289" s="3">
        <f t="shared" si="13"/>
        <v>230</v>
      </c>
    </row>
    <row r="290" spans="13:16" x14ac:dyDescent="0.25">
      <c r="M290" s="10">
        <v>42712</v>
      </c>
      <c r="N290" s="3">
        <f t="shared" si="13"/>
        <v>230</v>
      </c>
      <c r="O290" s="10">
        <v>42712</v>
      </c>
      <c r="P290" s="3">
        <f t="shared" si="13"/>
        <v>230</v>
      </c>
    </row>
    <row r="291" spans="13:16" x14ac:dyDescent="0.25">
      <c r="M291" s="10">
        <v>42713</v>
      </c>
      <c r="N291" s="3">
        <f t="shared" si="13"/>
        <v>230</v>
      </c>
      <c r="O291" s="10">
        <v>42713</v>
      </c>
      <c r="P291" s="3">
        <f t="shared" si="13"/>
        <v>230</v>
      </c>
    </row>
    <row r="292" spans="13:16" x14ac:dyDescent="0.25">
      <c r="M292" s="10">
        <v>42714</v>
      </c>
      <c r="N292" s="3">
        <f t="shared" si="13"/>
        <v>230</v>
      </c>
      <c r="O292" s="10">
        <v>42714</v>
      </c>
      <c r="P292" s="3">
        <f t="shared" si="13"/>
        <v>230</v>
      </c>
    </row>
    <row r="293" spans="13:16" x14ac:dyDescent="0.25">
      <c r="M293" s="10">
        <v>42715</v>
      </c>
      <c r="N293" s="3">
        <f t="shared" si="13"/>
        <v>230</v>
      </c>
      <c r="O293" s="10">
        <v>42715</v>
      </c>
      <c r="P293" s="3">
        <f t="shared" si="13"/>
        <v>230</v>
      </c>
    </row>
    <row r="294" spans="13:16" x14ac:dyDescent="0.25">
      <c r="M294" s="10">
        <v>42716</v>
      </c>
      <c r="N294" s="3">
        <f t="shared" si="13"/>
        <v>230</v>
      </c>
      <c r="O294" s="10">
        <v>42716</v>
      </c>
      <c r="P294" s="3">
        <f t="shared" si="13"/>
        <v>230</v>
      </c>
    </row>
    <row r="295" spans="13:16" x14ac:dyDescent="0.25">
      <c r="M295" s="10">
        <v>42717</v>
      </c>
      <c r="N295" s="3">
        <f t="shared" si="13"/>
        <v>230</v>
      </c>
      <c r="O295" s="10">
        <v>42717</v>
      </c>
      <c r="P295" s="3">
        <f t="shared" si="13"/>
        <v>230</v>
      </c>
    </row>
    <row r="296" spans="13:16" x14ac:dyDescent="0.25">
      <c r="M296" s="10">
        <v>42718</v>
      </c>
      <c r="N296" s="3">
        <f t="shared" si="13"/>
        <v>230</v>
      </c>
      <c r="O296" s="10">
        <v>42718</v>
      </c>
      <c r="P296" s="3">
        <f t="shared" si="13"/>
        <v>230</v>
      </c>
    </row>
    <row r="297" spans="13:16" x14ac:dyDescent="0.25">
      <c r="M297" s="10">
        <v>42719</v>
      </c>
      <c r="N297" s="3">
        <f t="shared" si="13"/>
        <v>230</v>
      </c>
      <c r="O297" s="10">
        <v>42719</v>
      </c>
      <c r="P297" s="3">
        <f t="shared" si="13"/>
        <v>230</v>
      </c>
    </row>
    <row r="298" spans="13:16" x14ac:dyDescent="0.25">
      <c r="M298" s="10">
        <v>42720</v>
      </c>
      <c r="N298" s="3">
        <f t="shared" si="13"/>
        <v>230</v>
      </c>
      <c r="O298" s="10">
        <v>42720</v>
      </c>
      <c r="P298" s="3">
        <f t="shared" si="13"/>
        <v>230</v>
      </c>
    </row>
    <row r="299" spans="13:16" x14ac:dyDescent="0.25">
      <c r="M299" s="10">
        <v>42721</v>
      </c>
      <c r="N299" s="3">
        <f t="shared" si="13"/>
        <v>230</v>
      </c>
      <c r="O299" s="10">
        <v>42721</v>
      </c>
      <c r="P299" s="3">
        <f t="shared" si="13"/>
        <v>230</v>
      </c>
    </row>
    <row r="300" spans="13:16" x14ac:dyDescent="0.25">
      <c r="M300" s="10">
        <v>42722</v>
      </c>
      <c r="N300" s="3">
        <f t="shared" si="13"/>
        <v>230</v>
      </c>
      <c r="O300" s="10">
        <v>42722</v>
      </c>
      <c r="P300" s="3">
        <f t="shared" si="13"/>
        <v>230</v>
      </c>
    </row>
    <row r="301" spans="13:16" x14ac:dyDescent="0.25">
      <c r="M301" s="10">
        <v>42723</v>
      </c>
      <c r="N301" s="3">
        <f t="shared" si="13"/>
        <v>230</v>
      </c>
      <c r="O301" s="10">
        <v>42723</v>
      </c>
      <c r="P301" s="3">
        <f t="shared" si="13"/>
        <v>230</v>
      </c>
    </row>
    <row r="302" spans="13:16" x14ac:dyDescent="0.25">
      <c r="M302" s="10">
        <v>42724</v>
      </c>
      <c r="N302" s="3">
        <f t="shared" si="13"/>
        <v>230</v>
      </c>
      <c r="O302" s="10">
        <v>42724</v>
      </c>
      <c r="P302" s="3">
        <f t="shared" si="13"/>
        <v>230</v>
      </c>
    </row>
    <row r="303" spans="13:16" x14ac:dyDescent="0.25">
      <c r="M303" s="10">
        <v>42725</v>
      </c>
      <c r="N303" s="3">
        <f t="shared" si="13"/>
        <v>230</v>
      </c>
      <c r="O303" s="10">
        <v>42725</v>
      </c>
      <c r="P303" s="3">
        <f t="shared" si="13"/>
        <v>230</v>
      </c>
    </row>
    <row r="304" spans="13:16" x14ac:dyDescent="0.25">
      <c r="M304" s="10">
        <v>42726</v>
      </c>
      <c r="N304" s="3">
        <f t="shared" si="13"/>
        <v>230</v>
      </c>
      <c r="O304" s="10">
        <v>42726</v>
      </c>
      <c r="P304" s="3">
        <f t="shared" si="13"/>
        <v>230</v>
      </c>
    </row>
    <row r="305" spans="13:16" x14ac:dyDescent="0.25">
      <c r="M305" s="10">
        <v>42727</v>
      </c>
      <c r="N305" s="3">
        <f t="shared" si="13"/>
        <v>230</v>
      </c>
      <c r="O305" s="10">
        <v>42727</v>
      </c>
      <c r="P305" s="3">
        <f t="shared" si="13"/>
        <v>230</v>
      </c>
    </row>
    <row r="306" spans="13:16" x14ac:dyDescent="0.25">
      <c r="M306" s="10">
        <v>42728</v>
      </c>
      <c r="N306" s="3">
        <f t="shared" si="13"/>
        <v>230</v>
      </c>
      <c r="O306" s="10">
        <v>42728</v>
      </c>
      <c r="P306" s="3">
        <f t="shared" si="13"/>
        <v>230</v>
      </c>
    </row>
    <row r="307" spans="13:16" x14ac:dyDescent="0.25">
      <c r="M307" s="10">
        <v>42729</v>
      </c>
      <c r="N307" s="3">
        <f t="shared" si="13"/>
        <v>230</v>
      </c>
      <c r="O307" s="10">
        <v>42729</v>
      </c>
      <c r="P307" s="3">
        <f t="shared" si="13"/>
        <v>230</v>
      </c>
    </row>
    <row r="308" spans="13:16" x14ac:dyDescent="0.25">
      <c r="M308" s="10">
        <v>42730</v>
      </c>
      <c r="N308" s="3">
        <f t="shared" si="13"/>
        <v>230</v>
      </c>
      <c r="O308" s="10">
        <v>42730</v>
      </c>
      <c r="P308" s="3">
        <f t="shared" si="13"/>
        <v>230</v>
      </c>
    </row>
    <row r="309" spans="13:16" x14ac:dyDescent="0.25">
      <c r="M309" s="10">
        <v>42731</v>
      </c>
      <c r="N309" s="3">
        <f t="shared" si="13"/>
        <v>230</v>
      </c>
      <c r="O309" s="10">
        <v>42731</v>
      </c>
      <c r="P309" s="3">
        <f t="shared" si="13"/>
        <v>230</v>
      </c>
    </row>
    <row r="310" spans="13:16" x14ac:dyDescent="0.25">
      <c r="M310" s="10">
        <v>42732</v>
      </c>
      <c r="N310" s="3">
        <f t="shared" si="13"/>
        <v>230</v>
      </c>
      <c r="O310" s="10">
        <v>42732</v>
      </c>
      <c r="P310" s="3">
        <f t="shared" si="13"/>
        <v>230</v>
      </c>
    </row>
    <row r="311" spans="13:16" x14ac:dyDescent="0.25">
      <c r="M311" s="10">
        <v>42733</v>
      </c>
      <c r="N311" s="3">
        <f t="shared" si="13"/>
        <v>230</v>
      </c>
      <c r="O311" s="10">
        <v>42733</v>
      </c>
      <c r="P311" s="3">
        <f t="shared" si="13"/>
        <v>230</v>
      </c>
    </row>
    <row r="312" spans="13:16" x14ac:dyDescent="0.25">
      <c r="M312" s="10">
        <v>42734</v>
      </c>
      <c r="N312" s="3">
        <f t="shared" si="13"/>
        <v>230</v>
      </c>
      <c r="O312" s="10">
        <v>42734</v>
      </c>
      <c r="P312" s="3">
        <f t="shared" si="13"/>
        <v>230</v>
      </c>
    </row>
    <row r="313" spans="13:16" x14ac:dyDescent="0.25">
      <c r="M313" s="10">
        <v>42735</v>
      </c>
      <c r="N313" s="3">
        <f t="shared" si="13"/>
        <v>230</v>
      </c>
      <c r="O313" s="10">
        <v>42735</v>
      </c>
      <c r="P313" s="3">
        <f t="shared" si="13"/>
        <v>230</v>
      </c>
    </row>
    <row r="314" spans="13:16" x14ac:dyDescent="0.25">
      <c r="M314" s="10">
        <v>42370</v>
      </c>
      <c r="N314" s="3">
        <f>$I$19-5</f>
        <v>250</v>
      </c>
      <c r="O314" s="10">
        <v>42370</v>
      </c>
      <c r="P314" s="3">
        <f>$I$19-5</f>
        <v>250</v>
      </c>
    </row>
    <row r="315" spans="13:16" x14ac:dyDescent="0.25">
      <c r="M315" s="10">
        <v>42371</v>
      </c>
      <c r="N315" s="3">
        <f t="shared" ref="N315:P372" si="14">$I$19-5</f>
        <v>250</v>
      </c>
      <c r="O315" s="10">
        <v>42371</v>
      </c>
      <c r="P315" s="3">
        <f t="shared" si="14"/>
        <v>250</v>
      </c>
    </row>
    <row r="316" spans="13:16" x14ac:dyDescent="0.25">
      <c r="M316" s="10">
        <v>42372</v>
      </c>
      <c r="N316" s="3">
        <f t="shared" si="14"/>
        <v>250</v>
      </c>
      <c r="O316" s="10">
        <v>42372</v>
      </c>
      <c r="P316" s="3">
        <f t="shared" si="14"/>
        <v>250</v>
      </c>
    </row>
    <row r="317" spans="13:16" x14ac:dyDescent="0.25">
      <c r="M317" s="10">
        <v>42373</v>
      </c>
      <c r="N317" s="3">
        <f t="shared" si="14"/>
        <v>250</v>
      </c>
      <c r="O317" s="10">
        <v>42373</v>
      </c>
      <c r="P317" s="3">
        <f t="shared" si="14"/>
        <v>250</v>
      </c>
    </row>
    <row r="318" spans="13:16" x14ac:dyDescent="0.25">
      <c r="M318" s="10">
        <v>42374</v>
      </c>
      <c r="N318" s="3">
        <f t="shared" si="14"/>
        <v>250</v>
      </c>
      <c r="O318" s="10">
        <v>42374</v>
      </c>
      <c r="P318" s="3">
        <f t="shared" si="14"/>
        <v>250</v>
      </c>
    </row>
    <row r="319" spans="13:16" x14ac:dyDescent="0.25">
      <c r="M319" s="10">
        <v>42375</v>
      </c>
      <c r="N319" s="3">
        <f t="shared" si="14"/>
        <v>250</v>
      </c>
      <c r="O319" s="10">
        <v>42375</v>
      </c>
      <c r="P319" s="3">
        <f t="shared" si="14"/>
        <v>250</v>
      </c>
    </row>
    <row r="320" spans="13:16" x14ac:dyDescent="0.25">
      <c r="M320" s="10">
        <v>42376</v>
      </c>
      <c r="N320" s="3">
        <f t="shared" si="14"/>
        <v>250</v>
      </c>
      <c r="O320" s="10">
        <v>42376</v>
      </c>
      <c r="P320" s="3">
        <f t="shared" si="14"/>
        <v>250</v>
      </c>
    </row>
    <row r="321" spans="13:16" x14ac:dyDescent="0.25">
      <c r="M321" s="10">
        <v>42377</v>
      </c>
      <c r="N321" s="3">
        <f t="shared" si="14"/>
        <v>250</v>
      </c>
      <c r="O321" s="10">
        <v>42377</v>
      </c>
      <c r="P321" s="3">
        <f t="shared" si="14"/>
        <v>250</v>
      </c>
    </row>
    <row r="322" spans="13:16" x14ac:dyDescent="0.25">
      <c r="M322" s="10">
        <v>42378</v>
      </c>
      <c r="N322" s="3">
        <f t="shared" si="14"/>
        <v>250</v>
      </c>
      <c r="O322" s="10">
        <v>42378</v>
      </c>
      <c r="P322" s="3">
        <f t="shared" si="14"/>
        <v>250</v>
      </c>
    </row>
    <row r="323" spans="13:16" x14ac:dyDescent="0.25">
      <c r="M323" s="10">
        <v>42379</v>
      </c>
      <c r="N323" s="3">
        <f t="shared" si="14"/>
        <v>250</v>
      </c>
      <c r="O323" s="10">
        <v>42379</v>
      </c>
      <c r="P323" s="3">
        <f t="shared" si="14"/>
        <v>250</v>
      </c>
    </row>
    <row r="324" spans="13:16" x14ac:dyDescent="0.25">
      <c r="M324" s="10">
        <v>42380</v>
      </c>
      <c r="N324" s="3">
        <f t="shared" si="14"/>
        <v>250</v>
      </c>
      <c r="O324" s="10">
        <v>42380</v>
      </c>
      <c r="P324" s="3">
        <f t="shared" si="14"/>
        <v>250</v>
      </c>
    </row>
    <row r="325" spans="13:16" x14ac:dyDescent="0.25">
      <c r="M325" s="10">
        <v>42381</v>
      </c>
      <c r="N325" s="3">
        <f t="shared" si="14"/>
        <v>250</v>
      </c>
      <c r="O325" s="10">
        <v>42381</v>
      </c>
      <c r="P325" s="3">
        <f t="shared" si="14"/>
        <v>250</v>
      </c>
    </row>
    <row r="326" spans="13:16" x14ac:dyDescent="0.25">
      <c r="M326" s="10">
        <v>42382</v>
      </c>
      <c r="N326" s="3">
        <f t="shared" si="14"/>
        <v>250</v>
      </c>
      <c r="O326" s="10">
        <v>42382</v>
      </c>
      <c r="P326" s="3">
        <f t="shared" si="14"/>
        <v>250</v>
      </c>
    </row>
    <row r="327" spans="13:16" x14ac:dyDescent="0.25">
      <c r="M327" s="10">
        <v>42383</v>
      </c>
      <c r="N327" s="3">
        <f t="shared" si="14"/>
        <v>250</v>
      </c>
      <c r="O327" s="10">
        <v>42383</v>
      </c>
      <c r="P327" s="3">
        <f t="shared" si="14"/>
        <v>250</v>
      </c>
    </row>
    <row r="328" spans="13:16" x14ac:dyDescent="0.25">
      <c r="M328" s="10">
        <v>42384</v>
      </c>
      <c r="N328" s="3">
        <f t="shared" si="14"/>
        <v>250</v>
      </c>
      <c r="O328" s="10">
        <v>42384</v>
      </c>
      <c r="P328" s="3">
        <f t="shared" si="14"/>
        <v>250</v>
      </c>
    </row>
    <row r="329" spans="13:16" x14ac:dyDescent="0.25">
      <c r="M329" s="10">
        <v>42385</v>
      </c>
      <c r="N329" s="3">
        <f t="shared" si="14"/>
        <v>250</v>
      </c>
      <c r="O329" s="10">
        <v>42385</v>
      </c>
      <c r="P329" s="3">
        <f t="shared" si="14"/>
        <v>250</v>
      </c>
    </row>
    <row r="330" spans="13:16" x14ac:dyDescent="0.25">
      <c r="M330" s="10">
        <v>42386</v>
      </c>
      <c r="N330" s="3">
        <f t="shared" si="14"/>
        <v>250</v>
      </c>
      <c r="O330" s="10">
        <v>42386</v>
      </c>
      <c r="P330" s="3">
        <f t="shared" si="14"/>
        <v>250</v>
      </c>
    </row>
    <row r="331" spans="13:16" x14ac:dyDescent="0.25">
      <c r="M331" s="10">
        <v>42387</v>
      </c>
      <c r="N331" s="3">
        <f t="shared" si="14"/>
        <v>250</v>
      </c>
      <c r="O331" s="10">
        <v>42387</v>
      </c>
      <c r="P331" s="3">
        <f t="shared" si="14"/>
        <v>250</v>
      </c>
    </row>
    <row r="332" spans="13:16" x14ac:dyDescent="0.25">
      <c r="M332" s="10">
        <v>42388</v>
      </c>
      <c r="N332" s="3">
        <f t="shared" si="14"/>
        <v>250</v>
      </c>
      <c r="O332" s="10">
        <v>42388</v>
      </c>
      <c r="P332" s="3">
        <f t="shared" si="14"/>
        <v>250</v>
      </c>
    </row>
    <row r="333" spans="13:16" x14ac:dyDescent="0.25">
      <c r="M333" s="10">
        <v>42389</v>
      </c>
      <c r="N333" s="3">
        <f t="shared" si="14"/>
        <v>250</v>
      </c>
      <c r="O333" s="10">
        <v>42389</v>
      </c>
      <c r="P333" s="3">
        <f t="shared" si="14"/>
        <v>250</v>
      </c>
    </row>
    <row r="334" spans="13:16" x14ac:dyDescent="0.25">
      <c r="M334" s="10">
        <v>42390</v>
      </c>
      <c r="N334" s="3">
        <f t="shared" si="14"/>
        <v>250</v>
      </c>
      <c r="O334" s="10">
        <v>42390</v>
      </c>
      <c r="P334" s="3">
        <f t="shared" si="14"/>
        <v>250</v>
      </c>
    </row>
    <row r="335" spans="13:16" x14ac:dyDescent="0.25">
      <c r="M335" s="10">
        <v>42391</v>
      </c>
      <c r="N335" s="3">
        <f t="shared" si="14"/>
        <v>250</v>
      </c>
      <c r="O335" s="10">
        <v>42391</v>
      </c>
      <c r="P335" s="3">
        <f t="shared" si="14"/>
        <v>250</v>
      </c>
    </row>
    <row r="336" spans="13:16" x14ac:dyDescent="0.25">
      <c r="M336" s="10">
        <v>42392</v>
      </c>
      <c r="N336" s="3">
        <f t="shared" si="14"/>
        <v>250</v>
      </c>
      <c r="O336" s="10">
        <v>42392</v>
      </c>
      <c r="P336" s="3">
        <f t="shared" si="14"/>
        <v>250</v>
      </c>
    </row>
    <row r="337" spans="13:17" x14ac:dyDescent="0.25">
      <c r="M337" s="10">
        <v>42393</v>
      </c>
      <c r="N337" s="3">
        <f t="shared" si="14"/>
        <v>250</v>
      </c>
      <c r="O337" s="10">
        <v>42393</v>
      </c>
      <c r="P337" s="3">
        <f t="shared" si="14"/>
        <v>250</v>
      </c>
    </row>
    <row r="338" spans="13:17" x14ac:dyDescent="0.25">
      <c r="M338" s="10">
        <v>42394</v>
      </c>
      <c r="N338" s="3">
        <f t="shared" si="14"/>
        <v>250</v>
      </c>
      <c r="O338" s="10">
        <v>42394</v>
      </c>
      <c r="P338" s="3">
        <f t="shared" si="14"/>
        <v>250</v>
      </c>
    </row>
    <row r="339" spans="13:17" x14ac:dyDescent="0.25">
      <c r="M339" s="10">
        <v>42395</v>
      </c>
      <c r="N339" s="3">
        <f t="shared" si="14"/>
        <v>250</v>
      </c>
      <c r="O339" s="10">
        <v>42395</v>
      </c>
      <c r="P339" s="3">
        <f t="shared" si="14"/>
        <v>250</v>
      </c>
    </row>
    <row r="340" spans="13:17" x14ac:dyDescent="0.25">
      <c r="M340" s="10">
        <v>42396</v>
      </c>
      <c r="N340" s="3">
        <f t="shared" si="14"/>
        <v>250</v>
      </c>
      <c r="O340" s="10">
        <v>42396</v>
      </c>
      <c r="P340" s="3">
        <f t="shared" si="14"/>
        <v>250</v>
      </c>
    </row>
    <row r="341" spans="13:17" x14ac:dyDescent="0.25">
      <c r="M341" s="10">
        <v>42397</v>
      </c>
      <c r="N341" s="3">
        <f t="shared" si="14"/>
        <v>250</v>
      </c>
      <c r="O341" s="10">
        <v>42397</v>
      </c>
      <c r="P341" s="3">
        <f t="shared" si="14"/>
        <v>250</v>
      </c>
    </row>
    <row r="342" spans="13:17" x14ac:dyDescent="0.25">
      <c r="M342" s="10">
        <v>42398</v>
      </c>
      <c r="N342" s="3">
        <f t="shared" si="14"/>
        <v>250</v>
      </c>
      <c r="O342" s="10">
        <v>42398</v>
      </c>
      <c r="P342" s="3">
        <f t="shared" si="14"/>
        <v>250</v>
      </c>
    </row>
    <row r="343" spans="13:17" x14ac:dyDescent="0.25">
      <c r="M343" s="10">
        <v>42399</v>
      </c>
      <c r="N343" s="3">
        <f t="shared" si="14"/>
        <v>250</v>
      </c>
      <c r="O343" s="10">
        <v>42399</v>
      </c>
      <c r="P343" s="3">
        <f t="shared" si="14"/>
        <v>250</v>
      </c>
    </row>
    <row r="344" spans="13:17" x14ac:dyDescent="0.25">
      <c r="M344" s="10">
        <v>42400</v>
      </c>
      <c r="N344" s="3">
        <f t="shared" si="14"/>
        <v>250</v>
      </c>
      <c r="O344" s="10">
        <v>42400</v>
      </c>
      <c r="P344" s="3">
        <f t="shared" si="14"/>
        <v>250</v>
      </c>
    </row>
    <row r="345" spans="13:17" x14ac:dyDescent="0.25">
      <c r="M345" s="10">
        <v>42401</v>
      </c>
      <c r="N345" s="3">
        <f t="shared" si="14"/>
        <v>250</v>
      </c>
      <c r="O345" s="10">
        <v>42401</v>
      </c>
      <c r="P345" s="3">
        <f>$I$19-5-$P$376</f>
        <v>241.37931034482759</v>
      </c>
      <c r="Q345" t="s">
        <v>133</v>
      </c>
    </row>
    <row r="346" spans="13:17" x14ac:dyDescent="0.25">
      <c r="M346" s="10">
        <v>42402</v>
      </c>
      <c r="N346" s="3">
        <f t="shared" si="14"/>
        <v>250</v>
      </c>
      <c r="O346" s="10">
        <v>42402</v>
      </c>
      <c r="P346" s="3">
        <f t="shared" ref="P346:P373" si="15">$I$19-5-$P$376</f>
        <v>241.37931034482759</v>
      </c>
      <c r="Q346" t="s">
        <v>133</v>
      </c>
    </row>
    <row r="347" spans="13:17" x14ac:dyDescent="0.25">
      <c r="M347" s="10">
        <v>42403</v>
      </c>
      <c r="N347" s="3">
        <f t="shared" si="14"/>
        <v>250</v>
      </c>
      <c r="O347" s="10">
        <v>42403</v>
      </c>
      <c r="P347" s="3">
        <f t="shared" si="15"/>
        <v>241.37931034482759</v>
      </c>
      <c r="Q347" t="s">
        <v>133</v>
      </c>
    </row>
    <row r="348" spans="13:17" x14ac:dyDescent="0.25">
      <c r="M348" s="10">
        <v>42404</v>
      </c>
      <c r="N348" s="3">
        <f t="shared" si="14"/>
        <v>250</v>
      </c>
      <c r="O348" s="10">
        <v>42404</v>
      </c>
      <c r="P348" s="3">
        <f t="shared" si="15"/>
        <v>241.37931034482759</v>
      </c>
      <c r="Q348" t="s">
        <v>133</v>
      </c>
    </row>
    <row r="349" spans="13:17" x14ac:dyDescent="0.25">
      <c r="M349" s="10">
        <v>42405</v>
      </c>
      <c r="N349" s="3">
        <f t="shared" si="14"/>
        <v>250</v>
      </c>
      <c r="O349" s="10">
        <v>42405</v>
      </c>
      <c r="P349" s="3">
        <f t="shared" si="15"/>
        <v>241.37931034482759</v>
      </c>
      <c r="Q349" t="s">
        <v>133</v>
      </c>
    </row>
    <row r="350" spans="13:17" x14ac:dyDescent="0.25">
      <c r="M350" s="10">
        <v>42406</v>
      </c>
      <c r="N350" s="3">
        <f t="shared" si="14"/>
        <v>250</v>
      </c>
      <c r="O350" s="10">
        <v>42406</v>
      </c>
      <c r="P350" s="3">
        <f t="shared" si="15"/>
        <v>241.37931034482759</v>
      </c>
      <c r="Q350" t="s">
        <v>133</v>
      </c>
    </row>
    <row r="351" spans="13:17" x14ac:dyDescent="0.25">
      <c r="M351" s="10">
        <v>42407</v>
      </c>
      <c r="N351" s="3">
        <f t="shared" si="14"/>
        <v>250</v>
      </c>
      <c r="O351" s="10">
        <v>42407</v>
      </c>
      <c r="P351" s="3">
        <f t="shared" si="15"/>
        <v>241.37931034482759</v>
      </c>
      <c r="Q351" t="s">
        <v>133</v>
      </c>
    </row>
    <row r="352" spans="13:17" x14ac:dyDescent="0.25">
      <c r="M352" s="10">
        <v>42408</v>
      </c>
      <c r="N352" s="3">
        <f t="shared" si="14"/>
        <v>250</v>
      </c>
      <c r="O352" s="10">
        <v>42408</v>
      </c>
      <c r="P352" s="3">
        <f t="shared" si="15"/>
        <v>241.37931034482759</v>
      </c>
      <c r="Q352" t="s">
        <v>133</v>
      </c>
    </row>
    <row r="353" spans="13:17" x14ac:dyDescent="0.25">
      <c r="M353" s="10">
        <v>42409</v>
      </c>
      <c r="N353" s="3">
        <f t="shared" si="14"/>
        <v>250</v>
      </c>
      <c r="O353" s="10">
        <v>42409</v>
      </c>
      <c r="P353" s="3">
        <f t="shared" si="15"/>
        <v>241.37931034482759</v>
      </c>
      <c r="Q353" t="s">
        <v>133</v>
      </c>
    </row>
    <row r="354" spans="13:17" x14ac:dyDescent="0.25">
      <c r="M354" s="10">
        <v>42410</v>
      </c>
      <c r="N354" s="3">
        <f t="shared" si="14"/>
        <v>250</v>
      </c>
      <c r="O354" s="10">
        <v>42410</v>
      </c>
      <c r="P354" s="3">
        <f t="shared" si="15"/>
        <v>241.37931034482759</v>
      </c>
      <c r="Q354" t="s">
        <v>133</v>
      </c>
    </row>
    <row r="355" spans="13:17" x14ac:dyDescent="0.25">
      <c r="M355" s="10">
        <v>42411</v>
      </c>
      <c r="N355" s="3">
        <f t="shared" si="14"/>
        <v>250</v>
      </c>
      <c r="O355" s="10">
        <v>42411</v>
      </c>
      <c r="P355" s="3">
        <f t="shared" si="15"/>
        <v>241.37931034482759</v>
      </c>
      <c r="Q355" t="s">
        <v>133</v>
      </c>
    </row>
    <row r="356" spans="13:17" x14ac:dyDescent="0.25">
      <c r="M356" s="10">
        <v>42412</v>
      </c>
      <c r="N356" s="3">
        <f t="shared" si="14"/>
        <v>250</v>
      </c>
      <c r="O356" s="10">
        <v>42412</v>
      </c>
      <c r="P356" s="3">
        <f t="shared" si="15"/>
        <v>241.37931034482759</v>
      </c>
      <c r="Q356" t="s">
        <v>133</v>
      </c>
    </row>
    <row r="357" spans="13:17" x14ac:dyDescent="0.25">
      <c r="M357" s="10">
        <v>42413</v>
      </c>
      <c r="N357" s="3">
        <f t="shared" si="14"/>
        <v>250</v>
      </c>
      <c r="O357" s="10">
        <v>42413</v>
      </c>
      <c r="P357" s="3">
        <f t="shared" si="15"/>
        <v>241.37931034482759</v>
      </c>
      <c r="Q357" t="s">
        <v>133</v>
      </c>
    </row>
    <row r="358" spans="13:17" x14ac:dyDescent="0.25">
      <c r="M358" s="10">
        <v>42414</v>
      </c>
      <c r="N358" s="3">
        <f t="shared" si="14"/>
        <v>250</v>
      </c>
      <c r="O358" s="10">
        <v>42414</v>
      </c>
      <c r="P358" s="3">
        <f t="shared" si="15"/>
        <v>241.37931034482759</v>
      </c>
      <c r="Q358" t="s">
        <v>133</v>
      </c>
    </row>
    <row r="359" spans="13:17" x14ac:dyDescent="0.25">
      <c r="M359" s="10">
        <v>42415</v>
      </c>
      <c r="N359" s="3">
        <f t="shared" si="14"/>
        <v>250</v>
      </c>
      <c r="O359" s="10">
        <v>42415</v>
      </c>
      <c r="P359" s="3">
        <f t="shared" si="15"/>
        <v>241.37931034482759</v>
      </c>
      <c r="Q359" t="s">
        <v>133</v>
      </c>
    </row>
    <row r="360" spans="13:17" x14ac:dyDescent="0.25">
      <c r="M360" s="10">
        <v>42416</v>
      </c>
      <c r="N360" s="3">
        <f t="shared" si="14"/>
        <v>250</v>
      </c>
      <c r="O360" s="10">
        <v>42416</v>
      </c>
      <c r="P360" s="3">
        <f t="shared" si="15"/>
        <v>241.37931034482759</v>
      </c>
      <c r="Q360" t="s">
        <v>133</v>
      </c>
    </row>
    <row r="361" spans="13:17" x14ac:dyDescent="0.25">
      <c r="M361" s="10">
        <v>42417</v>
      </c>
      <c r="N361" s="3">
        <f t="shared" si="14"/>
        <v>250</v>
      </c>
      <c r="O361" s="10">
        <v>42417</v>
      </c>
      <c r="P361" s="3">
        <f t="shared" si="15"/>
        <v>241.37931034482759</v>
      </c>
      <c r="Q361" t="s">
        <v>133</v>
      </c>
    </row>
    <row r="362" spans="13:17" x14ac:dyDescent="0.25">
      <c r="M362" s="10">
        <v>42418</v>
      </c>
      <c r="N362" s="3">
        <f t="shared" si="14"/>
        <v>250</v>
      </c>
      <c r="O362" s="10">
        <v>42418</v>
      </c>
      <c r="P362" s="3">
        <f t="shared" si="15"/>
        <v>241.37931034482759</v>
      </c>
      <c r="Q362" t="s">
        <v>133</v>
      </c>
    </row>
    <row r="363" spans="13:17" x14ac:dyDescent="0.25">
      <c r="M363" s="10">
        <v>42419</v>
      </c>
      <c r="N363" s="3">
        <f t="shared" si="14"/>
        <v>250</v>
      </c>
      <c r="O363" s="10">
        <v>42419</v>
      </c>
      <c r="P363" s="3">
        <f t="shared" si="15"/>
        <v>241.37931034482759</v>
      </c>
      <c r="Q363" t="s">
        <v>133</v>
      </c>
    </row>
    <row r="364" spans="13:17" x14ac:dyDescent="0.25">
      <c r="M364" s="10">
        <v>42420</v>
      </c>
      <c r="N364" s="3">
        <f t="shared" si="14"/>
        <v>250</v>
      </c>
      <c r="O364" s="10">
        <v>42420</v>
      </c>
      <c r="P364" s="3">
        <f t="shared" si="15"/>
        <v>241.37931034482759</v>
      </c>
      <c r="Q364" t="s">
        <v>133</v>
      </c>
    </row>
    <row r="365" spans="13:17" x14ac:dyDescent="0.25">
      <c r="M365" s="10">
        <v>42421</v>
      </c>
      <c r="N365" s="3">
        <f t="shared" si="14"/>
        <v>250</v>
      </c>
      <c r="O365" s="10">
        <v>42421</v>
      </c>
      <c r="P365" s="3">
        <f t="shared" si="15"/>
        <v>241.37931034482759</v>
      </c>
      <c r="Q365" t="s">
        <v>133</v>
      </c>
    </row>
    <row r="366" spans="13:17" x14ac:dyDescent="0.25">
      <c r="M366" s="10">
        <v>42422</v>
      </c>
      <c r="N366" s="3">
        <f t="shared" si="14"/>
        <v>250</v>
      </c>
      <c r="O366" s="10">
        <v>42422</v>
      </c>
      <c r="P366" s="3">
        <f t="shared" si="15"/>
        <v>241.37931034482759</v>
      </c>
      <c r="Q366" t="s">
        <v>133</v>
      </c>
    </row>
    <row r="367" spans="13:17" x14ac:dyDescent="0.25">
      <c r="M367" s="10">
        <v>42423</v>
      </c>
      <c r="N367" s="3">
        <f t="shared" si="14"/>
        <v>250</v>
      </c>
      <c r="O367" s="10">
        <v>42423</v>
      </c>
      <c r="P367" s="3">
        <f t="shared" si="15"/>
        <v>241.37931034482759</v>
      </c>
      <c r="Q367" t="s">
        <v>133</v>
      </c>
    </row>
    <row r="368" spans="13:17" x14ac:dyDescent="0.25">
      <c r="M368" s="10">
        <v>42424</v>
      </c>
      <c r="N368" s="3">
        <f t="shared" si="14"/>
        <v>250</v>
      </c>
      <c r="O368" s="10">
        <v>42424</v>
      </c>
      <c r="P368" s="3">
        <f t="shared" si="15"/>
        <v>241.37931034482759</v>
      </c>
      <c r="Q368" t="s">
        <v>133</v>
      </c>
    </row>
    <row r="369" spans="13:17" x14ac:dyDescent="0.25">
      <c r="M369" s="10">
        <v>42425</v>
      </c>
      <c r="N369" s="3">
        <f t="shared" si="14"/>
        <v>250</v>
      </c>
      <c r="O369" s="10">
        <v>42425</v>
      </c>
      <c r="P369" s="3">
        <f t="shared" si="15"/>
        <v>241.37931034482759</v>
      </c>
      <c r="Q369" t="s">
        <v>133</v>
      </c>
    </row>
    <row r="370" spans="13:17" x14ac:dyDescent="0.25">
      <c r="M370" s="10">
        <v>42426</v>
      </c>
      <c r="N370" s="3">
        <f t="shared" si="14"/>
        <v>250</v>
      </c>
      <c r="O370" s="10">
        <v>42426</v>
      </c>
      <c r="P370" s="3">
        <f t="shared" si="15"/>
        <v>241.37931034482759</v>
      </c>
      <c r="Q370" t="s">
        <v>133</v>
      </c>
    </row>
    <row r="371" spans="13:17" x14ac:dyDescent="0.25">
      <c r="M371" s="10">
        <v>42427</v>
      </c>
      <c r="N371" s="3">
        <f t="shared" si="14"/>
        <v>250</v>
      </c>
      <c r="O371" s="10">
        <v>42427</v>
      </c>
      <c r="P371" s="3">
        <f t="shared" si="15"/>
        <v>241.37931034482759</v>
      </c>
      <c r="Q371" t="s">
        <v>133</v>
      </c>
    </row>
    <row r="372" spans="13:17" ht="15.75" thickBot="1" x14ac:dyDescent="0.3">
      <c r="M372" s="40">
        <v>42428</v>
      </c>
      <c r="N372" s="41">
        <f t="shared" si="14"/>
        <v>250</v>
      </c>
      <c r="O372" s="10">
        <v>42428</v>
      </c>
      <c r="P372" s="3">
        <f t="shared" si="15"/>
        <v>241.37931034482759</v>
      </c>
      <c r="Q372" t="s">
        <v>133</v>
      </c>
    </row>
    <row r="373" spans="13:17" ht="15.75" thickBot="1" x14ac:dyDescent="0.3">
      <c r="M373" t="s">
        <v>131</v>
      </c>
      <c r="N373" s="42">
        <f>SUM(N8:N372)*86400/43560</f>
        <v>259123.7762185453</v>
      </c>
      <c r="O373" s="40">
        <v>42429</v>
      </c>
      <c r="P373" s="41">
        <f t="shared" si="15"/>
        <v>241.37931034482759</v>
      </c>
      <c r="Q373" t="s">
        <v>133</v>
      </c>
    </row>
    <row r="374" spans="13:17" x14ac:dyDescent="0.25">
      <c r="O374" t="s">
        <v>131</v>
      </c>
      <c r="P374" s="42">
        <f>SUM(P8:P373)*86400/43560</f>
        <v>259123.77621854522</v>
      </c>
    </row>
    <row r="375" spans="13:17" x14ac:dyDescent="0.25">
      <c r="O375" s="1" t="s">
        <v>134</v>
      </c>
      <c r="P375" s="3">
        <f>N372*86400/43560</f>
        <v>495.8677685950413</v>
      </c>
    </row>
    <row r="376" spans="13:17" x14ac:dyDescent="0.25">
      <c r="O376" s="1" t="s">
        <v>132</v>
      </c>
      <c r="P376">
        <f>P375/29*43560/86400</f>
        <v>8.6206896551724128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25"/>
  <sheetViews>
    <sheetView topLeftCell="A4" workbookViewId="0">
      <selection activeCell="C1" sqref="C1:C65536"/>
    </sheetView>
  </sheetViews>
  <sheetFormatPr defaultRowHeight="15" x14ac:dyDescent="0.25"/>
  <sheetData>
    <row r="1" spans="1:5" x14ac:dyDescent="0.25">
      <c r="C1" s="2"/>
      <c r="D1" s="2"/>
      <c r="E1" s="2"/>
    </row>
    <row r="2" spans="1:5" x14ac:dyDescent="0.25">
      <c r="A2" s="10">
        <v>40238</v>
      </c>
      <c r="B2" s="8">
        <f>'Gravelly Ford'!I8</f>
        <v>375</v>
      </c>
      <c r="C2" s="2">
        <f>ExhibitB.LUP!E3</f>
        <v>375</v>
      </c>
      <c r="D2" s="2"/>
      <c r="E2" s="11"/>
    </row>
    <row r="3" spans="1:5" x14ac:dyDescent="0.25">
      <c r="A3" s="10">
        <v>40252</v>
      </c>
      <c r="B3" s="8">
        <f>'Gravelly Ford'!I8</f>
        <v>375</v>
      </c>
      <c r="C3" s="2">
        <f>ExhibitB.LUP!E3</f>
        <v>375</v>
      </c>
      <c r="D3" s="2"/>
      <c r="E3" s="11"/>
    </row>
    <row r="4" spans="1:5" x14ac:dyDescent="0.25">
      <c r="A4" s="10">
        <v>40253</v>
      </c>
      <c r="B4" s="8">
        <f>'Gravelly Ford'!I9</f>
        <v>1375</v>
      </c>
      <c r="C4" s="2">
        <f>ExhibitB.LUP!E4</f>
        <v>1375</v>
      </c>
      <c r="D4" s="2"/>
      <c r="E4" s="11"/>
    </row>
    <row r="5" spans="1:5" x14ac:dyDescent="0.25">
      <c r="A5" s="10">
        <v>40268</v>
      </c>
      <c r="B5" s="8">
        <f>'Gravelly Ford'!I9</f>
        <v>1375</v>
      </c>
      <c r="C5" s="2">
        <f>ExhibitB.LUP!E4</f>
        <v>1375</v>
      </c>
      <c r="D5" s="2"/>
      <c r="E5" s="11"/>
    </row>
    <row r="6" spans="1:5" x14ac:dyDescent="0.25">
      <c r="A6" s="10">
        <v>40269</v>
      </c>
      <c r="B6" s="8">
        <f>'Gravelly Ford'!I10</f>
        <v>2355</v>
      </c>
      <c r="C6" s="2">
        <f>ExhibitB.LUP!E5</f>
        <v>2355</v>
      </c>
      <c r="D6" s="2"/>
      <c r="E6" s="11"/>
    </row>
    <row r="7" spans="1:5" x14ac:dyDescent="0.25">
      <c r="A7" s="10">
        <v>40283</v>
      </c>
      <c r="B7" s="8">
        <f>'Gravelly Ford'!I10</f>
        <v>2355</v>
      </c>
      <c r="C7" s="2">
        <f>ExhibitB.LUP!E5</f>
        <v>2355</v>
      </c>
      <c r="D7" s="2"/>
      <c r="E7" s="11"/>
    </row>
    <row r="8" spans="1:5" x14ac:dyDescent="0.25">
      <c r="A8" s="10">
        <v>40284</v>
      </c>
      <c r="B8" s="8">
        <f>'Gravelly Ford'!I11</f>
        <v>568.43803401221908</v>
      </c>
      <c r="C8" s="2">
        <f>ExhibitB.LUP!E6</f>
        <v>205</v>
      </c>
      <c r="D8" s="2"/>
      <c r="E8" s="11"/>
    </row>
    <row r="9" spans="1:5" x14ac:dyDescent="0.25">
      <c r="A9" s="10">
        <v>40298</v>
      </c>
      <c r="B9" s="8">
        <f>'Gravelly Ford'!I11</f>
        <v>568.43803401221908</v>
      </c>
      <c r="C9" s="2">
        <f>ExhibitB.LUP!E6</f>
        <v>205</v>
      </c>
      <c r="D9" s="2"/>
      <c r="E9" s="11"/>
    </row>
    <row r="10" spans="1:5" x14ac:dyDescent="0.25">
      <c r="A10" s="10">
        <v>40299</v>
      </c>
      <c r="B10" s="8">
        <f>'Gravelly Ford'!I12</f>
        <v>165</v>
      </c>
      <c r="C10" s="2">
        <f>ExhibitB.LUP!E7</f>
        <v>165</v>
      </c>
      <c r="D10" s="2"/>
      <c r="E10" s="11"/>
    </row>
    <row r="11" spans="1:5" x14ac:dyDescent="0.25">
      <c r="A11" s="10">
        <v>40359</v>
      </c>
      <c r="B11" s="8">
        <f>'Gravelly Ford'!I12</f>
        <v>165</v>
      </c>
      <c r="C11" s="2">
        <f>ExhibitB.LUP!E7</f>
        <v>165</v>
      </c>
      <c r="D11" s="2"/>
      <c r="E11" s="11"/>
    </row>
    <row r="12" spans="1:5" x14ac:dyDescent="0.25">
      <c r="A12" s="10">
        <v>40360</v>
      </c>
      <c r="B12" s="8">
        <f>'Gravelly Ford'!I13</f>
        <v>125</v>
      </c>
      <c r="C12" s="2">
        <f>ExhibitB.LUP!E8</f>
        <v>125</v>
      </c>
      <c r="D12" s="2"/>
      <c r="E12" s="11"/>
    </row>
    <row r="13" spans="1:5" x14ac:dyDescent="0.25">
      <c r="A13" s="10">
        <v>40421</v>
      </c>
      <c r="B13" s="8">
        <f>'Gravelly Ford'!I13</f>
        <v>125</v>
      </c>
      <c r="C13" s="2">
        <f>ExhibitB.LUP!E8</f>
        <v>125</v>
      </c>
      <c r="D13" s="2"/>
      <c r="E13" s="11"/>
    </row>
    <row r="14" spans="1:5" x14ac:dyDescent="0.25">
      <c r="A14" s="10">
        <v>40422</v>
      </c>
      <c r="B14" s="8">
        <f>'Gravelly Ford'!I14</f>
        <v>145</v>
      </c>
      <c r="C14" s="2">
        <f>ExhibitB.LUP!E9</f>
        <v>145</v>
      </c>
      <c r="D14" s="2"/>
      <c r="E14" s="11"/>
    </row>
    <row r="15" spans="1:5" x14ac:dyDescent="0.25">
      <c r="A15" s="10">
        <v>40451</v>
      </c>
      <c r="B15" s="8">
        <f>'Gravelly Ford'!I14</f>
        <v>145</v>
      </c>
      <c r="C15" s="2">
        <f>ExhibitB.LUP!E9</f>
        <v>145</v>
      </c>
      <c r="D15" s="2"/>
      <c r="E15" s="2"/>
    </row>
    <row r="16" spans="1:5" x14ac:dyDescent="0.25">
      <c r="A16" s="10">
        <v>40452</v>
      </c>
      <c r="B16" s="8">
        <f>'Gravelly Ford'!I15</f>
        <v>195</v>
      </c>
      <c r="C16" s="2">
        <f>ExhibitB.LUP!E10</f>
        <v>195</v>
      </c>
      <c r="D16" s="2"/>
      <c r="E16" s="2"/>
    </row>
    <row r="17" spans="1:3" x14ac:dyDescent="0.25">
      <c r="A17" s="10">
        <v>40482</v>
      </c>
      <c r="B17" s="8">
        <f>'Gravelly Ford'!I15</f>
        <v>195</v>
      </c>
      <c r="C17">
        <f>ExhibitB.LUP!E10</f>
        <v>195</v>
      </c>
    </row>
    <row r="18" spans="1:3" x14ac:dyDescent="0.25">
      <c r="A18" s="10">
        <v>40483</v>
      </c>
      <c r="B18" s="8">
        <f>'Gravelly Ford'!I16</f>
        <v>575</v>
      </c>
      <c r="C18">
        <f>ExhibitB.LUP!E11</f>
        <v>575</v>
      </c>
    </row>
    <row r="19" spans="1:3" x14ac:dyDescent="0.25">
      <c r="A19" s="10">
        <v>40488</v>
      </c>
      <c r="B19" s="8">
        <f>'Gravelly Ford'!I16</f>
        <v>575</v>
      </c>
      <c r="C19">
        <f>ExhibitB.LUP!E11</f>
        <v>575</v>
      </c>
    </row>
    <row r="20" spans="1:3" x14ac:dyDescent="0.25">
      <c r="A20" s="10">
        <v>40489</v>
      </c>
      <c r="B20" s="8">
        <f>'Gravelly Ford'!I17</f>
        <v>575</v>
      </c>
      <c r="C20">
        <f>ExhibitB.LUP!E12</f>
        <v>575</v>
      </c>
    </row>
    <row r="21" spans="1:3" x14ac:dyDescent="0.25">
      <c r="A21" s="10">
        <v>40492</v>
      </c>
      <c r="B21" s="8">
        <f>'Gravelly Ford'!I17</f>
        <v>575</v>
      </c>
      <c r="C21">
        <f>ExhibitB.LUP!E12</f>
        <v>575</v>
      </c>
    </row>
    <row r="22" spans="1:3" x14ac:dyDescent="0.25">
      <c r="A22" s="10">
        <v>40493</v>
      </c>
      <c r="B22" s="8">
        <f>'Gravelly Ford'!I18</f>
        <v>235</v>
      </c>
      <c r="C22">
        <f>ExhibitB.LUP!E13</f>
        <v>235</v>
      </c>
    </row>
    <row r="23" spans="1:3" x14ac:dyDescent="0.25">
      <c r="A23" s="10">
        <v>40543</v>
      </c>
      <c r="B23" s="8">
        <f>'Gravelly Ford'!I18</f>
        <v>235</v>
      </c>
      <c r="C23">
        <f>ExhibitB.LUP!E13</f>
        <v>235</v>
      </c>
    </row>
    <row r="24" spans="1:3" x14ac:dyDescent="0.25">
      <c r="A24" s="10">
        <v>40179</v>
      </c>
      <c r="B24" s="8">
        <f>'Gravelly Ford'!I19</f>
        <v>255</v>
      </c>
      <c r="C24">
        <f>ExhibitB.LUP!E14</f>
        <v>255</v>
      </c>
    </row>
    <row r="25" spans="1:3" x14ac:dyDescent="0.25">
      <c r="A25" s="10">
        <v>40237</v>
      </c>
      <c r="B25" s="8">
        <f>'Gravelly Ford'!I19</f>
        <v>255</v>
      </c>
      <c r="C25">
        <f>ExhibitB.LUP!E14</f>
        <v>255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O18"/>
  <sheetViews>
    <sheetView workbookViewId="0">
      <selection activeCell="E8" sqref="E8"/>
    </sheetView>
  </sheetViews>
  <sheetFormatPr defaultColWidth="4.7109375" defaultRowHeight="15" x14ac:dyDescent="0.25"/>
  <cols>
    <col min="1" max="1" width="6" customWidth="1"/>
    <col min="2" max="2" width="14.5703125" bestFit="1" customWidth="1"/>
    <col min="3" max="3" width="6.5703125" bestFit="1" customWidth="1"/>
    <col min="4" max="4" width="17.7109375" bestFit="1" customWidth="1"/>
    <col min="5" max="5" width="13.28515625" customWidth="1"/>
    <col min="6" max="6" width="13.42578125" customWidth="1"/>
    <col min="7" max="7" width="14" customWidth="1"/>
    <col min="8" max="8" width="13.5703125" customWidth="1"/>
    <col min="9" max="9" width="13.5703125" bestFit="1" customWidth="1"/>
    <col min="10" max="11" width="4.7109375" customWidth="1"/>
    <col min="12" max="12" width="5.28515625" customWidth="1"/>
    <col min="13" max="14" width="4.7109375" customWidth="1"/>
    <col min="15" max="15" width="4.7109375" style="1" customWidth="1"/>
    <col min="16" max="24" width="4.7109375" customWidth="1"/>
    <col min="25" max="25" width="6.42578125" customWidth="1"/>
    <col min="26" max="26" width="8.85546875" customWidth="1"/>
    <col min="27" max="27" width="15" customWidth="1"/>
    <col min="28" max="28" width="10.28515625" customWidth="1"/>
  </cols>
  <sheetData>
    <row r="2" spans="1:15" x14ac:dyDescent="0.25">
      <c r="A2" t="s">
        <v>34</v>
      </c>
      <c r="E2" s="12" t="s">
        <v>74</v>
      </c>
      <c r="F2" s="12" t="s">
        <v>114</v>
      </c>
      <c r="G2" s="12"/>
      <c r="H2" s="12"/>
      <c r="I2" s="12"/>
      <c r="J2" s="12"/>
      <c r="K2" s="12"/>
      <c r="L2" s="12"/>
      <c r="M2" s="12"/>
      <c r="N2" s="12"/>
    </row>
    <row r="3" spans="1:15" x14ac:dyDescent="0.25">
      <c r="E3" s="11"/>
      <c r="F3" s="2"/>
      <c r="G3" s="2"/>
      <c r="H3" s="2"/>
      <c r="I3" s="15"/>
      <c r="J3" s="2"/>
      <c r="K3" s="2"/>
      <c r="L3" s="2"/>
      <c r="M3" s="2"/>
      <c r="N3" s="2"/>
    </row>
    <row r="4" spans="1:15" x14ac:dyDescent="0.25">
      <c r="L4" s="1"/>
      <c r="O4"/>
    </row>
    <row r="5" spans="1:15" x14ac:dyDescent="0.25">
      <c r="A5" t="s">
        <v>11</v>
      </c>
      <c r="B5" t="s">
        <v>1</v>
      </c>
      <c r="C5" t="s">
        <v>2</v>
      </c>
      <c r="D5" t="s">
        <v>77</v>
      </c>
      <c r="E5" t="s">
        <v>78</v>
      </c>
      <c r="F5" s="9" t="s">
        <v>55</v>
      </c>
      <c r="G5" t="s">
        <v>110</v>
      </c>
      <c r="I5" s="1"/>
      <c r="O5"/>
    </row>
    <row r="6" spans="1:15" x14ac:dyDescent="0.25">
      <c r="A6" t="s">
        <v>44</v>
      </c>
      <c r="B6" t="s">
        <v>21</v>
      </c>
      <c r="C6">
        <v>15</v>
      </c>
      <c r="D6" s="1">
        <f>'Gravelly Ford'!I8</f>
        <v>375</v>
      </c>
      <c r="E6">
        <f>'R2 Losses.LUP'!G2</f>
        <v>90</v>
      </c>
      <c r="F6" s="8">
        <f>D6-E6</f>
        <v>285</v>
      </c>
      <c r="G6" s="1"/>
      <c r="I6" s="1"/>
      <c r="O6"/>
    </row>
    <row r="7" spans="1:15" x14ac:dyDescent="0.25">
      <c r="A7" t="s">
        <v>45</v>
      </c>
      <c r="B7" t="s">
        <v>22</v>
      </c>
      <c r="C7">
        <v>16</v>
      </c>
      <c r="D7" s="1">
        <f>'Gravelly Ford'!I9</f>
        <v>1375</v>
      </c>
      <c r="E7">
        <f>'R2 Losses.LUP'!G3</f>
        <v>150.46665027214536</v>
      </c>
      <c r="F7" s="8">
        <f t="shared" ref="F7:F17" si="0">D7-E7</f>
        <v>1224.5333497278546</v>
      </c>
      <c r="G7" s="24">
        <v>1390</v>
      </c>
      <c r="I7" s="1"/>
      <c r="O7"/>
    </row>
    <row r="8" spans="1:15" x14ac:dyDescent="0.25">
      <c r="A8" t="s">
        <v>38</v>
      </c>
      <c r="B8" t="s">
        <v>23</v>
      </c>
      <c r="C8">
        <v>15</v>
      </c>
      <c r="D8" s="1">
        <f>'Gravelly Ford'!I10</f>
        <v>2355</v>
      </c>
      <c r="E8">
        <f>'R2 Losses.LUP'!G4</f>
        <v>176.25823618118628</v>
      </c>
      <c r="F8" s="8">
        <f t="shared" si="0"/>
        <v>2178.7417638188135</v>
      </c>
      <c r="G8" s="24">
        <v>1410</v>
      </c>
      <c r="I8" s="1"/>
      <c r="O8"/>
    </row>
    <row r="9" spans="1:15" x14ac:dyDescent="0.25">
      <c r="A9" t="s">
        <v>37</v>
      </c>
      <c r="B9" t="s">
        <v>24</v>
      </c>
      <c r="C9">
        <v>15</v>
      </c>
      <c r="D9" s="1">
        <f>'Gravelly Ford'!I11</f>
        <v>568.43803401221908</v>
      </c>
      <c r="E9">
        <f>'R2 Losses.LUP'!G5</f>
        <v>100</v>
      </c>
      <c r="F9" s="8">
        <f t="shared" si="0"/>
        <v>468.43803401221908</v>
      </c>
      <c r="G9" s="24">
        <v>1410</v>
      </c>
      <c r="I9" s="1"/>
      <c r="O9"/>
    </row>
    <row r="10" spans="1:15" x14ac:dyDescent="0.25">
      <c r="A10" t="s">
        <v>39</v>
      </c>
      <c r="B10" t="s">
        <v>31</v>
      </c>
      <c r="C10">
        <v>61</v>
      </c>
      <c r="D10" s="1">
        <f>'Gravelly Ford'!I12</f>
        <v>165</v>
      </c>
      <c r="E10">
        <f>'R2 Losses.LUP'!G6</f>
        <v>80</v>
      </c>
      <c r="F10" s="8">
        <f t="shared" si="0"/>
        <v>85</v>
      </c>
      <c r="G10" s="24">
        <v>1450</v>
      </c>
      <c r="I10" s="1"/>
      <c r="O10"/>
    </row>
    <row r="11" spans="1:15" x14ac:dyDescent="0.25">
      <c r="A11" t="s">
        <v>40</v>
      </c>
      <c r="B11" t="s">
        <v>25</v>
      </c>
      <c r="C11">
        <v>62</v>
      </c>
      <c r="D11" s="1">
        <f>'Gravelly Ford'!I13</f>
        <v>125</v>
      </c>
      <c r="E11">
        <f>'R2 Losses.LUP'!G7</f>
        <v>80</v>
      </c>
      <c r="F11" s="8">
        <f t="shared" si="0"/>
        <v>45</v>
      </c>
      <c r="G11" s="24">
        <v>1490</v>
      </c>
      <c r="I11" s="1"/>
      <c r="O11"/>
    </row>
    <row r="12" spans="1:15" x14ac:dyDescent="0.25">
      <c r="A12" t="s">
        <v>5</v>
      </c>
      <c r="B12" t="s">
        <v>26</v>
      </c>
      <c r="C12">
        <v>30</v>
      </c>
      <c r="D12" s="1">
        <f>'Gravelly Ford'!I14</f>
        <v>145</v>
      </c>
      <c r="E12">
        <f>'R2 Losses.LUP'!G8</f>
        <v>80</v>
      </c>
      <c r="F12" s="8">
        <f t="shared" si="0"/>
        <v>65</v>
      </c>
      <c r="G12" s="24">
        <v>1470</v>
      </c>
      <c r="I12" s="1"/>
      <c r="O12"/>
    </row>
    <row r="13" spans="1:15" x14ac:dyDescent="0.25">
      <c r="A13" t="s">
        <v>6</v>
      </c>
      <c r="B13" t="s">
        <v>27</v>
      </c>
      <c r="C13">
        <v>31</v>
      </c>
      <c r="D13" s="1">
        <f>'Gravelly Ford'!I15</f>
        <v>195</v>
      </c>
      <c r="E13">
        <f>'R2 Losses.LUP'!G9</f>
        <v>80</v>
      </c>
      <c r="F13" s="8">
        <f t="shared" si="0"/>
        <v>115</v>
      </c>
      <c r="G13" s="24">
        <v>1420</v>
      </c>
      <c r="I13" s="1"/>
      <c r="O13"/>
    </row>
    <row r="14" spans="1:15" x14ac:dyDescent="0.25">
      <c r="A14" t="s">
        <v>7</v>
      </c>
      <c r="B14" t="s">
        <v>29</v>
      </c>
      <c r="C14">
        <v>6</v>
      </c>
      <c r="D14" s="1">
        <f>'Gravelly Ford'!I16</f>
        <v>575</v>
      </c>
      <c r="E14">
        <f>'R2 Losses.LUP'!G10</f>
        <v>100</v>
      </c>
      <c r="F14" s="8">
        <f t="shared" si="0"/>
        <v>475</v>
      </c>
      <c r="G14" s="24">
        <v>1390</v>
      </c>
      <c r="I14" s="1"/>
      <c r="O14"/>
    </row>
    <row r="15" spans="1:15" x14ac:dyDescent="0.25">
      <c r="A15" t="s">
        <v>8</v>
      </c>
      <c r="B15" t="s">
        <v>28</v>
      </c>
      <c r="C15">
        <v>4</v>
      </c>
      <c r="D15" s="1">
        <f>'Gravelly Ford'!I17</f>
        <v>575</v>
      </c>
      <c r="E15">
        <f>'R2 Losses.LUP'!G11</f>
        <v>100</v>
      </c>
      <c r="F15" s="8">
        <f t="shared" si="0"/>
        <v>475</v>
      </c>
      <c r="G15" s="24">
        <v>1380</v>
      </c>
      <c r="I15" s="1"/>
      <c r="O15"/>
    </row>
    <row r="16" spans="1:15" x14ac:dyDescent="0.25">
      <c r="A16" t="s">
        <v>9</v>
      </c>
      <c r="B16" t="s">
        <v>32</v>
      </c>
      <c r="C16">
        <f>(30-10)+31</f>
        <v>51</v>
      </c>
      <c r="D16" s="1">
        <f>'Gravelly Ford'!I18</f>
        <v>235</v>
      </c>
      <c r="E16">
        <f>'R2 Losses.LUP'!G12</f>
        <v>80</v>
      </c>
      <c r="F16" s="8">
        <f t="shared" si="0"/>
        <v>155</v>
      </c>
      <c r="G16" s="24">
        <v>1380</v>
      </c>
      <c r="O16"/>
    </row>
    <row r="17" spans="1:15" x14ac:dyDescent="0.25">
      <c r="A17" t="s">
        <v>10</v>
      </c>
      <c r="B17" t="s">
        <v>30</v>
      </c>
      <c r="C17">
        <f>31+28</f>
        <v>59</v>
      </c>
      <c r="D17" s="1">
        <f>'Gravelly Ford'!I19</f>
        <v>255</v>
      </c>
      <c r="E17">
        <f>'R2 Losses.LUP'!G13</f>
        <v>80</v>
      </c>
      <c r="F17" s="8">
        <f t="shared" si="0"/>
        <v>175</v>
      </c>
      <c r="G17" s="24">
        <v>1360</v>
      </c>
      <c r="O17"/>
    </row>
    <row r="18" spans="1:15" x14ac:dyDescent="0.25">
      <c r="F1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C25"/>
  <sheetViews>
    <sheetView workbookViewId="0">
      <selection activeCell="O14" sqref="O14"/>
    </sheetView>
  </sheetViews>
  <sheetFormatPr defaultRowHeight="15" x14ac:dyDescent="0.25"/>
  <sheetData>
    <row r="1" spans="1:3" x14ac:dyDescent="0.25">
      <c r="C1" s="2"/>
    </row>
    <row r="2" spans="1:3" x14ac:dyDescent="0.25">
      <c r="A2" s="10">
        <v>40238</v>
      </c>
      <c r="B2" s="8">
        <f>'Mendota Dam-R5'!F6</f>
        <v>285</v>
      </c>
      <c r="C2" s="2">
        <f>ExhibitB.LUP!G3</f>
        <v>285</v>
      </c>
    </row>
    <row r="3" spans="1:3" x14ac:dyDescent="0.25">
      <c r="A3" s="10">
        <v>40252</v>
      </c>
      <c r="B3" s="8">
        <f>'Mendota Dam-R5'!F6</f>
        <v>285</v>
      </c>
      <c r="C3" s="2">
        <f>ExhibitB.LUP!G3</f>
        <v>285</v>
      </c>
    </row>
    <row r="4" spans="1:3" x14ac:dyDescent="0.25">
      <c r="A4" s="10">
        <v>40253</v>
      </c>
      <c r="B4" s="8">
        <f>'Mendota Dam-R5'!F7</f>
        <v>1224.5333497278546</v>
      </c>
      <c r="C4" s="2">
        <f>ExhibitB.LUP!G4</f>
        <v>1225</v>
      </c>
    </row>
    <row r="5" spans="1:3" x14ac:dyDescent="0.25">
      <c r="A5" s="10">
        <v>40268</v>
      </c>
      <c r="B5" s="8">
        <f>'Mendota Dam-R5'!F7</f>
        <v>1224.5333497278546</v>
      </c>
      <c r="C5" s="2">
        <f>ExhibitB.LUP!G4</f>
        <v>1225</v>
      </c>
    </row>
    <row r="6" spans="1:3" x14ac:dyDescent="0.25">
      <c r="A6" s="10">
        <v>40269</v>
      </c>
      <c r="B6" s="8">
        <f>'Mendota Dam-R5'!F8</f>
        <v>2178.7417638188135</v>
      </c>
      <c r="C6" s="2">
        <f>ExhibitB.LUP!G5</f>
        <v>2180</v>
      </c>
    </row>
    <row r="7" spans="1:3" x14ac:dyDescent="0.25">
      <c r="A7" s="10">
        <v>40283</v>
      </c>
      <c r="B7" s="8">
        <f>'Mendota Dam-R5'!F8</f>
        <v>2178.7417638188135</v>
      </c>
      <c r="C7" s="2">
        <f>ExhibitB.LUP!G5</f>
        <v>2180</v>
      </c>
    </row>
    <row r="8" spans="1:3" x14ac:dyDescent="0.25">
      <c r="A8" s="10">
        <v>40284</v>
      </c>
      <c r="B8" s="8">
        <f>'Mendota Dam-R5'!F9</f>
        <v>468.43803401221908</v>
      </c>
      <c r="C8" s="2">
        <f>ExhibitB.LUP!G6</f>
        <v>125</v>
      </c>
    </row>
    <row r="9" spans="1:3" x14ac:dyDescent="0.25">
      <c r="A9" s="10">
        <v>40298</v>
      </c>
      <c r="B9" s="8">
        <f>'Mendota Dam-R5'!F9</f>
        <v>468.43803401221908</v>
      </c>
      <c r="C9" s="2">
        <f>ExhibitB.LUP!G6</f>
        <v>125</v>
      </c>
    </row>
    <row r="10" spans="1:3" x14ac:dyDescent="0.25">
      <c r="A10" s="10">
        <v>40299</v>
      </c>
      <c r="B10" s="8">
        <f>'Mendota Dam-R5'!F10</f>
        <v>85</v>
      </c>
      <c r="C10" s="2">
        <f>ExhibitB.LUP!G7</f>
        <v>85</v>
      </c>
    </row>
    <row r="11" spans="1:3" x14ac:dyDescent="0.25">
      <c r="A11" s="10">
        <v>40359</v>
      </c>
      <c r="B11" s="8">
        <f>'Mendota Dam-R5'!F10</f>
        <v>85</v>
      </c>
      <c r="C11" s="2">
        <f>ExhibitB.LUP!G7</f>
        <v>85</v>
      </c>
    </row>
    <row r="12" spans="1:3" x14ac:dyDescent="0.25">
      <c r="A12" s="10">
        <v>40360</v>
      </c>
      <c r="B12" s="8">
        <f>'Mendota Dam-R5'!F11</f>
        <v>45</v>
      </c>
      <c r="C12" s="2">
        <f>ExhibitB.LUP!G8</f>
        <v>45</v>
      </c>
    </row>
    <row r="13" spans="1:3" x14ac:dyDescent="0.25">
      <c r="A13" s="10">
        <v>40421</v>
      </c>
      <c r="B13" s="8">
        <f>'Mendota Dam-R5'!F11</f>
        <v>45</v>
      </c>
      <c r="C13" s="2">
        <f>ExhibitB.LUP!G8</f>
        <v>45</v>
      </c>
    </row>
    <row r="14" spans="1:3" x14ac:dyDescent="0.25">
      <c r="A14" s="10">
        <v>40422</v>
      </c>
      <c r="B14" s="8">
        <f>'Mendota Dam-R5'!F12</f>
        <v>65</v>
      </c>
      <c r="C14" s="2">
        <f>ExhibitB.LUP!G9</f>
        <v>65</v>
      </c>
    </row>
    <row r="15" spans="1:3" x14ac:dyDescent="0.25">
      <c r="A15" s="10">
        <v>40451</v>
      </c>
      <c r="B15" s="8">
        <f>'Mendota Dam-R5'!F12</f>
        <v>65</v>
      </c>
      <c r="C15" s="2">
        <f>ExhibitB.LUP!G9</f>
        <v>65</v>
      </c>
    </row>
    <row r="16" spans="1:3" x14ac:dyDescent="0.25">
      <c r="A16" s="10">
        <v>40452</v>
      </c>
      <c r="B16" s="8">
        <f>'Mendota Dam-R5'!F13</f>
        <v>115</v>
      </c>
      <c r="C16" s="2">
        <f>ExhibitB.LUP!G10</f>
        <v>115</v>
      </c>
    </row>
    <row r="17" spans="1:3" x14ac:dyDescent="0.25">
      <c r="A17" s="10">
        <v>40482</v>
      </c>
      <c r="B17" s="8">
        <f>'Mendota Dam-R5'!F13</f>
        <v>115</v>
      </c>
      <c r="C17">
        <f>ExhibitB.LUP!G10</f>
        <v>115</v>
      </c>
    </row>
    <row r="18" spans="1:3" x14ac:dyDescent="0.25">
      <c r="A18" s="10">
        <v>40483</v>
      </c>
      <c r="B18" s="8">
        <f>'Mendota Dam-R5'!F14</f>
        <v>475</v>
      </c>
      <c r="C18">
        <f>ExhibitB.LUP!G11</f>
        <v>475</v>
      </c>
    </row>
    <row r="19" spans="1:3" x14ac:dyDescent="0.25">
      <c r="A19" s="10">
        <v>40488</v>
      </c>
      <c r="B19" s="8">
        <f>'Mendota Dam-R5'!F14</f>
        <v>475</v>
      </c>
      <c r="C19">
        <f>ExhibitB.LUP!G11</f>
        <v>475</v>
      </c>
    </row>
    <row r="20" spans="1:3" x14ac:dyDescent="0.25">
      <c r="A20" s="10">
        <v>40489</v>
      </c>
      <c r="B20" s="8">
        <f>'Mendota Dam-R5'!F15</f>
        <v>475</v>
      </c>
      <c r="C20">
        <f>ExhibitB.LUP!G12</f>
        <v>475</v>
      </c>
    </row>
    <row r="21" spans="1:3" x14ac:dyDescent="0.25">
      <c r="A21" s="10">
        <v>40492</v>
      </c>
      <c r="B21" s="8">
        <f>'Mendota Dam-R5'!F15</f>
        <v>475</v>
      </c>
      <c r="C21">
        <f>ExhibitB.LUP!G12</f>
        <v>475</v>
      </c>
    </row>
    <row r="22" spans="1:3" x14ac:dyDescent="0.25">
      <c r="A22" s="10">
        <v>40493</v>
      </c>
      <c r="B22" s="8">
        <f>'Mendota Dam-R5'!F16</f>
        <v>155</v>
      </c>
      <c r="C22">
        <f>ExhibitB.LUP!G13</f>
        <v>155</v>
      </c>
    </row>
    <row r="23" spans="1:3" x14ac:dyDescent="0.25">
      <c r="A23" s="10">
        <v>40543</v>
      </c>
      <c r="B23" s="8">
        <f>'Mendota Dam-R5'!F16</f>
        <v>155</v>
      </c>
      <c r="C23">
        <f>ExhibitB.LUP!G13</f>
        <v>155</v>
      </c>
    </row>
    <row r="24" spans="1:3" x14ac:dyDescent="0.25">
      <c r="A24" s="10">
        <v>40179</v>
      </c>
      <c r="B24" s="8">
        <f>'Mendota Dam-R5'!F17</f>
        <v>175</v>
      </c>
      <c r="C24">
        <f>ExhibitB.LUP!G14</f>
        <v>175</v>
      </c>
    </row>
    <row r="25" spans="1:3" x14ac:dyDescent="0.25">
      <c r="A25" s="10">
        <v>40237</v>
      </c>
      <c r="B25" s="8">
        <f>'Mendota Dam-R5'!F17</f>
        <v>175</v>
      </c>
      <c r="C25">
        <f>ExhibitB.LUP!G14</f>
        <v>175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P19"/>
  <sheetViews>
    <sheetView workbookViewId="0">
      <selection activeCell="G16" sqref="G16"/>
    </sheetView>
  </sheetViews>
  <sheetFormatPr defaultColWidth="4.7109375" defaultRowHeight="15" x14ac:dyDescent="0.25"/>
  <cols>
    <col min="1" max="1" width="6" customWidth="1"/>
    <col min="2" max="2" width="14.5703125" bestFit="1" customWidth="1"/>
    <col min="3" max="3" width="6.5703125" bestFit="1" customWidth="1"/>
    <col min="4" max="4" width="10.7109375" bestFit="1" customWidth="1"/>
    <col min="5" max="5" width="14.7109375" bestFit="1" customWidth="1"/>
    <col min="6" max="6" width="18.5703125" bestFit="1" customWidth="1"/>
    <col min="7" max="7" width="13.42578125" customWidth="1"/>
    <col min="8" max="8" width="14" customWidth="1"/>
    <col min="9" max="9" width="13.5703125" customWidth="1"/>
    <col min="10" max="10" width="13.5703125" bestFit="1" customWidth="1"/>
    <col min="11" max="12" width="4.7109375" customWidth="1"/>
    <col min="13" max="13" width="5.28515625" customWidth="1"/>
    <col min="14" max="15" width="4.7109375" customWidth="1"/>
    <col min="16" max="16" width="4.7109375" style="1" customWidth="1"/>
    <col min="17" max="25" width="4.7109375" customWidth="1"/>
    <col min="26" max="26" width="6.42578125" customWidth="1"/>
    <col min="27" max="27" width="8.85546875" customWidth="1"/>
    <col min="28" max="28" width="15" customWidth="1"/>
    <col min="29" max="29" width="10.28515625" customWidth="1"/>
  </cols>
  <sheetData>
    <row r="2" spans="1:16" x14ac:dyDescent="0.25">
      <c r="A2" t="s">
        <v>34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x14ac:dyDescent="0.25">
      <c r="E3" s="11"/>
      <c r="F3" s="11"/>
      <c r="G3" s="2"/>
      <c r="H3" s="2"/>
      <c r="I3" s="2"/>
      <c r="J3" s="15"/>
      <c r="K3" s="2"/>
      <c r="L3" s="2"/>
      <c r="M3" s="2"/>
    </row>
    <row r="4" spans="1:16" x14ac:dyDescent="0.25">
      <c r="B4" t="s">
        <v>68</v>
      </c>
      <c r="C4" t="str">
        <f>Friant!C5</f>
        <v>N-D</v>
      </c>
      <c r="D4" t="s">
        <v>83</v>
      </c>
      <c r="E4" s="11"/>
      <c r="F4" s="11"/>
      <c r="G4" s="2"/>
      <c r="H4" s="2"/>
      <c r="I4" s="2"/>
      <c r="J4" s="15"/>
      <c r="K4" s="2"/>
      <c r="L4" s="2"/>
      <c r="M4" s="2"/>
    </row>
    <row r="5" spans="1:16" x14ac:dyDescent="0.25">
      <c r="M5" s="1"/>
      <c r="P5"/>
    </row>
    <row r="6" spans="1:16" x14ac:dyDescent="0.25">
      <c r="A6" t="s">
        <v>11</v>
      </c>
      <c r="B6" t="s">
        <v>1</v>
      </c>
      <c r="C6" t="s">
        <v>2</v>
      </c>
      <c r="D6" t="s">
        <v>82</v>
      </c>
      <c r="E6" t="s">
        <v>80</v>
      </c>
      <c r="F6" t="s">
        <v>81</v>
      </c>
      <c r="G6" s="9" t="s">
        <v>55</v>
      </c>
      <c r="J6" s="1"/>
      <c r="P6"/>
    </row>
    <row r="7" spans="1:16" x14ac:dyDescent="0.25">
      <c r="A7" t="s">
        <v>44</v>
      </c>
      <c r="B7" t="s">
        <v>21</v>
      </c>
      <c r="C7">
        <v>15</v>
      </c>
      <c r="D7" s="1">
        <f>'Mendota Dam-R5'!F6</f>
        <v>285</v>
      </c>
      <c r="E7">
        <f>ExhibitB.LUP!H3</f>
        <v>500</v>
      </c>
      <c r="F7">
        <f>ExhibitB.LUP!I3</f>
        <v>500</v>
      </c>
      <c r="G7" s="8">
        <f>IF(OR(C$4="Wet",C$4="N-W",C$4="N-D",C$4="Dry"),D7+E7,D7+F7)</f>
        <v>785</v>
      </c>
      <c r="H7" s="1"/>
      <c r="J7" s="1"/>
      <c r="P7"/>
    </row>
    <row r="8" spans="1:16" x14ac:dyDescent="0.25">
      <c r="A8" t="s">
        <v>45</v>
      </c>
      <c r="B8" t="s">
        <v>22</v>
      </c>
      <c r="C8">
        <v>16</v>
      </c>
      <c r="D8" s="1">
        <f>'Mendota Dam-R5'!F7</f>
        <v>1224.5333497278546</v>
      </c>
      <c r="E8">
        <f>ExhibitB.LUP!H4</f>
        <v>475</v>
      </c>
      <c r="F8">
        <f>ExhibitB.LUP!I4</f>
        <v>475</v>
      </c>
      <c r="G8" s="8">
        <f t="shared" ref="G8:G18" si="0">IF(OR(C$4="Wet",C$4="N-W",C$4="N-D",C$4="Dry"),D8+E8,D8+F8)</f>
        <v>1699.5333497278546</v>
      </c>
      <c r="H8" s="1"/>
      <c r="J8" s="1"/>
      <c r="P8"/>
    </row>
    <row r="9" spans="1:16" x14ac:dyDescent="0.25">
      <c r="A9" t="s">
        <v>38</v>
      </c>
      <c r="B9" t="s">
        <v>23</v>
      </c>
      <c r="C9">
        <v>15</v>
      </c>
      <c r="D9" s="1">
        <f>'Mendota Dam-R5'!F8</f>
        <v>2178.7417638188135</v>
      </c>
      <c r="E9">
        <f>ExhibitB.LUP!H5</f>
        <v>400</v>
      </c>
      <c r="F9">
        <f>ExhibitB.LUP!I5</f>
        <v>400</v>
      </c>
      <c r="G9" s="8">
        <f t="shared" si="0"/>
        <v>2578.7417638188135</v>
      </c>
      <c r="H9" s="1"/>
      <c r="J9" s="1"/>
      <c r="P9"/>
    </row>
    <row r="10" spans="1:16" x14ac:dyDescent="0.25">
      <c r="A10" t="s">
        <v>37</v>
      </c>
      <c r="B10" t="s">
        <v>24</v>
      </c>
      <c r="C10">
        <v>15</v>
      </c>
      <c r="D10" s="1">
        <f>'Mendota Dam-R5'!F9</f>
        <v>468.43803401221908</v>
      </c>
      <c r="E10">
        <f>ExhibitB.LUP!H6</f>
        <v>400</v>
      </c>
      <c r="F10">
        <f>ExhibitB.LUP!I6</f>
        <v>400</v>
      </c>
      <c r="G10" s="8">
        <f t="shared" si="0"/>
        <v>868.43803401221908</v>
      </c>
      <c r="H10" s="1"/>
      <c r="J10" s="1"/>
      <c r="P10"/>
    </row>
    <row r="11" spans="1:16" x14ac:dyDescent="0.25">
      <c r="A11" t="s">
        <v>39</v>
      </c>
      <c r="B11" t="s">
        <v>31</v>
      </c>
      <c r="C11">
        <v>61</v>
      </c>
      <c r="D11" s="1">
        <f>'Mendota Dam-R5'!F10</f>
        <v>85</v>
      </c>
      <c r="E11">
        <f>ExhibitB.LUP!H7</f>
        <v>400</v>
      </c>
      <c r="F11">
        <f>ExhibitB.LUP!I7</f>
        <v>400</v>
      </c>
      <c r="G11" s="8">
        <f t="shared" si="0"/>
        <v>485</v>
      </c>
      <c r="H11" s="1"/>
      <c r="J11" s="1"/>
      <c r="P11"/>
    </row>
    <row r="12" spans="1:16" x14ac:dyDescent="0.25">
      <c r="A12" t="s">
        <v>40</v>
      </c>
      <c r="B12" t="s">
        <v>25</v>
      </c>
      <c r="C12">
        <v>62</v>
      </c>
      <c r="D12" s="1">
        <f>'Mendota Dam-R5'!F11</f>
        <v>45</v>
      </c>
      <c r="E12">
        <f>ExhibitB.LUP!H8</f>
        <v>275</v>
      </c>
      <c r="F12">
        <f>ExhibitB.LUP!I8</f>
        <v>275</v>
      </c>
      <c r="G12" s="8">
        <f t="shared" si="0"/>
        <v>320</v>
      </c>
      <c r="H12" s="1"/>
      <c r="J12" s="1"/>
      <c r="P12"/>
    </row>
    <row r="13" spans="1:16" x14ac:dyDescent="0.25">
      <c r="A13" t="s">
        <v>5</v>
      </c>
      <c r="B13" t="s">
        <v>26</v>
      </c>
      <c r="C13">
        <v>30</v>
      </c>
      <c r="D13" s="1">
        <f>'Mendota Dam-R5'!F12</f>
        <v>65</v>
      </c>
      <c r="E13">
        <f>ExhibitB.LUP!H9</f>
        <v>275</v>
      </c>
      <c r="F13">
        <f>ExhibitB.LUP!I9</f>
        <v>275</v>
      </c>
      <c r="G13" s="8">
        <f t="shared" si="0"/>
        <v>340</v>
      </c>
      <c r="H13" s="1"/>
      <c r="J13" s="1"/>
      <c r="P13"/>
    </row>
    <row r="14" spans="1:16" x14ac:dyDescent="0.25">
      <c r="A14" t="s">
        <v>6</v>
      </c>
      <c r="B14" t="s">
        <v>27</v>
      </c>
      <c r="C14">
        <v>31</v>
      </c>
      <c r="D14" s="1">
        <f>'Mendota Dam-R5'!F13</f>
        <v>115</v>
      </c>
      <c r="E14">
        <f>ExhibitB.LUP!H10</f>
        <v>300</v>
      </c>
      <c r="F14">
        <f>ExhibitB.LUP!I10</f>
        <v>300</v>
      </c>
      <c r="G14" s="8">
        <f t="shared" si="0"/>
        <v>415</v>
      </c>
      <c r="H14" s="1"/>
      <c r="J14" s="1"/>
      <c r="P14"/>
    </row>
    <row r="15" spans="1:16" x14ac:dyDescent="0.25">
      <c r="A15" t="s">
        <v>7</v>
      </c>
      <c r="B15" t="s">
        <v>29</v>
      </c>
      <c r="C15">
        <v>6</v>
      </c>
      <c r="D15" s="1">
        <f>'Mendota Dam-R5'!F14</f>
        <v>475</v>
      </c>
      <c r="E15">
        <f>ExhibitB.LUP!H11</f>
        <v>300</v>
      </c>
      <c r="F15">
        <f>ExhibitB.LUP!I11</f>
        <v>300</v>
      </c>
      <c r="G15" s="8">
        <f t="shared" si="0"/>
        <v>775</v>
      </c>
      <c r="H15" s="1"/>
      <c r="J15" s="1"/>
      <c r="P15"/>
    </row>
    <row r="16" spans="1:16" x14ac:dyDescent="0.25">
      <c r="A16" t="s">
        <v>8</v>
      </c>
      <c r="B16" t="s">
        <v>28</v>
      </c>
      <c r="C16">
        <v>4</v>
      </c>
      <c r="D16" s="1">
        <f>'Mendota Dam-R5'!F15</f>
        <v>475</v>
      </c>
      <c r="E16">
        <f>ExhibitB.LUP!H12</f>
        <v>300</v>
      </c>
      <c r="F16">
        <f>ExhibitB.LUP!I12</f>
        <v>400</v>
      </c>
      <c r="G16" s="8">
        <f>IF(OR(C$4="Wet",C$4="N-W",C$4="N-D",C$4="Dry"),D16+E16,D16+F16)</f>
        <v>775</v>
      </c>
      <c r="H16" s="1"/>
      <c r="J16" s="1"/>
      <c r="P16"/>
    </row>
    <row r="17" spans="1:16" x14ac:dyDescent="0.25">
      <c r="A17" t="s">
        <v>9</v>
      </c>
      <c r="B17" t="s">
        <v>32</v>
      </c>
      <c r="C17">
        <f>(30-10)+31</f>
        <v>51</v>
      </c>
      <c r="D17" s="1">
        <f>'Mendota Dam-R5'!F16</f>
        <v>155</v>
      </c>
      <c r="E17">
        <f>ExhibitB.LUP!H13</f>
        <v>400</v>
      </c>
      <c r="F17">
        <f>ExhibitB.LUP!I13</f>
        <v>400</v>
      </c>
      <c r="G17" s="8">
        <f t="shared" si="0"/>
        <v>555</v>
      </c>
      <c r="H17" s="1"/>
      <c r="P17"/>
    </row>
    <row r="18" spans="1:16" x14ac:dyDescent="0.25">
      <c r="A18" t="s">
        <v>10</v>
      </c>
      <c r="B18" t="s">
        <v>30</v>
      </c>
      <c r="C18">
        <f>31+28</f>
        <v>59</v>
      </c>
      <c r="D18" s="1">
        <f>'Mendota Dam-R5'!F17</f>
        <v>175</v>
      </c>
      <c r="E18">
        <f>ExhibitB.LUP!H14</f>
        <v>500</v>
      </c>
      <c r="F18">
        <f>ExhibitB.LUP!I14</f>
        <v>500</v>
      </c>
      <c r="G18" s="8">
        <f t="shared" si="0"/>
        <v>675</v>
      </c>
      <c r="H18" s="1"/>
      <c r="P18"/>
    </row>
    <row r="19" spans="1:16" x14ac:dyDescent="0.25">
      <c r="G19" s="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C25"/>
  <sheetViews>
    <sheetView workbookViewId="0">
      <selection activeCell="O11" sqref="O11"/>
    </sheetView>
  </sheetViews>
  <sheetFormatPr defaultRowHeight="15" x14ac:dyDescent="0.25"/>
  <sheetData>
    <row r="1" spans="1:3" x14ac:dyDescent="0.25">
      <c r="B1" t="s">
        <v>84</v>
      </c>
      <c r="C1" s="2"/>
    </row>
    <row r="2" spans="1:3" x14ac:dyDescent="0.25">
      <c r="A2" s="10">
        <v>40238</v>
      </c>
      <c r="B2" s="8">
        <f>Confluence!G7</f>
        <v>785</v>
      </c>
      <c r="C2" s="2">
        <f>ExhibitB.LUP!J3</f>
        <v>785</v>
      </c>
    </row>
    <row r="3" spans="1:3" x14ac:dyDescent="0.25">
      <c r="A3" s="10">
        <v>40252</v>
      </c>
      <c r="B3" s="8">
        <f>Confluence!G7</f>
        <v>785</v>
      </c>
      <c r="C3" s="2">
        <f>ExhibitB.LUP!J3</f>
        <v>785</v>
      </c>
    </row>
    <row r="4" spans="1:3" x14ac:dyDescent="0.25">
      <c r="A4" s="10">
        <v>40253</v>
      </c>
      <c r="B4" s="8">
        <f>Confluence!G8</f>
        <v>1699.5333497278546</v>
      </c>
      <c r="C4" s="2">
        <f>ExhibitB.LUP!J4</f>
        <v>1700</v>
      </c>
    </row>
    <row r="5" spans="1:3" x14ac:dyDescent="0.25">
      <c r="A5" s="10">
        <v>40268</v>
      </c>
      <c r="B5" s="8">
        <f>Confluence!G8</f>
        <v>1699.5333497278546</v>
      </c>
      <c r="C5" s="2">
        <f>ExhibitB.LUP!J4</f>
        <v>1700</v>
      </c>
    </row>
    <row r="6" spans="1:3" x14ac:dyDescent="0.25">
      <c r="A6" s="10">
        <v>40269</v>
      </c>
      <c r="B6" s="8">
        <f>Confluence!G9</f>
        <v>2578.7417638188135</v>
      </c>
      <c r="C6" s="2">
        <f>ExhibitB.LUP!J5</f>
        <v>2580</v>
      </c>
    </row>
    <row r="7" spans="1:3" x14ac:dyDescent="0.25">
      <c r="A7" s="10">
        <v>40283</v>
      </c>
      <c r="B7" s="8">
        <f>Confluence!G9</f>
        <v>2578.7417638188135</v>
      </c>
      <c r="C7" s="2">
        <f>ExhibitB.LUP!J5</f>
        <v>2580</v>
      </c>
    </row>
    <row r="8" spans="1:3" x14ac:dyDescent="0.25">
      <c r="A8" s="10">
        <v>40284</v>
      </c>
      <c r="B8" s="8">
        <f>Confluence!G10</f>
        <v>868.43803401221908</v>
      </c>
      <c r="C8" s="2">
        <f>ExhibitB.LUP!J6</f>
        <v>525</v>
      </c>
    </row>
    <row r="9" spans="1:3" x14ac:dyDescent="0.25">
      <c r="A9" s="10">
        <v>40298</v>
      </c>
      <c r="B9" s="8">
        <f>Confluence!G10</f>
        <v>868.43803401221908</v>
      </c>
      <c r="C9" s="2">
        <f>ExhibitB.LUP!J6</f>
        <v>525</v>
      </c>
    </row>
    <row r="10" spans="1:3" x14ac:dyDescent="0.25">
      <c r="A10" s="10">
        <v>40299</v>
      </c>
      <c r="B10" s="8">
        <f>Confluence!G11</f>
        <v>485</v>
      </c>
      <c r="C10" s="2">
        <f>ExhibitB.LUP!J7</f>
        <v>485</v>
      </c>
    </row>
    <row r="11" spans="1:3" x14ac:dyDescent="0.25">
      <c r="A11" s="10">
        <v>40359</v>
      </c>
      <c r="B11" s="8">
        <f>Confluence!G11</f>
        <v>485</v>
      </c>
      <c r="C11" s="2">
        <f>ExhibitB.LUP!J7</f>
        <v>485</v>
      </c>
    </row>
    <row r="12" spans="1:3" x14ac:dyDescent="0.25">
      <c r="A12" s="10">
        <v>40360</v>
      </c>
      <c r="B12" s="8">
        <f>Confluence!G12</f>
        <v>320</v>
      </c>
      <c r="C12" s="2">
        <f>ExhibitB.LUP!J8</f>
        <v>320</v>
      </c>
    </row>
    <row r="13" spans="1:3" x14ac:dyDescent="0.25">
      <c r="A13" s="10">
        <v>40421</v>
      </c>
      <c r="B13" s="8">
        <f>Confluence!G12</f>
        <v>320</v>
      </c>
      <c r="C13" s="2">
        <f>ExhibitB.LUP!J8</f>
        <v>320</v>
      </c>
    </row>
    <row r="14" spans="1:3" x14ac:dyDescent="0.25">
      <c r="A14" s="10">
        <v>40422</v>
      </c>
      <c r="B14" s="8">
        <f>Confluence!G13</f>
        <v>340</v>
      </c>
      <c r="C14" s="2">
        <f>ExhibitB.LUP!J9</f>
        <v>340</v>
      </c>
    </row>
    <row r="15" spans="1:3" x14ac:dyDescent="0.25">
      <c r="A15" s="10">
        <v>40451</v>
      </c>
      <c r="B15" s="8">
        <f>Confluence!G13</f>
        <v>340</v>
      </c>
      <c r="C15" s="2">
        <f>ExhibitB.LUP!J9</f>
        <v>340</v>
      </c>
    </row>
    <row r="16" spans="1:3" x14ac:dyDescent="0.25">
      <c r="A16" s="10">
        <v>40452</v>
      </c>
      <c r="B16" s="8">
        <f>Confluence!G14</f>
        <v>415</v>
      </c>
      <c r="C16" s="2">
        <f>ExhibitB.LUP!J10</f>
        <v>415</v>
      </c>
    </row>
    <row r="17" spans="1:3" x14ac:dyDescent="0.25">
      <c r="A17" s="10">
        <v>40482</v>
      </c>
      <c r="B17" s="8">
        <f>Confluence!G14</f>
        <v>415</v>
      </c>
      <c r="C17">
        <f>ExhibitB.LUP!J10</f>
        <v>415</v>
      </c>
    </row>
    <row r="18" spans="1:3" x14ac:dyDescent="0.25">
      <c r="A18" s="10">
        <v>40483</v>
      </c>
      <c r="B18" s="8">
        <f>Confluence!G15</f>
        <v>775</v>
      </c>
      <c r="C18">
        <f>ExhibitB.LUP!J11</f>
        <v>775</v>
      </c>
    </row>
    <row r="19" spans="1:3" x14ac:dyDescent="0.25">
      <c r="A19" s="10">
        <v>40488</v>
      </c>
      <c r="B19" s="8">
        <f>Confluence!G15</f>
        <v>775</v>
      </c>
      <c r="C19">
        <f>ExhibitB.LUP!J11</f>
        <v>775</v>
      </c>
    </row>
    <row r="20" spans="1:3" x14ac:dyDescent="0.25">
      <c r="A20" s="10">
        <v>40489</v>
      </c>
      <c r="B20" s="8">
        <f>Confluence!G16</f>
        <v>775</v>
      </c>
      <c r="C20">
        <f>ExhibitB.LUP!J12</f>
        <v>775</v>
      </c>
    </row>
    <row r="21" spans="1:3" x14ac:dyDescent="0.25">
      <c r="A21" s="10">
        <v>40492</v>
      </c>
      <c r="B21" s="8">
        <f>Confluence!G16</f>
        <v>775</v>
      </c>
      <c r="C21">
        <f>ExhibitB.LUP!J12</f>
        <v>775</v>
      </c>
    </row>
    <row r="22" spans="1:3" x14ac:dyDescent="0.25">
      <c r="A22" s="10">
        <v>40493</v>
      </c>
      <c r="B22" s="8">
        <f>Confluence!G17</f>
        <v>555</v>
      </c>
      <c r="C22">
        <f>ExhibitB.LUP!J13</f>
        <v>555</v>
      </c>
    </row>
    <row r="23" spans="1:3" x14ac:dyDescent="0.25">
      <c r="A23" s="10">
        <v>40543</v>
      </c>
      <c r="B23" s="8">
        <f>Confluence!G17</f>
        <v>555</v>
      </c>
      <c r="C23">
        <f>ExhibitB.LUP!J13</f>
        <v>555</v>
      </c>
    </row>
    <row r="24" spans="1:3" x14ac:dyDescent="0.25">
      <c r="A24" s="10">
        <v>40179</v>
      </c>
      <c r="B24" s="8">
        <f>Confluence!G18</f>
        <v>675</v>
      </c>
      <c r="C24">
        <f>ExhibitB.LUP!J14</f>
        <v>675</v>
      </c>
    </row>
    <row r="25" spans="1:3" x14ac:dyDescent="0.25">
      <c r="A25" s="10">
        <v>40237</v>
      </c>
      <c r="B25" s="8">
        <f>Confluence!G18</f>
        <v>675</v>
      </c>
      <c r="C25">
        <f>ExhibitB.LUP!J14</f>
        <v>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Key</vt:lpstr>
      <vt:lpstr>Friant</vt:lpstr>
      <vt:lpstr>Friant.cht</vt:lpstr>
      <vt:lpstr>Gravelly Ford</vt:lpstr>
      <vt:lpstr>GravellyFord.cht</vt:lpstr>
      <vt:lpstr>Mendota Dam-R5</vt:lpstr>
      <vt:lpstr>Mendota Dam -R5.cht</vt:lpstr>
      <vt:lpstr>Confluence</vt:lpstr>
      <vt:lpstr>Confluence.cht</vt:lpstr>
      <vt:lpstr>ExhibitB.LUP</vt:lpstr>
      <vt:lpstr>YearType.LUP</vt:lpstr>
      <vt:lpstr>Transformation.LUP</vt:lpstr>
      <vt:lpstr>Allocation.LUP</vt:lpstr>
      <vt:lpstr>R2 Losses.LUP</vt:lpstr>
      <vt:lpstr>Friant!Print_Area</vt:lpstr>
    </vt:vector>
  </TitlesOfParts>
  <Company>Bureau of Reclamation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</dc:creator>
  <cp:lastModifiedBy>Moore, Chadwick A.</cp:lastModifiedBy>
  <dcterms:created xsi:type="dcterms:W3CDTF">2010-02-03T17:18:05Z</dcterms:created>
  <dcterms:modified xsi:type="dcterms:W3CDTF">2018-03-29T19:22:30Z</dcterms:modified>
</cp:coreProperties>
</file>