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maddeerubenson/Documents/git/big valley/bv_clear_lake_hydrology/data-raw/surface_water/"/>
    </mc:Choice>
  </mc:AlternateContent>
  <xr:revisionPtr revIDLastSave="0" documentId="8_{8A572C7A-DFC1-F74F-9EA3-CB9371F32160}" xr6:coauthVersionLast="47" xr6:coauthVersionMax="47" xr10:uidLastSave="{00000000-0000-0000-0000-000000000000}"/>
  <bookViews>
    <workbookView xWindow="0" yWindow="500" windowWidth="28800" windowHeight="15820" activeTab="1" xr2:uid="{00000000-000D-0000-FFFF-FFFF00000000}"/>
  </bookViews>
  <sheets>
    <sheet name="Metadata" sheetId="2" r:id="rId1"/>
    <sheet name="Data" sheetId="1" r:id="rId2"/>
    <sheet name="depth v flow charts" sheetId="3" r:id="rId3"/>
  </sheets>
  <definedNames>
    <definedName name="_xlnm._FilterDatabase" localSheetId="1" hidden="1">Data!$A$1:$P$1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11" i="1" l="1"/>
  <c r="K21" i="1"/>
  <c r="M21" i="1" s="1"/>
  <c r="K20" i="1"/>
  <c r="M20" i="1" s="1"/>
  <c r="K19" i="1"/>
  <c r="M19" i="1" s="1"/>
  <c r="K17" i="1"/>
  <c r="M17" i="1" s="1"/>
  <c r="K14" i="1"/>
  <c r="M14" i="1" s="1"/>
  <c r="L22" i="1"/>
  <c r="M22" i="1" s="1"/>
  <c r="L21" i="1"/>
  <c r="L20" i="1"/>
  <c r="L19" i="1"/>
  <c r="L18" i="1"/>
  <c r="M18" i="1" s="1"/>
  <c r="L17" i="1"/>
  <c r="L16" i="1"/>
  <c r="M16" i="1" s="1"/>
  <c r="L15" i="1"/>
  <c r="M15" i="1" s="1"/>
  <c r="L14" i="1"/>
  <c r="L12" i="1"/>
  <c r="L9" i="1"/>
  <c r="L13" i="1"/>
  <c r="L10" i="1"/>
  <c r="L11" i="1"/>
  <c r="L8" i="1"/>
  <c r="L7" i="1"/>
  <c r="L6" i="1"/>
  <c r="L5" i="1"/>
  <c r="L4" i="1"/>
  <c r="L3" i="1"/>
  <c r="L2" i="1"/>
  <c r="K12" i="1"/>
  <c r="K13" i="1"/>
  <c r="K3" i="1"/>
  <c r="K4" i="1"/>
  <c r="M12" i="1" l="1"/>
  <c r="M11" i="1"/>
  <c r="M13" i="1"/>
  <c r="M3" i="1"/>
  <c r="M4" i="1"/>
  <c r="K2" i="1"/>
  <c r="K10" i="1"/>
  <c r="K9" i="1"/>
  <c r="K8" i="1"/>
  <c r="K7" i="1"/>
  <c r="M7" i="1" s="1"/>
  <c r="K6" i="1"/>
  <c r="M6" i="1" s="1"/>
  <c r="K5" i="1"/>
  <c r="M5" i="1" s="1"/>
  <c r="M2" i="1" l="1"/>
  <c r="M8" i="1"/>
  <c r="M9" i="1"/>
  <c r="M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Cameron Tenner</author>
    <author>Jake</author>
  </authors>
  <commentList>
    <comment ref="B1" authorId="0" shapeId="0" xr:uid="{6B523D3D-2050-4085-BF8A-ABEEBE506481}">
      <text>
        <r>
          <rPr>
            <b/>
            <sz val="9"/>
            <color indexed="81"/>
            <rFont val="Tahoma"/>
            <family val="2"/>
          </rPr>
          <t>Cameron Tenner:</t>
        </r>
        <r>
          <rPr>
            <sz val="9"/>
            <color indexed="81"/>
            <rFont val="Tahoma"/>
            <family val="2"/>
          </rPr>
          <t xml:space="preserve">
This column is a mess. Needs cleaning</t>
        </r>
      </text>
    </comment>
    <comment ref="K1" authorId="1" shapeId="0" xr:uid="{307100F9-0113-48AC-A2C3-5F4CD9E4B8EB}">
      <text>
        <r>
          <rPr>
            <b/>
            <sz val="9"/>
            <color indexed="81"/>
            <rFont val="Tahoma"/>
            <family val="2"/>
          </rPr>
          <t>Jake:</t>
        </r>
        <r>
          <rPr>
            <sz val="9"/>
            <color indexed="81"/>
            <rFont val="Tahoma"/>
            <family val="2"/>
          </rPr>
          <t xml:space="preserve">
Flow measurements take ~30 minutes, so "Corrected_Depth" is calculated by averaging the three values starting 30 minutes before the "Time" column, and ending at the time in the "Time" column (unless otherwise noted)</t>
        </r>
      </text>
    </comment>
    <comment ref="I2" authorId="1" shapeId="0" xr:uid="{3750B56E-A115-48B1-AB8A-F3FD290046E9}">
      <text>
        <r>
          <rPr>
            <b/>
            <sz val="9"/>
            <color indexed="81"/>
            <rFont val="Tahoma"/>
            <family val="2"/>
          </rPr>
          <t>Jake:</t>
        </r>
        <r>
          <rPr>
            <sz val="9"/>
            <color indexed="81"/>
            <rFont val="Tahoma"/>
            <family val="2"/>
          </rPr>
          <t xml:space="preserve">
TSV File says 7:58:15 PM, but this is not correct, as this would be too dark for measurement; 3:30 PM time is estimated from photos taken at the site (beginning of measurement)</t>
        </r>
      </text>
    </comment>
    <comment ref="I3" authorId="1" shapeId="0" xr:uid="{C141D21A-4EED-471A-AA74-0EEA1557CC6C}">
      <text>
        <r>
          <rPr>
            <b/>
            <sz val="9"/>
            <color indexed="81"/>
            <rFont val="Tahoma"/>
            <family val="2"/>
          </rPr>
          <t>Jake:</t>
        </r>
        <r>
          <rPr>
            <sz val="9"/>
            <color indexed="81"/>
            <rFont val="Tahoma"/>
            <family val="2"/>
          </rPr>
          <t xml:space="preserve">
TSV file says 6:30:48 PM, but this is not correct, as this would be too dark for measurement; 3:00 PM time is estimated from photos taken at the site (middle of measurement)</t>
        </r>
      </text>
    </comment>
    <comment ref="I4" authorId="1" shapeId="0" xr:uid="{4BF69544-B18D-49D5-A79B-E3DB49559EC7}">
      <text>
        <r>
          <rPr>
            <b/>
            <sz val="9"/>
            <color indexed="81"/>
            <rFont val="Tahoma"/>
            <family val="2"/>
          </rPr>
          <t>Jake:</t>
        </r>
        <r>
          <rPr>
            <sz val="9"/>
            <color indexed="81"/>
            <rFont val="Tahoma"/>
            <family val="2"/>
          </rPr>
          <t xml:space="preserve">
TSV file says 5:23:22 PM, but this is not correct, as this does not match the time the photo of the measurement was taken; 1:15 PM time is estimated from photos taken at the site (middle of measurement)</t>
        </r>
      </text>
    </comment>
    <comment ref="K4" authorId="1" shapeId="0" xr:uid="{94EB7BF9-D1E0-4238-93F5-BA9FEB6E3D46}">
      <text>
        <r>
          <rPr>
            <b/>
            <sz val="9"/>
            <color indexed="81"/>
            <rFont val="Tahoma"/>
            <family val="2"/>
          </rPr>
          <t>Jake:</t>
        </r>
        <r>
          <rPr>
            <sz val="9"/>
            <color indexed="81"/>
            <rFont val="Tahoma"/>
            <family val="2"/>
          </rPr>
          <t xml:space="preserve">
Anthony had recorded 1.001 for this value, which appears to be from 1:00 PM, 1/20/2020, one day before the flow measurement was taken; I have corrected this with values from 1/21/2020</t>
        </r>
      </text>
    </comment>
    <comment ref="I11" authorId="1" shapeId="0" xr:uid="{573BD668-FF7A-4A34-B785-DD78273E7DFE}">
      <text>
        <r>
          <rPr>
            <b/>
            <sz val="9"/>
            <color indexed="81"/>
            <rFont val="Tahoma"/>
            <family val="2"/>
          </rPr>
          <t>Jake:</t>
        </r>
        <r>
          <rPr>
            <sz val="9"/>
            <color indexed="81"/>
            <rFont val="Tahoma"/>
            <family val="2"/>
          </rPr>
          <t xml:space="preserve">
Time measurement was completed</t>
        </r>
      </text>
    </comment>
    <comment ref="K11" authorId="1" shapeId="0" xr:uid="{50D49608-51EC-4C0B-9C8B-0018E79BC81A}">
      <text>
        <r>
          <rPr>
            <b/>
            <sz val="9"/>
            <color indexed="81"/>
            <rFont val="Tahoma"/>
            <family val="2"/>
          </rPr>
          <t>Jake:</t>
        </r>
        <r>
          <rPr>
            <sz val="9"/>
            <color indexed="81"/>
            <rFont val="Tahoma"/>
            <family val="2"/>
          </rPr>
          <t xml:space="preserve">
Issue with Bell Hill Gage starting 12/7/22 after Anthony removed from creek. Correction factor of 1.9 feet subtracted from corrected depth.</t>
        </r>
      </text>
    </comment>
    <comment ref="I12" authorId="1" shapeId="0" xr:uid="{16FC0EA7-0AB5-40E3-8C5F-B9C431FBEDA7}">
      <text>
        <r>
          <rPr>
            <b/>
            <sz val="9"/>
            <color indexed="81"/>
            <rFont val="Tahoma"/>
            <family val="2"/>
          </rPr>
          <t>Jake:</t>
        </r>
        <r>
          <rPr>
            <sz val="9"/>
            <color indexed="81"/>
            <rFont val="Tahoma"/>
            <family val="2"/>
          </rPr>
          <t xml:space="preserve">
Time measurement was completed</t>
        </r>
      </text>
    </comment>
    <comment ref="I13" authorId="1" shapeId="0" xr:uid="{9EF9FF66-E23F-407E-9500-FFF173093E61}">
      <text>
        <r>
          <rPr>
            <b/>
            <sz val="9"/>
            <color indexed="81"/>
            <rFont val="Tahoma"/>
            <family val="2"/>
          </rPr>
          <t>Jake:</t>
        </r>
        <r>
          <rPr>
            <sz val="9"/>
            <color indexed="81"/>
            <rFont val="Tahoma"/>
            <family val="2"/>
          </rPr>
          <t xml:space="preserve">
Time measurement was completed</t>
        </r>
      </text>
    </comment>
    <comment ref="K15" authorId="0" shapeId="0" xr:uid="{7A5DFCA8-63D5-4A35-9812-6357EFC3D471}">
      <text>
        <r>
          <rPr>
            <b/>
            <sz val="9"/>
            <color indexed="81"/>
            <rFont val="Tahoma"/>
            <family val="2"/>
          </rPr>
          <t>Cameron Tenner:</t>
        </r>
        <r>
          <rPr>
            <sz val="9"/>
            <color indexed="81"/>
            <rFont val="Tahoma"/>
            <family val="2"/>
          </rPr>
          <t xml:space="preserve">
salmon shading denotes that these measurements were taken from the waterboard transducer at Bell Hill Rd, as the BVR transducer was malfunctioning at this time. WB data is hourly, so value from closest hour is used</t>
        </r>
      </text>
    </comment>
  </commentList>
</comments>
</file>

<file path=xl/sharedStrings.xml><?xml version="1.0" encoding="utf-8"?>
<sst xmlns="http://schemas.openxmlformats.org/spreadsheetml/2006/main" count="157" uniqueCount="85">
  <si>
    <t>Date</t>
  </si>
  <si>
    <t>Time</t>
  </si>
  <si>
    <t>Equipment</t>
  </si>
  <si>
    <t>Staff</t>
  </si>
  <si>
    <t>Notes</t>
  </si>
  <si>
    <t>Flow_cfs</t>
  </si>
  <si>
    <t>Site_Name</t>
  </si>
  <si>
    <t>Argonaut Rd</t>
  </si>
  <si>
    <t>Bell Hill Rd</t>
  </si>
  <si>
    <t>Soda Bay Rd</t>
  </si>
  <si>
    <t>1.21.2020</t>
  </si>
  <si>
    <t>Anthony Falzone</t>
  </si>
  <si>
    <t>AC_SODA_2</t>
  </si>
  <si>
    <t>AC_ARG_1</t>
  </si>
  <si>
    <t>AC_BEL_1</t>
  </si>
  <si>
    <t>340 ft upstream of Bell Hill Rd (90 ft upstream of pressure transducer)</t>
  </si>
  <si>
    <t>Hach FH950</t>
  </si>
  <si>
    <t>12.16.2021</t>
  </si>
  <si>
    <t>PM (with Anthony Falzone)</t>
  </si>
  <si>
    <t>Profile_Name</t>
  </si>
  <si>
    <t>ADOBE_RH</t>
  </si>
  <si>
    <t>ABC_RH3</t>
  </si>
  <si>
    <t>ADC</t>
  </si>
  <si>
    <t>RH04.TSV</t>
  </si>
  <si>
    <t>RH03.TSV</t>
  </si>
  <si>
    <t>Raw_File_Name</t>
  </si>
  <si>
    <t>RH02.TSV</t>
  </si>
  <si>
    <t>AC_1A.TSV</t>
  </si>
  <si>
    <t>AC_2A.TSV</t>
  </si>
  <si>
    <t>AC_3A.TSV</t>
  </si>
  <si>
    <t>Corrected_Depth_ft</t>
  </si>
  <si>
    <t>Transducer_Sensor_Elevation_ft-NAVD88</t>
  </si>
  <si>
    <t>WSE_ft-NAVD88</t>
  </si>
  <si>
    <t>Taken from pressure transducer data, average of 3 depths: 
1) depth at time of flow measurement
2) depth 15 minutes prior
3) 30 mintues prior (assuming it took 30 mintues to take flow measurement)</t>
  </si>
  <si>
    <t>"Z:\Active_Projects\A002_Clear_Lake\Surface_Water\Pressure_Transducers\metadata\Transducer_Locations-Elevations.xlsx"</t>
  </si>
  <si>
    <t>Transducer_Sensor_Elevation + Corrected_Depth</t>
  </si>
  <si>
    <t>250 ft upstream of Bell Hill Rd. The three WSE elevations from 1.21.2020 were previously calculated and copied from: "Z:\Active_Projects\A002_Clear_Lake\Surface_Water\Flow_Measurements\Adobe_Creek\data-raw\20200121\Q to WSE.xlsx"</t>
  </si>
  <si>
    <t>4.22.2022</t>
  </si>
  <si>
    <t>Jake Kramarz</t>
  </si>
  <si>
    <t>just upstream ~6ft of pressure transducer/t-post</t>
  </si>
  <si>
    <t>immediately downstream of abutments</t>
  </si>
  <si>
    <t>ADOBE_BELL_HILL</t>
  </si>
  <si>
    <t>ADOBE_ARGONAUT1</t>
  </si>
  <si>
    <t>ADOBE_BELL_HILL2.tsv</t>
  </si>
  <si>
    <t>ADOBE_ARGONAUT2.tsv</t>
  </si>
  <si>
    <t>ADOBE_SODA_BAY1</t>
  </si>
  <si>
    <t>ADOBE_SODA_BAY2.tsv</t>
  </si>
  <si>
    <t>10 ft downstream of Soda Bay Bridge</t>
  </si>
  <si>
    <t xml:space="preserve">Taken 5 ft upstream of the pressure transducer. Transducer is a few feet downstream of the bridge/road crossing. </t>
  </si>
  <si>
    <t>Lat</t>
  </si>
  <si>
    <t>Long</t>
  </si>
  <si>
    <t>Northing</t>
  </si>
  <si>
    <t>Easting</t>
  </si>
  <si>
    <t>1.24.2023</t>
  </si>
  <si>
    <t>Jake Kramarz (with Nick Steinke)</t>
  </si>
  <si>
    <t>immediately downstream of abutments (left side slightly upstream of abutments to get parallel with flow</t>
  </si>
  <si>
    <t>ADOBE_BH1.tsv</t>
  </si>
  <si>
    <t>ADOBE_BH</t>
  </si>
  <si>
    <t>ADOBE_ARG_1.tsv</t>
  </si>
  <si>
    <t>ADOBE_ARG_1</t>
  </si>
  <si>
    <t>ADOBE_SB_2.tsv</t>
  </si>
  <si>
    <t>ADOBE_SB_2</t>
  </si>
  <si>
    <t>52 feet upstream of pressure tranducer/t-post. Issue with Bell Hill Gage starting 12/7/22 after Anthony removed from creek. The sensor was reading about 2-ft of depth in Sara's office. Decision was made to apply correction factor of 1.9 feet subtracted from corrected depth. The sensor might need replacement.</t>
  </si>
  <si>
    <t>1.31.2023</t>
  </si>
  <si>
    <t>013123 (AC4).xlsx</t>
  </si>
  <si>
    <t>Alix Tyler</t>
  </si>
  <si>
    <t>AC4_20230419.JPG</t>
  </si>
  <si>
    <t>This measure comes from a photograph taken by Alix Tyler on 04/19/23</t>
  </si>
  <si>
    <t>050423 (AC4).xlsx</t>
  </si>
  <si>
    <t>N/A</t>
  </si>
  <si>
    <t>050423 (Argonaut).xlsx</t>
  </si>
  <si>
    <t>AC4_20230511.JPG</t>
  </si>
  <si>
    <t>WaterBoard Staff</t>
  </si>
  <si>
    <t xml:space="preserve">This measure comes from a photograph sent to us by a WB staff member </t>
  </si>
  <si>
    <t>AC1_20230518.JPG</t>
  </si>
  <si>
    <t>This measure comes from a photograph taken by Alix Tyler on a 05/18/23 outing with WB staff</t>
  </si>
  <si>
    <t>Argonaut_20230518.JPG</t>
  </si>
  <si>
    <t>AC1_20230525.JPEG</t>
  </si>
  <si>
    <t>This measure comes from a photograph taken by Alix Tyler on 05/25/23</t>
  </si>
  <si>
    <t>AC4_20230525.JPEG</t>
  </si>
  <si>
    <t>4.19.2023</t>
  </si>
  <si>
    <t>5.04.2023</t>
  </si>
  <si>
    <t>5.11.2023</t>
  </si>
  <si>
    <t>5.18.2023</t>
  </si>
  <si>
    <t>5.25.2023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</si>
</sst>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
  </numFmts>
  <fonts count="5" x14ac:knownFonts="1">
    <font>
      <sz val="11"/>
      <color theme="1"/>
      <name val="Calibri"/>
      <family val="2"/>
      <scheme val="minor"/>
    </font>
    <font>
      <sz val="9"/>
      <color indexed="81"/>
      <name val="Tahoma"/>
      <family val="2"/>
    </font>
    <font>
      <b/>
      <sz val="9"/>
      <color indexed="81"/>
      <name val="Tahoma"/>
      <family val="2"/>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horizontal="left" vertical="center"/>
    </xf>
    <xf numFmtId="0" fontId="0" fillId="0" borderId="0" xfId="0" applyAlignment="1">
      <alignment vertical="center"/>
    </xf>
    <xf numFmtId="0" fontId="0" fillId="0" borderId="0" xfId="0" applyAlignment="1">
      <alignment vertical="center" wrapText="1"/>
    </xf>
    <xf numFmtId="14" fontId="0" fillId="0" borderId="0" xfId="0" applyNumberFormat="1" applyAlignment="1">
      <alignment vertical="center"/>
    </xf>
    <xf numFmtId="164" fontId="0" fillId="0" borderId="0" xfId="0" applyNumberFormat="1" applyAlignment="1">
      <alignment vertical="center"/>
    </xf>
    <xf numFmtId="165" fontId="0" fillId="0" borderId="0" xfId="0" applyNumberFormat="1" applyAlignment="1">
      <alignment vertical="center"/>
    </xf>
    <xf numFmtId="0" fontId="4" fillId="0" borderId="0" xfId="0" applyFont="1" applyAlignment="1">
      <alignment horizontal="left" vertical="center"/>
    </xf>
    <xf numFmtId="0" fontId="0" fillId="2"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Argonaut</a:t>
            </a:r>
            <a:r>
              <a:rPr lang="en-US" baseline="0"/>
              <a:t> </a:t>
            </a:r>
            <a:r>
              <a:rPr lang="en-US"/>
              <a:t>Depth-Flow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Argonaut Depth-Flow</c:v>
          </c:tx>
          <c:spPr>
            <a:ln w="25400" cap="rnd">
              <a:noFill/>
              <a:round/>
            </a:ln>
            <a:effectLst/>
          </c:spPr>
          <c:marker>
            <c:symbol val="circle"/>
            <c:size val="5"/>
            <c:spPr>
              <a:solidFill>
                <a:schemeClr val="accent1"/>
              </a:solidFill>
              <a:ln w="9525">
                <a:solidFill>
                  <a:schemeClr val="accent1"/>
                </a:solidFill>
              </a:ln>
              <a:effectLst/>
            </c:spPr>
          </c:marker>
          <c:xVal>
            <c:numRef>
              <c:f>(Data!$K$3,Data!$K$9,Data!$K$12)</c:f>
              <c:numCache>
                <c:formatCode>0.000</c:formatCode>
                <c:ptCount val="3"/>
                <c:pt idx="0">
                  <c:v>1.4583333333333333</c:v>
                </c:pt>
                <c:pt idx="1">
                  <c:v>1.454666666666667</c:v>
                </c:pt>
                <c:pt idx="2">
                  <c:v>1.8303333333333336</c:v>
                </c:pt>
              </c:numCache>
            </c:numRef>
          </c:xVal>
          <c:yVal>
            <c:numRef>
              <c:f>(Data!$J$3,Data!$J$9,Data!$J$12)</c:f>
              <c:numCache>
                <c:formatCode>General</c:formatCode>
                <c:ptCount val="3"/>
                <c:pt idx="0">
                  <c:v>20.68</c:v>
                </c:pt>
                <c:pt idx="1">
                  <c:v>11.93</c:v>
                </c:pt>
                <c:pt idx="2">
                  <c:v>40.4</c:v>
                </c:pt>
              </c:numCache>
            </c:numRef>
          </c:yVal>
          <c:smooth val="0"/>
          <c:extLst>
            <c:ext xmlns:c16="http://schemas.microsoft.com/office/drawing/2014/chart" uri="{C3380CC4-5D6E-409C-BE32-E72D297353CC}">
              <c16:uniqueId val="{00000000-40C2-4E83-9A08-0105D1349066}"/>
            </c:ext>
          </c:extLst>
        </c:ser>
        <c:dLbls>
          <c:showLegendKey val="0"/>
          <c:showVal val="0"/>
          <c:showCatName val="0"/>
          <c:showSerName val="0"/>
          <c:showPercent val="0"/>
          <c:showBubbleSize val="0"/>
        </c:dLbls>
        <c:axId val="1876599584"/>
        <c:axId val="1876600000"/>
      </c:scatterChart>
      <c:valAx>
        <c:axId val="1876599584"/>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 (ft)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600000"/>
        <c:crosses val="autoZero"/>
        <c:crossBetween val="midCat"/>
        <c:majorUnit val="0.5"/>
      </c:valAx>
      <c:valAx>
        <c:axId val="187660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9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Soda Bay</a:t>
            </a:r>
            <a:r>
              <a:rPr lang="en-US" baseline="0"/>
              <a:t> </a:t>
            </a:r>
            <a:r>
              <a:rPr lang="en-US"/>
              <a:t>Depth-Flow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Soda Bay Depth-Flow</c:v>
          </c:tx>
          <c:spPr>
            <a:ln w="25400" cap="rnd">
              <a:noFill/>
              <a:round/>
            </a:ln>
            <a:effectLst/>
          </c:spPr>
          <c:marker>
            <c:symbol val="circle"/>
            <c:size val="5"/>
            <c:spPr>
              <a:solidFill>
                <a:schemeClr val="accent1"/>
              </a:solidFill>
              <a:ln w="9525">
                <a:solidFill>
                  <a:schemeClr val="accent1"/>
                </a:solidFill>
              </a:ln>
              <a:effectLst/>
            </c:spPr>
          </c:marker>
          <c:xVal>
            <c:numRef>
              <c:f>(Data!$K$4,Data!$K$10,Data!$K$13)</c:f>
              <c:numCache>
                <c:formatCode>0.000</c:formatCode>
                <c:ptCount val="3"/>
                <c:pt idx="0">
                  <c:v>0.85899999999999999</c:v>
                </c:pt>
                <c:pt idx="1">
                  <c:v>0.58466666666666656</c:v>
                </c:pt>
                <c:pt idx="2">
                  <c:v>1.482</c:v>
                </c:pt>
              </c:numCache>
            </c:numRef>
          </c:xVal>
          <c:yVal>
            <c:numRef>
              <c:f>(Data!$J$4,Data!$J$10,Data!$J$13)</c:f>
              <c:numCache>
                <c:formatCode>General</c:formatCode>
                <c:ptCount val="3"/>
                <c:pt idx="0">
                  <c:v>19.63</c:v>
                </c:pt>
                <c:pt idx="1">
                  <c:v>9.36</c:v>
                </c:pt>
                <c:pt idx="2">
                  <c:v>51.26</c:v>
                </c:pt>
              </c:numCache>
            </c:numRef>
          </c:yVal>
          <c:smooth val="0"/>
          <c:extLst>
            <c:ext xmlns:c16="http://schemas.microsoft.com/office/drawing/2014/chart" uri="{C3380CC4-5D6E-409C-BE32-E72D297353CC}">
              <c16:uniqueId val="{00000000-4AE9-47D5-B5C5-C175112E9FD3}"/>
            </c:ext>
          </c:extLst>
        </c:ser>
        <c:dLbls>
          <c:showLegendKey val="0"/>
          <c:showVal val="0"/>
          <c:showCatName val="0"/>
          <c:showSerName val="0"/>
          <c:showPercent val="0"/>
          <c:showBubbleSize val="0"/>
        </c:dLbls>
        <c:axId val="1876599584"/>
        <c:axId val="1876600000"/>
      </c:scatterChart>
      <c:valAx>
        <c:axId val="1876599584"/>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 (ft)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600000"/>
        <c:crosses val="autoZero"/>
        <c:crossBetween val="midCat"/>
        <c:majorUnit val="0.2"/>
      </c:valAx>
      <c:valAx>
        <c:axId val="187660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9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Bell Hill Depth-Flow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Bell Hill Depth-Flow</c:v>
          </c:tx>
          <c:spPr>
            <a:ln w="25400" cap="rnd">
              <a:noFill/>
              <a:round/>
            </a:ln>
            <a:effectLst/>
          </c:spPr>
          <c:marker>
            <c:symbol val="circle"/>
            <c:size val="5"/>
            <c:spPr>
              <a:solidFill>
                <a:schemeClr val="accent1"/>
              </a:solidFill>
              <a:ln w="9525">
                <a:solidFill>
                  <a:schemeClr val="accent1"/>
                </a:solidFill>
              </a:ln>
              <a:effectLst/>
            </c:spPr>
          </c:marker>
          <c:xVal>
            <c:numRef>
              <c:f>(Data!$K$5:$K$8,Data!$K$2,Data!$K$11)</c:f>
              <c:numCache>
                <c:formatCode>0.000</c:formatCode>
                <c:ptCount val="6"/>
                <c:pt idx="0">
                  <c:v>3.6523333333333334</c:v>
                </c:pt>
                <c:pt idx="1">
                  <c:v>3.293333333333333</c:v>
                </c:pt>
                <c:pt idx="2">
                  <c:v>3.2566666666666664</c:v>
                </c:pt>
                <c:pt idx="3" formatCode="General">
                  <c:v>1.9810000000000001</c:v>
                </c:pt>
                <c:pt idx="4">
                  <c:v>2.2040000000000002</c:v>
                </c:pt>
                <c:pt idx="5">
                  <c:v>2.31725</c:v>
                </c:pt>
              </c:numCache>
            </c:numRef>
          </c:xVal>
          <c:yVal>
            <c:numRef>
              <c:f>(Data!$J$5:$J$8,Data!$J$2,Data!$J$11)</c:f>
              <c:numCache>
                <c:formatCode>General</c:formatCode>
                <c:ptCount val="6"/>
                <c:pt idx="0">
                  <c:v>346</c:v>
                </c:pt>
                <c:pt idx="1">
                  <c:v>225.1</c:v>
                </c:pt>
                <c:pt idx="2">
                  <c:v>225.7</c:v>
                </c:pt>
                <c:pt idx="3">
                  <c:v>14.88</c:v>
                </c:pt>
                <c:pt idx="4">
                  <c:v>21.34</c:v>
                </c:pt>
                <c:pt idx="5">
                  <c:v>29.37</c:v>
                </c:pt>
              </c:numCache>
            </c:numRef>
          </c:yVal>
          <c:smooth val="0"/>
          <c:extLst>
            <c:ext xmlns:c16="http://schemas.microsoft.com/office/drawing/2014/chart" uri="{C3380CC4-5D6E-409C-BE32-E72D297353CC}">
              <c16:uniqueId val="{00000000-E2C1-4D1A-9209-04F2CAB1AE87}"/>
            </c:ext>
          </c:extLst>
        </c:ser>
        <c:dLbls>
          <c:showLegendKey val="0"/>
          <c:showVal val="0"/>
          <c:showCatName val="0"/>
          <c:showSerName val="0"/>
          <c:showPercent val="0"/>
          <c:showBubbleSize val="0"/>
        </c:dLbls>
        <c:axId val="1876599584"/>
        <c:axId val="1876600000"/>
      </c:scatterChart>
      <c:valAx>
        <c:axId val="1876599584"/>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 (ft)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600000"/>
        <c:crosses val="autoZero"/>
        <c:crossBetween val="midCat"/>
        <c:majorUnit val="0.5"/>
      </c:valAx>
      <c:valAx>
        <c:axId val="187660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9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244475</xdr:colOff>
      <xdr:row>5</xdr:row>
      <xdr:rowOff>168275</xdr:rowOff>
    </xdr:from>
    <xdr:to>
      <xdr:col>8</xdr:col>
      <xdr:colOff>549275</xdr:colOff>
      <xdr:row>20</xdr:row>
      <xdr:rowOff>149225</xdr:rowOff>
    </xdr:to>
    <xdr:graphicFrame macro="">
      <xdr:nvGraphicFramePr>
        <xdr:cNvPr id="2" name="Chart 1">
          <a:extLst>
            <a:ext uri="{FF2B5EF4-FFF2-40B4-BE49-F238E27FC236}">
              <a16:creationId xmlns:a16="http://schemas.microsoft.com/office/drawing/2014/main" id="{90C45951-1EDB-2B89-BCEB-B129C6952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447675</xdr:colOff>
      <xdr:row>6</xdr:row>
      <xdr:rowOff>0</xdr:rowOff>
    </xdr:from>
    <xdr:to>
      <xdr:col>17</xdr:col>
      <xdr:colOff>142875</xdr:colOff>
      <xdr:row>20</xdr:row>
      <xdr:rowOff>158750</xdr:rowOff>
    </xdr:to>
    <xdr:graphicFrame macro="">
      <xdr:nvGraphicFramePr>
        <xdr:cNvPr id="3" name="Chart 2">
          <a:extLst>
            <a:ext uri="{FF2B5EF4-FFF2-40B4-BE49-F238E27FC236}">
              <a16:creationId xmlns:a16="http://schemas.microsoft.com/office/drawing/2014/main" id="{B5A1D3DE-27AC-428E-9020-44CDF4D60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257175</xdr:colOff>
      <xdr:row>22</xdr:row>
      <xdr:rowOff>161925</xdr:rowOff>
    </xdr:from>
    <xdr:to>
      <xdr:col>12</xdr:col>
      <xdr:colOff>561975</xdr:colOff>
      <xdr:row>37</xdr:row>
      <xdr:rowOff>139700</xdr:rowOff>
    </xdr:to>
    <xdr:graphicFrame macro="">
      <xdr:nvGraphicFramePr>
        <xdr:cNvPr id="4" name="Chart 3">
          <a:extLst>
            <a:ext uri="{FF2B5EF4-FFF2-40B4-BE49-F238E27FC236}">
              <a16:creationId xmlns:a16="http://schemas.microsoft.com/office/drawing/2014/main" id="{307F08B9-C34B-4B49-87F5-FBC22DB15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0B63-D1E8-4331-A6C6-495B37B98D3D}">
  <dimension ref="A1:C4"/>
  <sheetViews>
    <sheetView workbookViewId="0">
      <selection activeCell="A7" sqref="A7"/>
    </sheetView>
  </sheetViews>
  <sheetFormatPr baseColWidth="10" defaultColWidth="8.83203125" defaultRowHeight="15" x14ac:dyDescent="0.2"/>
  <cols>
    <col min="1" max="1" width="38.5" style="2" bestFit="1" customWidth="1"/>
    <col min="2" max="2" width="126.5" style="4" bestFit="1" customWidth="1"/>
    <col min="3" max="3" width="9.1640625" style="3"/>
  </cols>
  <sheetData>
    <row r="1" spans="1:2" ht="64" x14ac:dyDescent="0.2">
      <c r="A1" s="2" t="s">
        <v>30</v>
      </c>
      <c r="B1" s="4" t="s">
        <v>33</v>
      </c>
    </row>
    <row r="2" spans="1:2" ht="16" x14ac:dyDescent="0.2">
      <c r="A2" s="2" t="s">
        <v>31</v>
      </c>
      <c r="B2" s="4" t="s">
        <v>34</v>
      </c>
    </row>
    <row r="3" spans="1:2" ht="16" x14ac:dyDescent="0.2">
      <c r="A3" s="2" t="s">
        <v>32</v>
      </c>
      <c r="B3" s="4" t="s">
        <v>35</v>
      </c>
    </row>
    <row r="4" spans="1:2" x14ac:dyDescent="0.2">
      <c r="A4" s="8"/>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
  <sheetViews>
    <sheetView tabSelected="1" topLeftCell="B1" zoomScaleNormal="100" workbookViewId="0">
      <selection activeCell="H21" sqref="H21"/>
    </sheetView>
  </sheetViews>
  <sheetFormatPr baseColWidth="10" defaultColWidth="8.83203125" defaultRowHeight="15" x14ac:dyDescent="0.2"/>
  <cols>
    <col min="1" max="1" width="23.5" style="3" bestFit="1" customWidth="1"/>
    <col min="2" max="2" width="19.5" style="3" bestFit="1" customWidth="1"/>
    <col min="3" max="3" width="13" style="3" bestFit="1" customWidth="1"/>
    <col min="4" max="7" width="13" style="3" customWidth="1"/>
    <col min="8" max="8" width="10.1640625" style="3" bestFit="1" customWidth="1"/>
    <col min="9" max="9" width="12.1640625" style="6" bestFit="1" customWidth="1"/>
    <col min="10" max="10" width="11" style="3" bestFit="1" customWidth="1"/>
    <col min="11" max="11" width="18.5" style="3" bestFit="1" customWidth="1"/>
    <col min="12" max="12" width="27.83203125" style="3" customWidth="1"/>
    <col min="13" max="13" width="18.33203125" style="3" customWidth="1"/>
    <col min="14" max="14" width="13" style="3" bestFit="1" customWidth="1"/>
    <col min="15" max="15" width="30.5" style="3" bestFit="1" customWidth="1"/>
    <col min="16" max="16" width="63.6640625" style="4" bestFit="1" customWidth="1"/>
    <col min="17" max="17" width="8.5" bestFit="1" customWidth="1"/>
  </cols>
  <sheetData>
    <row r="1" spans="1:17" ht="32" x14ac:dyDescent="0.2">
      <c r="A1" t="s">
        <v>25</v>
      </c>
      <c r="B1" t="s">
        <v>19</v>
      </c>
      <c r="C1" t="s">
        <v>6</v>
      </c>
      <c r="D1" t="s">
        <v>49</v>
      </c>
      <c r="E1" t="s">
        <v>50</v>
      </c>
      <c r="F1" t="s">
        <v>51</v>
      </c>
      <c r="G1" t="s">
        <v>52</v>
      </c>
      <c r="H1" t="s">
        <v>0</v>
      </c>
      <c r="I1" t="s">
        <v>1</v>
      </c>
      <c r="J1" t="s">
        <v>5</v>
      </c>
      <c r="K1" t="s">
        <v>30</v>
      </c>
      <c r="L1" s="1" t="s">
        <v>31</v>
      </c>
      <c r="M1" s="1" t="s">
        <v>32</v>
      </c>
      <c r="N1" s="1" t="s">
        <v>2</v>
      </c>
      <c r="O1" s="1" t="s">
        <v>3</v>
      </c>
      <c r="P1" s="1" t="s">
        <v>4</v>
      </c>
      <c r="Q1" s="1"/>
    </row>
    <row r="2" spans="1:17" ht="64" x14ac:dyDescent="0.2">
      <c r="A2" s="3" t="s">
        <v>29</v>
      </c>
      <c r="B2" s="3" t="s">
        <v>14</v>
      </c>
      <c r="C2" s="3" t="s">
        <v>8</v>
      </c>
      <c r="D2" s="3">
        <v>38.956636000000003</v>
      </c>
      <c r="E2" s="3">
        <v>-122.891291</v>
      </c>
      <c r="F2" s="3">
        <v>2111453.0599199999</v>
      </c>
      <c r="G2" s="3">
        <v>6308226.1885299999</v>
      </c>
      <c r="H2" s="5" t="s">
        <v>10</v>
      </c>
      <c r="I2" s="6">
        <v>0.64583333333333337</v>
      </c>
      <c r="J2" s="3">
        <v>21.34</v>
      </c>
      <c r="K2" s="7">
        <f>AVERAGE(2.201,2.2,2.211)</f>
        <v>2.2040000000000002</v>
      </c>
      <c r="L2" s="7">
        <f>ROUND(1402.281, 1)</f>
        <v>1402.3</v>
      </c>
      <c r="M2" s="7">
        <f t="shared" ref="M2:M13" si="0">K2+L2</f>
        <v>1404.5039999999999</v>
      </c>
      <c r="N2" s="3" t="s">
        <v>16</v>
      </c>
      <c r="O2" s="3" t="s">
        <v>11</v>
      </c>
      <c r="P2" s="4" t="s">
        <v>36</v>
      </c>
    </row>
    <row r="3" spans="1:17" ht="32" x14ac:dyDescent="0.2">
      <c r="A3" s="3" t="s">
        <v>28</v>
      </c>
      <c r="B3" s="3" t="s">
        <v>13</v>
      </c>
      <c r="C3" s="3" t="s">
        <v>7</v>
      </c>
      <c r="D3" s="3">
        <v>38.993862999999997</v>
      </c>
      <c r="E3" s="3">
        <v>-122.877657</v>
      </c>
      <c r="F3" s="3">
        <v>2124972.4892500001</v>
      </c>
      <c r="G3" s="3">
        <v>6312233.8818300003</v>
      </c>
      <c r="H3" s="5" t="s">
        <v>10</v>
      </c>
      <c r="I3" s="6">
        <v>0.625</v>
      </c>
      <c r="J3" s="3">
        <v>20.68</v>
      </c>
      <c r="K3" s="7">
        <f>AVERAGE(1.45,1.47,1.455)</f>
        <v>1.4583333333333333</v>
      </c>
      <c r="L3" s="3">
        <f>ROUND(1350.318, 1)</f>
        <v>1350.3</v>
      </c>
      <c r="M3" s="7">
        <f t="shared" si="0"/>
        <v>1351.7583333333332</v>
      </c>
      <c r="N3" s="3" t="s">
        <v>16</v>
      </c>
      <c r="O3" s="3" t="s">
        <v>11</v>
      </c>
      <c r="P3" s="4" t="s">
        <v>48</v>
      </c>
    </row>
    <row r="4" spans="1:17" ht="16" x14ac:dyDescent="0.2">
      <c r="A4" s="3" t="s">
        <v>27</v>
      </c>
      <c r="B4" s="3" t="s">
        <v>12</v>
      </c>
      <c r="C4" s="3" t="s">
        <v>9</v>
      </c>
      <c r="D4" s="3">
        <v>39.014848999999998</v>
      </c>
      <c r="E4" s="3">
        <v>-122.870715</v>
      </c>
      <c r="F4" s="3">
        <v>2132596.1942099999</v>
      </c>
      <c r="G4" s="3">
        <v>6314280.1284400001</v>
      </c>
      <c r="H4" s="5" t="s">
        <v>10</v>
      </c>
      <c r="I4" s="6">
        <v>0.55208333333333337</v>
      </c>
      <c r="J4" s="3">
        <v>19.63</v>
      </c>
      <c r="K4" s="7">
        <f>AVERAGE(0.861,0.863,0.853)</f>
        <v>0.85899999999999999</v>
      </c>
      <c r="L4" s="3">
        <f>ROUND(1329.229, 1)</f>
        <v>1329.2</v>
      </c>
      <c r="M4" s="7">
        <f t="shared" si="0"/>
        <v>1330.059</v>
      </c>
      <c r="N4" s="3" t="s">
        <v>16</v>
      </c>
      <c r="O4" s="3" t="s">
        <v>18</v>
      </c>
      <c r="P4" s="4" t="s">
        <v>47</v>
      </c>
    </row>
    <row r="5" spans="1:17" ht="16" x14ac:dyDescent="0.2">
      <c r="A5" s="3" t="s">
        <v>26</v>
      </c>
      <c r="B5" s="3" t="s">
        <v>20</v>
      </c>
      <c r="C5" s="3" t="s">
        <v>8</v>
      </c>
      <c r="D5" s="3">
        <v>38.956636000000003</v>
      </c>
      <c r="E5" s="3">
        <v>-122.891291</v>
      </c>
      <c r="F5" s="3">
        <v>2111453.0599199999</v>
      </c>
      <c r="G5" s="3">
        <v>6308226.1885299999</v>
      </c>
      <c r="H5" s="5" t="s">
        <v>17</v>
      </c>
      <c r="I5" s="6">
        <v>0.38239583333333332</v>
      </c>
      <c r="J5" s="3">
        <v>346</v>
      </c>
      <c r="K5" s="7">
        <f>AVERAGE(3.635,3.65,3.672)</f>
        <v>3.6523333333333334</v>
      </c>
      <c r="L5" s="7">
        <f>ROUND(1402.281, 1)</f>
        <v>1402.3</v>
      </c>
      <c r="M5" s="7">
        <f t="shared" si="0"/>
        <v>1405.9523333333334</v>
      </c>
      <c r="N5" s="3" t="s">
        <v>16</v>
      </c>
      <c r="O5" s="3" t="s">
        <v>11</v>
      </c>
      <c r="P5" s="4" t="s">
        <v>15</v>
      </c>
    </row>
    <row r="6" spans="1:17" ht="16" x14ac:dyDescent="0.2">
      <c r="A6" s="3" t="s">
        <v>24</v>
      </c>
      <c r="B6" s="3" t="s">
        <v>21</v>
      </c>
      <c r="C6" s="3" t="s">
        <v>8</v>
      </c>
      <c r="D6" s="3">
        <v>38.956636000000003</v>
      </c>
      <c r="E6" s="3">
        <v>-122.891291</v>
      </c>
      <c r="F6" s="3">
        <v>2111453.0599199999</v>
      </c>
      <c r="G6" s="3">
        <v>6308226.1885299999</v>
      </c>
      <c r="H6" s="5" t="s">
        <v>17</v>
      </c>
      <c r="I6" s="6">
        <v>0.63832175925925927</v>
      </c>
      <c r="J6" s="3">
        <v>225.1</v>
      </c>
      <c r="K6" s="7">
        <f>AVERAGE(3.282,3.292,3.306)</f>
        <v>3.293333333333333</v>
      </c>
      <c r="L6" s="7">
        <f>ROUND(1402.281, 1)</f>
        <v>1402.3</v>
      </c>
      <c r="M6" s="7">
        <f t="shared" si="0"/>
        <v>1405.5933333333332</v>
      </c>
      <c r="N6" s="3" t="s">
        <v>16</v>
      </c>
      <c r="O6" s="3" t="s">
        <v>11</v>
      </c>
      <c r="P6" s="4" t="s">
        <v>15</v>
      </c>
    </row>
    <row r="7" spans="1:17" ht="16" x14ac:dyDescent="0.2">
      <c r="A7" s="3" t="s">
        <v>23</v>
      </c>
      <c r="B7" s="3" t="s">
        <v>22</v>
      </c>
      <c r="C7" s="3" t="s">
        <v>8</v>
      </c>
      <c r="D7" s="3">
        <v>38.956636000000003</v>
      </c>
      <c r="E7" s="3">
        <v>-122.891291</v>
      </c>
      <c r="F7" s="3">
        <v>2111453.0599199999</v>
      </c>
      <c r="G7" s="3">
        <v>6308226.1885299999</v>
      </c>
      <c r="H7" s="5" t="s">
        <v>17</v>
      </c>
      <c r="I7" s="6">
        <v>0.65775462962962961</v>
      </c>
      <c r="J7" s="3">
        <v>225.7</v>
      </c>
      <c r="K7" s="7">
        <f>AVERAGE(3.242,3.246,3.282)</f>
        <v>3.2566666666666664</v>
      </c>
      <c r="L7" s="7">
        <f>ROUND(1402.281, 1)</f>
        <v>1402.3</v>
      </c>
      <c r="M7" s="7">
        <f t="shared" si="0"/>
        <v>1405.5566666666666</v>
      </c>
      <c r="N7" s="3" t="s">
        <v>16</v>
      </c>
      <c r="O7" s="3" t="s">
        <v>11</v>
      </c>
      <c r="P7" s="4" t="s">
        <v>15</v>
      </c>
    </row>
    <row r="8" spans="1:17" ht="16" x14ac:dyDescent="0.2">
      <c r="A8" s="3" t="s">
        <v>43</v>
      </c>
      <c r="B8" s="3" t="s">
        <v>41</v>
      </c>
      <c r="C8" s="3" t="s">
        <v>8</v>
      </c>
      <c r="D8" s="3">
        <v>38.956636000000003</v>
      </c>
      <c r="E8" s="3">
        <v>-122.891291</v>
      </c>
      <c r="F8" s="3">
        <v>2111453.0599199999</v>
      </c>
      <c r="G8" s="3">
        <v>6308226.1885299999</v>
      </c>
      <c r="H8" s="3" t="s">
        <v>37</v>
      </c>
      <c r="I8" s="6">
        <v>0.48030092592592594</v>
      </c>
      <c r="J8" s="3">
        <v>14.88</v>
      </c>
      <c r="K8" s="3">
        <f>AVERAGE(1.996,1.978,1.969)</f>
        <v>1.9810000000000001</v>
      </c>
      <c r="L8" s="7">
        <f>ROUND(1402.281, 1)</f>
        <v>1402.3</v>
      </c>
      <c r="M8" s="7">
        <f t="shared" si="0"/>
        <v>1404.2809999999999</v>
      </c>
      <c r="N8" s="3" t="s">
        <v>16</v>
      </c>
      <c r="O8" s="3" t="s">
        <v>38</v>
      </c>
      <c r="P8" s="4" t="s">
        <v>39</v>
      </c>
    </row>
    <row r="9" spans="1:17" ht="16" x14ac:dyDescent="0.2">
      <c r="A9" s="3" t="s">
        <v>44</v>
      </c>
      <c r="B9" s="3" t="s">
        <v>42</v>
      </c>
      <c r="C9" s="3" t="s">
        <v>7</v>
      </c>
      <c r="D9" s="3">
        <v>38.993862999999997</v>
      </c>
      <c r="E9" s="3">
        <v>-122.877657</v>
      </c>
      <c r="F9" s="3">
        <v>2124972.4892500001</v>
      </c>
      <c r="G9" s="3">
        <v>6312233.8818300003</v>
      </c>
      <c r="H9" s="3" t="s">
        <v>37</v>
      </c>
      <c r="I9" s="6">
        <v>0.56909722222222225</v>
      </c>
      <c r="J9" s="3">
        <v>11.93</v>
      </c>
      <c r="K9" s="7">
        <f>AVERAGE(1.455,1.453,1.456)</f>
        <v>1.454666666666667</v>
      </c>
      <c r="L9" s="3">
        <f>ROUND(1350.318, 1)</f>
        <v>1350.3</v>
      </c>
      <c r="M9" s="7">
        <f t="shared" si="0"/>
        <v>1351.7546666666667</v>
      </c>
      <c r="N9" s="3" t="s">
        <v>16</v>
      </c>
      <c r="O9" s="3" t="s">
        <v>38</v>
      </c>
      <c r="P9" s="4" t="s">
        <v>40</v>
      </c>
    </row>
    <row r="10" spans="1:17" ht="16" x14ac:dyDescent="0.2">
      <c r="A10" s="3" t="s">
        <v>46</v>
      </c>
      <c r="B10" s="3" t="s">
        <v>45</v>
      </c>
      <c r="C10" s="3" t="s">
        <v>9</v>
      </c>
      <c r="D10" s="3">
        <v>39.014848999999998</v>
      </c>
      <c r="E10" s="3">
        <v>-122.870715</v>
      </c>
      <c r="F10" s="3">
        <v>2132596.1942099999</v>
      </c>
      <c r="G10" s="3">
        <v>6314280.1284400001</v>
      </c>
      <c r="H10" s="3" t="s">
        <v>37</v>
      </c>
      <c r="I10" s="6">
        <v>0.63989583333333333</v>
      </c>
      <c r="J10" s="3">
        <v>9.36</v>
      </c>
      <c r="K10" s="7">
        <f>AVERAGE(0.577,0.586,0.591)</f>
        <v>0.58466666666666656</v>
      </c>
      <c r="L10" s="3">
        <f>ROUND(1329.229, 1)</f>
        <v>1329.2</v>
      </c>
      <c r="M10" s="7">
        <f t="shared" si="0"/>
        <v>1329.7846666666667</v>
      </c>
      <c r="N10" s="3" t="s">
        <v>16</v>
      </c>
      <c r="O10" s="3" t="s">
        <v>38</v>
      </c>
      <c r="P10" s="4" t="s">
        <v>40</v>
      </c>
    </row>
    <row r="11" spans="1:17" ht="64" x14ac:dyDescent="0.2">
      <c r="A11" s="3" t="s">
        <v>56</v>
      </c>
      <c r="B11" s="3" t="s">
        <v>57</v>
      </c>
      <c r="C11" s="3" t="s">
        <v>8</v>
      </c>
      <c r="D11" s="3">
        <v>38.956636000000003</v>
      </c>
      <c r="E11" s="3">
        <v>-122.891291</v>
      </c>
      <c r="F11" s="3">
        <v>2111453.0599199999</v>
      </c>
      <c r="G11" s="3">
        <v>6308226.1885299999</v>
      </c>
      <c r="H11" s="3" t="s">
        <v>53</v>
      </c>
      <c r="I11" s="6">
        <v>0.48468749999999999</v>
      </c>
      <c r="J11" s="3">
        <v>29.37</v>
      </c>
      <c r="K11" s="7">
        <f>AVERAGE(4.241,4.229,4.203,4.196)-1.9</f>
        <v>2.31725</v>
      </c>
      <c r="L11" s="7">
        <f>ROUND(1402.281, 1)</f>
        <v>1402.3</v>
      </c>
      <c r="M11" s="7">
        <f t="shared" si="0"/>
        <v>1404.61725</v>
      </c>
      <c r="N11" s="3" t="s">
        <v>16</v>
      </c>
      <c r="O11" s="3" t="s">
        <v>54</v>
      </c>
      <c r="P11" s="4" t="s">
        <v>62</v>
      </c>
    </row>
    <row r="12" spans="1:17" ht="16" x14ac:dyDescent="0.2">
      <c r="A12" s="3" t="s">
        <v>58</v>
      </c>
      <c r="B12" s="3" t="s">
        <v>59</v>
      </c>
      <c r="C12" s="3" t="s">
        <v>7</v>
      </c>
      <c r="D12" s="3">
        <v>38.993862999999997</v>
      </c>
      <c r="E12" s="3">
        <v>-122.877657</v>
      </c>
      <c r="F12" s="3">
        <v>2124972.4892500001</v>
      </c>
      <c r="G12" s="3">
        <v>6312233.8818300003</v>
      </c>
      <c r="H12" s="3" t="s">
        <v>53</v>
      </c>
      <c r="I12" s="6">
        <v>0.5490046296296297</v>
      </c>
      <c r="J12" s="3">
        <v>40.4</v>
      </c>
      <c r="K12" s="7">
        <f>AVERAGE(1.846,1.828,1.817)</f>
        <v>1.8303333333333336</v>
      </c>
      <c r="L12" s="3">
        <f>ROUND(1350.318, 1)</f>
        <v>1350.3</v>
      </c>
      <c r="M12" s="7">
        <f t="shared" si="0"/>
        <v>1352.1303333333333</v>
      </c>
      <c r="N12" s="3" t="s">
        <v>16</v>
      </c>
      <c r="O12" s="3" t="s">
        <v>54</v>
      </c>
      <c r="P12" s="4" t="s">
        <v>40</v>
      </c>
    </row>
    <row r="13" spans="1:17" ht="32" x14ac:dyDescent="0.2">
      <c r="A13" s="3" t="s">
        <v>60</v>
      </c>
      <c r="B13" s="3" t="s">
        <v>61</v>
      </c>
      <c r="C13" s="3" t="s">
        <v>9</v>
      </c>
      <c r="D13" s="3">
        <v>39.014848999999998</v>
      </c>
      <c r="E13" s="3">
        <v>-122.870715</v>
      </c>
      <c r="F13" s="3">
        <v>2132596.1942099999</v>
      </c>
      <c r="G13" s="3">
        <v>6314280.1284400001</v>
      </c>
      <c r="H13" s="3" t="s">
        <v>53</v>
      </c>
      <c r="I13" s="6">
        <v>0.63092592592592589</v>
      </c>
      <c r="J13" s="3">
        <v>51.26</v>
      </c>
      <c r="K13" s="7">
        <f>AVERAGE(1.47,1.481,1.495)</f>
        <v>1.482</v>
      </c>
      <c r="L13" s="3">
        <f>ROUND(1329.229, 1)</f>
        <v>1329.2</v>
      </c>
      <c r="M13" s="7">
        <f t="shared" si="0"/>
        <v>1330.682</v>
      </c>
      <c r="N13" s="3" t="s">
        <v>16</v>
      </c>
      <c r="O13" s="3" t="s">
        <v>54</v>
      </c>
      <c r="P13" s="4" t="s">
        <v>55</v>
      </c>
    </row>
    <row r="14" spans="1:17" x14ac:dyDescent="0.2">
      <c r="A14" s="3" t="s">
        <v>64</v>
      </c>
      <c r="B14" s="3" t="s">
        <v>69</v>
      </c>
      <c r="C14" s="3" t="s">
        <v>8</v>
      </c>
      <c r="D14" s="3">
        <v>38.956636000000003</v>
      </c>
      <c r="E14" s="3">
        <v>-122.891291</v>
      </c>
      <c r="F14" s="3">
        <v>2111453.0599199999</v>
      </c>
      <c r="G14" s="3">
        <v>6308226.1885299999</v>
      </c>
      <c r="H14" s="3" t="s">
        <v>63</v>
      </c>
      <c r="I14" s="6">
        <v>0.72013888888888899</v>
      </c>
      <c r="J14" s="3">
        <v>11.36</v>
      </c>
      <c r="K14" s="3">
        <f>AVERAGE(1.93, 1.947, 1.934)</f>
        <v>1.9370000000000001</v>
      </c>
      <c r="L14" s="7">
        <f>ROUND(1402.281, 1)</f>
        <v>1402.3</v>
      </c>
      <c r="M14" s="7">
        <f t="shared" ref="M14:M21" si="1">K14+L14</f>
        <v>1404.2369999999999</v>
      </c>
      <c r="O14" s="3" t="s">
        <v>65</v>
      </c>
    </row>
    <row r="15" spans="1:17" ht="16" x14ac:dyDescent="0.2">
      <c r="A15" s="3" t="s">
        <v>66</v>
      </c>
      <c r="B15" s="3" t="s">
        <v>69</v>
      </c>
      <c r="C15" s="3" t="s">
        <v>8</v>
      </c>
      <c r="D15" s="3">
        <v>38.956636000000003</v>
      </c>
      <c r="E15" s="3">
        <v>-122.891291</v>
      </c>
      <c r="F15" s="3">
        <v>2111453.0599199999</v>
      </c>
      <c r="G15" s="3">
        <v>6308226.1885299999</v>
      </c>
      <c r="H15" s="3" t="s">
        <v>80</v>
      </c>
      <c r="I15" s="6">
        <v>0.58402777777777781</v>
      </c>
      <c r="J15" s="3">
        <v>14.37</v>
      </c>
      <c r="K15" s="9">
        <v>1.492</v>
      </c>
      <c r="L15" s="7">
        <f>ROUND(1402.281, 1)</f>
        <v>1402.3</v>
      </c>
      <c r="M15" s="7">
        <f t="shared" si="1"/>
        <v>1403.7919999999999</v>
      </c>
      <c r="O15" s="3" t="s">
        <v>65</v>
      </c>
      <c r="P15" s="4" t="s">
        <v>67</v>
      </c>
    </row>
    <row r="16" spans="1:17" x14ac:dyDescent="0.2">
      <c r="A16" s="3" t="s">
        <v>68</v>
      </c>
      <c r="B16" s="3" t="s">
        <v>69</v>
      </c>
      <c r="C16" s="3" t="s">
        <v>8</v>
      </c>
      <c r="D16" s="3">
        <v>38.956636000000003</v>
      </c>
      <c r="E16" s="3">
        <v>-122.891291</v>
      </c>
      <c r="F16" s="3">
        <v>2111453.0599199999</v>
      </c>
      <c r="G16" s="3">
        <v>6308226.1885299999</v>
      </c>
      <c r="H16" s="3" t="s">
        <v>81</v>
      </c>
      <c r="I16" s="6">
        <v>0.56736111111111109</v>
      </c>
      <c r="J16" s="3">
        <v>9</v>
      </c>
      <c r="K16" s="9">
        <v>1.3260000000000001</v>
      </c>
      <c r="L16" s="7">
        <f>ROUND(1402.281, 1)</f>
        <v>1402.3</v>
      </c>
      <c r="M16" s="7">
        <f t="shared" si="1"/>
        <v>1403.626</v>
      </c>
      <c r="O16" s="3" t="s">
        <v>65</v>
      </c>
    </row>
    <row r="17" spans="1:16" x14ac:dyDescent="0.2">
      <c r="A17" s="3" t="s">
        <v>70</v>
      </c>
      <c r="B17" s="3" t="s">
        <v>69</v>
      </c>
      <c r="C17" s="3" t="s">
        <v>7</v>
      </c>
      <c r="D17" s="3">
        <v>38.993862999999997</v>
      </c>
      <c r="E17" s="3">
        <v>-122.877657</v>
      </c>
      <c r="F17" s="3">
        <v>2124972.4892500001</v>
      </c>
      <c r="G17" s="3">
        <v>6312233.8818300003</v>
      </c>
      <c r="H17" s="3" t="s">
        <v>81</v>
      </c>
      <c r="I17" s="6">
        <v>0.59583333333333333</v>
      </c>
      <c r="J17" s="3">
        <v>12.45</v>
      </c>
      <c r="K17" s="3">
        <f>AVERAGE(1.207, 1.204, 1.213)</f>
        <v>1.208</v>
      </c>
      <c r="L17" s="3">
        <f>ROUND(1350.318, 1)</f>
        <v>1350.3</v>
      </c>
      <c r="M17" s="7">
        <f t="shared" si="1"/>
        <v>1351.508</v>
      </c>
      <c r="O17" s="3" t="s">
        <v>65</v>
      </c>
    </row>
    <row r="18" spans="1:16" ht="16" x14ac:dyDescent="0.2">
      <c r="A18" s="3" t="s">
        <v>71</v>
      </c>
      <c r="B18" s="3" t="s">
        <v>69</v>
      </c>
      <c r="C18" s="3" t="s">
        <v>8</v>
      </c>
      <c r="D18" s="3">
        <v>38.956636000000003</v>
      </c>
      <c r="E18" s="3">
        <v>-122.891291</v>
      </c>
      <c r="F18" s="3">
        <v>2111453.0599199999</v>
      </c>
      <c r="G18" s="3">
        <v>6308226.1885299999</v>
      </c>
      <c r="H18" s="3" t="s">
        <v>82</v>
      </c>
      <c r="I18" s="6">
        <v>0.58888888888888891</v>
      </c>
      <c r="J18" s="3">
        <v>6.81</v>
      </c>
      <c r="K18" s="9">
        <v>1.24</v>
      </c>
      <c r="L18" s="7">
        <f>ROUND(1402.281, 1)</f>
        <v>1402.3</v>
      </c>
      <c r="M18" s="7">
        <f t="shared" si="1"/>
        <v>1403.54</v>
      </c>
      <c r="O18" s="3" t="s">
        <v>72</v>
      </c>
      <c r="P18" s="4" t="s">
        <v>73</v>
      </c>
    </row>
    <row r="19" spans="1:16" ht="32" x14ac:dyDescent="0.2">
      <c r="A19" s="3" t="s">
        <v>74</v>
      </c>
      <c r="B19" s="3" t="s">
        <v>69</v>
      </c>
      <c r="C19" s="3" t="s">
        <v>9</v>
      </c>
      <c r="D19" s="3">
        <v>39.014848999999998</v>
      </c>
      <c r="E19" s="3">
        <v>-122.870715</v>
      </c>
      <c r="F19" s="3">
        <v>2132596.1942099999</v>
      </c>
      <c r="G19" s="3">
        <v>6314280.1284400001</v>
      </c>
      <c r="H19" s="3" t="s">
        <v>83</v>
      </c>
      <c r="I19" s="6">
        <v>0.5708333333333333</v>
      </c>
      <c r="J19" s="3">
        <v>3.86</v>
      </c>
      <c r="K19" s="3">
        <f>AVERAGE(0.763, 0.774, 0.769)</f>
        <v>0.76866666666666672</v>
      </c>
      <c r="L19" s="3">
        <f>ROUND(1329.229, 1)</f>
        <v>1329.2</v>
      </c>
      <c r="M19" s="7">
        <f t="shared" si="1"/>
        <v>1329.9686666666666</v>
      </c>
      <c r="O19" s="3" t="s">
        <v>72</v>
      </c>
      <c r="P19" s="4" t="s">
        <v>75</v>
      </c>
    </row>
    <row r="20" spans="1:16" ht="32" x14ac:dyDescent="0.2">
      <c r="A20" s="3" t="s">
        <v>76</v>
      </c>
      <c r="B20" s="3" t="s">
        <v>69</v>
      </c>
      <c r="C20" s="3" t="s">
        <v>7</v>
      </c>
      <c r="D20" s="3">
        <v>38.993862999999997</v>
      </c>
      <c r="E20" s="3">
        <v>-122.877657</v>
      </c>
      <c r="F20" s="3">
        <v>2124972.4892500001</v>
      </c>
      <c r="G20" s="3">
        <v>6312233.8818300003</v>
      </c>
      <c r="H20" s="3" t="s">
        <v>83</v>
      </c>
      <c r="I20" s="6">
        <v>0.64166666666666672</v>
      </c>
      <c r="J20" s="3">
        <v>5.21</v>
      </c>
      <c r="K20" s="3">
        <f>AVERAGE(0.88, 0.894, 0.884)</f>
        <v>0.88600000000000001</v>
      </c>
      <c r="L20" s="3">
        <f>ROUND(1350.318, 1)</f>
        <v>1350.3</v>
      </c>
      <c r="M20" s="7">
        <f t="shared" si="1"/>
        <v>1351.1859999999999</v>
      </c>
      <c r="O20" s="3" t="s">
        <v>72</v>
      </c>
      <c r="P20" s="4" t="s">
        <v>75</v>
      </c>
    </row>
    <row r="21" spans="1:16" ht="16" x14ac:dyDescent="0.2">
      <c r="A21" s="3" t="s">
        <v>77</v>
      </c>
      <c r="B21" s="3" t="s">
        <v>69</v>
      </c>
      <c r="C21" s="3" t="s">
        <v>9</v>
      </c>
      <c r="D21" s="3">
        <v>39.014848999999998</v>
      </c>
      <c r="E21" s="3">
        <v>-122.870715</v>
      </c>
      <c r="F21" s="3">
        <v>2132596.1942099999</v>
      </c>
      <c r="G21" s="3">
        <v>6314280.1284400001</v>
      </c>
      <c r="H21" s="3" t="s">
        <v>84</v>
      </c>
      <c r="I21" s="6">
        <v>0.63888888888888895</v>
      </c>
      <c r="J21" s="3">
        <v>2.84</v>
      </c>
      <c r="K21" s="3">
        <f>AVERAGE(0.714, 0.721, 0.715)</f>
        <v>0.71666666666666667</v>
      </c>
      <c r="L21" s="3">
        <f>ROUND(1329.229, 1)</f>
        <v>1329.2</v>
      </c>
      <c r="M21" s="7">
        <f t="shared" si="1"/>
        <v>1329.9166666666667</v>
      </c>
      <c r="O21" s="3" t="s">
        <v>65</v>
      </c>
      <c r="P21" s="4" t="s">
        <v>78</v>
      </c>
    </row>
    <row r="22" spans="1:16" ht="16" x14ac:dyDescent="0.2">
      <c r="A22" s="3" t="s">
        <v>79</v>
      </c>
      <c r="B22" s="3" t="s">
        <v>69</v>
      </c>
      <c r="C22" s="3" t="s">
        <v>8</v>
      </c>
      <c r="D22" s="3">
        <v>38.956636000000003</v>
      </c>
      <c r="E22" s="3">
        <v>-122.891291</v>
      </c>
      <c r="F22" s="3">
        <v>2111453.0599199999</v>
      </c>
      <c r="G22" s="3">
        <v>6308226.1885299999</v>
      </c>
      <c r="H22" s="3" t="s">
        <v>84</v>
      </c>
      <c r="I22" s="6">
        <v>0.5493055555555556</v>
      </c>
      <c r="J22" s="3">
        <v>0.83</v>
      </c>
      <c r="K22" s="9">
        <v>0.97</v>
      </c>
      <c r="L22" s="7">
        <f>ROUND(1402.281, 1)</f>
        <v>1402.3</v>
      </c>
      <c r="M22" s="7">
        <f>K22+L22</f>
        <v>1403.27</v>
      </c>
      <c r="O22" s="3" t="s">
        <v>65</v>
      </c>
      <c r="P22" s="4" t="s">
        <v>78</v>
      </c>
    </row>
  </sheetData>
  <autoFilter ref="A1:P1" xr:uid="{00000000-0001-0000-0000-000000000000}">
    <sortState xmlns:xlrd2="http://schemas.microsoft.com/office/spreadsheetml/2017/richdata2" ref="A2:P10">
      <sortCondition ref="H1"/>
    </sortState>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5AA60-7797-48A3-8A7B-74F0BD0E5002}">
  <dimension ref="A1"/>
  <sheetViews>
    <sheetView topLeftCell="A7" zoomScale="120" zoomScaleNormal="120" workbookViewId="0">
      <selection activeCell="O30" sqref="O30"/>
    </sheetView>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depth v flow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Bethany-Work</dc:creator>
  <cp:lastModifiedBy>Flow West</cp:lastModifiedBy>
  <dcterms:created xsi:type="dcterms:W3CDTF">2015-06-05T18:17:20Z</dcterms:created>
  <dcterms:modified xsi:type="dcterms:W3CDTF">2024-10-24T16:06:55Z</dcterms:modified>
</cp:coreProperties>
</file>