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240" tabRatio="500"/>
  </bookViews>
  <sheets>
    <sheet name="monomer" sheetId="7" r:id="rId1"/>
    <sheet name="dimer" sheetId="8" r:id="rId2"/>
    <sheet name="extrap" sheetId="9" r:id="rId3"/>
  </sheets>
  <definedNames>
    <definedName name="solver_adj" localSheetId="1" hidden="1">dimer!$O$51:$O$52</definedName>
    <definedName name="solver_adj" localSheetId="0" hidden="1">monomer!$O$51:$O$52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dimer!$O$49</definedName>
    <definedName name="solver_opt" localSheetId="0" hidden="1">monomer!$O$49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9" l="1"/>
  <c r="D9" i="9"/>
  <c r="E3" i="9"/>
  <c r="D3" i="9"/>
  <c r="E2" i="9"/>
  <c r="D2" i="9"/>
  <c r="E5" i="9"/>
  <c r="D5" i="9"/>
  <c r="D7" i="9"/>
  <c r="M47" i="8"/>
  <c r="N47" i="8"/>
  <c r="O55" i="8"/>
  <c r="M46" i="8"/>
  <c r="N46" i="8"/>
  <c r="O54" i="8"/>
  <c r="M44" i="8"/>
  <c r="N44" i="8"/>
  <c r="O44" i="8"/>
  <c r="M45" i="8"/>
  <c r="N45" i="8"/>
  <c r="O45" i="8"/>
  <c r="O49" i="8"/>
  <c r="O47" i="8"/>
  <c r="O46" i="8"/>
  <c r="M43" i="8"/>
  <c r="N43" i="8"/>
  <c r="O43" i="8"/>
  <c r="N44" i="7"/>
  <c r="O44" i="7"/>
  <c r="N45" i="7"/>
  <c r="O45" i="7"/>
  <c r="O49" i="7"/>
  <c r="N47" i="7"/>
  <c r="O47" i="7"/>
  <c r="N46" i="7"/>
  <c r="O46" i="7"/>
  <c r="N43" i="7"/>
  <c r="O43" i="7"/>
  <c r="O55" i="7"/>
  <c r="O54" i="7"/>
  <c r="K36" i="8"/>
  <c r="K36" i="7"/>
  <c r="H54" i="7"/>
  <c r="H36" i="7"/>
  <c r="E36" i="7"/>
  <c r="E54" i="7"/>
  <c r="M47" i="7"/>
  <c r="M46" i="7"/>
  <c r="M45" i="7"/>
  <c r="M44" i="7"/>
  <c r="M43" i="7"/>
  <c r="D15" i="9"/>
  <c r="M25" i="9"/>
  <c r="M26" i="9"/>
  <c r="M28" i="9"/>
  <c r="M29" i="9"/>
  <c r="L25" i="9"/>
  <c r="L26" i="9"/>
  <c r="L28" i="9"/>
  <c r="L29" i="9"/>
  <c r="K25" i="9"/>
  <c r="K26" i="9"/>
  <c r="K28" i="9"/>
  <c r="K29" i="9"/>
  <c r="J25" i="9"/>
  <c r="J26" i="9"/>
  <c r="J28" i="9"/>
  <c r="J29" i="9"/>
  <c r="I25" i="9"/>
  <c r="I26" i="9"/>
  <c r="I28" i="9"/>
  <c r="I29" i="9"/>
  <c r="G25" i="9"/>
  <c r="G26" i="9"/>
  <c r="G28" i="9"/>
  <c r="G29" i="9"/>
  <c r="F25" i="9"/>
  <c r="F26" i="9"/>
  <c r="F28" i="9"/>
  <c r="F29" i="9"/>
  <c r="D25" i="9"/>
  <c r="D26" i="9"/>
  <c r="D28" i="9"/>
  <c r="D29" i="9"/>
  <c r="C25" i="9"/>
  <c r="C26" i="9"/>
  <c r="C28" i="9"/>
  <c r="C29" i="9"/>
  <c r="E14" i="9"/>
  <c r="D14" i="9"/>
  <c r="M29" i="8"/>
  <c r="N37" i="8"/>
  <c r="J29" i="8"/>
  <c r="K37" i="8"/>
  <c r="M26" i="8"/>
  <c r="N26" i="8"/>
  <c r="M27" i="8"/>
  <c r="N27" i="8"/>
  <c r="M28" i="8"/>
  <c r="N28" i="8"/>
  <c r="N31" i="8"/>
  <c r="J26" i="8"/>
  <c r="K26" i="8"/>
  <c r="J27" i="8"/>
  <c r="K27" i="8"/>
  <c r="J28" i="8"/>
  <c r="K28" i="8"/>
  <c r="K31" i="8"/>
  <c r="N29" i="8"/>
  <c r="K29" i="8"/>
  <c r="M25" i="8"/>
  <c r="N25" i="8"/>
  <c r="J25" i="8"/>
  <c r="K25" i="8"/>
  <c r="J26" i="7"/>
  <c r="K26" i="7"/>
  <c r="J27" i="7"/>
  <c r="K27" i="7"/>
  <c r="J28" i="7"/>
  <c r="K28" i="7"/>
  <c r="K31" i="7"/>
  <c r="J29" i="7"/>
  <c r="K37" i="7"/>
  <c r="J25" i="7"/>
  <c r="K25" i="7"/>
  <c r="K29" i="7"/>
  <c r="E13" i="9"/>
  <c r="D13" i="9"/>
  <c r="E15" i="9"/>
  <c r="E17" i="9"/>
  <c r="D17" i="9"/>
  <c r="D19" i="9"/>
  <c r="M11" i="8"/>
  <c r="N19" i="8"/>
  <c r="J11" i="8"/>
  <c r="K19" i="8"/>
  <c r="M8" i="8"/>
  <c r="N8" i="8"/>
  <c r="M9" i="8"/>
  <c r="N9" i="8"/>
  <c r="M10" i="8"/>
  <c r="N10" i="8"/>
  <c r="N13" i="8"/>
  <c r="J8" i="8"/>
  <c r="K8" i="8"/>
  <c r="J9" i="8"/>
  <c r="K9" i="8"/>
  <c r="J10" i="8"/>
  <c r="K10" i="8"/>
  <c r="K13" i="8"/>
  <c r="N11" i="8"/>
  <c r="K11" i="8"/>
  <c r="M7" i="8"/>
  <c r="N7" i="8"/>
  <c r="J7" i="8"/>
  <c r="K7" i="8"/>
  <c r="J11" i="7"/>
  <c r="K19" i="7"/>
  <c r="J10" i="7"/>
  <c r="J9" i="7"/>
  <c r="J8" i="7"/>
  <c r="J7" i="7"/>
  <c r="M11" i="7"/>
  <c r="N19" i="7"/>
  <c r="M8" i="7"/>
  <c r="N8" i="7"/>
  <c r="M9" i="7"/>
  <c r="N9" i="7"/>
  <c r="M10" i="7"/>
  <c r="N10" i="7"/>
  <c r="N13" i="7"/>
  <c r="N11" i="7"/>
  <c r="M7" i="7"/>
  <c r="N7" i="7"/>
  <c r="G46" i="8"/>
  <c r="H54" i="8"/>
  <c r="E54" i="8"/>
  <c r="H36" i="8"/>
  <c r="E36" i="8"/>
  <c r="H18" i="7"/>
  <c r="E18" i="7"/>
  <c r="H18" i="8"/>
  <c r="E18" i="8"/>
  <c r="C29" i="8"/>
  <c r="M26" i="7"/>
  <c r="N26" i="7"/>
  <c r="M27" i="7"/>
  <c r="N27" i="7"/>
  <c r="M28" i="7"/>
  <c r="N28" i="7"/>
  <c r="N31" i="7"/>
  <c r="K8" i="7"/>
  <c r="K9" i="7"/>
  <c r="K10" i="7"/>
  <c r="K13" i="7"/>
  <c r="C25" i="8"/>
  <c r="C26" i="8"/>
  <c r="C27" i="8"/>
  <c r="C28" i="8"/>
  <c r="C47" i="8"/>
  <c r="J47" i="8"/>
  <c r="K55" i="8"/>
  <c r="G47" i="8"/>
  <c r="H55" i="8"/>
  <c r="D47" i="8"/>
  <c r="E55" i="8"/>
  <c r="J44" i="8"/>
  <c r="C44" i="8"/>
  <c r="K44" i="8"/>
  <c r="J45" i="8"/>
  <c r="C45" i="8"/>
  <c r="K45" i="8"/>
  <c r="J46" i="8"/>
  <c r="C46" i="8"/>
  <c r="K46" i="8"/>
  <c r="K49" i="8"/>
  <c r="G44" i="8"/>
  <c r="H44" i="8"/>
  <c r="G45" i="8"/>
  <c r="H45" i="8"/>
  <c r="H46" i="8"/>
  <c r="H49" i="8"/>
  <c r="D44" i="8"/>
  <c r="E44" i="8"/>
  <c r="D45" i="8"/>
  <c r="E45" i="8"/>
  <c r="E49" i="8"/>
  <c r="K47" i="8"/>
  <c r="H47" i="8"/>
  <c r="E47" i="8"/>
  <c r="D46" i="8"/>
  <c r="E46" i="8"/>
  <c r="J43" i="8"/>
  <c r="C43" i="8"/>
  <c r="K43" i="8"/>
  <c r="G43" i="8"/>
  <c r="H43" i="8"/>
  <c r="D43" i="8"/>
  <c r="E43" i="8"/>
  <c r="G29" i="8"/>
  <c r="H37" i="8"/>
  <c r="D29" i="8"/>
  <c r="E37" i="8"/>
  <c r="G25" i="8"/>
  <c r="H25" i="8"/>
  <c r="G26" i="8"/>
  <c r="H26" i="8"/>
  <c r="G27" i="8"/>
  <c r="H27" i="8"/>
  <c r="H31" i="8"/>
  <c r="D26" i="8"/>
  <c r="E26" i="8"/>
  <c r="D27" i="8"/>
  <c r="E27" i="8"/>
  <c r="E31" i="8"/>
  <c r="H29" i="8"/>
  <c r="E29" i="8"/>
  <c r="G28" i="8"/>
  <c r="H28" i="8"/>
  <c r="D28" i="8"/>
  <c r="E28" i="8"/>
  <c r="D25" i="8"/>
  <c r="E25" i="8"/>
  <c r="G11" i="8"/>
  <c r="H19" i="8"/>
  <c r="D11" i="8"/>
  <c r="E19" i="8"/>
  <c r="G7" i="8"/>
  <c r="H7" i="8"/>
  <c r="G8" i="8"/>
  <c r="H8" i="8"/>
  <c r="G9" i="8"/>
  <c r="H9" i="8"/>
  <c r="H13" i="8"/>
  <c r="D8" i="8"/>
  <c r="E8" i="8"/>
  <c r="D9" i="8"/>
  <c r="E9" i="8"/>
  <c r="E13" i="8"/>
  <c r="H11" i="8"/>
  <c r="E11" i="8"/>
  <c r="G10" i="8"/>
  <c r="H10" i="8"/>
  <c r="D10" i="8"/>
  <c r="E10" i="8"/>
  <c r="D7" i="8"/>
  <c r="E7" i="8"/>
  <c r="J44" i="7"/>
  <c r="K44" i="7"/>
  <c r="J45" i="7"/>
  <c r="K45" i="7"/>
  <c r="J46" i="7"/>
  <c r="K46" i="7"/>
  <c r="K49" i="7"/>
  <c r="G44" i="7"/>
  <c r="H44" i="7"/>
  <c r="G45" i="7"/>
  <c r="H45" i="7"/>
  <c r="G46" i="7"/>
  <c r="H46" i="7"/>
  <c r="H49" i="7"/>
  <c r="J47" i="7"/>
  <c r="J43" i="7"/>
  <c r="G47" i="7"/>
  <c r="G43" i="7"/>
  <c r="D47" i="7"/>
  <c r="D46" i="7"/>
  <c r="D45" i="7"/>
  <c r="D44" i="7"/>
  <c r="D43" i="7"/>
  <c r="C47" i="7"/>
  <c r="C46" i="7"/>
  <c r="C45" i="7"/>
  <c r="C44" i="7"/>
  <c r="C43" i="7"/>
  <c r="K55" i="7"/>
  <c r="H55" i="7"/>
  <c r="E55" i="7"/>
  <c r="K43" i="7"/>
  <c r="H43" i="7"/>
  <c r="E44" i="7"/>
  <c r="E45" i="7"/>
  <c r="E49" i="7"/>
  <c r="K47" i="7"/>
  <c r="H47" i="7"/>
  <c r="E47" i="7"/>
  <c r="E46" i="7"/>
  <c r="E43" i="7"/>
  <c r="G25" i="7"/>
  <c r="H25" i="7"/>
  <c r="G26" i="7"/>
  <c r="H26" i="7"/>
  <c r="G27" i="7"/>
  <c r="H27" i="7"/>
  <c r="H31" i="7"/>
  <c r="D26" i="7"/>
  <c r="E26" i="7"/>
  <c r="D27" i="7"/>
  <c r="E27" i="7"/>
  <c r="E31" i="7"/>
  <c r="M29" i="7"/>
  <c r="M25" i="7"/>
  <c r="G29" i="7"/>
  <c r="G28" i="7"/>
  <c r="D29" i="7"/>
  <c r="D28" i="7"/>
  <c r="D25" i="7"/>
  <c r="N37" i="7"/>
  <c r="H37" i="7"/>
  <c r="E37" i="7"/>
  <c r="N25" i="7"/>
  <c r="N29" i="7"/>
  <c r="H29" i="7"/>
  <c r="E29" i="7"/>
  <c r="H28" i="7"/>
  <c r="E28" i="7"/>
  <c r="E25" i="7"/>
  <c r="C29" i="7"/>
  <c r="C28" i="7"/>
  <c r="C27" i="7"/>
  <c r="C26" i="7"/>
  <c r="C25" i="7"/>
  <c r="K7" i="7"/>
  <c r="H19" i="7"/>
  <c r="G7" i="7"/>
  <c r="H7" i="7"/>
  <c r="G8" i="7"/>
  <c r="H8" i="7"/>
  <c r="G9" i="7"/>
  <c r="H9" i="7"/>
  <c r="H13" i="7"/>
  <c r="G11" i="7"/>
  <c r="G10" i="7"/>
  <c r="D11" i="7"/>
  <c r="D10" i="7"/>
  <c r="D9" i="7"/>
  <c r="D8" i="7"/>
  <c r="D7" i="7"/>
  <c r="E19" i="7"/>
  <c r="E8" i="7"/>
  <c r="E9" i="7"/>
  <c r="E13" i="7"/>
  <c r="K11" i="7"/>
  <c r="H11" i="7"/>
  <c r="H10" i="7"/>
  <c r="E11" i="7"/>
  <c r="E10" i="7"/>
  <c r="E7" i="7"/>
</calcChain>
</file>

<file path=xl/sharedStrings.xml><?xml version="1.0" encoding="utf-8"?>
<sst xmlns="http://schemas.openxmlformats.org/spreadsheetml/2006/main" count="257" uniqueCount="48">
  <si>
    <t>monomer</t>
  </si>
  <si>
    <t>dimer</t>
  </si>
  <si>
    <t>error</t>
  </si>
  <si>
    <t>E(CBS)</t>
  </si>
  <si>
    <t>c1</t>
  </si>
  <si>
    <t>c2</t>
  </si>
  <si>
    <t>E(MP2)</t>
  </si>
  <si>
    <t>HF/CBS</t>
  </si>
  <si>
    <t>E(CCSD(T))</t>
  </si>
  <si>
    <t>Ecorr(CBS)</t>
  </si>
  <si>
    <t>Ecorr(MP2,CBS)</t>
  </si>
  <si>
    <t>E(zeta) = E(CBS) + c1 * zeta^-3</t>
  </si>
  <si>
    <t>HF/6z</t>
  </si>
  <si>
    <t>MP2/6z</t>
  </si>
  <si>
    <t>CCSD(T)/5Z</t>
  </si>
  <si>
    <t>raw energies</t>
  </si>
  <si>
    <t>interaction</t>
  </si>
  <si>
    <t>benchmark</t>
  </si>
  <si>
    <t>HF/DZ</t>
  </si>
  <si>
    <t>MP2/DZ</t>
  </si>
  <si>
    <t>CCSD(T)/DZ</t>
  </si>
  <si>
    <t>E(zeta) = E(CBS) + c1 * exp(-c2*zeta)</t>
  </si>
  <si>
    <t>CCSD(T)/TZ</t>
  </si>
  <si>
    <t>CCSD(T)/QZ</t>
  </si>
  <si>
    <t>E(HF)</t>
  </si>
  <si>
    <t>fit(2,3,4)</t>
  </si>
  <si>
    <t>fit(3,4)</t>
  </si>
  <si>
    <t>fit(3,4,5)</t>
  </si>
  <si>
    <t>sq err</t>
  </si>
  <si>
    <t>error(zeta=6)</t>
  </si>
  <si>
    <t>sumsq</t>
  </si>
  <si>
    <t>Ecorr(MP2)</t>
  </si>
  <si>
    <t>Ecorr(CCSD(T))</t>
  </si>
  <si>
    <t>deltaEcorr</t>
  </si>
  <si>
    <t>deltaEcorr(CBS)</t>
  </si>
  <si>
    <t>CCSD(T)/6Z</t>
  </si>
  <si>
    <t>error(zeta=5)</t>
  </si>
  <si>
    <t>Ecorr(MP2/CBS)</t>
  </si>
  <si>
    <t>delta_Ecorr(CCSD(T)/CBS)</t>
  </si>
  <si>
    <t>E(extrap)</t>
  </si>
  <si>
    <t>fitted to</t>
  </si>
  <si>
    <t>3,4,5</t>
  </si>
  <si>
    <t>with</t>
  </si>
  <si>
    <t>3,4</t>
  </si>
  <si>
    <t>direct extrap</t>
  </si>
  <si>
    <t>Ecorr(CCSD(T)/CBS)</t>
  </si>
  <si>
    <t>two step extrapolation</t>
  </si>
  <si>
    <t>three step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</si>
</sst>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164" fontId="4" fillId="0" borderId="0" xfId="0" applyNumberFormat="1" applyFont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5"/>
  <sheetViews>
    <sheetView tabSelected="1" showRuler="0" zoomScale="125" zoomScaleNormal="125" zoomScalePageLayoutView="125" workbookViewId="0"/>
  </sheetViews>
  <sheetFormatPr baseColWidth="10" defaultRowHeight="15" x14ac:dyDescent="0"/>
  <cols>
    <col min="2" max="2" width="12.5" bestFit="1" customWidth="1"/>
    <col min="3" max="3" width="13.33203125" bestFit="1" customWidth="1"/>
    <col min="4" max="4" width="11.83203125" customWidth="1"/>
    <col min="7" max="7" width="12" customWidth="1"/>
    <col min="8" max="8" width="12.6640625" bestFit="1" customWidth="1"/>
    <col min="10" max="10" width="13" customWidth="1"/>
    <col min="13" max="13" width="12.5" customWidth="1"/>
  </cols>
  <sheetData>
    <row r="5" spans="2:14">
      <c r="D5" s="2" t="s">
        <v>11</v>
      </c>
      <c r="G5" s="2" t="s">
        <v>11</v>
      </c>
      <c r="J5" s="2" t="s">
        <v>11</v>
      </c>
      <c r="M5" t="s">
        <v>21</v>
      </c>
    </row>
    <row r="6" spans="2:14">
      <c r="B6" s="1" t="s">
        <v>0</v>
      </c>
      <c r="C6" s="1" t="s">
        <v>24</v>
      </c>
      <c r="D6" t="s">
        <v>26</v>
      </c>
      <c r="E6" t="s">
        <v>28</v>
      </c>
      <c r="G6" t="s">
        <v>25</v>
      </c>
      <c r="H6" t="s">
        <v>28</v>
      </c>
      <c r="J6" t="s">
        <v>27</v>
      </c>
      <c r="K6" t="s">
        <v>28</v>
      </c>
      <c r="M6" t="s">
        <v>27</v>
      </c>
      <c r="N6" t="s">
        <v>28</v>
      </c>
    </row>
    <row r="7" spans="2:14">
      <c r="B7">
        <v>2</v>
      </c>
      <c r="C7" s="4">
        <v>-76.026800076300006</v>
      </c>
      <c r="D7" s="4">
        <f>E$15+E$16*$B7^-3</f>
        <v>-76.02457094618083</v>
      </c>
      <c r="E7">
        <f>((D7-$C7)/$C7)^2</f>
        <v>8.5968117443782669E-10</v>
      </c>
      <c r="G7" s="4">
        <f t="shared" ref="G7:G11" si="0">H$15+H$16*$B7^-3</f>
        <v>-76.026663676015758</v>
      </c>
      <c r="H7">
        <f t="shared" ref="H7:H11" si="1">((G7-$C7)/$C7)^2</f>
        <v>3.2188232332668144E-12</v>
      </c>
      <c r="J7" s="4">
        <f t="shared" ref="J7:J11" si="2">K$15+K$16*$B7^-3</f>
        <v>-76.026847554766888</v>
      </c>
      <c r="K7">
        <f t="shared" ref="K7:K11" si="3">((J7-$C7)/$C7)^2</f>
        <v>3.8999581819759023E-13</v>
      </c>
      <c r="M7" s="4">
        <f>N$15+N$16*EXP(-N$17*$B7)</f>
        <v>-76.028986838953244</v>
      </c>
      <c r="N7">
        <f t="shared" ref="N7:N11" si="4">((M7-$C7)/$C7)^2</f>
        <v>8.2731304628898224E-10</v>
      </c>
    </row>
    <row r="8" spans="2:14">
      <c r="B8">
        <v>3</v>
      </c>
      <c r="C8" s="4">
        <v>-76.057131166199994</v>
      </c>
      <c r="D8" s="4">
        <f t="shared" ref="D8:D11" si="5">E$15+E$16*$B8^-3</f>
        <v>-76.057129781612701</v>
      </c>
      <c r="E8">
        <f t="shared" ref="E8:E11" si="6">((D8-$C8)/$C8)^2</f>
        <v>3.3140633274456144E-16</v>
      </c>
      <c r="G8" s="4">
        <f t="shared" si="0"/>
        <v>-76.057273155917756</v>
      </c>
      <c r="H8">
        <f t="shared" si="1"/>
        <v>3.4852498067005626E-12</v>
      </c>
      <c r="J8" s="4">
        <f t="shared" si="2"/>
        <v>-76.057188477900326</v>
      </c>
      <c r="K8">
        <f t="shared" si="3"/>
        <v>5.6781479803515759E-13</v>
      </c>
      <c r="M8" s="4">
        <f t="shared" ref="M8:M11" si="7">N$15+N$16*EXP(-N$17*$B8)</f>
        <v>-76.057129627870736</v>
      </c>
      <c r="N8">
        <f t="shared" si="4"/>
        <v>4.0908986483518352E-16</v>
      </c>
    </row>
    <row r="9" spans="2:14">
      <c r="B9">
        <v>4</v>
      </c>
      <c r="C9" s="4">
        <v>-76.064791591000002</v>
      </c>
      <c r="D9" s="4">
        <f t="shared" si="5"/>
        <v>-76.065055287605986</v>
      </c>
      <c r="E9">
        <f t="shared" si="6"/>
        <v>1.2018263474515609E-11</v>
      </c>
      <c r="G9" s="4">
        <f t="shared" si="0"/>
        <v>-76.064724147736015</v>
      </c>
      <c r="H9">
        <f t="shared" si="1"/>
        <v>7.8615793293263448E-13</v>
      </c>
      <c r="J9" s="4">
        <f t="shared" si="2"/>
        <v>-76.06457409734729</v>
      </c>
      <c r="K9">
        <f t="shared" si="3"/>
        <v>8.1757163371418895E-12</v>
      </c>
      <c r="M9" s="4">
        <f t="shared" si="7"/>
        <v>-76.064950092490889</v>
      </c>
      <c r="N9">
        <f t="shared" si="4"/>
        <v>4.3420952275364499E-12</v>
      </c>
    </row>
    <row r="10" spans="2:14">
      <c r="B10">
        <v>5</v>
      </c>
      <c r="C10" s="4">
        <v>-76.067043497</v>
      </c>
      <c r="D10" s="4">
        <f t="shared" si="5"/>
        <v>-76.067877624551059</v>
      </c>
      <c r="E10">
        <f t="shared" si="6"/>
        <v>1.2024633781686481E-10</v>
      </c>
      <c r="G10" s="4">
        <f t="shared" si="0"/>
        <v>-76.06737750633593</v>
      </c>
      <c r="H10">
        <f t="shared" si="1"/>
        <v>1.9280759538406053E-11</v>
      </c>
      <c r="J10" s="4">
        <f t="shared" si="2"/>
        <v>-76.067204176315741</v>
      </c>
      <c r="K10">
        <f t="shared" si="3"/>
        <v>4.4619723379979732E-12</v>
      </c>
      <c r="M10" s="4">
        <f t="shared" si="7"/>
        <v>-76.067123283891874</v>
      </c>
      <c r="N10">
        <f t="shared" si="4"/>
        <v>1.1001958969326769E-12</v>
      </c>
    </row>
    <row r="11" spans="2:14">
      <c r="B11">
        <v>6</v>
      </c>
      <c r="C11" s="4">
        <v>-76.067359510399996</v>
      </c>
      <c r="D11" s="4">
        <f t="shared" si="5"/>
        <v>-76.069125142034977</v>
      </c>
      <c r="E11">
        <f t="shared" si="6"/>
        <v>5.3877014358273192E-10</v>
      </c>
      <c r="G11" s="4">
        <f t="shared" si="0"/>
        <v>-76.06855033272376</v>
      </c>
      <c r="H11">
        <f t="shared" si="1"/>
        <v>2.4507400777230752E-10</v>
      </c>
      <c r="J11" s="4">
        <f t="shared" si="2"/>
        <v>-76.068366712738964</v>
      </c>
      <c r="K11">
        <f t="shared" si="3"/>
        <v>1.7532214246089832E-10</v>
      </c>
      <c r="M11" s="4">
        <f t="shared" si="7"/>
        <v>-76.067727181626182</v>
      </c>
      <c r="N11">
        <f t="shared" si="4"/>
        <v>2.33626770069548E-11</v>
      </c>
    </row>
    <row r="13" spans="2:14">
      <c r="D13" t="s">
        <v>30</v>
      </c>
      <c r="E13">
        <f>10000000000*SUM(E8:E9)</f>
        <v>0.12018594880848354</v>
      </c>
      <c r="G13" t="s">
        <v>30</v>
      </c>
      <c r="H13">
        <f>10000000000*SUM(H7:H9)</f>
        <v>7.4902309729000111E-2</v>
      </c>
      <c r="J13" t="s">
        <v>30</v>
      </c>
      <c r="K13">
        <f>10000000000*SUM(K8:K10)</f>
        <v>0.1320550347317502</v>
      </c>
      <c r="M13" t="s">
        <v>30</v>
      </c>
      <c r="N13">
        <f>10000000000*SUM(N8:N10)</f>
        <v>5.4427002143339613E-2</v>
      </c>
    </row>
    <row r="15" spans="2:14">
      <c r="D15" t="s">
        <v>3</v>
      </c>
      <c r="E15" s="4">
        <v>-76.070838764952441</v>
      </c>
      <c r="G15" t="s">
        <v>3</v>
      </c>
      <c r="H15" s="4">
        <v>-76.07016135798176</v>
      </c>
      <c r="J15" t="s">
        <v>3</v>
      </c>
      <c r="K15">
        <v>-76.069963603430196</v>
      </c>
      <c r="M15" t="s">
        <v>3</v>
      </c>
      <c r="N15" s="4">
        <v>-76.067959574377923</v>
      </c>
    </row>
    <row r="16" spans="2:14">
      <c r="D16" t="s">
        <v>4</v>
      </c>
      <c r="E16">
        <v>0.37014255017287084</v>
      </c>
      <c r="G16" t="s">
        <v>4</v>
      </c>
      <c r="H16">
        <v>0.34798145572798528</v>
      </c>
      <c r="J16" t="s">
        <v>4</v>
      </c>
      <c r="K16">
        <v>0.34492838930641195</v>
      </c>
      <c r="M16" t="s">
        <v>4</v>
      </c>
      <c r="N16">
        <v>0.50469621134055431</v>
      </c>
    </row>
    <row r="17" spans="1:14">
      <c r="M17" t="s">
        <v>5</v>
      </c>
      <c r="N17">
        <v>1.2805471882932244</v>
      </c>
    </row>
    <row r="18" spans="1:14">
      <c r="D18" t="s">
        <v>36</v>
      </c>
      <c r="E18" s="3">
        <f>(D10-$C10)*627.509469</f>
        <v>-0.52342293664319517</v>
      </c>
      <c r="G18" t="s">
        <v>36</v>
      </c>
      <c r="H18" s="3">
        <f>(G10-$C10)*627.509469</f>
        <v>-0.20959402103039124</v>
      </c>
      <c r="K18" s="3"/>
    </row>
    <row r="19" spans="1:14">
      <c r="D19" t="s">
        <v>29</v>
      </c>
      <c r="E19" s="3">
        <f>($C11-D11)*627.509469</f>
        <v>1.1079505697168091</v>
      </c>
      <c r="G19" t="s">
        <v>29</v>
      </c>
      <c r="H19" s="3">
        <f>($C11-G11)*627.509469</f>
        <v>0.74725228405849109</v>
      </c>
      <c r="J19" t="s">
        <v>29</v>
      </c>
      <c r="K19" s="3">
        <f>($C11-J11)*627.509469</f>
        <v>0.63202900490151026</v>
      </c>
      <c r="M19" t="s">
        <v>29</v>
      </c>
      <c r="N19" s="3">
        <f>($C11-M11)*627.509469</f>
        <v>0.23071717591081728</v>
      </c>
    </row>
    <row r="20" spans="1:14">
      <c r="E20" s="3"/>
      <c r="H20" s="3"/>
      <c r="K20" s="3"/>
      <c r="N20" s="3"/>
    </row>
    <row r="21" spans="1:14">
      <c r="E21" s="3"/>
      <c r="H21" s="3"/>
      <c r="K21" s="3"/>
      <c r="N21" s="3"/>
    </row>
    <row r="23" spans="1:14">
      <c r="D23" s="2" t="s">
        <v>11</v>
      </c>
      <c r="G23" s="2" t="s">
        <v>11</v>
      </c>
      <c r="J23" s="2" t="s">
        <v>11</v>
      </c>
      <c r="M23" t="s">
        <v>21</v>
      </c>
    </row>
    <row r="24" spans="1:14">
      <c r="A24" s="1" t="s">
        <v>0</v>
      </c>
      <c r="B24" s="1" t="s">
        <v>6</v>
      </c>
      <c r="C24" s="1" t="s">
        <v>31</v>
      </c>
      <c r="D24" t="s">
        <v>26</v>
      </c>
      <c r="E24" t="s">
        <v>28</v>
      </c>
      <c r="G24" t="s">
        <v>25</v>
      </c>
      <c r="H24" t="s">
        <v>28</v>
      </c>
      <c r="J24" t="s">
        <v>27</v>
      </c>
      <c r="K24" t="s">
        <v>28</v>
      </c>
      <c r="M24" t="s">
        <v>27</v>
      </c>
      <c r="N24" t="s">
        <v>28</v>
      </c>
    </row>
    <row r="25" spans="1:14">
      <c r="A25">
        <v>2</v>
      </c>
      <c r="B25" s="4">
        <v>-76.228482124921996</v>
      </c>
      <c r="C25" s="4">
        <f>B25-C7</f>
        <v>-0.20168204862198991</v>
      </c>
      <c r="D25" s="4">
        <f>E$33+E$34*$A25^-3</f>
        <v>-0.1738956383297014</v>
      </c>
      <c r="E25">
        <f>((D25-$C25)/$C25)^2</f>
        <v>1.8981494356380812E-2</v>
      </c>
      <c r="G25" s="4">
        <f>H$33+H$34*$A25^-3</f>
        <v>-0.2013261211350362</v>
      </c>
      <c r="H25">
        <f t="shared" ref="H25:H29" si="8">((G25-$C25)/$C25)^2</f>
        <v>3.1145016712647654E-6</v>
      </c>
      <c r="J25" s="4">
        <f>K$33+K$34*$A25^-3</f>
        <v>-0.17127115512508398</v>
      </c>
      <c r="K25">
        <f t="shared" ref="K25:K29" si="9">((J25-$C25)/$C25)^2</f>
        <v>2.2736513663847095E-2</v>
      </c>
      <c r="M25" s="4">
        <f>N$33+N$34*EXP(-N$35*$A25)</f>
        <v>-0.20927097024182489</v>
      </c>
      <c r="N25">
        <f>((M25-$C25)/$C25)^2</f>
        <v>1.4158773895722469E-3</v>
      </c>
    </row>
    <row r="26" spans="1:14">
      <c r="A26">
        <v>3</v>
      </c>
      <c r="B26" s="4">
        <v>-76.318648659193997</v>
      </c>
      <c r="C26" s="4">
        <f t="shared" ref="C26:C29" si="10">B26-C8</f>
        <v>-0.26151749299400251</v>
      </c>
      <c r="D26" s="4">
        <f t="shared" ref="D26:D29" si="11">E$33+E$34*$A26^-3</f>
        <v>-0.26151749686565606</v>
      </c>
      <c r="E26">
        <f t="shared" ref="E26:E29" si="12">((D26-$C26)/$C26)^2</f>
        <v>2.1917523877195865E-16</v>
      </c>
      <c r="G26" s="4">
        <f>H$33+H$34*$A26^-3</f>
        <v>-0.26457454529507507</v>
      </c>
      <c r="H26">
        <f t="shared" si="8"/>
        <v>1.3664830503185048E-4</v>
      </c>
      <c r="J26" s="4">
        <f>K$33+K$34*$A26^-3</f>
        <v>-0.2614054087026732</v>
      </c>
      <c r="K26">
        <f t="shared" si="9"/>
        <v>1.8369105648406018E-7</v>
      </c>
      <c r="M26" s="4">
        <f>N$33+N$34*EXP(-N$35*$A26)</f>
        <v>-0.26151785323368509</v>
      </c>
      <c r="N26">
        <f>((M26-$C26)/$C26)^2</f>
        <v>1.8974992548277515E-12</v>
      </c>
    </row>
    <row r="27" spans="1:14">
      <c r="A27">
        <v>4</v>
      </c>
      <c r="B27" s="4">
        <v>-76.347638089051003</v>
      </c>
      <c r="C27" s="4">
        <f t="shared" si="10"/>
        <v>-0.28284649805100059</v>
      </c>
      <c r="D27" s="4">
        <f t="shared" si="11"/>
        <v>-0.28284650190401345</v>
      </c>
      <c r="E27">
        <f t="shared" si="12"/>
        <v>1.8556638330147581E-16</v>
      </c>
      <c r="G27" s="4">
        <f t="shared" ref="G27:G29" si="13">H$33+H$34*$A27^-3</f>
        <v>-0.27997054328140036</v>
      </c>
      <c r="H27">
        <f t="shared" si="8"/>
        <v>1.0338618049307169E-4</v>
      </c>
      <c r="J27" s="4">
        <f t="shared" ref="J27:J29" si="14">K$33+K$34*$A27^-3</f>
        <v>-0.28334598358669161</v>
      </c>
      <c r="K27">
        <f t="shared" si="9"/>
        <v>3.1184890280739276E-6</v>
      </c>
      <c r="M27" s="4">
        <f>N$33+N$34*EXP(-N$35*$A27)</f>
        <v>-0.28284531027874893</v>
      </c>
      <c r="N27">
        <f>((M27-$C27)/$C27)^2</f>
        <v>1.7634564476452387E-11</v>
      </c>
    </row>
    <row r="28" spans="1:14">
      <c r="A28">
        <v>5</v>
      </c>
      <c r="B28" s="4">
        <v>-76.358593975114005</v>
      </c>
      <c r="C28" s="4">
        <f t="shared" si="10"/>
        <v>-0.29155047811400436</v>
      </c>
      <c r="D28" s="4">
        <f t="shared" si="11"/>
        <v>-0.29044193353605119</v>
      </c>
      <c r="E28">
        <f t="shared" si="12"/>
        <v>1.4457020881016053E-5</v>
      </c>
      <c r="G28" s="4">
        <f t="shared" si="13"/>
        <v>-0.28545318299674688</v>
      </c>
      <c r="H28">
        <f t="shared" si="8"/>
        <v>4.3736791065048853E-4</v>
      </c>
      <c r="J28" s="4">
        <f t="shared" si="14"/>
        <v>-0.29115920019944369</v>
      </c>
      <c r="K28">
        <f t="shared" si="9"/>
        <v>1.8011220966714425E-6</v>
      </c>
      <c r="M28" s="4">
        <f>N$33+N$34*EXP(-N$35*$A28)</f>
        <v>-0.29155129230029664</v>
      </c>
      <c r="N28">
        <f>((M28-$C28)/$C28)^2</f>
        <v>7.7986612556358102E-12</v>
      </c>
    </row>
    <row r="29" spans="1:14">
      <c r="A29">
        <v>6</v>
      </c>
      <c r="B29" s="4">
        <v>-76.362605242422006</v>
      </c>
      <c r="C29" s="4">
        <f t="shared" si="10"/>
        <v>-0.29524573202201054</v>
      </c>
      <c r="D29" s="4">
        <f t="shared" si="11"/>
        <v>-0.29379923422100779</v>
      </c>
      <c r="E29">
        <f t="shared" si="12"/>
        <v>2.4003153304111332E-5</v>
      </c>
      <c r="G29" s="4">
        <f t="shared" si="13"/>
        <v>-0.28787659630140522</v>
      </c>
      <c r="H29">
        <f t="shared" si="8"/>
        <v>6.2296816486570648E-4</v>
      </c>
      <c r="J29" s="4">
        <f t="shared" si="14"/>
        <v>-0.2946127652838903</v>
      </c>
      <c r="K29">
        <f t="shared" si="9"/>
        <v>4.5961534616728633E-6</v>
      </c>
      <c r="M29" s="4">
        <f>N$33+N$34*EXP(-N$35*$A29)</f>
        <v>-0.29510512071966061</v>
      </c>
      <c r="N29">
        <f>((M29-$C29)/$C29)^2</f>
        <v>2.2681574807166838E-7</v>
      </c>
    </row>
    <row r="31" spans="1:14">
      <c r="D31" t="s">
        <v>30</v>
      </c>
      <c r="E31">
        <f>1000000000000000*SUM(E26:E27)</f>
        <v>0.40474162207343445</v>
      </c>
      <c r="G31" t="s">
        <v>30</v>
      </c>
      <c r="H31">
        <f>100000*SUM(H25:H27)</f>
        <v>24.314898719618693</v>
      </c>
      <c r="J31" t="s">
        <v>30</v>
      </c>
      <c r="K31">
        <f>100000*SUM(K26:K28)</f>
        <v>0.51033021812294299</v>
      </c>
      <c r="M31" t="s">
        <v>30</v>
      </c>
      <c r="N31">
        <f>10000000000*SUM(N26:N28)</f>
        <v>0.2733072498691595</v>
      </c>
    </row>
    <row r="33" spans="1:15">
      <c r="D33" s="5" t="s">
        <v>10</v>
      </c>
      <c r="E33" s="4">
        <v>-0.29841091098605804</v>
      </c>
      <c r="G33" s="5" t="s">
        <v>10</v>
      </c>
      <c r="H33" s="4">
        <v>-0.29120546073088094</v>
      </c>
      <c r="J33" s="5" t="s">
        <v>10</v>
      </c>
      <c r="K33" s="4">
        <v>-0.29935667336692129</v>
      </c>
      <c r="M33" s="5" t="s">
        <v>10</v>
      </c>
      <c r="N33" s="4">
        <v>-0.29755646386846074</v>
      </c>
    </row>
    <row r="34" spans="1:15">
      <c r="D34" t="s">
        <v>4</v>
      </c>
      <c r="E34">
        <v>0.99612218125085328</v>
      </c>
      <c r="G34" t="s">
        <v>4</v>
      </c>
      <c r="H34">
        <v>0.7190347167667579</v>
      </c>
      <c r="J34" t="s">
        <v>4</v>
      </c>
      <c r="K34">
        <v>1.0246841459346985</v>
      </c>
      <c r="M34" t="s">
        <v>4</v>
      </c>
      <c r="N34">
        <v>0.52982441773632771</v>
      </c>
    </row>
    <row r="35" spans="1:15">
      <c r="M35" t="s">
        <v>5</v>
      </c>
      <c r="N35">
        <v>0.89598492767194193</v>
      </c>
    </row>
    <row r="36" spans="1:15">
      <c r="D36" s="2" t="s">
        <v>36</v>
      </c>
      <c r="E36" s="3">
        <f>($C28-D28)*627.509469</f>
        <v>-0.69562221947422553</v>
      </c>
      <c r="G36" s="2" t="s">
        <v>36</v>
      </c>
      <c r="H36" s="3">
        <f>($C28-G28)*627.509469</f>
        <v>-3.8261104213665362</v>
      </c>
      <c r="J36" s="2" t="s">
        <v>36</v>
      </c>
      <c r="K36" s="3">
        <f>($C28-J28)*627.509469</f>
        <v>-0.24553059639739502</v>
      </c>
    </row>
    <row r="37" spans="1:15">
      <c r="D37" t="s">
        <v>29</v>
      </c>
      <c r="E37" s="3">
        <f>($C29-D29)*627.509469</f>
        <v>-0.90769106701690649</v>
      </c>
      <c r="G37" t="s">
        <v>29</v>
      </c>
      <c r="H37" s="3">
        <f>($C29-G29)*627.509469</f>
        <v>-4.6242024430259789</v>
      </c>
      <c r="J37" t="s">
        <v>29</v>
      </c>
      <c r="K37" s="3">
        <f>($C29-J29)*627.509469</f>
        <v>-0.39719262173249648</v>
      </c>
      <c r="M37" t="s">
        <v>29</v>
      </c>
      <c r="N37" s="3">
        <f>($C29-M29)*627.509469</f>
        <v>-8.8234923673006518E-2</v>
      </c>
    </row>
    <row r="40" spans="1:15">
      <c r="M40" s="1" t="s">
        <v>44</v>
      </c>
    </row>
    <row r="41" spans="1:15">
      <c r="D41" s="2" t="s">
        <v>11</v>
      </c>
      <c r="G41" s="2" t="s">
        <v>11</v>
      </c>
      <c r="J41" t="s">
        <v>21</v>
      </c>
      <c r="N41" s="2" t="s">
        <v>11</v>
      </c>
    </row>
    <row r="42" spans="1:15">
      <c r="A42" s="1" t="s">
        <v>0</v>
      </c>
      <c r="B42" s="1" t="s">
        <v>8</v>
      </c>
      <c r="C42" s="1" t="s">
        <v>33</v>
      </c>
      <c r="D42" t="s">
        <v>26</v>
      </c>
      <c r="E42" t="s">
        <v>28</v>
      </c>
      <c r="G42" s="6" t="s">
        <v>27</v>
      </c>
      <c r="H42" t="s">
        <v>28</v>
      </c>
      <c r="J42" s="6" t="s">
        <v>27</v>
      </c>
      <c r="K42" t="s">
        <v>28</v>
      </c>
      <c r="M42" t="s">
        <v>32</v>
      </c>
      <c r="N42" s="6" t="s">
        <v>26</v>
      </c>
      <c r="O42" s="6" t="s">
        <v>28</v>
      </c>
    </row>
    <row r="43" spans="1:15">
      <c r="A43">
        <v>2</v>
      </c>
      <c r="B43" s="4">
        <v>-76.241081254999997</v>
      </c>
      <c r="C43" s="4">
        <f>B43-B25</f>
        <v>-1.2599130078001508E-2</v>
      </c>
      <c r="D43" s="4">
        <f>E$51+E$52*$A43^-3</f>
        <v>-1.9309612696894178E-2</v>
      </c>
      <c r="E43">
        <f>((D43-$C43)/$C43)^2</f>
        <v>0.28367848055669825</v>
      </c>
      <c r="G43" s="4">
        <f>H$51+H$52*$A43^-3</f>
        <v>-2.2800878978149371E-2</v>
      </c>
      <c r="H43">
        <f t="shared" ref="H43:H47" si="15">((G43-$C43)/$C43)^2</f>
        <v>0.65564407393183477</v>
      </c>
      <c r="J43" s="4">
        <f>K$51+K$52*EXP(-K$53*$A43)</f>
        <v>-2.5969529672651193E-2</v>
      </c>
      <c r="K43">
        <f t="shared" ref="K43:K47" si="16">((J43-$C43)/$C43)^2</f>
        <v>1.1261795957177569</v>
      </c>
      <c r="M43" s="4">
        <f>B43-C7</f>
        <v>-0.21428117869999141</v>
      </c>
      <c r="N43" s="4">
        <f>O$51+O$52*$A43^-3</f>
        <v>-0.19320528623707434</v>
      </c>
      <c r="O43">
        <f>((M43-N43)/M43)^2</f>
        <v>9.6739512534672785E-3</v>
      </c>
    </row>
    <row r="44" spans="1:15">
      <c r="A44">
        <v>3</v>
      </c>
      <c r="B44" s="4">
        <v>-76.332205599000005</v>
      </c>
      <c r="C44" s="4">
        <f t="shared" ref="C44:C47" si="17">B44-B26</f>
        <v>-1.3556939806008472E-2</v>
      </c>
      <c r="D44" s="4">
        <f t="shared" ref="D44:D47" si="18">E$51+E$52*$A44^-3</f>
        <v>-1.3556947278223933E-2</v>
      </c>
      <c r="E44">
        <f t="shared" ref="E44:E47" si="19">((D44-$C44)/$C44)^2</f>
        <v>3.0379137322499036E-13</v>
      </c>
      <c r="G44" s="4">
        <f t="shared" ref="G44:G47" si="20">H$51+H$52*$A44^-3</f>
        <v>-1.3754318872549059E-2</v>
      </c>
      <c r="H44">
        <f t="shared" si="15"/>
        <v>2.1197217009635675E-4</v>
      </c>
      <c r="J44" s="4">
        <f t="shared" ref="J44:J47" si="21">K$51+K$52*EXP(-K$53*$A44)</f>
        <v>-1.3564072368647427E-2</v>
      </c>
      <c r="K44">
        <f t="shared" si="16"/>
        <v>2.7680112649741644E-7</v>
      </c>
      <c r="M44" s="4">
        <f t="shared" ref="M44:M47" si="22">B44-C8</f>
        <v>-0.27507443280001098</v>
      </c>
      <c r="N44" s="4">
        <f>O$51+O$52*$A44^-3</f>
        <v>-0.275074558649475</v>
      </c>
      <c r="O44">
        <f t="shared" ref="O44:O47" si="23">((M44-N44)/M44)^2</f>
        <v>2.0931593321732543E-13</v>
      </c>
    </row>
    <row r="45" spans="1:15">
      <c r="A45">
        <v>4</v>
      </c>
      <c r="B45" s="4">
        <v>-76.359794729000001</v>
      </c>
      <c r="C45" s="4">
        <f t="shared" si="17"/>
        <v>-1.2156639948997849E-2</v>
      </c>
      <c r="D45" s="4">
        <f t="shared" si="18"/>
        <v>-1.2156627406573939E-2</v>
      </c>
      <c r="E45">
        <f t="shared" si="19"/>
        <v>1.0644759207629079E-12</v>
      </c>
      <c r="G45" s="4">
        <f t="shared" si="20"/>
        <v>-1.1552195688948982E-2</v>
      </c>
      <c r="H45">
        <f t="shared" si="15"/>
        <v>2.4722102762138988E-3</v>
      </c>
      <c r="J45" s="4">
        <f t="shared" si="21"/>
        <v>-1.1329564810751716E-2</v>
      </c>
      <c r="K45">
        <f t="shared" si="16"/>
        <v>4.6287403982765516E-3</v>
      </c>
      <c r="M45" s="4">
        <f t="shared" si="22"/>
        <v>-0.29500313799999844</v>
      </c>
      <c r="N45" s="4">
        <f>O$51+O$52*$A45^-3</f>
        <v>-0.29500326311828307</v>
      </c>
      <c r="O45">
        <f t="shared" si="23"/>
        <v>1.7988224196899307E-13</v>
      </c>
    </row>
    <row r="46" spans="1:15">
      <c r="A46">
        <v>5</v>
      </c>
      <c r="B46" s="4">
        <v>-76.369033290999994</v>
      </c>
      <c r="C46" s="4">
        <f t="shared" si="17"/>
        <v>-1.0439315885989231E-2</v>
      </c>
      <c r="D46" s="4">
        <f t="shared" si="18"/>
        <v>-1.1657962146334471E-2</v>
      </c>
      <c r="E46">
        <f t="shared" si="19"/>
        <v>1.3627344711645166E-2</v>
      </c>
      <c r="G46" s="4">
        <f t="shared" si="20"/>
        <v>-1.0768001768216155E-2</v>
      </c>
      <c r="H46">
        <f t="shared" si="15"/>
        <v>9.9132948319547343E-4</v>
      </c>
      <c r="J46" s="4">
        <f t="shared" si="21"/>
        <v>-1.0927078719031291E-2</v>
      </c>
      <c r="K46">
        <f t="shared" si="16"/>
        <v>2.1830984967057343E-3</v>
      </c>
      <c r="M46" s="4">
        <f t="shared" si="22"/>
        <v>-0.30198979399999359</v>
      </c>
      <c r="N46" s="4">
        <f>O$51+O$52*$A46^-3</f>
        <v>-0.30210003636371591</v>
      </c>
      <c r="O46">
        <f t="shared" si="23"/>
        <v>1.3326389456988864E-7</v>
      </c>
    </row>
    <row r="47" spans="1:15">
      <c r="A47">
        <v>6</v>
      </c>
      <c r="B47" s="4">
        <v>-76.372009061</v>
      </c>
      <c r="C47" s="4">
        <f t="shared" si="17"/>
        <v>-9.4038185779936612E-3</v>
      </c>
      <c r="D47" s="4">
        <f t="shared" si="18"/>
        <v>-1.1437544229240159E-2</v>
      </c>
      <c r="E47">
        <f t="shared" si="19"/>
        <v>4.6770956200957468E-2</v>
      </c>
      <c r="G47" s="4">
        <f t="shared" si="20"/>
        <v>-1.0421375675748943E-2</v>
      </c>
      <c r="H47">
        <f t="shared" si="15"/>
        <v>1.1708711143945439E-2</v>
      </c>
      <c r="J47" s="4">
        <f t="shared" si="21"/>
        <v>-1.0854581737109719E-2</v>
      </c>
      <c r="K47">
        <f t="shared" si="16"/>
        <v>2.3800416278631855E-2</v>
      </c>
      <c r="M47" s="4">
        <f t="shared" si="22"/>
        <v>-0.3046495506000042</v>
      </c>
      <c r="N47" s="4">
        <f>O$51+O$52*$A47^-3</f>
        <v>-0.30523692216983311</v>
      </c>
      <c r="O47">
        <f t="shared" si="23"/>
        <v>3.7172755912629754E-6</v>
      </c>
    </row>
    <row r="49" spans="4:15">
      <c r="D49" t="s">
        <v>30</v>
      </c>
      <c r="E49">
        <f>1000000000000000*SUM(E44:E45)</f>
        <v>1368.2672939878983</v>
      </c>
      <c r="G49" t="s">
        <v>30</v>
      </c>
      <c r="H49">
        <f>100000*SUM(H44:H46)</f>
        <v>367.5511929505729</v>
      </c>
      <c r="J49" t="s">
        <v>30</v>
      </c>
      <c r="K49">
        <f>100000*SUM(K44:K46)</f>
        <v>681.21156961087831</v>
      </c>
      <c r="N49" t="s">
        <v>30</v>
      </c>
      <c r="O49">
        <f>100000000000*SUM(O44:O45)</f>
        <v>3.8919817518631848E-2</v>
      </c>
    </row>
    <row r="51" spans="4:15">
      <c r="D51" s="5" t="s">
        <v>34</v>
      </c>
      <c r="E51" s="4">
        <v>-1.113477236509962E-2</v>
      </c>
      <c r="G51" s="5" t="s">
        <v>34</v>
      </c>
      <c r="H51" s="4">
        <v>-9.9452409333489269E-3</v>
      </c>
      <c r="J51" s="5" t="s">
        <v>34</v>
      </c>
      <c r="K51" s="4">
        <v>-1.0838654507296165E-2</v>
      </c>
      <c r="N51" s="5" t="s">
        <v>9</v>
      </c>
      <c r="O51" s="4">
        <v>-0.30954583124417001</v>
      </c>
    </row>
    <row r="52" spans="4:15">
      <c r="D52" t="s">
        <v>4</v>
      </c>
      <c r="E52">
        <v>-6.5398722654356464E-2</v>
      </c>
      <c r="G52" t="s">
        <v>4</v>
      </c>
      <c r="H52">
        <v>-0.10284510435840355</v>
      </c>
      <c r="J52" t="s">
        <v>4</v>
      </c>
      <c r="K52">
        <v>-0.46636499918215135</v>
      </c>
      <c r="N52" t="s">
        <v>4</v>
      </c>
      <c r="O52">
        <v>0.93072436005676529</v>
      </c>
    </row>
    <row r="53" spans="4:15">
      <c r="J53" t="s">
        <v>5</v>
      </c>
      <c r="K53">
        <v>1.7141156092035641</v>
      </c>
    </row>
    <row r="54" spans="4:15">
      <c r="D54" s="2" t="s">
        <v>36</v>
      </c>
      <c r="E54" s="3">
        <f>($C46-D46)*627.509469</f>
        <v>0.76471206772807754</v>
      </c>
      <c r="G54" s="2" t="s">
        <v>36</v>
      </c>
      <c r="H54" s="3">
        <f>($C46-G46)*627.509469</f>
        <v>0.20625350342401355</v>
      </c>
      <c r="N54" s="2" t="s">
        <v>36</v>
      </c>
      <c r="O54" s="3">
        <f>(M46-N46)*627.509469</f>
        <v>6.9178127120693281E-2</v>
      </c>
    </row>
    <row r="55" spans="4:15">
      <c r="D55" t="s">
        <v>29</v>
      </c>
      <c r="E55" s="3">
        <f>($C47-D47)*627.509469</f>
        <v>1.2761821035053689</v>
      </c>
      <c r="G55" t="s">
        <v>29</v>
      </c>
      <c r="H55" s="3">
        <f>($C47-G47)*627.509469</f>
        <v>0.63852671408959794</v>
      </c>
      <c r="J55" t="s">
        <v>29</v>
      </c>
      <c r="K55" s="3">
        <f>($C47-J47)*627.509469</f>
        <v>0.91036761962167989</v>
      </c>
      <c r="N55" t="s">
        <v>29</v>
      </c>
      <c r="O55" s="3">
        <f>(M47-N47)*627.509469</f>
        <v>0.36858122188903542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5"/>
  <sheetViews>
    <sheetView showRuler="0" zoomScale="125" zoomScaleNormal="125" zoomScalePageLayoutView="125" workbookViewId="0"/>
  </sheetViews>
  <sheetFormatPr baseColWidth="10" defaultRowHeight="15" x14ac:dyDescent="0"/>
  <cols>
    <col min="2" max="2" width="12.5" bestFit="1" customWidth="1"/>
    <col min="3" max="3" width="13.33203125" bestFit="1" customWidth="1"/>
    <col min="4" max="4" width="11.83203125" customWidth="1"/>
    <col min="5" max="5" width="12.6640625" customWidth="1"/>
    <col min="7" max="7" width="12" customWidth="1"/>
    <col min="8" max="8" width="12.6640625" bestFit="1" customWidth="1"/>
    <col min="10" max="10" width="13" customWidth="1"/>
    <col min="11" max="11" width="12.1640625" customWidth="1"/>
    <col min="13" max="13" width="12.5" customWidth="1"/>
  </cols>
  <sheetData>
    <row r="5" spans="2:14">
      <c r="D5" s="2" t="s">
        <v>11</v>
      </c>
      <c r="G5" s="2" t="s">
        <v>11</v>
      </c>
      <c r="J5" s="2" t="s">
        <v>11</v>
      </c>
      <c r="M5" t="s">
        <v>21</v>
      </c>
    </row>
    <row r="6" spans="2:14">
      <c r="B6" s="1" t="s">
        <v>1</v>
      </c>
      <c r="C6" s="1" t="s">
        <v>24</v>
      </c>
      <c r="D6" t="s">
        <v>26</v>
      </c>
      <c r="E6" t="s">
        <v>28</v>
      </c>
      <c r="G6" t="s">
        <v>25</v>
      </c>
      <c r="H6" t="s">
        <v>28</v>
      </c>
      <c r="J6" t="s">
        <v>27</v>
      </c>
      <c r="K6" t="s">
        <v>28</v>
      </c>
      <c r="M6" t="s">
        <v>27</v>
      </c>
      <c r="N6" t="s">
        <v>28</v>
      </c>
    </row>
    <row r="7" spans="2:14">
      <c r="B7">
        <v>2</v>
      </c>
      <c r="C7" s="4">
        <v>-152.062536249</v>
      </c>
      <c r="D7" s="4">
        <f>E$15+E$16*$B7^-3</f>
        <v>-152.09171982326407</v>
      </c>
      <c r="E7">
        <f>((D7-$C7)/$C7)^2</f>
        <v>3.6832610686235459E-8</v>
      </c>
      <c r="G7" s="4">
        <f t="shared" ref="G7:G11" si="0">H$15+H$16*$B7^-3</f>
        <v>-152.08344693667902</v>
      </c>
      <c r="H7">
        <f t="shared" ref="H7:H11" si="1">((G7-$C7)/$C7)^2</f>
        <v>1.8910027975338862E-8</v>
      </c>
      <c r="J7" s="4">
        <f t="shared" ref="J7:J11" si="2">K$15+K$16*$B7^-3</f>
        <v>-152.06380200646697</v>
      </c>
      <c r="K7">
        <f t="shared" ref="K7:K11" si="3">((J7-$C7)/$C7)^2</f>
        <v>6.928776243067054E-11</v>
      </c>
      <c r="M7" s="4">
        <f>N$15+N$16*EXP(-N$17*$B7)</f>
        <v>-152.09797841187725</v>
      </c>
      <c r="N7">
        <f t="shared" ref="N7:N11" si="4">((M7-$C7)/$C7)^2</f>
        <v>5.4324529616658419E-8</v>
      </c>
    </row>
    <row r="8" spans="2:14">
      <c r="B8">
        <v>3</v>
      </c>
      <c r="C8" s="4">
        <v>-152.12095506399999</v>
      </c>
      <c r="D8" s="4">
        <f t="shared" ref="D8:D11" si="5">E$15+E$16*$B8^-3</f>
        <v>-152.12427448736159</v>
      </c>
      <c r="E8">
        <f t="shared" ref="E8:E11" si="6">((D8-$C8)/$C8)^2</f>
        <v>4.7615374621208449E-10</v>
      </c>
      <c r="G8" s="4">
        <f t="shared" si="0"/>
        <v>-152.1140481243925</v>
      </c>
      <c r="H8">
        <f t="shared" si="1"/>
        <v>2.0615469528890884E-9</v>
      </c>
      <c r="J8" s="4">
        <f t="shared" si="2"/>
        <v>-152.12108696648593</v>
      </c>
      <c r="K8">
        <f t="shared" si="3"/>
        <v>7.5184423613365492E-13</v>
      </c>
      <c r="M8" s="4">
        <f t="shared" ref="M8:M11" si="7">N$15+N$16*EXP(-N$17*$B8)</f>
        <v>-152.12610348476491</v>
      </c>
      <c r="N8">
        <f t="shared" si="4"/>
        <v>1.1454337615406672E-9</v>
      </c>
    </row>
    <row r="9" spans="2:14">
      <c r="B9">
        <v>4</v>
      </c>
      <c r="C9" s="4">
        <v>-152.13551903699999</v>
      </c>
      <c r="D9" s="4">
        <f t="shared" si="5"/>
        <v>-152.13219897796426</v>
      </c>
      <c r="E9">
        <f t="shared" si="6"/>
        <v>4.7624493666542742E-10</v>
      </c>
      <c r="G9" s="4">
        <f t="shared" si="0"/>
        <v>-152.12149709771748</v>
      </c>
      <c r="H9">
        <f t="shared" si="1"/>
        <v>8.4948345241506442E-9</v>
      </c>
      <c r="J9" s="4">
        <f t="shared" si="2"/>
        <v>-152.13503133175371</v>
      </c>
      <c r="K9">
        <f t="shared" si="3"/>
        <v>1.0276698462698141E-11</v>
      </c>
      <c r="M9" s="4">
        <f t="shared" si="7"/>
        <v>-152.13391629119613</v>
      </c>
      <c r="N9">
        <f t="shared" si="4"/>
        <v>1.1098596335692048E-10</v>
      </c>
    </row>
    <row r="10" spans="2:14">
      <c r="B10">
        <v>5</v>
      </c>
      <c r="C10" s="4">
        <v>-152.13963341499999</v>
      </c>
      <c r="D10" s="4">
        <f t="shared" si="5"/>
        <v>-152.13502095332052</v>
      </c>
      <c r="E10">
        <f t="shared" si="6"/>
        <v>9.1913818961240094E-10</v>
      </c>
      <c r="G10" s="4">
        <f t="shared" si="0"/>
        <v>-152.12414973751558</v>
      </c>
      <c r="H10">
        <f t="shared" si="1"/>
        <v>1.0357704158788089E-8</v>
      </c>
      <c r="J10" s="4">
        <f t="shared" si="2"/>
        <v>-152.13999703328798</v>
      </c>
      <c r="K10">
        <f t="shared" si="3"/>
        <v>5.712243399037883E-12</v>
      </c>
      <c r="M10" s="4">
        <f t="shared" si="7"/>
        <v>-152.13608659470344</v>
      </c>
      <c r="N10">
        <f t="shared" si="4"/>
        <v>5.4349260482272979E-10</v>
      </c>
    </row>
    <row r="11" spans="2:14">
      <c r="B11">
        <v>6</v>
      </c>
      <c r="C11" s="4">
        <v>-152.14015558899999</v>
      </c>
      <c r="D11" s="4">
        <f t="shared" si="5"/>
        <v>-152.13626831097648</v>
      </c>
      <c r="E11">
        <f t="shared" si="6"/>
        <v>6.5283509642790767E-10</v>
      </c>
      <c r="G11" s="4">
        <f t="shared" si="0"/>
        <v>-152.12532224618167</v>
      </c>
      <c r="H11">
        <f t="shared" si="1"/>
        <v>9.5058368422765395E-9</v>
      </c>
      <c r="J11" s="4">
        <f t="shared" si="2"/>
        <v>-152.14219195175608</v>
      </c>
      <c r="K11">
        <f t="shared" si="3"/>
        <v>1.7915237864475848E-10</v>
      </c>
      <c r="M11" s="4">
        <f t="shared" si="7"/>
        <v>-152.13668947887257</v>
      </c>
      <c r="N11">
        <f t="shared" si="4"/>
        <v>5.1903542771782287E-10</v>
      </c>
    </row>
    <row r="13" spans="2:14">
      <c r="D13" t="s">
        <v>30</v>
      </c>
      <c r="E13">
        <f>10000000000*SUM(E8:E9)</f>
        <v>9.5239868287751204</v>
      </c>
      <c r="G13" t="s">
        <v>30</v>
      </c>
      <c r="H13">
        <f>10000000000*SUM(H7:H9)</f>
        <v>294.66409452378593</v>
      </c>
      <c r="J13" t="s">
        <v>30</v>
      </c>
      <c r="K13">
        <f>10000000000*SUM(K8:K10)</f>
        <v>0.16740786097869681</v>
      </c>
      <c r="M13" t="s">
        <v>30</v>
      </c>
      <c r="N13">
        <f>10000000000*SUM(N8:N10)</f>
        <v>17.999123297203177</v>
      </c>
    </row>
    <row r="15" spans="2:14">
      <c r="D15" t="s">
        <v>3</v>
      </c>
      <c r="E15" s="4">
        <v>-152.13798171435002</v>
      </c>
      <c r="G15" t="s">
        <v>3</v>
      </c>
      <c r="H15" s="4">
        <v>-152.12693283500869</v>
      </c>
      <c r="J15" t="s">
        <v>3</v>
      </c>
      <c r="K15" s="4">
        <v>-152.14520694965182</v>
      </c>
      <c r="M15" t="s">
        <v>3</v>
      </c>
      <c r="N15" s="4">
        <v>-152.13692136916035</v>
      </c>
    </row>
    <row r="16" spans="2:14">
      <c r="D16" t="s">
        <v>4</v>
      </c>
      <c r="E16">
        <v>0.37009512868756711</v>
      </c>
      <c r="G16" t="s">
        <v>4</v>
      </c>
      <c r="H16">
        <v>0.3478871866372853</v>
      </c>
      <c r="J16" t="s">
        <v>4</v>
      </c>
      <c r="K16">
        <v>0.65123954547891527</v>
      </c>
      <c r="M16" t="s">
        <v>4</v>
      </c>
      <c r="N16">
        <v>0.50466375249177231</v>
      </c>
    </row>
    <row r="17" spans="1:14">
      <c r="M17" t="s">
        <v>5</v>
      </c>
      <c r="N17">
        <v>1.280897214593909</v>
      </c>
    </row>
    <row r="18" spans="1:14">
      <c r="D18" t="s">
        <v>36</v>
      </c>
      <c r="E18" s="3">
        <f>(D10-$C10)*627.509469</f>
        <v>2.8943633792679337</v>
      </c>
      <c r="G18" t="s">
        <v>36</v>
      </c>
      <c r="H18" s="3">
        <f>(G10-$C10)*627.509469</f>
        <v>9.7161542364102367</v>
      </c>
      <c r="K18" s="3"/>
    </row>
    <row r="19" spans="1:14">
      <c r="D19" t="s">
        <v>29</v>
      </c>
      <c r="E19" s="3">
        <f>($C11-D11)*627.509469</f>
        <v>-2.4393037683896406</v>
      </c>
      <c r="G19" t="s">
        <v>29</v>
      </c>
      <c r="H19" s="3">
        <f>($C11-G11)*627.509469</f>
        <v>-9.3080630754193958</v>
      </c>
      <c r="J19" t="s">
        <v>29</v>
      </c>
      <c r="K19" s="3">
        <f>($C11-J11)*627.509469</f>
        <v>1.2778369117634505</v>
      </c>
      <c r="M19" t="s">
        <v>29</v>
      </c>
      <c r="N19" s="3">
        <f>($C11-M11)*627.509469</f>
        <v>-2.1750169255525935</v>
      </c>
    </row>
    <row r="20" spans="1:14">
      <c r="E20" s="3"/>
      <c r="H20" s="3"/>
      <c r="K20" s="3"/>
      <c r="N20" s="3"/>
    </row>
    <row r="21" spans="1:14">
      <c r="E21" s="3"/>
      <c r="H21" s="3"/>
      <c r="K21" s="3"/>
      <c r="N21" s="3"/>
    </row>
    <row r="23" spans="1:14">
      <c r="D23" s="2" t="s">
        <v>11</v>
      </c>
      <c r="G23" s="2" t="s">
        <v>11</v>
      </c>
      <c r="J23" s="2" t="s">
        <v>11</v>
      </c>
      <c r="M23" t="s">
        <v>21</v>
      </c>
    </row>
    <row r="24" spans="1:14">
      <c r="A24" s="1" t="s">
        <v>1</v>
      </c>
      <c r="B24" s="1" t="s">
        <v>6</v>
      </c>
      <c r="C24" s="1" t="s">
        <v>31</v>
      </c>
      <c r="D24" t="s">
        <v>26</v>
      </c>
      <c r="E24" t="s">
        <v>28</v>
      </c>
      <c r="G24" t="s">
        <v>25</v>
      </c>
      <c r="H24" t="s">
        <v>28</v>
      </c>
      <c r="J24" t="s">
        <v>27</v>
      </c>
      <c r="K24" t="s">
        <v>28</v>
      </c>
      <c r="M24" t="s">
        <v>27</v>
      </c>
      <c r="N24" t="s">
        <v>28</v>
      </c>
    </row>
    <row r="25" spans="1:14">
      <c r="A25">
        <v>2</v>
      </c>
      <c r="B25" s="4">
        <v>-152.46871186459001</v>
      </c>
      <c r="C25" s="4">
        <f>B25-C7</f>
        <v>-0.40617561559000137</v>
      </c>
      <c r="D25" s="4">
        <f>E$33+E$34*$A25^-3</f>
        <v>-0.34971093148630705</v>
      </c>
      <c r="E25">
        <f>((D25-$C25)/$C25)^2</f>
        <v>1.9325294054168694E-2</v>
      </c>
      <c r="G25" s="4">
        <f>H$33+H$34*$A25^-3</f>
        <v>-0.40547249029345933</v>
      </c>
      <c r="H25">
        <f t="shared" ref="H25:H29" si="8">((G25-$C25)/$C25)^2</f>
        <v>2.9966619345785458E-6</v>
      </c>
      <c r="J25" s="4">
        <f>K$33+K$34*$A25^-3</f>
        <v>-0.34655801046508766</v>
      </c>
      <c r="K25">
        <f t="shared" ref="K25:K29" si="9">((J25-$C25)/$C25)^2</f>
        <v>2.1543752822721998E-2</v>
      </c>
      <c r="M25" s="4">
        <f>N$33+N$34*EXP(-N$35*$A25)</f>
        <v>-0.4436755878126451</v>
      </c>
      <c r="N25">
        <f>((M25-$C25)/$C25)^2</f>
        <v>8.5238185741576943E-3</v>
      </c>
    </row>
    <row r="26" spans="1:14">
      <c r="A26">
        <v>3</v>
      </c>
      <c r="B26" s="4">
        <v>-152.64698146201999</v>
      </c>
      <c r="C26" s="4">
        <f t="shared" ref="C26:C29" si="10">B26-C8</f>
        <v>-0.52602639802000795</v>
      </c>
      <c r="D26" s="4">
        <f t="shared" ref="D26:D29" si="11">E$33+E$34*$A26^-3</f>
        <v>-0.52587658803070036</v>
      </c>
      <c r="E26">
        <f t="shared" ref="E26:E29" si="12">((D26-$C26)/$C26)^2</f>
        <v>8.1108518260007457E-8</v>
      </c>
      <c r="G26" s="4">
        <f>H$33+H$34*$A26^-3</f>
        <v>-0.53204652515179007</v>
      </c>
      <c r="H26">
        <f t="shared" si="8"/>
        <v>1.3097736434031928E-4</v>
      </c>
      <c r="J26" s="4">
        <f>K$33+K$34*$A26^-3</f>
        <v>-0.52581472071437552</v>
      </c>
      <c r="K26">
        <f t="shared" si="9"/>
        <v>1.6193231299612667E-7</v>
      </c>
      <c r="M26" s="4">
        <f>N$33+N$34*EXP(-N$35*$A26)</f>
        <v>-0.52721665181196276</v>
      </c>
      <c r="N26">
        <f>((M26-$C26)/$C26)^2</f>
        <v>5.1199305380758411E-6</v>
      </c>
    </row>
    <row r="27" spans="1:14">
      <c r="A27">
        <v>4</v>
      </c>
      <c r="B27" s="4">
        <v>-152.70403056224001</v>
      </c>
      <c r="C27" s="4">
        <f t="shared" si="10"/>
        <v>-0.56851152524001236</v>
      </c>
      <c r="D27" s="4">
        <f t="shared" si="11"/>
        <v>-0.56875901758426972</v>
      </c>
      <c r="E27">
        <f t="shared" si="12"/>
        <v>1.8951561180922249E-7</v>
      </c>
      <c r="G27" s="4">
        <f t="shared" ref="G27:G29" si="13">H$33+H$34*$A27^-3</f>
        <v>-0.56285730995283112</v>
      </c>
      <c r="H27">
        <f t="shared" si="8"/>
        <v>9.891590620457378E-5</v>
      </c>
      <c r="J27" s="4">
        <f t="shared" ref="J27:J29" si="14">K$33+K$34*$A27^-3</f>
        <v>-0.56944957781453109</v>
      </c>
      <c r="K27">
        <f t="shared" si="9"/>
        <v>2.7225496755255082E-6</v>
      </c>
      <c r="M27" s="4">
        <f>N$33+N$34*EXP(-N$35*$A27)</f>
        <v>-0.56733971716218135</v>
      </c>
      <c r="N27">
        <f>((M27-$C27)/$C27)^2</f>
        <v>4.2484883151562447E-6</v>
      </c>
    </row>
    <row r="28" spans="1:14">
      <c r="A28">
        <v>5</v>
      </c>
      <c r="B28" s="4">
        <v>-152.72535493734</v>
      </c>
      <c r="C28" s="4">
        <f t="shared" si="10"/>
        <v>-0.58572152234000896</v>
      </c>
      <c r="D28" s="4">
        <f t="shared" si="11"/>
        <v>-0.58402979844367053</v>
      </c>
      <c r="E28">
        <f t="shared" si="12"/>
        <v>8.3421232682204982E-6</v>
      </c>
      <c r="G28" s="4">
        <f t="shared" si="13"/>
        <v>-0.57382928023765589</v>
      </c>
      <c r="H28">
        <f t="shared" si="8"/>
        <v>4.1223524405351096E-4</v>
      </c>
      <c r="J28" s="4">
        <f t="shared" si="14"/>
        <v>-0.58498830422403514</v>
      </c>
      <c r="K28">
        <f t="shared" si="9"/>
        <v>1.567054166770182E-6</v>
      </c>
      <c r="M28" s="4">
        <f>N$33+N$34*EXP(-N$35*$A28)</f>
        <v>-0.5866100052819383</v>
      </c>
      <c r="N28">
        <f>((M28-$C28)/$C28)^2</f>
        <v>2.3009957863180531E-6</v>
      </c>
    </row>
    <row r="29" spans="1:14">
      <c r="A29">
        <v>6</v>
      </c>
      <c r="B29" s="4">
        <v>-152.73319889413</v>
      </c>
      <c r="C29" s="4">
        <f t="shared" si="10"/>
        <v>-0.59304330513000991</v>
      </c>
      <c r="D29" s="4">
        <f t="shared" si="11"/>
        <v>-0.59077972465231887</v>
      </c>
      <c r="E29">
        <f t="shared" si="12"/>
        <v>1.4568641764683137E-5</v>
      </c>
      <c r="G29" s="4">
        <f t="shared" si="13"/>
        <v>-0.57867906431012239</v>
      </c>
      <c r="H29">
        <f t="shared" si="8"/>
        <v>5.8666818907852393E-4</v>
      </c>
      <c r="J29" s="4">
        <f t="shared" si="14"/>
        <v>-0.59185666659569203</v>
      </c>
      <c r="K29">
        <f t="shared" si="9"/>
        <v>4.003723522158019E-6</v>
      </c>
      <c r="M29" s="4">
        <f>N$33+N$34*EXP(-N$35*$A29)</f>
        <v>-0.59586513075595515</v>
      </c>
      <c r="N29">
        <f>((M29-$C29)/$C29)^2</f>
        <v>2.2640579109457145E-5</v>
      </c>
    </row>
    <row r="31" spans="1:14">
      <c r="D31" t="s">
        <v>30</v>
      </c>
      <c r="E31">
        <f>1000000000000000*SUM(E26:E27)</f>
        <v>270624130.06922996</v>
      </c>
      <c r="G31" t="s">
        <v>30</v>
      </c>
      <c r="H31">
        <f>100000*SUM(H25:H27)</f>
        <v>23.288993247947165</v>
      </c>
      <c r="J31" t="s">
        <v>30</v>
      </c>
      <c r="K31">
        <f>100000*SUM(K26:K28)</f>
        <v>0.4451536155291817</v>
      </c>
      <c r="M31" t="s">
        <v>30</v>
      </c>
      <c r="N31">
        <f>10000000000*SUM(N26:N28)</f>
        <v>116694.14639550139</v>
      </c>
    </row>
    <row r="33" spans="1:15">
      <c r="D33" s="5" t="s">
        <v>10</v>
      </c>
      <c r="E33" s="4">
        <v>-0.60005160131255009</v>
      </c>
      <c r="G33" s="5" t="s">
        <v>10</v>
      </c>
      <c r="H33" s="4">
        <v>-0.58534085561845561</v>
      </c>
      <c r="J33" s="5" t="s">
        <v>10</v>
      </c>
      <c r="K33" s="4">
        <v>-0.601291230293023</v>
      </c>
      <c r="M33" s="5" t="s">
        <v>10</v>
      </c>
      <c r="N33" s="4">
        <v>-0.60441789725308515</v>
      </c>
    </row>
    <row r="34" spans="1:15">
      <c r="D34" t="s">
        <v>4</v>
      </c>
      <c r="E34">
        <v>2.0027253586099443</v>
      </c>
      <c r="G34" t="s">
        <v>4</v>
      </c>
      <c r="H34">
        <v>1.4389469225999703</v>
      </c>
      <c r="J34" t="s">
        <v>4</v>
      </c>
      <c r="K34">
        <v>2.0378657586234827</v>
      </c>
      <c r="M34" t="s">
        <v>4</v>
      </c>
      <c r="N34">
        <v>0.69685432189226804</v>
      </c>
    </row>
    <row r="35" spans="1:15">
      <c r="M35" t="s">
        <v>5</v>
      </c>
      <c r="N35">
        <v>0.7333869306765517</v>
      </c>
    </row>
    <row r="36" spans="1:15">
      <c r="D36" t="s">
        <v>36</v>
      </c>
      <c r="E36" s="3">
        <f>(D28-$C28)*627.509469</f>
        <v>1.0615727638859369</v>
      </c>
      <c r="G36" t="s">
        <v>36</v>
      </c>
      <c r="H36" s="3">
        <f>(G28-$C28)*627.509469</f>
        <v>7.4624945268670171</v>
      </c>
      <c r="J36" s="2" t="s">
        <v>36</v>
      </c>
      <c r="K36" s="3">
        <f>($C28-J28)*627.509469</f>
        <v>-0.46010131061591319</v>
      </c>
    </row>
    <row r="37" spans="1:15">
      <c r="D37" t="s">
        <v>29</v>
      </c>
      <c r="E37" s="3">
        <f>($C29-D29)*627.509469</f>
        <v>-1.4204181835946712</v>
      </c>
      <c r="G37" t="s">
        <v>29</v>
      </c>
      <c r="H37" s="3">
        <f>($C29-G29)*627.509469</f>
        <v>-9.0136971294757409</v>
      </c>
      <c r="J37" t="s">
        <v>29</v>
      </c>
      <c r="K37" s="3">
        <f>($C29-J29)*627.509469</f>
        <v>-0.74462691656475444</v>
      </c>
      <c r="M37" t="s">
        <v>29</v>
      </c>
      <c r="N37" s="3">
        <f>($C29-M29)*627.509469</f>
        <v>1.7707223001474901</v>
      </c>
    </row>
    <row r="40" spans="1:15">
      <c r="M40" s="1" t="s">
        <v>44</v>
      </c>
    </row>
    <row r="41" spans="1:15">
      <c r="D41" s="2" t="s">
        <v>11</v>
      </c>
      <c r="G41" s="2" t="s">
        <v>11</v>
      </c>
      <c r="J41" t="s">
        <v>21</v>
      </c>
      <c r="N41" s="2" t="s">
        <v>11</v>
      </c>
    </row>
    <row r="42" spans="1:15">
      <c r="A42" s="1" t="s">
        <v>1</v>
      </c>
      <c r="B42" s="1" t="s">
        <v>8</v>
      </c>
      <c r="C42" s="1" t="s">
        <v>33</v>
      </c>
      <c r="D42" t="s">
        <v>26</v>
      </c>
      <c r="E42" t="s">
        <v>28</v>
      </c>
      <c r="G42" s="1" t="s">
        <v>27</v>
      </c>
      <c r="H42" t="s">
        <v>28</v>
      </c>
      <c r="J42" s="1" t="s">
        <v>27</v>
      </c>
      <c r="K42" t="s">
        <v>28</v>
      </c>
      <c r="M42" t="s">
        <v>32</v>
      </c>
      <c r="N42" s="6" t="s">
        <v>26</v>
      </c>
      <c r="O42" s="6" t="s">
        <v>28</v>
      </c>
    </row>
    <row r="43" spans="1:15">
      <c r="A43">
        <v>2</v>
      </c>
      <c r="B43" s="4">
        <v>-152.49344701000001</v>
      </c>
      <c r="C43" s="4">
        <f>B43-B25</f>
        <v>-2.4735145410005543E-2</v>
      </c>
      <c r="D43" s="4">
        <f>E$51+E$52*$A43^-3</f>
        <v>-3.773261759347156E-2</v>
      </c>
      <c r="E43">
        <f>((D43-$C43)/$C43)^2</f>
        <v>0.27611427351002482</v>
      </c>
      <c r="G43" s="4">
        <f>H$51+H$52*$A43^-3</f>
        <v>-4.4505584686172078E-2</v>
      </c>
      <c r="H43">
        <f t="shared" ref="H43:H47" si="15">((G43-$C43)/$C43)^2</f>
        <v>0.63885706554339416</v>
      </c>
      <c r="J43" s="4">
        <f>K$51+K$52*EXP(-K$53*$A43)</f>
        <v>-3.0915303301110666E-2</v>
      </c>
      <c r="K43">
        <f t="shared" ref="K43:K47" si="16">((J43-$C43)/$C43)^2</f>
        <v>6.2426675246907315E-2</v>
      </c>
      <c r="M43" s="4">
        <f>B43-C7</f>
        <v>-0.43091076100000691</v>
      </c>
      <c r="N43" s="4">
        <f>O$51+O$52*$A43^-3</f>
        <v>-0.38921594289782935</v>
      </c>
      <c r="O43">
        <f>((M43-N43)/M43)^2</f>
        <v>9.3624494875012738E-3</v>
      </c>
    </row>
    <row r="44" spans="1:15">
      <c r="A44">
        <v>3</v>
      </c>
      <c r="B44" s="4">
        <v>-152.67382173999999</v>
      </c>
      <c r="C44" s="4">
        <f t="shared" ref="C44:C47" si="17">B44-B26</f>
        <v>-2.6840277979999883E-2</v>
      </c>
      <c r="D44" s="4">
        <f t="shared" ref="D44:D47" si="18">E$51+E$52*$A44^-3</f>
        <v>-2.6840241726448472E-2</v>
      </c>
      <c r="E44">
        <f t="shared" ref="E44:E47" si="19">((D44-$C44)/$C44)^2</f>
        <v>1.8244295356345157E-12</v>
      </c>
      <c r="G44" s="4">
        <f t="shared" ref="G44:G47" si="20">H$51+H$52*$A44^-3</f>
        <v>-2.7220444506562285E-2</v>
      </c>
      <c r="H44">
        <f t="shared" si="15"/>
        <v>2.0061977121910184E-4</v>
      </c>
      <c r="J44" s="4">
        <f t="shared" ref="J44:J47" si="21">K$51+K$52*EXP(-K$53*$A44)</f>
        <v>-2.7096255945795109E-2</v>
      </c>
      <c r="K44">
        <f t="shared" si="16"/>
        <v>9.0955957092838115E-5</v>
      </c>
      <c r="M44" s="4">
        <f t="shared" ref="M44:M47" si="22">B44-C8</f>
        <v>-0.55286667600000783</v>
      </c>
      <c r="N44" s="4">
        <f>O$51+O$52*$A44^-3</f>
        <v>-0.55286569621426718</v>
      </c>
      <c r="O44">
        <f t="shared" ref="O44:O47" si="23">((M44-N44)/M44)^2</f>
        <v>3.140663461536806E-12</v>
      </c>
    </row>
    <row r="45" spans="1:15">
      <c r="A45">
        <v>4</v>
      </c>
      <c r="B45" s="4">
        <v>-152.72821934000001</v>
      </c>
      <c r="C45" s="4">
        <f t="shared" si="17"/>
        <v>-2.4188777760002722E-2</v>
      </c>
      <c r="D45" s="4">
        <f t="shared" si="18"/>
        <v>-2.4188808127238903E-2</v>
      </c>
      <c r="E45">
        <f t="shared" si="19"/>
        <v>1.5760960683077398E-12</v>
      </c>
      <c r="G45" s="4">
        <f t="shared" si="20"/>
        <v>-2.3012877489157271E-2</v>
      </c>
      <c r="H45">
        <f t="shared" si="15"/>
        <v>2.3632688579846017E-3</v>
      </c>
      <c r="J45" s="4">
        <f t="shared" si="21"/>
        <v>-2.3839360088003959E-2</v>
      </c>
      <c r="K45">
        <f t="shared" si="16"/>
        <v>2.0867089707303157E-4</v>
      </c>
      <c r="M45" s="4">
        <f t="shared" si="22"/>
        <v>-0.59270030300001508</v>
      </c>
      <c r="N45" s="4">
        <f>O$51+O$52*$A45^-3</f>
        <v>-0.59270149142945272</v>
      </c>
      <c r="O45">
        <f t="shared" si="23"/>
        <v>4.0204670125827993E-12</v>
      </c>
    </row>
    <row r="46" spans="1:15">
      <c r="A46">
        <v>5</v>
      </c>
      <c r="B46" s="4">
        <v>-152.74622400999999</v>
      </c>
      <c r="C46" s="4">
        <f t="shared" si="17"/>
        <v>-2.0869072659991161E-2</v>
      </c>
      <c r="D46" s="4">
        <f t="shared" si="18"/>
        <v>-2.3244611124450112E-2</v>
      </c>
      <c r="E46">
        <f t="shared" si="19"/>
        <v>1.2957398974167355E-2</v>
      </c>
      <c r="G46" s="4">
        <f t="shared" si="20"/>
        <v>-2.1514528758851095E-2</v>
      </c>
      <c r="H46">
        <f t="shared" si="15"/>
        <v>9.5659281654247006E-4</v>
      </c>
      <c r="J46" s="4">
        <f t="shared" si="21"/>
        <v>-2.1061868833873988E-2</v>
      </c>
      <c r="K46">
        <f t="shared" si="16"/>
        <v>8.5347444039241216E-5</v>
      </c>
      <c r="M46" s="4">
        <f t="shared" si="22"/>
        <v>-0.60659059500000012</v>
      </c>
      <c r="N46" s="4">
        <f>O$51+O$52*$A46^-3</f>
        <v>-0.6068873410985145</v>
      </c>
      <c r="O46">
        <f t="shared" si="23"/>
        <v>2.3931983274802615E-7</v>
      </c>
    </row>
    <row r="47" spans="1:15">
      <c r="A47">
        <v>6</v>
      </c>
      <c r="B47" s="7">
        <v>-152.752028</v>
      </c>
      <c r="C47" s="4">
        <f t="shared" si="17"/>
        <v>-1.882910586999742E-2</v>
      </c>
      <c r="D47" s="4">
        <f t="shared" si="18"/>
        <v>-2.2827261143861018E-2</v>
      </c>
      <c r="E47">
        <f t="shared" si="19"/>
        <v>4.5087890673799515E-2</v>
      </c>
      <c r="G47" s="4">
        <f t="shared" si="20"/>
        <v>-2.0852234966706046E-2</v>
      </c>
      <c r="H47">
        <f t="shared" si="15"/>
        <v>1.154483678988342E-2</v>
      </c>
      <c r="J47" s="4">
        <f t="shared" si="21"/>
        <v>-1.8693215366396988E-2</v>
      </c>
      <c r="K47">
        <f t="shared" si="16"/>
        <v>5.2085737939376116E-5</v>
      </c>
      <c r="M47" s="4">
        <f t="shared" si="22"/>
        <v>-0.61187241100000733</v>
      </c>
      <c r="N47" s="4">
        <f>O$51+O$52*$A47^-3</f>
        <v>-0.61315771059400748</v>
      </c>
      <c r="O47">
        <f t="shared" si="23"/>
        <v>4.4125231576323276E-6</v>
      </c>
    </row>
    <row r="49" spans="4:15">
      <c r="D49" t="s">
        <v>30</v>
      </c>
      <c r="E49">
        <f>1000000000000000*SUM(E44:E45)</f>
        <v>3400.5256039422552</v>
      </c>
      <c r="G49" t="s">
        <v>30</v>
      </c>
      <c r="H49">
        <f>100000*SUM(H44:H46)</f>
        <v>352.04814457461737</v>
      </c>
      <c r="J49" t="s">
        <v>30</v>
      </c>
      <c r="K49">
        <f>100000*SUM(K44:K46)</f>
        <v>38.497429820511094</v>
      </c>
      <c r="N49" t="s">
        <v>30</v>
      </c>
      <c r="O49">
        <f>100000000000*SUM(O44:O45)</f>
        <v>0.71611304741196058</v>
      </c>
    </row>
    <row r="51" spans="4:15">
      <c r="D51" s="5" t="s">
        <v>34</v>
      </c>
      <c r="E51" s="4">
        <v>-2.2253978203491381E-2</v>
      </c>
      <c r="G51" s="5" t="s">
        <v>34</v>
      </c>
      <c r="H51" s="4">
        <v>-1.9942490746726584E-2</v>
      </c>
      <c r="J51" s="5" t="s">
        <v>34</v>
      </c>
      <c r="K51" s="4">
        <v>-4.9701216794793323E-3</v>
      </c>
      <c r="N51" s="5" t="s">
        <v>9</v>
      </c>
      <c r="O51" s="4">
        <v>-0.6217708555053989</v>
      </c>
    </row>
    <row r="52" spans="4:15">
      <c r="D52" t="s">
        <v>4</v>
      </c>
      <c r="E52">
        <v>-0.12382911511984146</v>
      </c>
      <c r="G52" t="s">
        <v>4</v>
      </c>
      <c r="H52">
        <v>-0.19650475151556399</v>
      </c>
      <c r="J52" t="s">
        <v>4</v>
      </c>
      <c r="K52">
        <v>-3.5674595593393095E-2</v>
      </c>
      <c r="N52" t="s">
        <v>4</v>
      </c>
      <c r="O52">
        <v>1.8604393008605562</v>
      </c>
    </row>
    <row r="53" spans="4:15">
      <c r="J53" t="s">
        <v>5</v>
      </c>
      <c r="K53">
        <v>0.15922645719671116</v>
      </c>
    </row>
    <row r="54" spans="4:15">
      <c r="D54" t="s">
        <v>36</v>
      </c>
      <c r="E54" s="3">
        <f>(D46-$C46)*627.509469</f>
        <v>-1.4906728804217113</v>
      </c>
      <c r="G54" t="s">
        <v>36</v>
      </c>
      <c r="H54" s="3">
        <f>(G46-$C46)*627.509469</f>
        <v>-0.40502981385840819</v>
      </c>
      <c r="N54" s="2" t="s">
        <v>36</v>
      </c>
      <c r="O54" s="3">
        <f>(M46-N46)*627.509469</f>
        <v>0.18621098670657885</v>
      </c>
    </row>
    <row r="55" spans="4:15">
      <c r="D55" t="s">
        <v>29</v>
      </c>
      <c r="E55" s="3">
        <f>($C47-D47)*627.509469</f>
        <v>2.5088802928816958</v>
      </c>
      <c r="G55" t="s">
        <v>29</v>
      </c>
      <c r="H55" s="3">
        <f>($C47-G47)*627.509469</f>
        <v>1.2695326651940793</v>
      </c>
      <c r="J55" t="s">
        <v>29</v>
      </c>
      <c r="K55" s="3">
        <f>($C47-J47)*627.509469</f>
        <v>-8.5272577756449544E-2</v>
      </c>
      <c r="N55" t="s">
        <v>29</v>
      </c>
      <c r="O55" s="3">
        <f>(M47-N47)*627.509469</f>
        <v>0.80653766573694619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Ruler="0" zoomScale="125" zoomScaleNormal="125" zoomScalePageLayoutView="125" workbookViewId="0"/>
  </sheetViews>
  <sheetFormatPr baseColWidth="10" defaultRowHeight="15" x14ac:dyDescent="0"/>
  <cols>
    <col min="3" max="7" width="11.5" bestFit="1" customWidth="1"/>
    <col min="9" max="12" width="11.5" bestFit="1" customWidth="1"/>
    <col min="13" max="13" width="13.1640625" customWidth="1"/>
  </cols>
  <sheetData>
    <row r="1" spans="1:8">
      <c r="A1" s="1" t="s">
        <v>46</v>
      </c>
      <c r="D1" t="s">
        <v>0</v>
      </c>
      <c r="E1" t="s">
        <v>1</v>
      </c>
      <c r="G1" t="s">
        <v>40</v>
      </c>
      <c r="H1" t="s">
        <v>42</v>
      </c>
    </row>
    <row r="2" spans="1:8">
      <c r="C2" s="5" t="s">
        <v>7</v>
      </c>
      <c r="D2" s="4">
        <f>monomer!K15</f>
        <v>-76.069963603430196</v>
      </c>
      <c r="E2" s="4">
        <f>dimer!K15</f>
        <v>-152.14520694965182</v>
      </c>
      <c r="G2" t="s">
        <v>41</v>
      </c>
      <c r="H2" s="2" t="s">
        <v>11</v>
      </c>
    </row>
    <row r="3" spans="1:8">
      <c r="C3" s="5" t="s">
        <v>45</v>
      </c>
      <c r="D3" s="4">
        <f>monomer!O51</f>
        <v>-0.30954583124417001</v>
      </c>
      <c r="E3" s="4">
        <f>dimer!O51</f>
        <v>-0.6217708555053989</v>
      </c>
      <c r="G3" t="s">
        <v>43</v>
      </c>
      <c r="H3" s="2" t="s">
        <v>11</v>
      </c>
    </row>
    <row r="5" spans="1:8">
      <c r="C5" s="5" t="s">
        <v>39</v>
      </c>
      <c r="D5">
        <f>SUM(D2:D3)</f>
        <v>-76.379509434674361</v>
      </c>
      <c r="E5">
        <f>SUM(E2:E3)</f>
        <v>-152.76697780515721</v>
      </c>
    </row>
    <row r="7" spans="1:8">
      <c r="C7" s="5" t="s">
        <v>16</v>
      </c>
      <c r="D7" s="3">
        <f>(E5-2*D5)*627.509469</f>
        <v>-4.9943075829899124</v>
      </c>
    </row>
    <row r="8" spans="1:8">
      <c r="C8" t="s">
        <v>17</v>
      </c>
      <c r="D8">
        <v>-5.0199999999999996</v>
      </c>
    </row>
    <row r="9" spans="1:8">
      <c r="C9" s="5" t="s">
        <v>2</v>
      </c>
      <c r="D9" s="3">
        <f>D7-D8</f>
        <v>2.5692417010087176E-2</v>
      </c>
    </row>
    <row r="12" spans="1:8">
      <c r="A12" s="1" t="s">
        <v>47</v>
      </c>
      <c r="D12" t="s">
        <v>0</v>
      </c>
      <c r="E12" t="s">
        <v>1</v>
      </c>
      <c r="G12" t="s">
        <v>40</v>
      </c>
      <c r="H12" t="s">
        <v>42</v>
      </c>
    </row>
    <row r="13" spans="1:8">
      <c r="C13" s="5" t="s">
        <v>7</v>
      </c>
      <c r="D13" s="4">
        <f>monomer!K15</f>
        <v>-76.069963603430196</v>
      </c>
      <c r="E13" s="4">
        <f>dimer!K15</f>
        <v>-152.14520694965182</v>
      </c>
      <c r="G13" t="s">
        <v>41</v>
      </c>
      <c r="H13" s="2" t="s">
        <v>11</v>
      </c>
    </row>
    <row r="14" spans="1:8">
      <c r="C14" s="5" t="s">
        <v>37</v>
      </c>
      <c r="D14" s="4">
        <f>monomer!K33</f>
        <v>-0.29935667336692129</v>
      </c>
      <c r="E14" s="4">
        <f>dimer!K33</f>
        <v>-0.601291230293023</v>
      </c>
      <c r="G14" t="s">
        <v>41</v>
      </c>
      <c r="H14" s="2" t="s">
        <v>11</v>
      </c>
    </row>
    <row r="15" spans="1:8">
      <c r="C15" s="5" t="s">
        <v>38</v>
      </c>
      <c r="D15" s="4">
        <f>monomer!E51</f>
        <v>-1.113477236509962E-2</v>
      </c>
      <c r="E15" s="4">
        <f>dimer!E51</f>
        <v>-2.2253978203491381E-2</v>
      </c>
      <c r="G15" t="s">
        <v>43</v>
      </c>
      <c r="H15" s="2" t="s">
        <v>11</v>
      </c>
    </row>
    <row r="17" spans="1:13">
      <c r="C17" s="5" t="s">
        <v>39</v>
      </c>
      <c r="D17">
        <f>SUM(D13:D15)</f>
        <v>-76.380455049162208</v>
      </c>
      <c r="E17">
        <f>SUM(E13:E15)</f>
        <v>-152.76875215814832</v>
      </c>
    </row>
    <row r="19" spans="1:13">
      <c r="C19" s="5" t="s">
        <v>16</v>
      </c>
      <c r="D19" s="3">
        <f>(E17-2*D17)*627.509469</f>
        <v>-4.9209667959621157</v>
      </c>
    </row>
    <row r="20" spans="1:13">
      <c r="C20" t="s">
        <v>17</v>
      </c>
      <c r="D20">
        <v>-5.0199999999999996</v>
      </c>
    </row>
    <row r="21" spans="1:13">
      <c r="C21" s="5" t="s">
        <v>2</v>
      </c>
      <c r="D21" s="3">
        <f>D19-D20</f>
        <v>9.9033204037883849E-2</v>
      </c>
    </row>
    <row r="24" spans="1:13">
      <c r="A24" s="1" t="s">
        <v>15</v>
      </c>
      <c r="C24" t="s">
        <v>18</v>
      </c>
      <c r="D24" t="s">
        <v>12</v>
      </c>
      <c r="F24" t="s">
        <v>19</v>
      </c>
      <c r="G24" t="s">
        <v>13</v>
      </c>
      <c r="I24" t="s">
        <v>20</v>
      </c>
      <c r="J24" t="s">
        <v>22</v>
      </c>
      <c r="K24" t="s">
        <v>23</v>
      </c>
      <c r="L24" t="s">
        <v>14</v>
      </c>
      <c r="M24" t="s">
        <v>35</v>
      </c>
    </row>
    <row r="25" spans="1:13">
      <c r="B25" t="s">
        <v>0</v>
      </c>
      <c r="C25" s="4">
        <f>monomer!C7</f>
        <v>-76.026800076300006</v>
      </c>
      <c r="D25" s="4">
        <f>monomer!C11</f>
        <v>-76.067359510399996</v>
      </c>
      <c r="E25" s="4"/>
      <c r="F25" s="4">
        <f>monomer!B25</f>
        <v>-76.228482124921996</v>
      </c>
      <c r="G25" s="4">
        <f>monomer!B29</f>
        <v>-76.362605242422006</v>
      </c>
      <c r="H25" s="4"/>
      <c r="I25" s="4">
        <f>monomer!B43</f>
        <v>-76.241081254999997</v>
      </c>
      <c r="J25" s="4">
        <f>monomer!B44</f>
        <v>-76.332205599000005</v>
      </c>
      <c r="K25" s="4">
        <f>monomer!B45</f>
        <v>-76.359794729000001</v>
      </c>
      <c r="L25" s="4">
        <f>monomer!B46</f>
        <v>-76.369033290999994</v>
      </c>
      <c r="M25" s="4">
        <f>monomer!B47</f>
        <v>-76.372009061</v>
      </c>
    </row>
    <row r="26" spans="1:13">
      <c r="B26" t="s">
        <v>1</v>
      </c>
      <c r="C26" s="4">
        <f>dimer!C7</f>
        <v>-152.062536249</v>
      </c>
      <c r="D26" s="4">
        <f>dimer!C11</f>
        <v>-152.14015558899999</v>
      </c>
      <c r="E26" s="4"/>
      <c r="F26" s="4">
        <f>dimer!B25</f>
        <v>-152.46871186459001</v>
      </c>
      <c r="G26" s="4">
        <f>dimer!B29</f>
        <v>-152.73319889413</v>
      </c>
      <c r="H26" s="4"/>
      <c r="I26" s="4">
        <f>dimer!B43</f>
        <v>-152.49344701000001</v>
      </c>
      <c r="J26" s="4">
        <f>dimer!B44</f>
        <v>-152.67382173999999</v>
      </c>
      <c r="K26" s="4">
        <f>dimer!B45</f>
        <v>-152.72821934000001</v>
      </c>
      <c r="L26" s="4">
        <f>dimer!B46</f>
        <v>-152.74622400999999</v>
      </c>
      <c r="M26" s="4">
        <f>dimer!B47</f>
        <v>-152.752028</v>
      </c>
    </row>
    <row r="28" spans="1:13">
      <c r="B28" t="s">
        <v>16</v>
      </c>
      <c r="C28" s="3">
        <f>(C26-2*C25)*627.509469</f>
        <v>-5.607485106891958</v>
      </c>
      <c r="D28" s="3">
        <f>(D26-2*D25)*627.509469</f>
        <v>-3.4114980243622948</v>
      </c>
      <c r="F28" s="3">
        <f t="shared" ref="F28:G28" si="0">(F26-2*F25)*627.509469</f>
        <v>-7.3717394912877037</v>
      </c>
      <c r="G28" s="3">
        <f t="shared" si="0"/>
        <v>-5.0128024692035265</v>
      </c>
      <c r="I28" s="3">
        <f t="shared" ref="I28:M28" si="1">(I26-2*I25)*627.509469</f>
        <v>-7.0811306029407604</v>
      </c>
      <c r="J28" s="3">
        <f t="shared" si="1"/>
        <v>-5.9052042134118308</v>
      </c>
      <c r="K28" s="3">
        <f t="shared" si="1"/>
        <v>-5.4153326713577643</v>
      </c>
      <c r="L28" s="3">
        <f t="shared" si="1"/>
        <v>-5.1188633126882888</v>
      </c>
      <c r="M28" s="3">
        <f t="shared" si="1"/>
        <v>-5.0262742905321156</v>
      </c>
    </row>
    <row r="29" spans="1:13">
      <c r="B29" t="s">
        <v>2</v>
      </c>
      <c r="C29" s="3">
        <f>C28-$D$20</f>
        <v>-0.58748510689195843</v>
      </c>
      <c r="D29" s="3">
        <f>D28-$D$20</f>
        <v>1.6085019756377048</v>
      </c>
      <c r="F29" s="3">
        <f t="shared" ref="F29:G29" si="2">F28-$D$20</f>
        <v>-2.3517394912877041</v>
      </c>
      <c r="G29" s="3">
        <f t="shared" si="2"/>
        <v>7.1975307964731172E-3</v>
      </c>
      <c r="I29" s="3">
        <f t="shared" ref="I29:M29" si="3">I28-$D$20</f>
        <v>-2.0611306029407608</v>
      </c>
      <c r="J29" s="3">
        <f t="shared" si="3"/>
        <v>-0.8852042134118312</v>
      </c>
      <c r="K29" s="3">
        <f t="shared" si="3"/>
        <v>-0.39533267135776473</v>
      </c>
      <c r="L29" s="3">
        <f t="shared" si="3"/>
        <v>-9.8863312688289184E-2</v>
      </c>
      <c r="M29" s="3">
        <f t="shared" si="3"/>
        <v>-6.2742905321160336E-3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monomer</vt:lpstr>
      <vt:lpstr>dimer</vt:lpstr>
      <vt:lpstr>extrap</vt:lpstr>
    </vt:vector>
  </TitlesOfParts>
  <Company>H@rvard2014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Kwan, Eugene Elliott</dc:creator>
  <cp:lastModifiedBy>Kwan, Eugene Elliott</cp:lastModifiedBy>
  <dcterms:created xsi:type="dcterms:W3CDTF">2017-03-25T03:12:15Z</dcterms:created>
  <dcterms:modified xsi:type="dcterms:W3CDTF">2017-03-31T13:05:29Z</dcterms:modified>
</cp:coreProperties>
</file>