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mayumi_castiglioni_germinare_org_br/Documents/Área de Trabalho/2º ANO/Interdisciplinar/"/>
    </mc:Choice>
  </mc:AlternateContent>
  <xr:revisionPtr revIDLastSave="1717" documentId="8_{8508AF19-B206-4077-A681-9A3A24F10041}" xr6:coauthVersionLast="47" xr6:coauthVersionMax="47" xr10:uidLastSave="{6BD5A3B0-8BAD-4A6A-A0B7-203323A8F95A}"/>
  <bookViews>
    <workbookView xWindow="-120" yWindow="-120" windowWidth="29040" windowHeight="15720" tabRatio="877" xr2:uid="{A2E07DAB-B00E-47A8-ADB7-C8BF11BB0A07}"/>
  </bookViews>
  <sheets>
    <sheet name="Página Inicial" sheetId="5" r:id="rId1"/>
    <sheet name="Documentação" sheetId="8" r:id="rId2"/>
    <sheet name="Dados" sheetId="1" r:id="rId3"/>
    <sheet name="Dados - Sem estoquistas" sheetId="6" r:id="rId4"/>
    <sheet name="Métricas iniciais" sheetId="2" r:id="rId5"/>
    <sheet name="Cálculo - Feature &quot;Adicionar&quot;" sheetId="3" r:id="rId6"/>
    <sheet name="Cálculo - Ambas Features" sheetId="9" r:id="rId7"/>
    <sheet name="Resultado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9" l="1"/>
  <c r="N14" i="9" a="1"/>
  <c r="N14" i="9" s="1"/>
  <c r="N15" i="9" a="1"/>
  <c r="N15" i="9" s="1"/>
  <c r="N16" i="9" a="1"/>
  <c r="N16" i="9" s="1"/>
  <c r="N17" i="9" a="1"/>
  <c r="N17" i="9"/>
  <c r="N18" i="9" a="1"/>
  <c r="N18" i="9" s="1"/>
  <c r="N19" i="9" a="1"/>
  <c r="N19" i="9" s="1"/>
  <c r="N20" i="9" a="1"/>
  <c r="N20" i="9" s="1"/>
  <c r="N21" i="9" a="1"/>
  <c r="N21" i="9" s="1"/>
  <c r="N22" i="9" a="1"/>
  <c r="N22" i="9"/>
  <c r="N23" i="9" a="1"/>
  <c r="N23" i="9"/>
  <c r="N24" i="9" a="1"/>
  <c r="N24" i="9" s="1"/>
  <c r="N25" i="9" a="1"/>
  <c r="N25" i="9" s="1"/>
  <c r="N26" i="9" a="1"/>
  <c r="N26" i="9" s="1"/>
  <c r="N27" i="9" a="1"/>
  <c r="N27" i="9" s="1"/>
  <c r="K14" i="9" a="1"/>
  <c r="K14" i="9" s="1"/>
  <c r="K15" i="9" a="1"/>
  <c r="K15" i="9" s="1"/>
  <c r="K16" i="9" a="1"/>
  <c r="K16" i="9" s="1"/>
  <c r="K17" i="9" a="1"/>
  <c r="K17" i="9" s="1"/>
  <c r="K18" i="9" a="1"/>
  <c r="K18" i="9" s="1"/>
  <c r="K19" i="9" a="1"/>
  <c r="K19" i="9" s="1"/>
  <c r="K20" i="9" a="1"/>
  <c r="K20" i="9" s="1"/>
  <c r="K21" i="9" a="1"/>
  <c r="K21" i="9" s="1"/>
  <c r="K22" i="9" a="1"/>
  <c r="K22" i="9" s="1"/>
  <c r="K23" i="9" a="1"/>
  <c r="K23" i="9" s="1"/>
  <c r="C16" i="9"/>
  <c r="C13" i="9"/>
  <c r="P16" i="3"/>
  <c r="P13" i="3"/>
  <c r="P22" i="3" s="1"/>
  <c r="C28" i="9" l="1"/>
  <c r="C25" i="9"/>
  <c r="C22" i="9"/>
  <c r="C25" i="3"/>
  <c r="C16" i="3"/>
  <c r="C13" i="3"/>
  <c r="N14" i="3"/>
  <c r="C28" i="3" s="1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K14" i="3"/>
  <c r="C19" i="3" s="1"/>
  <c r="K15" i="3"/>
  <c r="K16" i="3"/>
  <c r="K17" i="3"/>
  <c r="K18" i="3"/>
  <c r="K19" i="3"/>
  <c r="K20" i="3"/>
  <c r="K21" i="3"/>
  <c r="K22" i="3"/>
  <c r="K23" i="3"/>
  <c r="F11" i="2" a="1"/>
  <c r="F11" i="2" s="1"/>
  <c r="F10" i="2" a="1"/>
  <c r="F10" i="2" s="1"/>
  <c r="C11" i="2" a="1"/>
  <c r="C11" i="2" s="1"/>
  <c r="C10" i="2" a="1"/>
  <c r="C10" i="2" s="1"/>
  <c r="F7" i="2"/>
  <c r="F6" i="2"/>
  <c r="C7" i="2"/>
  <c r="C6" i="2"/>
  <c r="C5" i="2" a="1"/>
  <c r="C5" i="2" s="1"/>
  <c r="F5" i="2" a="1"/>
  <c r="F5" i="2" s="1"/>
  <c r="F4" i="2" a="1"/>
  <c r="F4" i="2" s="1"/>
  <c r="C4" i="2" a="1"/>
  <c r="C4" i="2" s="1"/>
  <c r="P13" i="9" l="1"/>
  <c r="P22" i="9" s="1"/>
  <c r="P16" i="9"/>
  <c r="C22" i="3"/>
  <c r="C9" i="2"/>
  <c r="C8" i="2"/>
  <c r="F8" i="2"/>
  <c r="F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<sst xmlns="http://schemas.openxmlformats.org/spreadsheetml/2006/main" count="164" uniqueCount="81">
  <si>
    <t>Base de Dados - Teste A/B [Fluxar]</t>
  </si>
  <si>
    <t>ID</t>
  </si>
  <si>
    <t>Teste</t>
  </si>
  <si>
    <t>Aplicador(es)</t>
  </si>
  <si>
    <t>Nome</t>
  </si>
  <si>
    <t>Idade</t>
  </si>
  <si>
    <t>Adicionar lote</t>
  </si>
  <si>
    <t>Deletar lote</t>
  </si>
  <si>
    <t>B</t>
  </si>
  <si>
    <t>May/Helo</t>
  </si>
  <si>
    <t>Elma Junia</t>
  </si>
  <si>
    <t>Márcio Wada</t>
  </si>
  <si>
    <t>Gabriela</t>
  </si>
  <si>
    <t>Paulo Henrique</t>
  </si>
  <si>
    <t>Gil Oliveira</t>
  </si>
  <si>
    <t>Gabriel</t>
  </si>
  <si>
    <t>A</t>
  </si>
  <si>
    <t xml:space="preserve">Nat/duda </t>
  </si>
  <si>
    <t xml:space="preserve">Lucas </t>
  </si>
  <si>
    <t>Lelê/Helo</t>
  </si>
  <si>
    <t xml:space="preserve">Victor </t>
  </si>
  <si>
    <t xml:space="preserve">Renato </t>
  </si>
  <si>
    <t>Diogo/Gi</t>
  </si>
  <si>
    <t>Julia Czank</t>
  </si>
  <si>
    <t>Matheus Santiago</t>
  </si>
  <si>
    <t xml:space="preserve">Solange </t>
  </si>
  <si>
    <t>Laricia</t>
  </si>
  <si>
    <t xml:space="preserve">Bruno </t>
  </si>
  <si>
    <t>Alex Gabriel</t>
  </si>
  <si>
    <t>Karina</t>
  </si>
  <si>
    <t>Natanie</t>
  </si>
  <si>
    <t>Marilucia</t>
  </si>
  <si>
    <t>Jaqueline</t>
  </si>
  <si>
    <t xml:space="preserve">Alex  </t>
  </si>
  <si>
    <t xml:space="preserve">Matheus   </t>
  </si>
  <si>
    <t xml:space="preserve">Lelê </t>
  </si>
  <si>
    <t>David</t>
  </si>
  <si>
    <t>Roberto</t>
  </si>
  <si>
    <t xml:space="preserve">Márcio   </t>
  </si>
  <si>
    <t>May</t>
  </si>
  <si>
    <t>Cinira</t>
  </si>
  <si>
    <t>Não são estoquistas</t>
  </si>
  <si>
    <t xml:space="preserve">Nat </t>
  </si>
  <si>
    <t>Ruth</t>
  </si>
  <si>
    <t>Helô</t>
  </si>
  <si>
    <t>Maria Betânia</t>
  </si>
  <si>
    <t>Cálculo</t>
  </si>
  <si>
    <t>Valor</t>
  </si>
  <si>
    <t>Soma do Tempo de "Adicionar lote"</t>
  </si>
  <si>
    <t>Soma do Tempo de "Deletar lote"</t>
  </si>
  <si>
    <t>Média do Tempo de "Adicionar lote"</t>
  </si>
  <si>
    <t>Média do Tempo de "Deletar lote"</t>
  </si>
  <si>
    <t>Desvio Padrão de "Adicionar Lote"</t>
  </si>
  <si>
    <t>Desvio Padrão de "Deletar Lote"</t>
  </si>
  <si>
    <t>Quantidade de Registros "Adicionar Lote"</t>
  </si>
  <si>
    <t>Quantidade de Registros "Deletar Lote"</t>
  </si>
  <si>
    <t>Cálculos Iniciais - Teste A [Fluxar]</t>
  </si>
  <si>
    <t>Cálculos Iniciais - Teste B [Fluxar]</t>
  </si>
  <si>
    <t>Marcos Conrado</t>
  </si>
  <si>
    <t>Teste A [Fluxar]</t>
  </si>
  <si>
    <t>Dado</t>
  </si>
  <si>
    <t>Hipótese Nula (H0):</t>
  </si>
  <si>
    <t>Hipótese Alternativa (H1):</t>
  </si>
  <si>
    <t>Confiança:</t>
  </si>
  <si>
    <t>Teste B [Fluxar]</t>
  </si>
  <si>
    <t>Tempo</t>
  </si>
  <si>
    <t>Quantidade de Dados - A</t>
  </si>
  <si>
    <t>Quantidade de Dados - B</t>
  </si>
  <si>
    <t>Média de Tempo - A</t>
  </si>
  <si>
    <t>Média de Tempo - B</t>
  </si>
  <si>
    <t>Desvio Padrão - A</t>
  </si>
  <si>
    <t>Desvio Padrão - B</t>
  </si>
  <si>
    <t>Resultado</t>
  </si>
  <si>
    <t>df</t>
  </si>
  <si>
    <t>Valor crítico de t</t>
  </si>
  <si>
    <t>Cálculo de t</t>
  </si>
  <si>
    <t>Detalhamento da Coleta</t>
  </si>
  <si>
    <t>H₀ Rejeitado</t>
  </si>
  <si>
    <t>Teste B melhor do que o A</t>
  </si>
  <si>
    <t>Média[A] &lt;= Média[B]</t>
  </si>
  <si>
    <t>Média[A] &gt; Média[B]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</si>
</sst>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Poppins"/>
    </font>
    <font>
      <b/>
      <sz val="10"/>
      <color theme="0"/>
      <name val="Poppins"/>
    </font>
    <font>
      <b/>
      <sz val="16"/>
      <color theme="0"/>
      <name val="Poppins"/>
    </font>
    <font>
      <b/>
      <sz val="14"/>
      <color theme="0"/>
      <name val="Poppins"/>
    </font>
    <font>
      <sz val="11"/>
      <color theme="1"/>
      <name val="Aptos Narrow"/>
      <family val="2"/>
      <scheme val="minor"/>
    </font>
    <font>
      <sz val="11"/>
      <color theme="1"/>
      <name val="Poppins"/>
    </font>
    <font>
      <b/>
      <sz val="11"/>
      <color theme="0"/>
      <name val="Poppins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CCCE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5"/>
      </left>
      <right style="thin">
        <color theme="0"/>
      </right>
      <top style="medium">
        <color theme="5"/>
      </top>
      <bottom style="thin">
        <color theme="0"/>
      </bottom>
      <diagonal/>
    </border>
    <border>
      <left style="thin">
        <color theme="0"/>
      </left>
      <right style="medium">
        <color theme="5"/>
      </right>
      <top style="medium">
        <color theme="5"/>
      </top>
      <bottom style="thin">
        <color theme="0"/>
      </bottom>
      <diagonal/>
    </border>
    <border>
      <left style="medium">
        <color theme="5"/>
      </left>
      <right style="thin">
        <color theme="0"/>
      </right>
      <top style="thin">
        <color theme="0"/>
      </top>
      <bottom style="medium">
        <color theme="5"/>
      </bottom>
      <diagonal/>
    </border>
    <border>
      <left style="thin">
        <color theme="0"/>
      </left>
      <right style="medium">
        <color theme="5"/>
      </right>
      <top style="thin">
        <color theme="0"/>
      </top>
      <bottom style="medium">
        <color theme="5"/>
      </bottom>
      <diagonal/>
    </border>
    <border>
      <left style="medium">
        <color theme="5"/>
      </left>
      <right style="thin">
        <color theme="0"/>
      </right>
      <top style="medium">
        <color theme="5"/>
      </top>
      <bottom style="medium">
        <color theme="5"/>
      </bottom>
      <diagonal/>
    </border>
    <border>
      <left style="thin">
        <color theme="0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 style="medium">
        <color rgb="FF650082"/>
      </left>
      <right/>
      <top style="medium">
        <color rgb="FF650082"/>
      </top>
      <bottom/>
      <diagonal/>
    </border>
    <border>
      <left/>
      <right/>
      <top style="medium">
        <color rgb="FF650082"/>
      </top>
      <bottom/>
      <diagonal/>
    </border>
    <border>
      <left/>
      <right style="medium">
        <color rgb="FF650082"/>
      </right>
      <top style="medium">
        <color rgb="FF650082"/>
      </top>
      <bottom/>
      <diagonal/>
    </border>
    <border>
      <left style="medium">
        <color rgb="FF650082"/>
      </left>
      <right/>
      <top/>
      <bottom/>
      <diagonal/>
    </border>
    <border>
      <left/>
      <right style="medium">
        <color rgb="FF650082"/>
      </right>
      <top/>
      <bottom/>
      <diagonal/>
    </border>
    <border>
      <left style="medium">
        <color rgb="FF650082"/>
      </left>
      <right/>
      <top/>
      <bottom style="medium">
        <color rgb="FF650082"/>
      </bottom>
      <diagonal/>
    </border>
    <border>
      <left/>
      <right/>
      <top/>
      <bottom style="medium">
        <color rgb="FF650082"/>
      </bottom>
      <diagonal/>
    </border>
    <border>
      <left/>
      <right style="medium">
        <color rgb="FF650082"/>
      </right>
      <top/>
      <bottom style="medium">
        <color rgb="FF650082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0" fontId="1" fillId="0" borderId="0" xfId="0" quotePrefix="1" applyFont="1"/>
    <xf numFmtId="2" fontId="1" fillId="0" borderId="0" xfId="0" applyNumberFormat="1" applyFont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2" borderId="2" xfId="0" applyFont="1" applyFill="1" applyBorder="1"/>
    <xf numFmtId="0" fontId="7" fillId="2" borderId="4" xfId="0" applyFont="1" applyFill="1" applyBorder="1"/>
    <xf numFmtId="0" fontId="7" fillId="2" borderId="6" xfId="0" applyFont="1" applyFill="1" applyBorder="1"/>
    <xf numFmtId="9" fontId="6" fillId="6" borderId="7" xfId="1" applyFont="1" applyFill="1" applyBorder="1" applyAlignment="1">
      <alignment vertical="center"/>
    </xf>
    <xf numFmtId="0" fontId="6" fillId="6" borderId="3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6" fillId="6" borderId="8" xfId="1" applyNumberFormat="1" applyFont="1" applyFill="1" applyBorder="1" applyAlignment="1">
      <alignment horizontal="center" vertical="center"/>
    </xf>
    <xf numFmtId="0" fontId="6" fillId="6" borderId="9" xfId="1" applyNumberFormat="1" applyFont="1" applyFill="1" applyBorder="1" applyAlignment="1">
      <alignment horizontal="center" vertical="center"/>
    </xf>
    <xf numFmtId="0" fontId="6" fillId="6" borderId="10" xfId="1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54">
    <dxf>
      <fill>
        <patternFill>
          <bgColor rgb="FFEDEDB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DEDB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164" formatCode="m/d/yy\ 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</dxf>
    <dxf>
      <font>
        <strike val="0"/>
        <outline val="0"/>
        <shadow val="0"/>
        <u val="none"/>
        <vertAlign val="baseline"/>
        <sz val="10"/>
        <name val="Poppins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164" formatCode="m/d/yy\ 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Poppin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Poppins"/>
        <scheme val="none"/>
      </font>
    </dxf>
    <dxf>
      <font>
        <strike val="0"/>
        <outline val="0"/>
        <shadow val="0"/>
        <u val="none"/>
        <vertAlign val="baseline"/>
        <sz val="10"/>
        <name val="Poppins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B958F5"/>
      <color rgb="FFAAF4CD"/>
      <color rgb="FFF1A077"/>
      <color rgb="FFFFC3B9"/>
      <color rgb="FF650082"/>
      <color rgb="FF46005A"/>
      <color rgb="FFFF1D00"/>
      <color rgb="FF538DF5"/>
      <color rgb="FFFF09A1"/>
      <color rgb="FFF59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&#225;lculo - Ambas Features'!A1"/><Relationship Id="rId2" Type="http://schemas.openxmlformats.org/officeDocument/2006/relationships/hyperlink" Target="#Dados!A1"/><Relationship Id="rId1" Type="http://schemas.openxmlformats.org/officeDocument/2006/relationships/hyperlink" Target="#Resultados!A1"/><Relationship Id="rId6" Type="http://schemas.openxmlformats.org/officeDocument/2006/relationships/hyperlink" Target="#'C&#225;lculo - Feature &quot;Adicionar&quot;'!A1"/><Relationship Id="rId5" Type="http://schemas.openxmlformats.org/officeDocument/2006/relationships/hyperlink" Target="#Documenta&#231;&#227;o!A1"/><Relationship Id="rId4" Type="http://schemas.openxmlformats.org/officeDocument/2006/relationships/hyperlink" Target="#'M&#233;tricas iniciai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'P&#225;gina Inicial'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P&#225;gina Inicial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P&#225;gina Inicial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P&#225;gina Inicial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'P&#225;gina Inicial'!A1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'P&#225;gina Inicial'!A1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P&#225;gina Inicia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552450</xdr:colOff>
      <xdr:row>13</xdr:row>
      <xdr:rowOff>28575</xdr:rowOff>
    </xdr:from>
    <xdr:to>
      <xdr:col>20</xdr:col>
      <xdr:colOff>257175</xdr:colOff>
      <xdr:row>19</xdr:row>
      <xdr:rowOff>9525</xdr:rowOff>
    </xdr:to>
    <xdr:sp macro="" textlink="">
      <xdr:nvSpPr>
        <xdr:cNvPr id="3" name="Retângulo: Cantos Arredondados 2">
          <a:hlinkClick xmlns:r="http://schemas.openxmlformats.org/officeDocument/2006/relationships" r:id="rId1" tooltip="Quer ver os resultados do teste A/B Fluxar?"/>
          <a:extLst>
            <a:ext uri="{FF2B5EF4-FFF2-40B4-BE49-F238E27FC236}">
              <a16:creationId xmlns:a16="http://schemas.microsoft.com/office/drawing/2014/main" id="{16BDA01C-3599-47AE-99E6-E934A46422DF}"/>
            </a:ext>
          </a:extLst>
        </xdr:cNvPr>
        <xdr:cNvSpPr/>
      </xdr:nvSpPr>
      <xdr:spPr>
        <a:xfrm>
          <a:off x="9696450" y="2505075"/>
          <a:ext cx="2752725" cy="1123950"/>
        </a:xfrm>
        <a:prstGeom prst="roundRect">
          <a:avLst/>
        </a:prstGeom>
        <a:gradFill flip="none" rotWithShape="1">
          <a:gsLst>
            <a:gs pos="23000">
              <a:srgbClr val="F59A44">
                <a:alpha val="85000"/>
              </a:srgbClr>
            </a:gs>
            <a:gs pos="63000">
              <a:srgbClr val="FF1D00">
                <a:alpha val="85000"/>
              </a:srgbClr>
            </a:gs>
            <a:gs pos="100000">
              <a:srgbClr val="FF09A1">
                <a:alpha val="85000"/>
              </a:srgbClr>
            </a:gs>
          </a:gsLst>
          <a:path path="circle">
            <a:fillToRect l="100000" t="100000"/>
          </a:path>
          <a:tileRect r="-100000" b="-100000"/>
        </a:gradFill>
        <a:ln>
          <a:solidFill>
            <a:srgbClr val="46005A"/>
          </a:solidFill>
        </a:ln>
        <a:effectLst>
          <a:outerShdw blurRad="50800" dist="38100" dir="5400000" algn="t" rotWithShape="0">
            <a:srgbClr val="46005A">
              <a:alpha val="40000"/>
            </a:srgb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500">
              <a:latin typeface="Poppins" panose="00000500000000000000" pitchFamily="2" charset="0"/>
              <a:cs typeface="Poppins" panose="00000500000000000000" pitchFamily="2" charset="0"/>
            </a:rPr>
            <a:t>Resultados</a:t>
          </a:r>
        </a:p>
      </xdr:txBody>
    </xdr:sp>
    <xdr:clientData/>
  </xdr:twoCellAnchor>
  <xdr:twoCellAnchor>
    <xdr:from>
      <xdr:col>10</xdr:col>
      <xdr:colOff>495300</xdr:colOff>
      <xdr:row>13</xdr:row>
      <xdr:rowOff>28575</xdr:rowOff>
    </xdr:from>
    <xdr:to>
      <xdr:col>15</xdr:col>
      <xdr:colOff>200025</xdr:colOff>
      <xdr:row>19</xdr:row>
      <xdr:rowOff>9525</xdr:rowOff>
    </xdr:to>
    <xdr:sp macro="" textlink="">
      <xdr:nvSpPr>
        <xdr:cNvPr id="5" name="Retângulo: Cantos Arredondados 4">
          <a:hlinkClick xmlns:r="http://schemas.openxmlformats.org/officeDocument/2006/relationships" r:id="rId2" tooltip="Quer ver a base de dados do Teste A/B Fluxar?"/>
          <a:extLst>
            <a:ext uri="{FF2B5EF4-FFF2-40B4-BE49-F238E27FC236}">
              <a16:creationId xmlns:a16="http://schemas.microsoft.com/office/drawing/2014/main" id="{4945F3EA-2E81-45A0-BA2E-DBF8B302CD12}"/>
            </a:ext>
          </a:extLst>
        </xdr:cNvPr>
        <xdr:cNvSpPr/>
      </xdr:nvSpPr>
      <xdr:spPr>
        <a:xfrm>
          <a:off x="6591300" y="2505075"/>
          <a:ext cx="2752725" cy="1123950"/>
        </a:xfrm>
        <a:prstGeom prst="roundRect">
          <a:avLst/>
        </a:prstGeom>
        <a:gradFill flip="none" rotWithShape="1">
          <a:gsLst>
            <a:gs pos="23000">
              <a:srgbClr val="F59A44">
                <a:alpha val="85000"/>
              </a:srgbClr>
            </a:gs>
            <a:gs pos="63000">
              <a:srgbClr val="FF1D00">
                <a:alpha val="85000"/>
              </a:srgbClr>
            </a:gs>
            <a:gs pos="100000">
              <a:srgbClr val="FF09A1">
                <a:alpha val="85000"/>
              </a:srgbClr>
            </a:gs>
          </a:gsLst>
          <a:path path="circle">
            <a:fillToRect t="100000" r="100000"/>
          </a:path>
          <a:tileRect l="-100000" b="-100000"/>
        </a:gradFill>
        <a:ln>
          <a:solidFill>
            <a:srgbClr val="46005A"/>
          </a:solidFill>
        </a:ln>
        <a:effectLst>
          <a:outerShdw blurRad="50800" dist="38100" dir="5400000" algn="t" rotWithShape="0">
            <a:srgbClr val="46005A">
              <a:alpha val="40000"/>
            </a:srgb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500">
              <a:latin typeface="Poppins" panose="00000500000000000000" pitchFamily="2" charset="0"/>
              <a:cs typeface="Poppins" panose="00000500000000000000" pitchFamily="2" charset="0"/>
            </a:rPr>
            <a:t>Dados</a:t>
          </a:r>
        </a:p>
      </xdr:txBody>
    </xdr:sp>
    <xdr:clientData/>
  </xdr:twoCellAnchor>
  <xdr:twoCellAnchor>
    <xdr:from>
      <xdr:col>18</xdr:col>
      <xdr:colOff>9525</xdr:colOff>
      <xdr:row>21</xdr:row>
      <xdr:rowOff>85725</xdr:rowOff>
    </xdr:from>
    <xdr:to>
      <xdr:col>22</xdr:col>
      <xdr:colOff>95250</xdr:colOff>
      <xdr:row>26</xdr:row>
      <xdr:rowOff>66675</xdr:rowOff>
    </xdr:to>
    <xdr:sp macro="" textlink="">
      <xdr:nvSpPr>
        <xdr:cNvPr id="6" name="Retângulo: Cantos Arredondados 5">
          <a:hlinkClick xmlns:r="http://schemas.openxmlformats.org/officeDocument/2006/relationships" r:id="rId3" tooltip="Aqui, fazemos o teste A/B considerando apenas a tela de &quot;Adicionar Estoque&quot;"/>
          <a:extLst>
            <a:ext uri="{FF2B5EF4-FFF2-40B4-BE49-F238E27FC236}">
              <a16:creationId xmlns:a16="http://schemas.microsoft.com/office/drawing/2014/main" id="{79BC4BA0-0356-EBD7-362B-A59B6A365435}"/>
            </a:ext>
          </a:extLst>
        </xdr:cNvPr>
        <xdr:cNvSpPr/>
      </xdr:nvSpPr>
      <xdr:spPr>
        <a:xfrm>
          <a:off x="10982325" y="4086225"/>
          <a:ext cx="2524125" cy="933450"/>
        </a:xfrm>
        <a:prstGeom prst="roundRect">
          <a:avLst>
            <a:gd name="adj" fmla="val 50000"/>
          </a:avLst>
        </a:prstGeom>
        <a:gradFill flip="none" rotWithShape="1">
          <a:gsLst>
            <a:gs pos="82000">
              <a:srgbClr val="650082"/>
            </a:gs>
            <a:gs pos="100000">
              <a:srgbClr val="46005A"/>
            </a:gs>
            <a:gs pos="10000">
              <a:srgbClr val="B958F5"/>
            </a:gs>
            <a:gs pos="0">
              <a:srgbClr val="538DF5"/>
            </a:gs>
          </a:gsLst>
          <a:path path="circle">
            <a:fillToRect l="100000" b="100000"/>
          </a:path>
          <a:tileRect t="-100000" r="-100000"/>
        </a:gradFill>
        <a:ln>
          <a:solidFill>
            <a:srgbClr val="4600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aseline="0">
              <a:solidFill>
                <a:schemeClr val="lt1"/>
              </a:solidFill>
              <a:effectLst/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Ambas as Features</a:t>
          </a:r>
          <a:endParaRPr lang="pt-BR" sz="1400"/>
        </a:p>
      </xdr:txBody>
    </xdr:sp>
    <xdr:clientData/>
  </xdr:twoCellAnchor>
  <xdr:twoCellAnchor>
    <xdr:from>
      <xdr:col>13</xdr:col>
      <xdr:colOff>304800</xdr:colOff>
      <xdr:row>21</xdr:row>
      <xdr:rowOff>85725</xdr:rowOff>
    </xdr:from>
    <xdr:to>
      <xdr:col>17</xdr:col>
      <xdr:colOff>390525</xdr:colOff>
      <xdr:row>26</xdr:row>
      <xdr:rowOff>66675</xdr:rowOff>
    </xdr:to>
    <xdr:sp macro="" textlink="">
      <xdr:nvSpPr>
        <xdr:cNvPr id="7" name="Retângulo: Cantos Arredondados 6">
          <a:hlinkClick xmlns:r="http://schemas.openxmlformats.org/officeDocument/2006/relationships" r:id="rId4" tooltip="Métricas bases para os nossos testes"/>
          <a:extLst>
            <a:ext uri="{FF2B5EF4-FFF2-40B4-BE49-F238E27FC236}">
              <a16:creationId xmlns:a16="http://schemas.microsoft.com/office/drawing/2014/main" id="{D7FD443B-B99F-4949-92F6-FE136480F821}"/>
            </a:ext>
          </a:extLst>
        </xdr:cNvPr>
        <xdr:cNvSpPr/>
      </xdr:nvSpPr>
      <xdr:spPr>
        <a:xfrm>
          <a:off x="8229600" y="4086225"/>
          <a:ext cx="2524125" cy="933450"/>
        </a:xfrm>
        <a:prstGeom prst="roundRect">
          <a:avLst>
            <a:gd name="adj" fmla="val 50000"/>
          </a:avLst>
        </a:prstGeom>
        <a:gradFill flip="none" rotWithShape="1">
          <a:gsLst>
            <a:gs pos="82000">
              <a:srgbClr val="650082"/>
            </a:gs>
            <a:gs pos="100000">
              <a:srgbClr val="46005A"/>
            </a:gs>
            <a:gs pos="10000">
              <a:srgbClr val="B958F5"/>
            </a:gs>
            <a:gs pos="0">
              <a:srgbClr val="538DF5"/>
            </a:gs>
          </a:gsLst>
          <a:path path="circle">
            <a:fillToRect l="100000" b="100000"/>
          </a:path>
          <a:tileRect t="-100000" r="-100000"/>
        </a:gradFill>
        <a:ln>
          <a:solidFill>
            <a:srgbClr val="4600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Poppins" panose="00000500000000000000" pitchFamily="2" charset="0"/>
              <a:cs typeface="Poppins" panose="00000500000000000000" pitchFamily="2" charset="0"/>
            </a:rPr>
            <a:t>Métricas</a:t>
          </a:r>
        </a:p>
      </xdr:txBody>
    </xdr:sp>
    <xdr:clientData/>
  </xdr:twoCellAnchor>
  <xdr:twoCellAnchor>
    <xdr:from>
      <xdr:col>8</xdr:col>
      <xdr:colOff>609599</xdr:colOff>
      <xdr:row>28</xdr:row>
      <xdr:rowOff>38100</xdr:rowOff>
    </xdr:from>
    <xdr:to>
      <xdr:col>22</xdr:col>
      <xdr:colOff>142874</xdr:colOff>
      <xdr:row>33</xdr:row>
      <xdr:rowOff>19050</xdr:rowOff>
    </xdr:to>
    <xdr:sp macro="" textlink="">
      <xdr:nvSpPr>
        <xdr:cNvPr id="2" name="Retângulo: Cantos Arredondados 1">
          <a:hlinkClick xmlns:r="http://schemas.openxmlformats.org/officeDocument/2006/relationships" r:id="rId5" tooltip="Métricas bases para os nossos testes"/>
          <a:extLst>
            <a:ext uri="{FF2B5EF4-FFF2-40B4-BE49-F238E27FC236}">
              <a16:creationId xmlns:a16="http://schemas.microsoft.com/office/drawing/2014/main" id="{8F60A2F3-0FB5-47EC-88C6-259571E33A57}"/>
            </a:ext>
          </a:extLst>
        </xdr:cNvPr>
        <xdr:cNvSpPr/>
      </xdr:nvSpPr>
      <xdr:spPr>
        <a:xfrm>
          <a:off x="5486399" y="5372100"/>
          <a:ext cx="8067675" cy="933450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AAF4CD"/>
            </a:gs>
            <a:gs pos="20000">
              <a:srgbClr val="B958F5"/>
            </a:gs>
            <a:gs pos="39000">
              <a:srgbClr val="538DF5"/>
            </a:gs>
          </a:gsLst>
          <a:path path="circle">
            <a:fillToRect l="100000" b="100000"/>
          </a:path>
          <a:tileRect t="-100000" r="-100000"/>
        </a:gradFill>
        <a:ln>
          <a:solidFill>
            <a:srgbClr val="4600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Poppins" panose="00000500000000000000" pitchFamily="2" charset="0"/>
              <a:cs typeface="Poppins" panose="00000500000000000000" pitchFamily="2" charset="0"/>
            </a:rPr>
            <a:t>Documentação</a:t>
          </a:r>
          <a:br>
            <a:rPr lang="pt-BR" sz="1800">
              <a:latin typeface="Poppins" panose="00000500000000000000" pitchFamily="2" charset="0"/>
              <a:cs typeface="Poppins" panose="00000500000000000000" pitchFamily="2" charset="0"/>
            </a:rPr>
          </a:br>
          <a:r>
            <a:rPr lang="pt-BR" sz="1800">
              <a:latin typeface="Poppins" panose="00000500000000000000" pitchFamily="2" charset="0"/>
              <a:cs typeface="Poppins" panose="00000500000000000000" pitchFamily="2" charset="0"/>
            </a:rPr>
            <a:t>do Teste</a:t>
          </a:r>
        </a:p>
      </xdr:txBody>
    </xdr:sp>
    <xdr:clientData/>
  </xdr:twoCellAnchor>
  <xdr:twoCellAnchor>
    <xdr:from>
      <xdr:col>8</xdr:col>
      <xdr:colOff>600075</xdr:colOff>
      <xdr:row>21</xdr:row>
      <xdr:rowOff>85725</xdr:rowOff>
    </xdr:from>
    <xdr:to>
      <xdr:col>13</xdr:col>
      <xdr:colOff>76200</xdr:colOff>
      <xdr:row>26</xdr:row>
      <xdr:rowOff>66675</xdr:rowOff>
    </xdr:to>
    <xdr:sp macro="" textlink="">
      <xdr:nvSpPr>
        <xdr:cNvPr id="4" name="Retângulo: Cantos Arredondados 3">
          <a:hlinkClick xmlns:r="http://schemas.openxmlformats.org/officeDocument/2006/relationships" r:id="rId6" tooltip="Aqui, fazemos o teste A/B considerando apenas a tela de &quot;Adicionar Estoque&quot;"/>
          <a:extLst>
            <a:ext uri="{FF2B5EF4-FFF2-40B4-BE49-F238E27FC236}">
              <a16:creationId xmlns:a16="http://schemas.microsoft.com/office/drawing/2014/main" id="{A23A5856-0583-47B0-8ECD-B3B2DB42D0D8}"/>
            </a:ext>
          </a:extLst>
        </xdr:cNvPr>
        <xdr:cNvSpPr/>
      </xdr:nvSpPr>
      <xdr:spPr>
        <a:xfrm>
          <a:off x="5476875" y="4086225"/>
          <a:ext cx="2524125" cy="933450"/>
        </a:xfrm>
        <a:prstGeom prst="roundRect">
          <a:avLst>
            <a:gd name="adj" fmla="val 50000"/>
          </a:avLst>
        </a:prstGeom>
        <a:gradFill flip="none" rotWithShape="1">
          <a:gsLst>
            <a:gs pos="82000">
              <a:srgbClr val="650082"/>
            </a:gs>
            <a:gs pos="100000">
              <a:srgbClr val="46005A"/>
            </a:gs>
            <a:gs pos="10000">
              <a:srgbClr val="B958F5"/>
            </a:gs>
            <a:gs pos="0">
              <a:srgbClr val="538DF5"/>
            </a:gs>
          </a:gsLst>
          <a:path path="circle">
            <a:fillToRect l="100000" b="100000"/>
          </a:path>
          <a:tileRect t="-100000" r="-100000"/>
        </a:gradFill>
        <a:ln>
          <a:solidFill>
            <a:srgbClr val="4600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aseline="0">
              <a:solidFill>
                <a:schemeClr val="lt1"/>
              </a:solidFill>
              <a:effectLst/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Feature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aseline="0">
              <a:solidFill>
                <a:schemeClr val="lt1"/>
              </a:solidFill>
              <a:effectLst/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"Adicionar Estoque"</a:t>
          </a:r>
          <a:endParaRPr lang="pt-BR" sz="1400">
            <a:effectLst/>
            <a:latin typeface="Poppins" panose="00000500000000000000" pitchFamily="2" charset="0"/>
            <a:cs typeface="Poppins" panose="00000500000000000000" pitchFamily="2" charset="0"/>
          </a:endParaRPr>
        </a:p>
        <a:p>
          <a:pPr algn="l"/>
          <a:endParaRPr lang="pt-B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361793</xdr:colOff>
      <xdr:row>13</xdr:row>
      <xdr:rowOff>18269</xdr:rowOff>
    </xdr:from>
    <xdr:to>
      <xdr:col>11</xdr:col>
      <xdr:colOff>4076169</xdr:colOff>
      <xdr:row>27</xdr:row>
      <xdr:rowOff>4058260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F216527-343E-3A35-AA65-E657401E1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518" y="2704319"/>
          <a:ext cx="6762376" cy="6706991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</xdr:row>
      <xdr:rowOff>76200</xdr:rowOff>
    </xdr:from>
    <xdr:to>
      <xdr:col>1</xdr:col>
      <xdr:colOff>452821</xdr:colOff>
      <xdr:row>4</xdr:row>
      <xdr:rowOff>123825</xdr:rowOff>
    </xdr:to>
    <xdr:pic>
      <xdr:nvPicPr>
        <xdr:cNvPr id="5" name="Imagem 4">
          <a:hlinkClick xmlns:r="http://schemas.openxmlformats.org/officeDocument/2006/relationships" r:id="rId2" tooltip="Volte para a tela inicial"/>
          <a:extLst>
            <a:ext uri="{FF2B5EF4-FFF2-40B4-BE49-F238E27FC236}">
              <a16:creationId xmlns:a16="http://schemas.microsoft.com/office/drawing/2014/main" id="{72136BE9-31EF-493B-90B1-ABA94731F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795721" cy="61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266700</xdr:rowOff>
    </xdr:from>
    <xdr:to>
      <xdr:col>0</xdr:col>
      <xdr:colOff>1062421</xdr:colOff>
      <xdr:row>0</xdr:row>
      <xdr:rowOff>885825</xdr:rowOff>
    </xdr:to>
    <xdr:pic>
      <xdr:nvPicPr>
        <xdr:cNvPr id="5" name="Imagem 4">
          <a:hlinkClick xmlns:r="http://schemas.openxmlformats.org/officeDocument/2006/relationships" r:id="rId1" tooltip="Volte para a tela inicial"/>
          <a:extLst>
            <a:ext uri="{FF2B5EF4-FFF2-40B4-BE49-F238E27FC236}">
              <a16:creationId xmlns:a16="http://schemas.microsoft.com/office/drawing/2014/main" id="{5B4AA2C0-1E3E-79E1-1867-81A66ACE6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795721" cy="619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266700</xdr:rowOff>
    </xdr:from>
    <xdr:to>
      <xdr:col>0</xdr:col>
      <xdr:colOff>1062421</xdr:colOff>
      <xdr:row>0</xdr:row>
      <xdr:rowOff>885825</xdr:rowOff>
    </xdr:to>
    <xdr:pic>
      <xdr:nvPicPr>
        <xdr:cNvPr id="4" name="Imagem 3">
          <a:hlinkClick xmlns:r="http://schemas.openxmlformats.org/officeDocument/2006/relationships" r:id="rId1" tooltip="Volte para a tela inicial"/>
          <a:extLst>
            <a:ext uri="{FF2B5EF4-FFF2-40B4-BE49-F238E27FC236}">
              <a16:creationId xmlns:a16="http://schemas.microsoft.com/office/drawing/2014/main" id="{FB3BB165-C832-4982-8F23-AA61A2D5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795721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266700</xdr:rowOff>
    </xdr:from>
    <xdr:to>
      <xdr:col>0</xdr:col>
      <xdr:colOff>1062421</xdr:colOff>
      <xdr:row>0</xdr:row>
      <xdr:rowOff>885825</xdr:rowOff>
    </xdr:to>
    <xdr:pic>
      <xdr:nvPicPr>
        <xdr:cNvPr id="2" name="Imagem 1">
          <a:hlinkClick xmlns:r="http://schemas.openxmlformats.org/officeDocument/2006/relationships" r:id="rId1" tooltip="Volte para a tela inicial"/>
          <a:extLst>
            <a:ext uri="{FF2B5EF4-FFF2-40B4-BE49-F238E27FC236}">
              <a16:creationId xmlns:a16="http://schemas.microsoft.com/office/drawing/2014/main" id="{C6E79326-CA97-4B98-A16D-1E9CE3C9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795721" cy="619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200025</xdr:colOff>
      <xdr:row>11</xdr:row>
      <xdr:rowOff>9525</xdr:rowOff>
    </xdr:from>
    <xdr:to>
      <xdr:col>20</xdr:col>
      <xdr:colOff>428625</xdr:colOff>
      <xdr:row>14</xdr:row>
      <xdr:rowOff>57150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CB97455-4AA9-03FA-F153-9252BA888772}"/>
            </a:ext>
          </a:extLst>
        </xdr:cNvPr>
        <xdr:cNvSpPr/>
      </xdr:nvSpPr>
      <xdr:spPr>
        <a:xfrm>
          <a:off x="12925425" y="2114550"/>
          <a:ext cx="1447800" cy="933450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266700</xdr:colOff>
      <xdr:row>1</xdr:row>
      <xdr:rowOff>76200</xdr:rowOff>
    </xdr:from>
    <xdr:to>
      <xdr:col>1</xdr:col>
      <xdr:colOff>452821</xdr:colOff>
      <xdr:row>4</xdr:row>
      <xdr:rowOff>123825</xdr:rowOff>
    </xdr:to>
    <xdr:pic>
      <xdr:nvPicPr>
        <xdr:cNvPr id="2" name="Imagem 1">
          <a:hlinkClick xmlns:r="http://schemas.openxmlformats.org/officeDocument/2006/relationships" r:id="rId1" tooltip="Volte para a tela inicial"/>
          <a:extLst>
            <a:ext uri="{FF2B5EF4-FFF2-40B4-BE49-F238E27FC236}">
              <a16:creationId xmlns:a16="http://schemas.microsoft.com/office/drawing/2014/main" id="{E705F5F5-E37A-4213-9159-E8A82CA80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795721" cy="619125"/>
        </a:xfrm>
        <a:prstGeom prst="rect">
          <a:avLst/>
        </a:prstGeom>
      </xdr:spPr>
    </xdr:pic>
    <xdr:clientData/>
  </xdr:twoCellAnchor>
  <xdr:twoCellAnchor>
    <xdr:from>
      <xdr:col>18</xdr:col>
      <xdr:colOff>219075</xdr:colOff>
      <xdr:row>14</xdr:row>
      <xdr:rowOff>247650</xdr:rowOff>
    </xdr:from>
    <xdr:to>
      <xdr:col>21</xdr:col>
      <xdr:colOff>0</xdr:colOff>
      <xdr:row>18</xdr:row>
      <xdr:rowOff>142876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3119E77-B386-4A33-87F4-D3F1B348EEDE}"/>
            </a:ext>
          </a:extLst>
        </xdr:cNvPr>
        <xdr:cNvSpPr/>
      </xdr:nvSpPr>
      <xdr:spPr>
        <a:xfrm>
          <a:off x="12944475" y="3238500"/>
          <a:ext cx="1609725" cy="1028701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247651</xdr:colOff>
      <xdr:row>11</xdr:row>
      <xdr:rowOff>57150</xdr:rowOff>
    </xdr:from>
    <xdr:to>
      <xdr:col>20</xdr:col>
      <xdr:colOff>381001</xdr:colOff>
      <xdr:row>14</xdr:row>
      <xdr:rowOff>17295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0E5164B-BF5C-0152-FC89-47B87BC07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73051" y="2162175"/>
          <a:ext cx="1352550" cy="836445"/>
        </a:xfrm>
        <a:prstGeom prst="rect">
          <a:avLst/>
        </a:prstGeom>
      </xdr:spPr>
    </xdr:pic>
    <xdr:clientData/>
  </xdr:twoCellAnchor>
  <xdr:twoCellAnchor>
    <xdr:from>
      <xdr:col>20</xdr:col>
      <xdr:colOff>523874</xdr:colOff>
      <xdr:row>11</xdr:row>
      <xdr:rowOff>7254</xdr:rowOff>
    </xdr:from>
    <xdr:to>
      <xdr:col>23</xdr:col>
      <xdr:colOff>409575</xdr:colOff>
      <xdr:row>14</xdr:row>
      <xdr:rowOff>54878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2E1117C-673E-438C-AB48-F806D97D7585}"/>
            </a:ext>
          </a:extLst>
        </xdr:cNvPr>
        <xdr:cNvSpPr/>
      </xdr:nvSpPr>
      <xdr:spPr>
        <a:xfrm>
          <a:off x="14481095" y="2124576"/>
          <a:ext cx="1716978" cy="932299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278631</xdr:colOff>
      <xdr:row>14</xdr:row>
      <xdr:rowOff>296043</xdr:rowOff>
    </xdr:from>
    <xdr:to>
      <xdr:col>20</xdr:col>
      <xdr:colOff>552450</xdr:colOff>
      <xdr:row>18</xdr:row>
      <xdr:rowOff>106848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3CB57B6-83AB-E7C2-C601-77A16D855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5569"/>
        <a:stretch>
          <a:fillRect/>
        </a:stretch>
      </xdr:blipFill>
      <xdr:spPr>
        <a:xfrm>
          <a:off x="13004031" y="3286893"/>
          <a:ext cx="1493019" cy="944280"/>
        </a:xfrm>
        <a:prstGeom prst="rect">
          <a:avLst/>
        </a:prstGeom>
      </xdr:spPr>
    </xdr:pic>
    <xdr:clientData/>
  </xdr:twoCellAnchor>
  <xdr:twoCellAnchor editAs="oneCell">
    <xdr:from>
      <xdr:col>20</xdr:col>
      <xdr:colOff>561976</xdr:colOff>
      <xdr:row>11</xdr:row>
      <xdr:rowOff>54879</xdr:rowOff>
    </xdr:from>
    <xdr:to>
      <xdr:col>23</xdr:col>
      <xdr:colOff>371476</xdr:colOff>
      <xdr:row>14</xdr:row>
      <xdr:rowOff>21767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6209F85-A61C-4609-BA48-52D2F4E5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19197" y="2172201"/>
          <a:ext cx="1640777" cy="842038"/>
        </a:xfrm>
        <a:prstGeom prst="rect">
          <a:avLst/>
        </a:prstGeom>
      </xdr:spPr>
    </xdr:pic>
    <xdr:clientData/>
  </xdr:twoCellAnchor>
  <xdr:twoCellAnchor>
    <xdr:from>
      <xdr:col>21</xdr:col>
      <xdr:colOff>102081</xdr:colOff>
      <xdr:row>14</xdr:row>
      <xdr:rowOff>249760</xdr:rowOff>
    </xdr:from>
    <xdr:to>
      <xdr:col>23</xdr:col>
      <xdr:colOff>423334</xdr:colOff>
      <xdr:row>18</xdr:row>
      <xdr:rowOff>146308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235F7FD8-6282-4B87-9B4B-1800000C0C72}"/>
            </a:ext>
          </a:extLst>
        </xdr:cNvPr>
        <xdr:cNvSpPr/>
      </xdr:nvSpPr>
      <xdr:spPr>
        <a:xfrm>
          <a:off x="14652340" y="3247597"/>
          <a:ext cx="1539497" cy="1031187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21</xdr:col>
      <xdr:colOff>153937</xdr:colOff>
      <xdr:row>14</xdr:row>
      <xdr:rowOff>307877</xdr:rowOff>
    </xdr:from>
    <xdr:to>
      <xdr:col>23</xdr:col>
      <xdr:colOff>384848</xdr:colOff>
      <xdr:row>18</xdr:row>
      <xdr:rowOff>105832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3837826-047A-4931-AB30-47BF91818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3410" r="3321" b="-971"/>
        <a:stretch>
          <a:fillRect/>
        </a:stretch>
      </xdr:blipFill>
      <xdr:spPr>
        <a:xfrm>
          <a:off x="14653104" y="3328938"/>
          <a:ext cx="1443183" cy="942879"/>
        </a:xfrm>
        <a:prstGeom prst="rect">
          <a:avLst/>
        </a:prstGeom>
      </xdr:spPr>
    </xdr:pic>
    <xdr:clientData/>
  </xdr:twoCellAnchor>
  <xdr:twoCellAnchor>
    <xdr:from>
      <xdr:col>18</xdr:col>
      <xdr:colOff>219075</xdr:colOff>
      <xdr:row>19</xdr:row>
      <xdr:rowOff>76200</xdr:rowOff>
    </xdr:from>
    <xdr:to>
      <xdr:col>23</xdr:col>
      <xdr:colOff>419100</xdr:colOff>
      <xdr:row>24</xdr:row>
      <xdr:rowOff>219075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66F2A672-1325-466D-BF7B-CF80A1342EAD}"/>
            </a:ext>
          </a:extLst>
        </xdr:cNvPr>
        <xdr:cNvSpPr/>
      </xdr:nvSpPr>
      <xdr:spPr>
        <a:xfrm>
          <a:off x="12944475" y="4467225"/>
          <a:ext cx="3248025" cy="1495425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295276</xdr:colOff>
      <xdr:row>19</xdr:row>
      <xdr:rowOff>142876</xdr:rowOff>
    </xdr:from>
    <xdr:to>
      <xdr:col>23</xdr:col>
      <xdr:colOff>371476</xdr:colOff>
      <xdr:row>24</xdr:row>
      <xdr:rowOff>154592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4C3AAE6-0FDD-49A2-BB17-5EFAA8E88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20676" y="4533901"/>
          <a:ext cx="3124200" cy="13642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200025</xdr:colOff>
      <xdr:row>11</xdr:row>
      <xdr:rowOff>9525</xdr:rowOff>
    </xdr:from>
    <xdr:to>
      <xdr:col>20</xdr:col>
      <xdr:colOff>428625</xdr:colOff>
      <xdr:row>14</xdr:row>
      <xdr:rowOff>57150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4FDE854-D934-4071-B966-850EDDBCDB80}"/>
            </a:ext>
          </a:extLst>
        </xdr:cNvPr>
        <xdr:cNvSpPr/>
      </xdr:nvSpPr>
      <xdr:spPr>
        <a:xfrm>
          <a:off x="12925425" y="2105025"/>
          <a:ext cx="1447800" cy="923925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266700</xdr:colOff>
      <xdr:row>1</xdr:row>
      <xdr:rowOff>76200</xdr:rowOff>
    </xdr:from>
    <xdr:to>
      <xdr:col>1</xdr:col>
      <xdr:colOff>452821</xdr:colOff>
      <xdr:row>4</xdr:row>
      <xdr:rowOff>123825</xdr:rowOff>
    </xdr:to>
    <xdr:pic>
      <xdr:nvPicPr>
        <xdr:cNvPr id="3" name="Imagem 2">
          <a:hlinkClick xmlns:r="http://schemas.openxmlformats.org/officeDocument/2006/relationships" r:id="rId1" tooltip="Volte para a tela inicial"/>
          <a:extLst>
            <a:ext uri="{FF2B5EF4-FFF2-40B4-BE49-F238E27FC236}">
              <a16:creationId xmlns:a16="http://schemas.microsoft.com/office/drawing/2014/main" id="{A267404E-8D15-4058-AE55-11EDEBBA5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795721" cy="619125"/>
        </a:xfrm>
        <a:prstGeom prst="rect">
          <a:avLst/>
        </a:prstGeom>
      </xdr:spPr>
    </xdr:pic>
    <xdr:clientData/>
  </xdr:twoCellAnchor>
  <xdr:twoCellAnchor>
    <xdr:from>
      <xdr:col>18</xdr:col>
      <xdr:colOff>219075</xdr:colOff>
      <xdr:row>14</xdr:row>
      <xdr:rowOff>247650</xdr:rowOff>
    </xdr:from>
    <xdr:to>
      <xdr:col>21</xdr:col>
      <xdr:colOff>0</xdr:colOff>
      <xdr:row>18</xdr:row>
      <xdr:rowOff>142876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8960437-8827-4191-93D9-10000ACD5CDA}"/>
            </a:ext>
          </a:extLst>
        </xdr:cNvPr>
        <xdr:cNvSpPr/>
      </xdr:nvSpPr>
      <xdr:spPr>
        <a:xfrm>
          <a:off x="12944475" y="3219450"/>
          <a:ext cx="1609725" cy="1028701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247651</xdr:colOff>
      <xdr:row>11</xdr:row>
      <xdr:rowOff>57150</xdr:rowOff>
    </xdr:from>
    <xdr:to>
      <xdr:col>20</xdr:col>
      <xdr:colOff>381001</xdr:colOff>
      <xdr:row>14</xdr:row>
      <xdr:rowOff>9525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636D524-B8C6-458E-8691-0B0F35A4D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73051" y="2152650"/>
          <a:ext cx="1352550" cy="828675"/>
        </a:xfrm>
        <a:prstGeom prst="rect">
          <a:avLst/>
        </a:prstGeom>
      </xdr:spPr>
    </xdr:pic>
    <xdr:clientData/>
  </xdr:twoCellAnchor>
  <xdr:twoCellAnchor>
    <xdr:from>
      <xdr:col>20</xdr:col>
      <xdr:colOff>523874</xdr:colOff>
      <xdr:row>11</xdr:row>
      <xdr:rowOff>7254</xdr:rowOff>
    </xdr:from>
    <xdr:to>
      <xdr:col>23</xdr:col>
      <xdr:colOff>409575</xdr:colOff>
      <xdr:row>14</xdr:row>
      <xdr:rowOff>54878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0E1D5D5-C379-40D7-B560-C470E0923339}"/>
            </a:ext>
          </a:extLst>
        </xdr:cNvPr>
        <xdr:cNvSpPr/>
      </xdr:nvSpPr>
      <xdr:spPr>
        <a:xfrm>
          <a:off x="14468474" y="2102754"/>
          <a:ext cx="1714501" cy="923924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278631</xdr:colOff>
      <xdr:row>14</xdr:row>
      <xdr:rowOff>296043</xdr:rowOff>
    </xdr:from>
    <xdr:to>
      <xdr:col>20</xdr:col>
      <xdr:colOff>552450</xdr:colOff>
      <xdr:row>18</xdr:row>
      <xdr:rowOff>85725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44F7125-C6BF-4E67-9611-5C7C8FAA2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5569"/>
        <a:stretch>
          <a:fillRect/>
        </a:stretch>
      </xdr:blipFill>
      <xdr:spPr>
        <a:xfrm>
          <a:off x="13004031" y="3267843"/>
          <a:ext cx="1493019" cy="923157"/>
        </a:xfrm>
        <a:prstGeom prst="rect">
          <a:avLst/>
        </a:prstGeom>
      </xdr:spPr>
    </xdr:pic>
    <xdr:clientData/>
  </xdr:twoCellAnchor>
  <xdr:twoCellAnchor editAs="oneCell">
    <xdr:from>
      <xdr:col>20</xdr:col>
      <xdr:colOff>561976</xdr:colOff>
      <xdr:row>11</xdr:row>
      <xdr:rowOff>54880</xdr:rowOff>
    </xdr:from>
    <xdr:to>
      <xdr:col>23</xdr:col>
      <xdr:colOff>371476</xdr:colOff>
      <xdr:row>14</xdr:row>
      <xdr:rowOff>9526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07AEA42-09D6-4072-B258-0CE3F0F0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06576" y="2150380"/>
          <a:ext cx="1638300" cy="830946"/>
        </a:xfrm>
        <a:prstGeom prst="rect">
          <a:avLst/>
        </a:prstGeom>
      </xdr:spPr>
    </xdr:pic>
    <xdr:clientData/>
  </xdr:twoCellAnchor>
  <xdr:twoCellAnchor>
    <xdr:from>
      <xdr:col>21</xdr:col>
      <xdr:colOff>102081</xdr:colOff>
      <xdr:row>14</xdr:row>
      <xdr:rowOff>249760</xdr:rowOff>
    </xdr:from>
    <xdr:to>
      <xdr:col>23</xdr:col>
      <xdr:colOff>423334</xdr:colOff>
      <xdr:row>18</xdr:row>
      <xdr:rowOff>146308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7BEBD33-067D-4334-8594-CD8763F549EE}"/>
            </a:ext>
          </a:extLst>
        </xdr:cNvPr>
        <xdr:cNvSpPr/>
      </xdr:nvSpPr>
      <xdr:spPr>
        <a:xfrm>
          <a:off x="14656281" y="3221560"/>
          <a:ext cx="1540453" cy="1030023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21</xdr:col>
      <xdr:colOff>153937</xdr:colOff>
      <xdr:row>14</xdr:row>
      <xdr:rowOff>307878</xdr:rowOff>
    </xdr:from>
    <xdr:to>
      <xdr:col>23</xdr:col>
      <xdr:colOff>384848</xdr:colOff>
      <xdr:row>18</xdr:row>
      <xdr:rowOff>95251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2D06A78-F86F-4013-B7C0-12192A14EC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3410" r="3321" b="-971"/>
        <a:stretch>
          <a:fillRect/>
        </a:stretch>
      </xdr:blipFill>
      <xdr:spPr>
        <a:xfrm>
          <a:off x="14708137" y="3279678"/>
          <a:ext cx="1450111" cy="920848"/>
        </a:xfrm>
        <a:prstGeom prst="rect">
          <a:avLst/>
        </a:prstGeom>
      </xdr:spPr>
    </xdr:pic>
    <xdr:clientData/>
  </xdr:twoCellAnchor>
  <xdr:twoCellAnchor>
    <xdr:from>
      <xdr:col>18</xdr:col>
      <xdr:colOff>219075</xdr:colOff>
      <xdr:row>19</xdr:row>
      <xdr:rowOff>76200</xdr:rowOff>
    </xdr:from>
    <xdr:to>
      <xdr:col>23</xdr:col>
      <xdr:colOff>419100</xdr:colOff>
      <xdr:row>24</xdr:row>
      <xdr:rowOff>219075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2E762923-104D-4529-834E-B2147FFA04CC}"/>
            </a:ext>
          </a:extLst>
        </xdr:cNvPr>
        <xdr:cNvSpPr/>
      </xdr:nvSpPr>
      <xdr:spPr>
        <a:xfrm>
          <a:off x="12944475" y="4467225"/>
          <a:ext cx="3248025" cy="1495425"/>
        </a:xfrm>
        <a:prstGeom prst="rect">
          <a:avLst/>
        </a:prstGeom>
        <a:solidFill>
          <a:schemeClr val="accent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285751</xdr:colOff>
      <xdr:row>19</xdr:row>
      <xdr:rowOff>142876</xdr:rowOff>
    </xdr:from>
    <xdr:to>
      <xdr:col>23</xdr:col>
      <xdr:colOff>361951</xdr:colOff>
      <xdr:row>24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490EBF8D-A791-411E-AC48-9201DBB25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1151" y="4533901"/>
          <a:ext cx="3124200" cy="13620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76200</xdr:rowOff>
    </xdr:from>
    <xdr:to>
      <xdr:col>1</xdr:col>
      <xdr:colOff>452821</xdr:colOff>
      <xdr:row>3</xdr:row>
      <xdr:rowOff>142875</xdr:rowOff>
    </xdr:to>
    <xdr:pic>
      <xdr:nvPicPr>
        <xdr:cNvPr id="2" name="Imagem 1">
          <a:hlinkClick xmlns:r="http://schemas.openxmlformats.org/officeDocument/2006/relationships" r:id="rId1" tooltip="Volte para a tela inicial"/>
          <a:extLst>
            <a:ext uri="{FF2B5EF4-FFF2-40B4-BE49-F238E27FC236}">
              <a16:creationId xmlns:a16="http://schemas.microsoft.com/office/drawing/2014/main" id="{0ACD18BD-82B0-4BF4-865D-0478E953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795721" cy="619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8DE1DB-486D-4494-8136-A2EF85BDA7E2}" name="BaseDeDados" displayName="BaseDeDados" ref="B3:H27" totalsRowShown="0" headerRowDxfId="53" dataDxfId="52">
  <autoFilter ref="B3:H27" xr:uid="{8B8DE1DB-486D-4494-8136-A2EF85BDA7E2}"/>
  <tableColumns count="7">
    <tableColumn id="1" xr3:uid="{AEAD1A5B-AAB1-401B-934D-B79B9595D3FA}" name="ID" dataDxfId="51"/>
    <tableColumn id="6" xr3:uid="{0E9B3899-80A1-4C66-931D-8C247DB50007}" name="Teste" dataDxfId="50"/>
    <tableColumn id="7" xr3:uid="{B5BD1CFD-61C6-429D-B16C-A638948F5C01}" name="Aplicador(es)" dataDxfId="49"/>
    <tableColumn id="8" xr3:uid="{8E3BC90D-19FB-4E1E-9531-CEDDC0B74BAD}" name="Nome" dataDxfId="48"/>
    <tableColumn id="9" xr3:uid="{E64BED27-442E-40F9-8D6E-225728D1A655}" name="Idade" dataDxfId="47"/>
    <tableColumn id="14" xr3:uid="{0A06936C-F5E5-4022-A4FD-47119751B463}" name="Adicionar lote" dataDxfId="46"/>
    <tableColumn id="26" xr3:uid="{4EB428B4-D169-4400-A78A-0810BE881666}" name="Deletar lote" dataDxfId="45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FA8B3A-3CD0-4304-91F9-24A1C0DD0A37}" name="BaseDeDados5" displayName="BaseDeDados5" ref="B3:H7" totalsRowShown="0" headerRowDxfId="44" dataDxfId="43">
  <autoFilter ref="B3:H7" xr:uid="{2FFA8B3A-3CD0-4304-91F9-24A1C0DD0A37}"/>
  <tableColumns count="7">
    <tableColumn id="1" xr3:uid="{01BE2DCC-9706-47A9-B513-299E17DFE7E3}" name="ID" dataDxfId="42"/>
    <tableColumn id="6" xr3:uid="{B772270F-5A54-419D-9B32-93D53F7CF466}" name="Teste" dataDxfId="41"/>
    <tableColumn id="7" xr3:uid="{05E378AB-3600-4A06-A777-53A08602745C}" name="Aplicador(es)" dataDxfId="40"/>
    <tableColumn id="8" xr3:uid="{6B37CC72-4A6B-4A08-9EFD-AFB8F10E0A67}" name="Nome" dataDxfId="39"/>
    <tableColumn id="9" xr3:uid="{30E54542-1E3F-4EA0-A078-33630970B781}" name="Idade" dataDxfId="38"/>
    <tableColumn id="14" xr3:uid="{C93EDB69-DD30-403F-9D9D-D6D427FC03E5}" name="Adicionar lote" dataDxfId="37"/>
    <tableColumn id="26" xr3:uid="{0A16591C-0868-47C1-AFF9-787B0F46093D}" name="Deletar lote" dataDxfId="36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DFAE2A-4190-4D3D-8308-F54704EE2E54}" name="Tabela14" displayName="Tabela14" ref="B3:C11" totalsRowShown="0" headerRowDxfId="35" dataDxfId="34">
  <autoFilter ref="B3:C11" xr:uid="{49DFAE2A-4190-4D3D-8308-F54704EE2E54}"/>
  <tableColumns count="2">
    <tableColumn id="1" xr3:uid="{200E1889-2207-4109-B378-AA66EDDEB9AE}" name="Cálculo" dataDxfId="33"/>
    <tableColumn id="2" xr3:uid="{2B83998D-A755-4CC8-BEFF-DF593C5DDE35}" name="Valor" dataDxfId="32">
      <calculatedColumnFormula>SUM(#REF!)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0C54F-E0C6-4E7F-8B8D-BB4279BBF418}" name="Tabela142" displayName="Tabela142" ref="E3:F11" totalsRowShown="0" headerRowDxfId="31" dataDxfId="30">
  <autoFilter ref="E3:F11" xr:uid="{3180C54F-E0C6-4E7F-8B8D-BB4279BBF418}"/>
  <tableColumns count="2">
    <tableColumn id="1" xr3:uid="{40683934-DD04-447E-B6F1-FDB727929FD0}" name="Cálculo" dataDxfId="29"/>
    <tableColumn id="2" xr3:uid="{B63FCE0A-7A36-47D2-9B69-116403E93B89}" name="Valor" dataDxfId="28">
      <calculatedColumnFormula>SUM(#REF!)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18D8C4-7752-46AA-AA76-9E435A6E811F}" name="Tabela146" displayName="Tabela146" ref="J13:K23" totalsRowShown="0" headerRowDxfId="27" dataDxfId="26">
  <autoFilter ref="J13:K23" xr:uid="{0618D8C4-7752-46AA-AA76-9E435A6E811F}"/>
  <tableColumns count="2">
    <tableColumn id="1" xr3:uid="{BEBDDA61-2CAA-44C1-A9A8-94C23866C4E3}" name="Dado" dataDxfId="25"/>
    <tableColumn id="5" xr3:uid="{E1AC5DA3-4109-4460-80A6-30E59998CF72}" name="Tempo" dataDxfId="24">
      <calculatedColumnFormula>_xlfn.XLOOKUP(Tabela146[[#This Row],[Dado]],BaseDeDados[ID],BaseDeDados[Adicionar lote])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0DE020-61BA-4BA1-A52D-299062CE36D0}" name="Tabela1469" displayName="Tabela1469" ref="M13:N27" totalsRowShown="0" headerRowDxfId="23" dataDxfId="22">
  <autoFilter ref="M13:N27" xr:uid="{470DE020-61BA-4BA1-A52D-299062CE36D0}"/>
  <tableColumns count="2">
    <tableColumn id="1" xr3:uid="{48B961E1-6C59-4F26-9207-32661EC96982}" name="Dado" dataDxfId="21"/>
    <tableColumn id="5" xr3:uid="{9B008D8E-94A2-45EA-97CA-631D001E8571}" name="Tempo" dataDxfId="20">
      <calculatedColumnFormula>_xlfn.XLOOKUP(Tabela1469[[#This Row],[Dado]],BaseDeDados[ID],BaseDeDados[Adicionar lote])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E7A883-6723-47EB-803B-6AF00DF936F8}" name="Tabela1467" displayName="Tabela1467" ref="J13:K23" totalsRowShown="0" headerRowDxfId="19" dataDxfId="18">
  <autoFilter ref="J13:K23" xr:uid="{60E7A883-6723-47EB-803B-6AF00DF936F8}"/>
  <tableColumns count="2">
    <tableColumn id="1" xr3:uid="{7CCA3BA9-8D47-447C-82F5-5D453B050759}" name="Dado" dataDxfId="17"/>
    <tableColumn id="5" xr3:uid="{73F1A502-3584-495F-9336-3C54FE90236B}" name="Tempo" dataDxfId="16">
      <calculatedColumnFormula array="1">_xlfn.XLOOKUP(Tabela1467[[#This Row],[Dado]],BaseDeDados[ID],(BaseDeDados[Adicionar lote]+BaseDeDados[Deletar lote]))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E602C8-470F-4D66-809C-FC72C2C7E28F}" name="Tabela14698" displayName="Tabela14698" ref="M13:N27" totalsRowShown="0" headerRowDxfId="15" dataDxfId="14">
  <autoFilter ref="M13:N27" xr:uid="{BEE602C8-470F-4D66-809C-FC72C2C7E28F}"/>
  <tableColumns count="2">
    <tableColumn id="1" xr3:uid="{59A74889-89AD-4316-95BE-2AF6278EBE99}" name="Dado" dataDxfId="13"/>
    <tableColumn id="5" xr3:uid="{32CE981A-6007-4EA1-B676-5015AEF0D52D}" name="Tempo" dataDxfId="12">
      <calculatedColumnFormula array="1">_xlfn.XLOOKUP(Tabela14698[[#This Row],[Dado]],BaseDeDados[ID],(BaseDeDados[Adicionar lote]+BaseDeDados[Deletar lote]))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image" Target="../media/image1.png"/><Relationship Id="rId1" Type="http://schemas.openxmlformats.org/officeDocument/2006/relationships/drawing" Target="../drawings/drawing7.xml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2B42-5FFE-4A75-819E-038D98644009}">
  <dimension ref="A1"/>
  <sheetViews>
    <sheetView showGridLines="0" tabSelected="1" zoomScaleNormal="100" workbookViewId="0"/>
  </sheetViews>
  <sheetFormatPr defaultRowHeight="15" x14ac:dyDescent="0.25"/>
  <sheetData/>
  <sheetProtection algorithmName="SHA-512" hashValue="dWs7LbKjG4JJZcRlVKo/H0NZNk0jcAv0qMoVFIoNuDUPLOpFS4H2BmyGM4Q/lSKfwrWRSsMmVgbwqMj2ChoiIA==" saltValue="0ndYC7AsfvHl8q9V11NTog==" spinCount="100000" sheet="1" objects="1" scenarios="1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EA12-A4C1-45B0-8717-F5A2383566B0}">
  <dimension ref="F13:L28"/>
  <sheetViews>
    <sheetView showGridLines="0" zoomScaleNormal="118" workbookViewId="0"/>
  </sheetViews>
  <sheetFormatPr defaultRowHeight="15" x14ac:dyDescent="0.25"/>
  <cols>
    <col min="5" max="5" width="41.28515625" customWidth="1"/>
    <col min="12" max="12" width="74" customWidth="1"/>
  </cols>
  <sheetData>
    <row r="13" spans="6:12" ht="31.5" thickBot="1" x14ac:dyDescent="0.9">
      <c r="F13" s="21" t="s">
        <v>76</v>
      </c>
      <c r="G13" s="21"/>
      <c r="H13" s="21"/>
      <c r="I13" s="21"/>
      <c r="J13" s="21"/>
      <c r="K13" s="21"/>
      <c r="L13" s="21"/>
    </row>
    <row r="14" spans="6:12" ht="15" customHeight="1" x14ac:dyDescent="0.25">
      <c r="F14" s="22"/>
      <c r="G14" s="23"/>
      <c r="H14" s="23"/>
      <c r="I14" s="23"/>
      <c r="J14" s="23"/>
      <c r="K14" s="23"/>
      <c r="L14" s="24"/>
    </row>
    <row r="15" spans="6:12" ht="15" customHeight="1" x14ac:dyDescent="0.25">
      <c r="F15" s="25"/>
      <c r="G15" s="26"/>
      <c r="H15" s="26"/>
      <c r="I15" s="26"/>
      <c r="J15" s="26"/>
      <c r="K15" s="26"/>
      <c r="L15" s="27"/>
    </row>
    <row r="16" spans="6:12" ht="15" customHeight="1" x14ac:dyDescent="0.25">
      <c r="F16" s="25"/>
      <c r="G16" s="26"/>
      <c r="H16" s="26"/>
      <c r="I16" s="26"/>
      <c r="J16" s="26"/>
      <c r="K16" s="26"/>
      <c r="L16" s="27"/>
    </row>
    <row r="17" spans="6:12" ht="15" customHeight="1" x14ac:dyDescent="0.25">
      <c r="F17" s="25"/>
      <c r="G17" s="26"/>
      <c r="H17" s="26"/>
      <c r="I17" s="26"/>
      <c r="J17" s="26"/>
      <c r="K17" s="26"/>
      <c r="L17" s="27"/>
    </row>
    <row r="18" spans="6:12" ht="15" customHeight="1" x14ac:dyDescent="0.25">
      <c r="F18" s="25"/>
      <c r="G18" s="26"/>
      <c r="H18" s="26"/>
      <c r="I18" s="26"/>
      <c r="J18" s="26"/>
      <c r="K18" s="26"/>
      <c r="L18" s="27"/>
    </row>
    <row r="19" spans="6:12" ht="15" customHeight="1" x14ac:dyDescent="0.25">
      <c r="F19" s="25"/>
      <c r="G19" s="26"/>
      <c r="H19" s="26"/>
      <c r="I19" s="26"/>
      <c r="J19" s="26"/>
      <c r="K19" s="26"/>
      <c r="L19" s="27"/>
    </row>
    <row r="20" spans="6:12" ht="15" customHeight="1" x14ac:dyDescent="0.25">
      <c r="F20" s="25"/>
      <c r="G20" s="26"/>
      <c r="H20" s="26"/>
      <c r="I20" s="26"/>
      <c r="J20" s="26"/>
      <c r="K20" s="26"/>
      <c r="L20" s="27"/>
    </row>
    <row r="21" spans="6:12" ht="15" customHeight="1" x14ac:dyDescent="0.25">
      <c r="F21" s="25"/>
      <c r="G21" s="26"/>
      <c r="H21" s="26"/>
      <c r="I21" s="26"/>
      <c r="J21" s="26"/>
      <c r="K21" s="26"/>
      <c r="L21" s="27"/>
    </row>
    <row r="22" spans="6:12" ht="15" customHeight="1" x14ac:dyDescent="0.25">
      <c r="F22" s="25"/>
      <c r="G22" s="26"/>
      <c r="H22" s="26"/>
      <c r="I22" s="26"/>
      <c r="J22" s="26"/>
      <c r="K22" s="26"/>
      <c r="L22" s="27"/>
    </row>
    <row r="23" spans="6:12" ht="15" customHeight="1" x14ac:dyDescent="0.25">
      <c r="F23" s="25"/>
      <c r="G23" s="26"/>
      <c r="H23" s="26"/>
      <c r="I23" s="26"/>
      <c r="J23" s="26"/>
      <c r="K23" s="26"/>
      <c r="L23" s="27"/>
    </row>
    <row r="24" spans="6:12" ht="15" customHeight="1" x14ac:dyDescent="0.25">
      <c r="F24" s="25"/>
      <c r="G24" s="26"/>
      <c r="H24" s="26"/>
      <c r="I24" s="26"/>
      <c r="J24" s="26"/>
      <c r="K24" s="26"/>
      <c r="L24" s="27"/>
    </row>
    <row r="25" spans="6:12" ht="15" customHeight="1" x14ac:dyDescent="0.25">
      <c r="F25" s="25"/>
      <c r="G25" s="26"/>
      <c r="H25" s="26"/>
      <c r="I25" s="26"/>
      <c r="J25" s="26"/>
      <c r="K25" s="26"/>
      <c r="L25" s="27"/>
    </row>
    <row r="26" spans="6:12" ht="15" customHeight="1" x14ac:dyDescent="0.25">
      <c r="F26" s="25"/>
      <c r="G26" s="26"/>
      <c r="H26" s="26"/>
      <c r="I26" s="26"/>
      <c r="J26" s="26"/>
      <c r="K26" s="26"/>
      <c r="L26" s="27"/>
    </row>
    <row r="27" spans="6:12" ht="15" customHeight="1" x14ac:dyDescent="0.25">
      <c r="F27" s="25"/>
      <c r="G27" s="26"/>
      <c r="H27" s="26"/>
      <c r="I27" s="26"/>
      <c r="J27" s="26"/>
      <c r="K27" s="26"/>
      <c r="L27" s="27"/>
    </row>
    <row r="28" spans="6:12" ht="334.5" customHeight="1" thickBot="1" x14ac:dyDescent="0.3">
      <c r="F28" s="28"/>
      <c r="G28" s="29"/>
      <c r="H28" s="29"/>
      <c r="I28" s="29"/>
      <c r="J28" s="29"/>
      <c r="K28" s="29"/>
      <c r="L28" s="30"/>
    </row>
  </sheetData>
  <sheetProtection algorithmName="SHA-512" hashValue="8KhaAF0mi8237EIWdCXGcbbRSFB/N9Xb9mXZn9GeH4TJx8+XimYnGulLmi8fYqoBtxZJYODroV27U+7duuXARQ==" saltValue="owbyLFHtgTbELS0dUqbIqw==" spinCount="100000" sheet="1" objects="1" scenarios="1"/>
  <mergeCells count="2">
    <mergeCell ref="F13:L13"/>
    <mergeCell ref="F14:L28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21C8-22B0-4FB4-BA33-D8583710C2AC}">
  <dimension ref="B1:L27"/>
  <sheetViews>
    <sheetView showGridLines="0" zoomScaleNormal="100" workbookViewId="0"/>
  </sheetViews>
  <sheetFormatPr defaultColWidth="13.42578125" defaultRowHeight="19.5" x14ac:dyDescent="0.55000000000000004"/>
  <cols>
    <col min="1" max="1" width="90.7109375" style="1" customWidth="1"/>
    <col min="2" max="2" width="7.7109375" style="1" customWidth="1"/>
    <col min="3" max="3" width="13.42578125" style="1"/>
    <col min="4" max="4" width="15.42578125" style="1" bestFit="1" customWidth="1"/>
    <col min="5" max="5" width="18.140625" style="1" bestFit="1" customWidth="1"/>
    <col min="6" max="6" width="10.5703125" style="1" bestFit="1" customWidth="1"/>
    <col min="7" max="7" width="18.140625" style="1" bestFit="1" customWidth="1"/>
    <col min="8" max="8" width="16.28515625" style="1" bestFit="1" customWidth="1"/>
    <col min="9" max="9" width="90.7109375" style="1" customWidth="1"/>
    <col min="10" max="10" width="5" style="1" customWidth="1"/>
    <col min="11" max="11" width="20.85546875" style="1" customWidth="1"/>
    <col min="12" max="12" width="13.7109375" style="1" bestFit="1" customWidth="1"/>
    <col min="13" max="16384" width="13.42578125" style="1"/>
  </cols>
  <sheetData>
    <row r="1" spans="2:12" ht="182.25" customHeight="1" x14ac:dyDescent="0.55000000000000004"/>
    <row r="2" spans="2:12" ht="31.5" thickBot="1" x14ac:dyDescent="0.9">
      <c r="B2" s="31" t="s">
        <v>0</v>
      </c>
      <c r="C2" s="31"/>
      <c r="D2" s="31"/>
      <c r="E2" s="31"/>
      <c r="F2" s="31"/>
      <c r="G2" s="31"/>
      <c r="H2" s="31"/>
    </row>
    <row r="3" spans="2:12" s="4" customFormat="1" ht="19.5" customHeight="1" x14ac:dyDescent="0.55000000000000004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J3" s="1"/>
      <c r="K3" s="1"/>
      <c r="L3" s="1"/>
    </row>
    <row r="4" spans="2:12" x14ac:dyDescent="0.55000000000000004">
      <c r="B4" s="1">
        <v>1</v>
      </c>
      <c r="C4" s="11" t="s">
        <v>8</v>
      </c>
      <c r="D4" s="1" t="s">
        <v>9</v>
      </c>
      <c r="E4" s="1" t="s">
        <v>10</v>
      </c>
      <c r="F4" s="5">
        <v>27</v>
      </c>
      <c r="G4" s="1">
        <v>84</v>
      </c>
      <c r="H4" s="1">
        <v>5</v>
      </c>
    </row>
    <row r="5" spans="2:12" x14ac:dyDescent="0.55000000000000004">
      <c r="B5" s="1">
        <v>2</v>
      </c>
      <c r="C5" s="11" t="s">
        <v>8</v>
      </c>
      <c r="D5" s="1" t="s">
        <v>9</v>
      </c>
      <c r="E5" s="1" t="s">
        <v>11</v>
      </c>
      <c r="F5" s="6">
        <v>48</v>
      </c>
      <c r="G5" s="7">
        <v>53</v>
      </c>
      <c r="H5" s="7">
        <v>14</v>
      </c>
    </row>
    <row r="6" spans="2:12" x14ac:dyDescent="0.55000000000000004">
      <c r="B6" s="1">
        <v>3</v>
      </c>
      <c r="C6" s="11" t="s">
        <v>8</v>
      </c>
      <c r="D6" s="1" t="s">
        <v>9</v>
      </c>
      <c r="E6" s="1" t="s">
        <v>12</v>
      </c>
      <c r="F6" s="6">
        <v>20</v>
      </c>
      <c r="G6" s="7">
        <v>6</v>
      </c>
      <c r="H6" s="7">
        <v>13</v>
      </c>
    </row>
    <row r="7" spans="2:12" x14ac:dyDescent="0.55000000000000004">
      <c r="B7" s="1">
        <v>4</v>
      </c>
      <c r="C7" s="11" t="s">
        <v>8</v>
      </c>
      <c r="D7" s="1" t="s">
        <v>9</v>
      </c>
      <c r="E7" s="1" t="s">
        <v>13</v>
      </c>
      <c r="F7" s="6">
        <v>29</v>
      </c>
      <c r="G7" s="7">
        <v>2</v>
      </c>
      <c r="H7" s="1">
        <v>13</v>
      </c>
    </row>
    <row r="8" spans="2:12" x14ac:dyDescent="0.55000000000000004">
      <c r="B8" s="1">
        <v>5</v>
      </c>
      <c r="C8" s="11" t="s">
        <v>8</v>
      </c>
      <c r="D8" s="1" t="s">
        <v>9</v>
      </c>
      <c r="E8" s="1" t="s">
        <v>14</v>
      </c>
      <c r="F8" s="6">
        <v>47</v>
      </c>
      <c r="G8" s="7">
        <v>7</v>
      </c>
      <c r="H8" s="7">
        <v>7</v>
      </c>
    </row>
    <row r="9" spans="2:12" x14ac:dyDescent="0.55000000000000004">
      <c r="B9" s="1">
        <v>6</v>
      </c>
      <c r="C9" s="11" t="s">
        <v>8</v>
      </c>
      <c r="D9" s="1" t="s">
        <v>9</v>
      </c>
      <c r="E9" s="1" t="s">
        <v>15</v>
      </c>
      <c r="F9" s="6">
        <v>28</v>
      </c>
      <c r="G9" s="7">
        <v>6</v>
      </c>
      <c r="H9" s="7">
        <v>11</v>
      </c>
    </row>
    <row r="10" spans="2:12" x14ac:dyDescent="0.55000000000000004">
      <c r="B10" s="1">
        <v>7</v>
      </c>
      <c r="C10" s="11" t="s">
        <v>16</v>
      </c>
      <c r="D10" s="1" t="s">
        <v>17</v>
      </c>
      <c r="E10" s="1" t="s">
        <v>18</v>
      </c>
      <c r="F10" s="6">
        <v>30</v>
      </c>
      <c r="G10" s="7">
        <v>60</v>
      </c>
      <c r="H10" s="7">
        <v>45</v>
      </c>
    </row>
    <row r="11" spans="2:12" x14ac:dyDescent="0.55000000000000004">
      <c r="B11" s="1">
        <v>8</v>
      </c>
      <c r="C11" s="11" t="s">
        <v>16</v>
      </c>
      <c r="D11" s="1" t="s">
        <v>19</v>
      </c>
      <c r="E11" s="1" t="s">
        <v>20</v>
      </c>
      <c r="F11" s="6">
        <v>34</v>
      </c>
      <c r="G11" s="1">
        <v>5</v>
      </c>
      <c r="H11" s="1">
        <v>6</v>
      </c>
    </row>
    <row r="12" spans="2:12" x14ac:dyDescent="0.55000000000000004">
      <c r="B12" s="1">
        <v>9</v>
      </c>
      <c r="C12" s="11" t="s">
        <v>16</v>
      </c>
      <c r="D12" s="1" t="s">
        <v>17</v>
      </c>
      <c r="E12" s="1" t="s">
        <v>21</v>
      </c>
      <c r="F12" s="6">
        <v>44</v>
      </c>
      <c r="G12" s="1">
        <v>71</v>
      </c>
      <c r="H12" s="1">
        <v>60</v>
      </c>
    </row>
    <row r="13" spans="2:12" x14ac:dyDescent="0.55000000000000004">
      <c r="B13" s="1">
        <v>10</v>
      </c>
      <c r="C13" s="11" t="s">
        <v>8</v>
      </c>
      <c r="D13" s="1" t="s">
        <v>22</v>
      </c>
      <c r="E13" s="1" t="s">
        <v>23</v>
      </c>
      <c r="F13" s="6">
        <v>17</v>
      </c>
      <c r="G13" s="1">
        <v>25</v>
      </c>
      <c r="H13" s="1">
        <v>12</v>
      </c>
    </row>
    <row r="14" spans="2:12" x14ac:dyDescent="0.55000000000000004">
      <c r="B14" s="1">
        <v>11</v>
      </c>
      <c r="C14" s="11" t="s">
        <v>8</v>
      </c>
      <c r="D14" s="1" t="s">
        <v>22</v>
      </c>
      <c r="E14" s="1" t="s">
        <v>24</v>
      </c>
      <c r="F14" s="6">
        <v>19</v>
      </c>
      <c r="G14" s="1">
        <v>65</v>
      </c>
      <c r="H14" s="1">
        <v>107</v>
      </c>
    </row>
    <row r="15" spans="2:12" x14ac:dyDescent="0.55000000000000004">
      <c r="B15" s="1">
        <v>12</v>
      </c>
      <c r="C15" s="11" t="s">
        <v>16</v>
      </c>
      <c r="D15" s="1" t="s">
        <v>17</v>
      </c>
      <c r="E15" s="1" t="s">
        <v>25</v>
      </c>
      <c r="F15" s="6">
        <v>43</v>
      </c>
      <c r="G15" s="1">
        <v>130</v>
      </c>
      <c r="H15" s="1">
        <v>25</v>
      </c>
    </row>
    <row r="16" spans="2:12" x14ac:dyDescent="0.55000000000000004">
      <c r="B16" s="1">
        <v>13</v>
      </c>
      <c r="C16" s="11" t="s">
        <v>8</v>
      </c>
      <c r="D16" s="1" t="s">
        <v>22</v>
      </c>
      <c r="E16" s="1" t="s">
        <v>26</v>
      </c>
      <c r="F16" s="6">
        <v>32</v>
      </c>
      <c r="G16" s="1">
        <v>21</v>
      </c>
      <c r="H16" s="1">
        <v>7</v>
      </c>
    </row>
    <row r="17" spans="2:8" x14ac:dyDescent="0.55000000000000004">
      <c r="B17" s="1">
        <v>14</v>
      </c>
      <c r="C17" s="11" t="s">
        <v>16</v>
      </c>
      <c r="D17" s="1" t="s">
        <v>17</v>
      </c>
      <c r="E17" s="1" t="s">
        <v>27</v>
      </c>
      <c r="F17" s="5">
        <v>32</v>
      </c>
      <c r="G17" s="1">
        <v>10</v>
      </c>
      <c r="H17" s="1">
        <v>15</v>
      </c>
    </row>
    <row r="18" spans="2:8" x14ac:dyDescent="0.55000000000000004">
      <c r="B18" s="1">
        <v>15</v>
      </c>
      <c r="C18" s="11" t="s">
        <v>8</v>
      </c>
      <c r="D18" s="1" t="s">
        <v>22</v>
      </c>
      <c r="E18" s="1" t="s">
        <v>28</v>
      </c>
      <c r="F18" s="6">
        <v>23</v>
      </c>
      <c r="G18" s="1">
        <v>15</v>
      </c>
      <c r="H18" s="1">
        <v>5</v>
      </c>
    </row>
    <row r="19" spans="2:8" x14ac:dyDescent="0.55000000000000004">
      <c r="B19" s="1">
        <v>16</v>
      </c>
      <c r="C19" s="11" t="s">
        <v>8</v>
      </c>
      <c r="D19" s="1" t="s">
        <v>22</v>
      </c>
      <c r="E19" s="1" t="s">
        <v>29</v>
      </c>
      <c r="F19" s="6">
        <v>36</v>
      </c>
      <c r="G19" s="1">
        <v>9</v>
      </c>
      <c r="H19" s="1">
        <v>13</v>
      </c>
    </row>
    <row r="20" spans="2:8" x14ac:dyDescent="0.55000000000000004">
      <c r="B20" s="1">
        <v>17</v>
      </c>
      <c r="C20" s="11" t="s">
        <v>8</v>
      </c>
      <c r="D20" s="1" t="s">
        <v>22</v>
      </c>
      <c r="E20" s="1" t="s">
        <v>30</v>
      </c>
      <c r="F20" s="6">
        <v>25</v>
      </c>
      <c r="G20" s="1">
        <v>8</v>
      </c>
      <c r="H20" s="1">
        <v>4</v>
      </c>
    </row>
    <row r="21" spans="2:8" x14ac:dyDescent="0.55000000000000004">
      <c r="B21" s="1">
        <v>18</v>
      </c>
      <c r="C21" s="11" t="s">
        <v>8</v>
      </c>
      <c r="D21" s="1" t="s">
        <v>22</v>
      </c>
      <c r="E21" s="1" t="s">
        <v>31</v>
      </c>
      <c r="F21" s="6">
        <v>43</v>
      </c>
      <c r="G21" s="1">
        <v>46</v>
      </c>
      <c r="H21" s="1">
        <v>14</v>
      </c>
    </row>
    <row r="22" spans="2:8" x14ac:dyDescent="0.55000000000000004">
      <c r="B22" s="1">
        <v>19</v>
      </c>
      <c r="C22" s="11" t="s">
        <v>16</v>
      </c>
      <c r="D22" s="1" t="s">
        <v>19</v>
      </c>
      <c r="E22" s="1" t="s">
        <v>32</v>
      </c>
      <c r="F22" s="6">
        <v>31</v>
      </c>
      <c r="G22" s="1">
        <v>150</v>
      </c>
      <c r="H22" s="1">
        <v>60</v>
      </c>
    </row>
    <row r="23" spans="2:8" x14ac:dyDescent="0.55000000000000004">
      <c r="B23" s="1">
        <v>20</v>
      </c>
      <c r="C23" s="11" t="s">
        <v>16</v>
      </c>
      <c r="D23" s="1" t="s">
        <v>19</v>
      </c>
      <c r="E23" s="1" t="s">
        <v>33</v>
      </c>
      <c r="F23" s="5">
        <v>35</v>
      </c>
      <c r="G23" s="1">
        <v>120</v>
      </c>
      <c r="H23" s="1">
        <v>90</v>
      </c>
    </row>
    <row r="24" spans="2:8" x14ac:dyDescent="0.55000000000000004">
      <c r="B24" s="1">
        <v>21</v>
      </c>
      <c r="C24" s="11" t="s">
        <v>16</v>
      </c>
      <c r="D24" s="1" t="s">
        <v>19</v>
      </c>
      <c r="E24" s="1" t="s">
        <v>34</v>
      </c>
      <c r="F24" s="5">
        <v>42</v>
      </c>
      <c r="G24" s="1">
        <v>45</v>
      </c>
      <c r="H24" s="1">
        <v>20</v>
      </c>
    </row>
    <row r="25" spans="2:8" x14ac:dyDescent="0.55000000000000004">
      <c r="B25" s="1">
        <v>22</v>
      </c>
      <c r="C25" s="11" t="s">
        <v>16</v>
      </c>
      <c r="D25" s="10" t="s">
        <v>35</v>
      </c>
      <c r="E25" s="1" t="s">
        <v>36</v>
      </c>
      <c r="F25" s="5">
        <v>27</v>
      </c>
      <c r="G25" s="1">
        <v>20</v>
      </c>
      <c r="H25" s="1">
        <v>15</v>
      </c>
    </row>
    <row r="26" spans="2:8" x14ac:dyDescent="0.55000000000000004">
      <c r="B26" s="1">
        <v>23</v>
      </c>
      <c r="C26" s="11" t="s">
        <v>16</v>
      </c>
      <c r="D26" s="10" t="s">
        <v>35</v>
      </c>
      <c r="E26" s="1" t="s">
        <v>37</v>
      </c>
      <c r="F26" s="5">
        <v>58</v>
      </c>
      <c r="G26" s="1">
        <v>50</v>
      </c>
      <c r="H26" s="1">
        <v>30</v>
      </c>
    </row>
    <row r="27" spans="2:8" x14ac:dyDescent="0.55000000000000004">
      <c r="B27" s="1">
        <v>24</v>
      </c>
      <c r="C27" s="11" t="s">
        <v>8</v>
      </c>
      <c r="D27" s="10" t="s">
        <v>35</v>
      </c>
      <c r="E27" s="1" t="s">
        <v>38</v>
      </c>
      <c r="F27" s="5">
        <v>48</v>
      </c>
      <c r="G27" s="1">
        <v>40</v>
      </c>
      <c r="H27" s="1">
        <v>10</v>
      </c>
    </row>
  </sheetData>
  <sheetProtection algorithmName="SHA-512" hashValue="bowqwv7slJNhhghlCTvCfP6x5cB8s1eCEM/0noREkyWuFGzaxrmQJz9heWsgKPVoDiI9irGPl2OwPMR59gMczA==" saltValue="F7PVxfzUf/ijrrqhIDjuMA==" spinCount="100000" sheet="1" objects="1" scenarios="1"/>
  <mergeCells count="1">
    <mergeCell ref="B2:H2"/>
  </mergeCells>
  <conditionalFormatting sqref="C4:C27">
    <cfRule type="containsText" dxfId="11" priority="1" operator="containsText" text="B">
      <formula>NOT(ISERROR(SEARCH("B",C4)))</formula>
    </cfRule>
    <cfRule type="containsText" dxfId="10" priority="2" operator="containsText" text="A">
      <formula>NOT(ISERROR(SEARCH("A",C4)))</formula>
    </cfRule>
  </conditionalFormatting>
  <conditionalFormatting sqref="D4:D27">
    <cfRule type="containsText" dxfId="9" priority="3" operator="containsText" text="Diogo/Gi">
      <formula>NOT(ISERROR(SEARCH("Diogo/Gi",D4)))</formula>
    </cfRule>
    <cfRule type="containsText" dxfId="8" priority="4" operator="containsText" text="Lelê/Helo">
      <formula>NOT(ISERROR(SEARCH("Lelê/Helo",D4)))</formula>
    </cfRule>
    <cfRule type="containsText" dxfId="7" priority="5" operator="containsText" text="Nat/duda">
      <formula>NOT(ISERROR(SEARCH("Nat/duda",D4)))</formula>
    </cfRule>
    <cfRule type="containsText" dxfId="6" priority="6" operator="containsText" text="May/Helo">
      <formula>NOT(ISERROR(SEARCH("May/Helo",D4)))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  <picture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1E3E-28EF-462A-A1D3-33215A674972}">
  <dimension ref="A1:Z7"/>
  <sheetViews>
    <sheetView showGridLines="0" workbookViewId="0">
      <selection activeCell="B15" sqref="B15"/>
    </sheetView>
  </sheetViews>
  <sheetFormatPr defaultRowHeight="19.5" x14ac:dyDescent="0.55000000000000004"/>
  <cols>
    <col min="1" max="1" width="90.7109375" style="1" customWidth="1"/>
    <col min="2" max="2" width="7.7109375" style="1" customWidth="1"/>
    <col min="3" max="3" width="13.42578125" style="1" bestFit="1" customWidth="1"/>
    <col min="4" max="4" width="15.42578125" style="1" bestFit="1" customWidth="1"/>
    <col min="5" max="5" width="18.140625" style="1" bestFit="1" customWidth="1"/>
    <col min="6" max="6" width="10.5703125" style="1" bestFit="1" customWidth="1"/>
    <col min="7" max="7" width="18.140625" style="1" bestFit="1" customWidth="1"/>
    <col min="8" max="8" width="16.28515625" style="1" bestFit="1" customWidth="1"/>
    <col min="9" max="9" width="20.7109375" style="1" customWidth="1"/>
    <col min="10" max="10" width="70.7109375" style="1" customWidth="1"/>
    <col min="11" max="11" width="20.85546875" style="1" customWidth="1"/>
    <col min="12" max="12" width="13.7109375" style="1" bestFit="1" customWidth="1"/>
    <col min="13" max="26" width="9.140625" style="1"/>
  </cols>
  <sheetData>
    <row r="1" spans="1:26" ht="182.25" customHeight="1" x14ac:dyDescent="0.55000000000000004"/>
    <row r="2" spans="1:26" ht="31.5" thickBot="1" x14ac:dyDescent="0.9">
      <c r="B2" s="31" t="s">
        <v>0</v>
      </c>
      <c r="C2" s="31"/>
      <c r="D2" s="31"/>
      <c r="E2" s="31"/>
      <c r="F2" s="31"/>
      <c r="G2" s="31"/>
      <c r="H2" s="31"/>
    </row>
    <row r="3" spans="1:26" x14ac:dyDescent="0.55000000000000004">
      <c r="A3" s="4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55000000000000004">
      <c r="B4" s="1">
        <v>25</v>
      </c>
      <c r="C4" s="11" t="s">
        <v>16</v>
      </c>
      <c r="D4" s="10" t="s">
        <v>39</v>
      </c>
      <c r="E4" s="1" t="s">
        <v>40</v>
      </c>
      <c r="F4" s="5">
        <v>44</v>
      </c>
      <c r="G4" s="1">
        <v>16</v>
      </c>
      <c r="H4" s="1">
        <v>4</v>
      </c>
      <c r="I4" s="32" t="s">
        <v>41</v>
      </c>
    </row>
    <row r="5" spans="1:26" x14ac:dyDescent="0.55000000000000004">
      <c r="B5" s="1">
        <v>26</v>
      </c>
      <c r="C5" s="11" t="s">
        <v>16</v>
      </c>
      <c r="D5" s="10" t="s">
        <v>42</v>
      </c>
      <c r="E5" s="1" t="s">
        <v>43</v>
      </c>
      <c r="F5" s="5">
        <v>37</v>
      </c>
      <c r="G5" s="1">
        <v>16</v>
      </c>
      <c r="H5" s="1">
        <v>7</v>
      </c>
      <c r="I5" s="32"/>
    </row>
    <row r="6" spans="1:26" x14ac:dyDescent="0.55000000000000004">
      <c r="B6" s="1">
        <v>27</v>
      </c>
      <c r="C6" s="11" t="s">
        <v>16</v>
      </c>
      <c r="D6" s="10" t="s">
        <v>44</v>
      </c>
      <c r="E6" s="1" t="s">
        <v>45</v>
      </c>
      <c r="F6" s="5">
        <v>47</v>
      </c>
      <c r="G6" s="9">
        <v>24</v>
      </c>
      <c r="H6" s="9">
        <v>5</v>
      </c>
      <c r="I6" s="32"/>
    </row>
    <row r="7" spans="1:26" x14ac:dyDescent="0.55000000000000004">
      <c r="B7" s="1">
        <v>28</v>
      </c>
      <c r="C7" s="11" t="s">
        <v>16</v>
      </c>
      <c r="D7" s="10" t="s">
        <v>39</v>
      </c>
      <c r="E7" s="1" t="s">
        <v>58</v>
      </c>
      <c r="F7" s="5">
        <v>52</v>
      </c>
      <c r="G7" s="1">
        <v>2</v>
      </c>
      <c r="H7" s="1">
        <v>3</v>
      </c>
      <c r="I7" s="32"/>
    </row>
  </sheetData>
  <sheetProtection algorithmName="SHA-512" hashValue="Msqv6MgdgHHDWFmxCaRUrEkmIgyeiXB7NhN4oHNYSzDW4YUGPIqqNx1XzNpOnNHSdtt+kHHLV/8/aZhL43kpyQ==" saltValue="UNXhAieVDwAGG2053yJFBg==" spinCount="100000" sheet="1" objects="1" scenarios="1"/>
  <mergeCells count="2">
    <mergeCell ref="B2:H2"/>
    <mergeCell ref="I4:I7"/>
  </mergeCells>
  <conditionalFormatting sqref="C4:C7">
    <cfRule type="containsText" dxfId="5" priority="1" operator="containsText" text="B">
      <formula>NOT(ISERROR(SEARCH("B",C4)))</formula>
    </cfRule>
    <cfRule type="containsText" dxfId="4" priority="2" operator="containsText" text="A">
      <formula>NOT(ISERROR(SEARCH("A",C4)))</formula>
    </cfRule>
  </conditionalFormatting>
  <conditionalFormatting sqref="D4:D7">
    <cfRule type="containsText" dxfId="3" priority="3" operator="containsText" text="Diogo/Gi">
      <formula>NOT(ISERROR(SEARCH("Diogo/Gi",D4)))</formula>
    </cfRule>
    <cfRule type="containsText" dxfId="2" priority="4" operator="containsText" text="Lelê/Helo">
      <formula>NOT(ISERROR(SEARCH("Lelê/Helo",D4)))</formula>
    </cfRule>
    <cfRule type="containsText" dxfId="1" priority="5" operator="containsText" text="Nat/duda">
      <formula>NOT(ISERROR(SEARCH("Nat/duda",D4)))</formula>
    </cfRule>
    <cfRule type="containsText" dxfId="0" priority="6" operator="containsText" text="May/Helo">
      <formula>NOT(ISERROR(SEARCH("May/Helo",D4)))</formula>
    </cfRule>
  </conditionalFormatting>
  <pageMargins left="0.511811024" right="0.511811024" top="0.78740157499999996" bottom="0.78740157499999996" header="0.31496062000000002" footer="0.31496062000000002"/>
  <drawing r:id="rId1"/>
  <picture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CB1D-0D85-4DDA-AD84-D6630845120A}">
  <dimension ref="B1:F11"/>
  <sheetViews>
    <sheetView showGridLines="0" zoomScaleNormal="100" workbookViewId="0"/>
  </sheetViews>
  <sheetFormatPr defaultColWidth="9.140625" defaultRowHeight="19.5" x14ac:dyDescent="0.55000000000000004"/>
  <cols>
    <col min="1" max="1" width="85.7109375" style="1" customWidth="1"/>
    <col min="2" max="2" width="40.28515625" style="1" bestFit="1" customWidth="1"/>
    <col min="3" max="3" width="12.7109375" style="1" customWidth="1"/>
    <col min="4" max="4" width="6" style="1" customWidth="1"/>
    <col min="5" max="5" width="40.85546875" style="1" customWidth="1"/>
    <col min="6" max="6" width="11" style="1" bestFit="1" customWidth="1"/>
    <col min="7" max="7" width="85.7109375" style="1" customWidth="1"/>
    <col min="8" max="16384" width="9.140625" style="1"/>
  </cols>
  <sheetData>
    <row r="1" spans="2:6" ht="178.5" customHeight="1" x14ac:dyDescent="0.55000000000000004"/>
    <row r="2" spans="2:6" ht="57" customHeight="1" thickBot="1" x14ac:dyDescent="0.6">
      <c r="B2" s="33" t="s">
        <v>56</v>
      </c>
      <c r="C2" s="33"/>
      <c r="D2" s="13"/>
      <c r="E2" s="33" t="s">
        <v>57</v>
      </c>
      <c r="F2" s="33"/>
    </row>
    <row r="3" spans="2:6" x14ac:dyDescent="0.55000000000000004">
      <c r="B3" s="2" t="s">
        <v>46</v>
      </c>
      <c r="C3" s="2" t="s">
        <v>47</v>
      </c>
      <c r="D3" s="2"/>
      <c r="E3" s="2" t="s">
        <v>46</v>
      </c>
      <c r="F3" s="2" t="s">
        <v>47</v>
      </c>
    </row>
    <row r="4" spans="2:6" x14ac:dyDescent="0.55000000000000004">
      <c r="B4" s="4" t="s">
        <v>54</v>
      </c>
      <c r="C4" s="12" cm="1">
        <f t="array" ref="C4">SUMPRODUCT((BaseDeDados[Teste]="A")*(BaseDeDados[Adicionar lote]&lt;&gt;""))</f>
        <v>10</v>
      </c>
      <c r="D4" s="12"/>
      <c r="E4" s="4" t="s">
        <v>54</v>
      </c>
      <c r="F4" s="12" cm="1">
        <f t="array" ref="F4">SUMPRODUCT((BaseDeDados[Teste]="B")*(BaseDeDados[Adicionar lote]&lt;&gt;""))</f>
        <v>14</v>
      </c>
    </row>
    <row r="5" spans="2:6" x14ac:dyDescent="0.55000000000000004">
      <c r="B5" s="4" t="s">
        <v>55</v>
      </c>
      <c r="C5" s="12" cm="1">
        <f t="array" ref="C5">SUMPRODUCT((BaseDeDados[Teste]="A")*(BaseDeDados[Deletar lote]&lt;&gt;""))</f>
        <v>10</v>
      </c>
      <c r="D5" s="12"/>
      <c r="E5" s="4" t="s">
        <v>55</v>
      </c>
      <c r="F5" s="12" cm="1">
        <f t="array" ref="F5">SUMPRODUCT((BaseDeDados[Teste]="B")*(BaseDeDados[Deletar lote]&lt;&gt;""))</f>
        <v>14</v>
      </c>
    </row>
    <row r="6" spans="2:6" x14ac:dyDescent="0.55000000000000004">
      <c r="B6" s="4" t="s">
        <v>48</v>
      </c>
      <c r="C6" s="12">
        <f>SUMIF(BaseDeDados[Teste], "A", BaseDeDados[Adicionar lote])</f>
        <v>661</v>
      </c>
      <c r="D6" s="8"/>
      <c r="E6" s="4" t="s">
        <v>48</v>
      </c>
      <c r="F6" s="12">
        <f>SUMIF(BaseDeDados[Teste], "B", BaseDeDados[Adicionar lote])</f>
        <v>387</v>
      </c>
    </row>
    <row r="7" spans="2:6" x14ac:dyDescent="0.55000000000000004">
      <c r="B7" s="4" t="s">
        <v>49</v>
      </c>
      <c r="C7" s="12">
        <f>SUMIF(BaseDeDados[Teste], "A", BaseDeDados[Deletar lote])</f>
        <v>366</v>
      </c>
      <c r="D7" s="8"/>
      <c r="E7" s="4" t="s">
        <v>49</v>
      </c>
      <c r="F7" s="12">
        <f>SUMIF(BaseDeDados[Teste], "B", BaseDeDados[Deletar lote])</f>
        <v>235</v>
      </c>
    </row>
    <row r="8" spans="2:6" x14ac:dyDescent="0.55000000000000004">
      <c r="B8" s="4" t="s">
        <v>50</v>
      </c>
      <c r="C8" s="8">
        <f>C6/C4</f>
        <v>66.099999999999994</v>
      </c>
      <c r="D8" s="8"/>
      <c r="E8" s="4" t="s">
        <v>50</v>
      </c>
      <c r="F8" s="8">
        <f>F6/F4</f>
        <v>27.642857142857142</v>
      </c>
    </row>
    <row r="9" spans="2:6" x14ac:dyDescent="0.55000000000000004">
      <c r="B9" s="4" t="s">
        <v>51</v>
      </c>
      <c r="C9" s="8">
        <f>C7/C5</f>
        <v>36.6</v>
      </c>
      <c r="D9" s="8"/>
      <c r="E9" s="4" t="s">
        <v>51</v>
      </c>
      <c r="F9" s="8">
        <f>F7/F5</f>
        <v>16.785714285714285</v>
      </c>
    </row>
    <row r="10" spans="2:6" x14ac:dyDescent="0.55000000000000004">
      <c r="B10" s="4" t="s">
        <v>52</v>
      </c>
      <c r="C10" s="8" cm="1">
        <f t="array" ref="C10">_xlfn.STDEV.S(IF(BaseDeDados[Teste]="A", BaseDeDados[Adicionar lote]))</f>
        <v>51.422973681247008</v>
      </c>
      <c r="D10" s="8"/>
      <c r="E10" s="4" t="s">
        <v>52</v>
      </c>
      <c r="F10" s="8" cm="1">
        <f t="array" ref="F10">_xlfn.STDEV.S(IF(BaseDeDados[Teste]="B", BaseDeDados[Adicionar lote]))</f>
        <v>25.823683652078714</v>
      </c>
    </row>
    <row r="11" spans="2:6" x14ac:dyDescent="0.55000000000000004">
      <c r="B11" s="4" t="s">
        <v>53</v>
      </c>
      <c r="C11" s="8" cm="1">
        <f t="array" ref="C11">_xlfn.STDEV.S(IF(BaseDeDados[Teste]="A", BaseDeDados[Deletar lote]))</f>
        <v>26.542209570585655</v>
      </c>
      <c r="D11" s="8"/>
      <c r="E11" s="4" t="s">
        <v>53</v>
      </c>
      <c r="F11" s="8" cm="1">
        <f t="array" ref="F11">_xlfn.STDEV.S(IF(BaseDeDados[Teste]="B", BaseDeDados[Deletar lote]))</f>
        <v>26.212676238880984</v>
      </c>
    </row>
  </sheetData>
  <sheetProtection algorithmName="SHA-512" hashValue="8PoD+RzrN1c5CTDlTFByO+U3ZtjldTnRkO8vKmG8kDrR2gZz13WalZRQ8Bl53HUp/zAHodDkA1JAYVzMQtHIiQ==" saltValue="K+aUky2oY63fVsd5epv+cQ==" spinCount="100000" sheet="1" objects="1" scenarios="1"/>
  <mergeCells count="2">
    <mergeCell ref="B2:C2"/>
    <mergeCell ref="E2:F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  <picture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37BC-231E-46AF-A0AF-076233E7DD81}">
  <dimension ref="C12:R28"/>
  <sheetViews>
    <sheetView showGridLines="0" zoomScale="101" workbookViewId="0"/>
  </sheetViews>
  <sheetFormatPr defaultRowHeight="15" x14ac:dyDescent="0.25"/>
  <cols>
    <col min="5" max="5" width="11.140625" customWidth="1"/>
    <col min="10" max="10" width="10.28515625" customWidth="1"/>
    <col min="11" max="11" width="17.140625" customWidth="1"/>
    <col min="12" max="12" width="10.85546875" customWidth="1"/>
    <col min="13" max="13" width="10.28515625" customWidth="1"/>
    <col min="14" max="14" width="16.140625" customWidth="1"/>
    <col min="15" max="15" width="11" bestFit="1" customWidth="1"/>
    <col min="18" max="18" width="12.5703125" customWidth="1"/>
  </cols>
  <sheetData>
    <row r="12" spans="3:18" ht="27" customHeight="1" thickBot="1" x14ac:dyDescent="0.65">
      <c r="C12" s="34" t="s">
        <v>66</v>
      </c>
      <c r="D12" s="35"/>
      <c r="E12" s="35"/>
      <c r="J12" s="39" t="s">
        <v>59</v>
      </c>
      <c r="K12" s="39"/>
      <c r="M12" s="39" t="s">
        <v>64</v>
      </c>
      <c r="N12" s="39"/>
      <c r="P12" s="34" t="s">
        <v>75</v>
      </c>
      <c r="Q12" s="35"/>
      <c r="R12" s="35"/>
    </row>
    <row r="13" spans="3:18" ht="22.5" thickBot="1" x14ac:dyDescent="0.3">
      <c r="C13" s="36">
        <f>COUNT(Tabela146[Dado])</f>
        <v>10</v>
      </c>
      <c r="D13" s="37"/>
      <c r="E13" s="38"/>
      <c r="J13" s="2" t="s">
        <v>60</v>
      </c>
      <c r="K13" s="2" t="s">
        <v>65</v>
      </c>
      <c r="M13" s="2" t="s">
        <v>60</v>
      </c>
      <c r="N13" s="2" t="s">
        <v>65</v>
      </c>
      <c r="P13" s="36">
        <f>(C19-C22)/(SQRT(((C25^2)/C13)+((C28^2)/C16)))</f>
        <v>2.176979291922954</v>
      </c>
      <c r="Q13" s="37"/>
      <c r="R13" s="38"/>
    </row>
    <row r="14" spans="3:18" ht="19.5" x14ac:dyDescent="0.25">
      <c r="J14" s="2">
        <v>7</v>
      </c>
      <c r="K14" s="2">
        <f>_xlfn.XLOOKUP(Tabela146[[#This Row],[Dado]],BaseDeDados[ID],BaseDeDados[Adicionar lote])</f>
        <v>60</v>
      </c>
      <c r="M14" s="2">
        <v>1</v>
      </c>
      <c r="N14" s="2">
        <f>_xlfn.XLOOKUP(Tabela1469[[#This Row],[Dado]],BaseDeDados[ID],BaseDeDados[Adicionar lote])</f>
        <v>84</v>
      </c>
    </row>
    <row r="15" spans="3:18" ht="24.75" customHeight="1" thickBot="1" x14ac:dyDescent="0.65">
      <c r="C15" s="34" t="s">
        <v>67</v>
      </c>
      <c r="D15" s="35"/>
      <c r="E15" s="35"/>
      <c r="J15" s="2">
        <v>8</v>
      </c>
      <c r="K15" s="2">
        <f>_xlfn.XLOOKUP(Tabela146[[#This Row],[Dado]],BaseDeDados[ID],BaseDeDados[Adicionar lote])</f>
        <v>5</v>
      </c>
      <c r="M15" s="2">
        <v>2</v>
      </c>
      <c r="N15" s="2">
        <f>_xlfn.XLOOKUP(Tabela1469[[#This Row],[Dado]],BaseDeDados[ID],BaseDeDados[Adicionar lote])</f>
        <v>53</v>
      </c>
      <c r="P15" s="34" t="s">
        <v>73</v>
      </c>
      <c r="Q15" s="35"/>
      <c r="R15" s="35"/>
    </row>
    <row r="16" spans="3:18" ht="22.5" thickBot="1" x14ac:dyDescent="0.3">
      <c r="C16" s="36">
        <f>COUNT(Tabela1469[Dado])</f>
        <v>14</v>
      </c>
      <c r="D16" s="37"/>
      <c r="E16" s="38"/>
      <c r="J16" s="2">
        <v>9</v>
      </c>
      <c r="K16" s="2">
        <f>_xlfn.XLOOKUP(Tabela146[[#This Row],[Dado]],BaseDeDados[ID],BaseDeDados[Adicionar lote])</f>
        <v>71</v>
      </c>
      <c r="M16" s="2">
        <v>3</v>
      </c>
      <c r="N16" s="2">
        <f>_xlfn.XLOOKUP(Tabela1469[[#This Row],[Dado]],BaseDeDados[ID],BaseDeDados[Adicionar lote])</f>
        <v>6</v>
      </c>
      <c r="P16" s="36">
        <f>((((C25^2)/C13)+((C28^2)/C16))^2)/(((((C25^2)/C13)^2)/(C13-1))+((((C28^2)/C16)^2)/(C16-1)))</f>
        <v>12.259044012068125</v>
      </c>
      <c r="Q16" s="37"/>
      <c r="R16" s="38"/>
    </row>
    <row r="17" spans="3:18" ht="19.5" x14ac:dyDescent="0.25">
      <c r="J17" s="2">
        <v>12</v>
      </c>
      <c r="K17" s="2">
        <f>_xlfn.XLOOKUP(Tabela146[[#This Row],[Dado]],BaseDeDados[ID],BaseDeDados[Adicionar lote])</f>
        <v>130</v>
      </c>
      <c r="M17" s="2">
        <v>4</v>
      </c>
      <c r="N17" s="2">
        <f>_xlfn.XLOOKUP(Tabela1469[[#This Row],[Dado]],BaseDeDados[ID],BaseDeDados[Adicionar lote])</f>
        <v>2</v>
      </c>
    </row>
    <row r="18" spans="3:18" ht="22.5" thickBot="1" x14ac:dyDescent="0.65">
      <c r="C18" s="34" t="s">
        <v>68</v>
      </c>
      <c r="D18" s="35"/>
      <c r="E18" s="35"/>
      <c r="J18" s="2">
        <v>14</v>
      </c>
      <c r="K18" s="2">
        <f>_xlfn.XLOOKUP(Tabela146[[#This Row],[Dado]],BaseDeDados[ID],BaseDeDados[Adicionar lote])</f>
        <v>10</v>
      </c>
      <c r="M18" s="2">
        <v>5</v>
      </c>
      <c r="N18" s="2">
        <f>_xlfn.XLOOKUP(Tabela1469[[#This Row],[Dado]],BaseDeDados[ID],BaseDeDados[Adicionar lote])</f>
        <v>7</v>
      </c>
      <c r="P18" s="34" t="s">
        <v>74</v>
      </c>
      <c r="Q18" s="35"/>
      <c r="R18" s="35"/>
    </row>
    <row r="19" spans="3:18" ht="22.5" thickBot="1" x14ac:dyDescent="0.3">
      <c r="C19" s="36">
        <f>AVERAGE(Tabela146[Tempo])</f>
        <v>66.099999999999994</v>
      </c>
      <c r="D19" s="37"/>
      <c r="E19" s="38"/>
      <c r="J19" s="2">
        <v>19</v>
      </c>
      <c r="K19" s="2">
        <f>_xlfn.XLOOKUP(Tabela146[[#This Row],[Dado]],BaseDeDados[ID],BaseDeDados[Adicionar lote])</f>
        <v>150</v>
      </c>
      <c r="M19" s="2">
        <v>6</v>
      </c>
      <c r="N19" s="2">
        <f>_xlfn.XLOOKUP(Tabela1469[[#This Row],[Dado]],BaseDeDados[ID],BaseDeDados[Adicionar lote])</f>
        <v>6</v>
      </c>
      <c r="P19" s="36">
        <v>1.782</v>
      </c>
      <c r="Q19" s="37"/>
      <c r="R19" s="38"/>
    </row>
    <row r="20" spans="3:18" ht="19.5" x14ac:dyDescent="0.25">
      <c r="J20" s="2">
        <v>20</v>
      </c>
      <c r="K20" s="2">
        <f>_xlfn.XLOOKUP(Tabela146[[#This Row],[Dado]],BaseDeDados[ID],BaseDeDados[Adicionar lote])</f>
        <v>120</v>
      </c>
      <c r="M20" s="2">
        <v>10</v>
      </c>
      <c r="N20" s="2">
        <f>_xlfn.XLOOKUP(Tabela1469[[#This Row],[Dado]],BaseDeDados[ID],BaseDeDados[Adicionar lote])</f>
        <v>25</v>
      </c>
    </row>
    <row r="21" spans="3:18" ht="22.5" thickBot="1" x14ac:dyDescent="0.65">
      <c r="C21" s="34" t="s">
        <v>69</v>
      </c>
      <c r="D21" s="35"/>
      <c r="E21" s="35"/>
      <c r="J21" s="2">
        <v>21</v>
      </c>
      <c r="K21" s="2">
        <f>_xlfn.XLOOKUP(Tabela146[[#This Row],[Dado]],BaseDeDados[ID],BaseDeDados[Adicionar lote])</f>
        <v>45</v>
      </c>
      <c r="M21" s="2">
        <v>11</v>
      </c>
      <c r="N21" s="2">
        <f>_xlfn.XLOOKUP(Tabela1469[[#This Row],[Dado]],BaseDeDados[ID],BaseDeDados[Adicionar lote])</f>
        <v>65</v>
      </c>
      <c r="P21" s="34" t="s">
        <v>72</v>
      </c>
      <c r="Q21" s="35"/>
      <c r="R21" s="35"/>
    </row>
    <row r="22" spans="3:18" ht="22.5" thickBot="1" x14ac:dyDescent="0.3">
      <c r="C22" s="36">
        <f>AVERAGE(Tabela1469[Tempo])</f>
        <v>27.642857142857142</v>
      </c>
      <c r="D22" s="37"/>
      <c r="E22" s="38"/>
      <c r="J22" s="2">
        <v>22</v>
      </c>
      <c r="K22" s="2">
        <f>_xlfn.XLOOKUP(Tabela146[[#This Row],[Dado]],BaseDeDados[ID],BaseDeDados[Adicionar lote])</f>
        <v>20</v>
      </c>
      <c r="M22" s="2">
        <v>13</v>
      </c>
      <c r="N22" s="2">
        <f>_xlfn.XLOOKUP(Tabela1469[[#This Row],[Dado]],BaseDeDados[ID],BaseDeDados[Adicionar lote])</f>
        <v>21</v>
      </c>
      <c r="P22" s="36" t="str">
        <f>IF(P13&gt;P19,"H₀ Rejeitado","H₀ Aceito")</f>
        <v>H₀ Rejeitado</v>
      </c>
      <c r="Q22" s="37"/>
      <c r="R22" s="38"/>
    </row>
    <row r="23" spans="3:18" ht="19.5" x14ac:dyDescent="0.25">
      <c r="J23" s="2">
        <v>23</v>
      </c>
      <c r="K23" s="2">
        <f>_xlfn.XLOOKUP(Tabela146[[#This Row],[Dado]],BaseDeDados[ID],BaseDeDados[Adicionar lote])</f>
        <v>50</v>
      </c>
      <c r="M23" s="2">
        <v>15</v>
      </c>
      <c r="N23" s="2">
        <f>_xlfn.XLOOKUP(Tabela1469[[#This Row],[Dado]],BaseDeDados[ID],BaseDeDados[Adicionar lote])</f>
        <v>15</v>
      </c>
    </row>
    <row r="24" spans="3:18" ht="22.5" thickBot="1" x14ac:dyDescent="0.65">
      <c r="C24" s="34" t="s">
        <v>70</v>
      </c>
      <c r="D24" s="35"/>
      <c r="E24" s="35"/>
      <c r="M24" s="2">
        <v>16</v>
      </c>
      <c r="N24" s="2">
        <f>_xlfn.XLOOKUP(Tabela1469[[#This Row],[Dado]],BaseDeDados[ID],BaseDeDados[Adicionar lote])</f>
        <v>9</v>
      </c>
    </row>
    <row r="25" spans="3:18" ht="22.5" thickBot="1" x14ac:dyDescent="0.3">
      <c r="C25" s="36">
        <f>_xlfn.STDEV.S(Tabela146[Tempo])</f>
        <v>51.422973681247008</v>
      </c>
      <c r="D25" s="37"/>
      <c r="E25" s="38"/>
      <c r="M25" s="2">
        <v>17</v>
      </c>
      <c r="N25" s="2">
        <f>_xlfn.XLOOKUP(Tabela1469[[#This Row],[Dado]],BaseDeDados[ID],BaseDeDados[Adicionar lote])</f>
        <v>8</v>
      </c>
    </row>
    <row r="26" spans="3:18" ht="19.5" x14ac:dyDescent="0.25">
      <c r="M26" s="2">
        <v>18</v>
      </c>
      <c r="N26" s="2">
        <f>_xlfn.XLOOKUP(Tabela1469[[#This Row],[Dado]],BaseDeDados[ID],BaseDeDados[Adicionar lote])</f>
        <v>46</v>
      </c>
    </row>
    <row r="27" spans="3:18" ht="22.5" thickBot="1" x14ac:dyDescent="0.65">
      <c r="C27" s="34" t="s">
        <v>71</v>
      </c>
      <c r="D27" s="35"/>
      <c r="E27" s="35"/>
      <c r="M27" s="2">
        <v>24</v>
      </c>
      <c r="N27" s="2">
        <f>_xlfn.XLOOKUP(Tabela1469[[#This Row],[Dado]],BaseDeDados[ID],BaseDeDados[Adicionar lote])</f>
        <v>40</v>
      </c>
    </row>
    <row r="28" spans="3:18" ht="22.5" thickBot="1" x14ac:dyDescent="0.3">
      <c r="C28" s="36">
        <f>_xlfn.STDEV.S(Tabela1469[Tempo])</f>
        <v>25.823683652078714</v>
      </c>
      <c r="D28" s="37"/>
      <c r="E28" s="38"/>
    </row>
  </sheetData>
  <sheetProtection algorithmName="SHA-512" hashValue="ie5pkuBJw8BqvBT5eJKDtbKeLCt13Dr1WBmMXkZvXrrsX6xbcPr9OYn6IhySY1EAtH7k/QcivlRcKo5vkVTgOg==" saltValue="g55rLSwHkwbjgxlhiIbFfg==" spinCount="100000" sheet="1" objects="1" scenarios="1"/>
  <mergeCells count="22">
    <mergeCell ref="P19:R19"/>
    <mergeCell ref="C22:E22"/>
    <mergeCell ref="C24:E24"/>
    <mergeCell ref="C25:E25"/>
    <mergeCell ref="J12:K12"/>
    <mergeCell ref="M12:N12"/>
    <mergeCell ref="C27:E27"/>
    <mergeCell ref="C28:E28"/>
    <mergeCell ref="P21:R21"/>
    <mergeCell ref="P22:R22"/>
    <mergeCell ref="C12:E12"/>
    <mergeCell ref="C13:E13"/>
    <mergeCell ref="C15:E15"/>
    <mergeCell ref="C16:E16"/>
    <mergeCell ref="C18:E18"/>
    <mergeCell ref="C19:E19"/>
    <mergeCell ref="C21:E21"/>
    <mergeCell ref="P12:R12"/>
    <mergeCell ref="P13:R13"/>
    <mergeCell ref="P15:R15"/>
    <mergeCell ref="P16:R16"/>
    <mergeCell ref="P18:R18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picture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C302-B967-4FF2-90DA-F4F7FB028F4E}">
  <dimension ref="C12:R28"/>
  <sheetViews>
    <sheetView showGridLines="0" zoomScale="95" workbookViewId="0"/>
  </sheetViews>
  <sheetFormatPr defaultRowHeight="15" x14ac:dyDescent="0.25"/>
  <cols>
    <col min="5" max="5" width="11.140625" customWidth="1"/>
    <col min="10" max="10" width="10.28515625" customWidth="1"/>
    <col min="11" max="11" width="17.140625" customWidth="1"/>
    <col min="12" max="12" width="10.85546875" customWidth="1"/>
    <col min="13" max="13" width="10.28515625" customWidth="1"/>
    <col min="14" max="14" width="16.140625" customWidth="1"/>
    <col min="15" max="15" width="11" bestFit="1" customWidth="1"/>
    <col min="18" max="18" width="12.5703125" customWidth="1"/>
  </cols>
  <sheetData>
    <row r="12" spans="3:18" ht="27" customHeight="1" thickBot="1" x14ac:dyDescent="0.65">
      <c r="C12" s="34" t="s">
        <v>66</v>
      </c>
      <c r="D12" s="35"/>
      <c r="E12" s="35"/>
      <c r="J12" s="39" t="s">
        <v>59</v>
      </c>
      <c r="K12" s="39"/>
      <c r="M12" s="39" t="s">
        <v>64</v>
      </c>
      <c r="N12" s="39"/>
      <c r="P12" s="34" t="s">
        <v>75</v>
      </c>
      <c r="Q12" s="35"/>
      <c r="R12" s="35"/>
    </row>
    <row r="13" spans="3:18" ht="22.5" thickBot="1" x14ac:dyDescent="0.3">
      <c r="C13" s="36">
        <f>COUNT(Tabela1467[Dado])</f>
        <v>10</v>
      </c>
      <c r="D13" s="37"/>
      <c r="E13" s="38"/>
      <c r="J13" s="2" t="s">
        <v>60</v>
      </c>
      <c r="K13" s="2" t="s">
        <v>65</v>
      </c>
      <c r="M13" s="2" t="s">
        <v>60</v>
      </c>
      <c r="N13" s="2" t="s">
        <v>65</v>
      </c>
      <c r="P13" s="36">
        <f>(C19-C22)/(SQRT(((C25^2)/C13)+((C28^2)/C16)))</f>
        <v>2.2614828230552395</v>
      </c>
      <c r="Q13" s="37"/>
      <c r="R13" s="38"/>
    </row>
    <row r="14" spans="3:18" ht="19.5" x14ac:dyDescent="0.25">
      <c r="J14" s="2">
        <v>7</v>
      </c>
      <c r="K14" s="2" cm="1">
        <f t="array" ref="K14">_xlfn.XLOOKUP(Tabela1467[[#This Row],[Dado]],BaseDeDados[ID],(BaseDeDados[Adicionar lote]+BaseDeDados[Deletar lote]))</f>
        <v>105</v>
      </c>
      <c r="M14" s="2">
        <v>1</v>
      </c>
      <c r="N14" s="2" cm="1">
        <f t="array" ref="N14">_xlfn.XLOOKUP(Tabela14698[[#This Row],[Dado]],BaseDeDados[ID],(BaseDeDados[Adicionar lote]+BaseDeDados[Deletar lote]))</f>
        <v>89</v>
      </c>
    </row>
    <row r="15" spans="3:18" ht="24.75" customHeight="1" thickBot="1" x14ac:dyDescent="0.65">
      <c r="C15" s="34" t="s">
        <v>67</v>
      </c>
      <c r="D15" s="35"/>
      <c r="E15" s="35"/>
      <c r="J15" s="2">
        <v>8</v>
      </c>
      <c r="K15" s="2" cm="1">
        <f t="array" ref="K15">_xlfn.XLOOKUP(Tabela1467[[#This Row],[Dado]],BaseDeDados[ID],(BaseDeDados[Adicionar lote]+BaseDeDados[Deletar lote]))</f>
        <v>11</v>
      </c>
      <c r="M15" s="2">
        <v>2</v>
      </c>
      <c r="N15" s="2" cm="1">
        <f t="array" ref="N15">_xlfn.XLOOKUP(Tabela14698[[#This Row],[Dado]],BaseDeDados[ID],(BaseDeDados[Adicionar lote]+BaseDeDados[Deletar lote]))</f>
        <v>67</v>
      </c>
      <c r="P15" s="34" t="s">
        <v>73</v>
      </c>
      <c r="Q15" s="35"/>
      <c r="R15" s="35"/>
    </row>
    <row r="16" spans="3:18" ht="22.5" thickBot="1" x14ac:dyDescent="0.3">
      <c r="C16" s="36">
        <f>COUNT(Tabela14698[Dado])</f>
        <v>14</v>
      </c>
      <c r="D16" s="37"/>
      <c r="E16" s="38"/>
      <c r="J16" s="2">
        <v>9</v>
      </c>
      <c r="K16" s="2" cm="1">
        <f t="array" ref="K16">_xlfn.XLOOKUP(Tabela1467[[#This Row],[Dado]],BaseDeDados[ID],(BaseDeDados[Adicionar lote]+BaseDeDados[Deletar lote]))</f>
        <v>131</v>
      </c>
      <c r="M16" s="2">
        <v>3</v>
      </c>
      <c r="N16" s="2" cm="1">
        <f t="array" ref="N16">_xlfn.XLOOKUP(Tabela14698[[#This Row],[Dado]],BaseDeDados[ID],(BaseDeDados[Adicionar lote]+BaseDeDados[Deletar lote]))</f>
        <v>19</v>
      </c>
      <c r="P16" s="36">
        <f>((((C25^2)/C13)+((C28^2)/C16))^2)/(((((C25^2)/C13)^2)/(C13-1))+((((C28^2)/C16)^2)/(C16-1)))</f>
        <v>13.599941502027727</v>
      </c>
      <c r="Q16" s="37"/>
      <c r="R16" s="38"/>
    </row>
    <row r="17" spans="3:18" ht="19.5" x14ac:dyDescent="0.25">
      <c r="J17" s="2">
        <v>12</v>
      </c>
      <c r="K17" s="2" cm="1">
        <f t="array" ref="K17">_xlfn.XLOOKUP(Tabela1467[[#This Row],[Dado]],BaseDeDados[ID],(BaseDeDados[Adicionar lote]+BaseDeDados[Deletar lote]))</f>
        <v>155</v>
      </c>
      <c r="M17" s="2">
        <v>4</v>
      </c>
      <c r="N17" s="2" cm="1">
        <f t="array" ref="N17">_xlfn.XLOOKUP(Tabela14698[[#This Row],[Dado]],BaseDeDados[ID],(BaseDeDados[Adicionar lote]+BaseDeDados[Deletar lote]))</f>
        <v>15</v>
      </c>
    </row>
    <row r="18" spans="3:18" ht="22.5" thickBot="1" x14ac:dyDescent="0.65">
      <c r="C18" s="34" t="s">
        <v>68</v>
      </c>
      <c r="D18" s="35"/>
      <c r="E18" s="35"/>
      <c r="J18" s="2">
        <v>14</v>
      </c>
      <c r="K18" s="2" cm="1">
        <f t="array" ref="K18">_xlfn.XLOOKUP(Tabela1467[[#This Row],[Dado]],BaseDeDados[ID],(BaseDeDados[Adicionar lote]+BaseDeDados[Deletar lote]))</f>
        <v>25</v>
      </c>
      <c r="M18" s="2">
        <v>5</v>
      </c>
      <c r="N18" s="2" cm="1">
        <f t="array" ref="N18">_xlfn.XLOOKUP(Tabela14698[[#This Row],[Dado]],BaseDeDados[ID],(BaseDeDados[Adicionar lote]+BaseDeDados[Deletar lote]))</f>
        <v>14</v>
      </c>
      <c r="P18" s="34" t="s">
        <v>74</v>
      </c>
      <c r="Q18" s="35"/>
      <c r="R18" s="35"/>
    </row>
    <row r="19" spans="3:18" ht="22.5" thickBot="1" x14ac:dyDescent="0.3">
      <c r="C19" s="36">
        <f>AVERAGE(Tabela1467[Tempo])</f>
        <v>102.7</v>
      </c>
      <c r="D19" s="37"/>
      <c r="E19" s="38"/>
      <c r="J19" s="2">
        <v>19</v>
      </c>
      <c r="K19" s="2" cm="1">
        <f t="array" ref="K19">_xlfn.XLOOKUP(Tabela1467[[#This Row],[Dado]],BaseDeDados[ID],(BaseDeDados[Adicionar lote]+BaseDeDados[Deletar lote]))</f>
        <v>210</v>
      </c>
      <c r="M19" s="2">
        <v>6</v>
      </c>
      <c r="N19" s="2" cm="1">
        <f t="array" ref="N19">_xlfn.XLOOKUP(Tabela14698[[#This Row],[Dado]],BaseDeDados[ID],(BaseDeDados[Adicionar lote]+BaseDeDados[Deletar lote]))</f>
        <v>17</v>
      </c>
      <c r="P19" s="36">
        <v>1.7709999999999999</v>
      </c>
      <c r="Q19" s="37"/>
      <c r="R19" s="38"/>
    </row>
    <row r="20" spans="3:18" ht="19.5" x14ac:dyDescent="0.25">
      <c r="J20" s="2">
        <v>20</v>
      </c>
      <c r="K20" s="2" cm="1">
        <f t="array" ref="K20">_xlfn.XLOOKUP(Tabela1467[[#This Row],[Dado]],BaseDeDados[ID],(BaseDeDados[Adicionar lote]+BaseDeDados[Deletar lote]))</f>
        <v>210</v>
      </c>
      <c r="M20" s="2">
        <v>10</v>
      </c>
      <c r="N20" s="2" cm="1">
        <f t="array" ref="N20">_xlfn.XLOOKUP(Tabela14698[[#This Row],[Dado]],BaseDeDados[ID],(BaseDeDados[Adicionar lote]+BaseDeDados[Deletar lote]))</f>
        <v>37</v>
      </c>
    </row>
    <row r="21" spans="3:18" ht="22.5" thickBot="1" x14ac:dyDescent="0.65">
      <c r="C21" s="34" t="s">
        <v>69</v>
      </c>
      <c r="D21" s="35"/>
      <c r="E21" s="35"/>
      <c r="J21" s="2">
        <v>21</v>
      </c>
      <c r="K21" s="2" cm="1">
        <f t="array" ref="K21">_xlfn.XLOOKUP(Tabela1467[[#This Row],[Dado]],BaseDeDados[ID],(BaseDeDados[Adicionar lote]+BaseDeDados[Deletar lote]))</f>
        <v>65</v>
      </c>
      <c r="M21" s="2">
        <v>11</v>
      </c>
      <c r="N21" s="2" cm="1">
        <f t="array" ref="N21">_xlfn.XLOOKUP(Tabela14698[[#This Row],[Dado]],BaseDeDados[ID],(BaseDeDados[Adicionar lote]+BaseDeDados[Deletar lote]))</f>
        <v>172</v>
      </c>
      <c r="P21" s="34" t="s">
        <v>72</v>
      </c>
      <c r="Q21" s="35"/>
      <c r="R21" s="35"/>
    </row>
    <row r="22" spans="3:18" ht="22.5" thickBot="1" x14ac:dyDescent="0.3">
      <c r="C22" s="36">
        <f>AVERAGE(Tabela14698[Tempo])</f>
        <v>44.428571428571431</v>
      </c>
      <c r="D22" s="37"/>
      <c r="E22" s="38"/>
      <c r="J22" s="2">
        <v>22</v>
      </c>
      <c r="K22" s="2" cm="1">
        <f t="array" ref="K22">_xlfn.XLOOKUP(Tabela1467[[#This Row],[Dado]],BaseDeDados[ID],(BaseDeDados[Adicionar lote]+BaseDeDados[Deletar lote]))</f>
        <v>35</v>
      </c>
      <c r="M22" s="2">
        <v>13</v>
      </c>
      <c r="N22" s="2" cm="1">
        <f t="array" ref="N22">_xlfn.XLOOKUP(Tabela14698[[#This Row],[Dado]],BaseDeDados[ID],(BaseDeDados[Adicionar lote]+BaseDeDados[Deletar lote]))</f>
        <v>28</v>
      </c>
      <c r="P22" s="36" t="str">
        <f>IF(P13&gt;P19,"H₀ Rejeitado","H₀ Aceito")</f>
        <v>H₀ Rejeitado</v>
      </c>
      <c r="Q22" s="37"/>
      <c r="R22" s="38"/>
    </row>
    <row r="23" spans="3:18" ht="19.5" x14ac:dyDescent="0.25">
      <c r="J23" s="2">
        <v>23</v>
      </c>
      <c r="K23" s="2" cm="1">
        <f t="array" ref="K23">_xlfn.XLOOKUP(Tabela1467[[#This Row],[Dado]],BaseDeDados[ID],(BaseDeDados[Adicionar lote]+BaseDeDados[Deletar lote]))</f>
        <v>80</v>
      </c>
      <c r="M23" s="2">
        <v>15</v>
      </c>
      <c r="N23" s="2" cm="1">
        <f t="array" ref="N23">_xlfn.XLOOKUP(Tabela14698[[#This Row],[Dado]],BaseDeDados[ID],(BaseDeDados[Adicionar lote]+BaseDeDados[Deletar lote]))</f>
        <v>20</v>
      </c>
    </row>
    <row r="24" spans="3:18" ht="22.5" thickBot="1" x14ac:dyDescent="0.65">
      <c r="C24" s="34" t="s">
        <v>70</v>
      </c>
      <c r="D24" s="35"/>
      <c r="E24" s="35"/>
      <c r="M24" s="2">
        <v>16</v>
      </c>
      <c r="N24" s="2" cm="1">
        <f t="array" ref="N24">_xlfn.XLOOKUP(Tabela14698[[#This Row],[Dado]],BaseDeDados[ID],(BaseDeDados[Adicionar lote]+BaseDeDados[Deletar lote]))</f>
        <v>22</v>
      </c>
    </row>
    <row r="25" spans="3:18" ht="22.5" thickBot="1" x14ac:dyDescent="0.3">
      <c r="C25" s="36">
        <f>_xlfn.STDEV.S(Tabela1467[Tempo])</f>
        <v>72.674387968985798</v>
      </c>
      <c r="D25" s="37"/>
      <c r="E25" s="38"/>
      <c r="M25" s="2">
        <v>17</v>
      </c>
      <c r="N25" s="2" cm="1">
        <f t="array" ref="N25">_xlfn.XLOOKUP(Tabela14698[[#This Row],[Dado]],BaseDeDados[ID],(BaseDeDados[Adicionar lote]+BaseDeDados[Deletar lote]))</f>
        <v>12</v>
      </c>
    </row>
    <row r="26" spans="3:18" ht="19.5" x14ac:dyDescent="0.25">
      <c r="M26" s="2">
        <v>18</v>
      </c>
      <c r="N26" s="2" cm="1">
        <f t="array" ref="N26">_xlfn.XLOOKUP(Tabela14698[[#This Row],[Dado]],BaseDeDados[ID],(BaseDeDados[Adicionar lote]+BaseDeDados[Deletar lote]))</f>
        <v>60</v>
      </c>
    </row>
    <row r="27" spans="3:18" ht="22.5" thickBot="1" x14ac:dyDescent="0.65">
      <c r="C27" s="34" t="s">
        <v>71</v>
      </c>
      <c r="D27" s="35"/>
      <c r="E27" s="35"/>
      <c r="M27" s="2">
        <v>24</v>
      </c>
      <c r="N27" s="2" cm="1">
        <f t="array" ref="N27">_xlfn.XLOOKUP(Tabela14698[[#This Row],[Dado]],BaseDeDados[ID],(BaseDeDados[Adicionar lote]+BaseDeDados[Deletar lote]))</f>
        <v>50</v>
      </c>
    </row>
    <row r="28" spans="3:18" ht="22.5" thickBot="1" x14ac:dyDescent="0.3">
      <c r="C28" s="36">
        <f>_xlfn.STDEV.S(Tabela14698[Tempo])</f>
        <v>43.599072477280075</v>
      </c>
      <c r="D28" s="37"/>
      <c r="E28" s="38"/>
    </row>
  </sheetData>
  <sheetProtection algorithmName="SHA-512" hashValue="lL/y6qqg3ZbnWWFDCFE0D172RtR9TlSgOH3Ecl7DKDVKlcWWBcw7KwhqAbP9VJN3G/DyGDJDDYVLLIha7eb8yA==" saltValue="Z7iiMm5gIFGDdFM1kM8ZTQ==" spinCount="100000" sheet="1" objects="1" scenarios="1"/>
  <mergeCells count="22">
    <mergeCell ref="C12:E12"/>
    <mergeCell ref="J12:K12"/>
    <mergeCell ref="M12:N12"/>
    <mergeCell ref="P12:R12"/>
    <mergeCell ref="C13:E13"/>
    <mergeCell ref="P13:R13"/>
    <mergeCell ref="C15:E15"/>
    <mergeCell ref="P15:R15"/>
    <mergeCell ref="C16:E16"/>
    <mergeCell ref="P16:R16"/>
    <mergeCell ref="C18:E18"/>
    <mergeCell ref="P18:R18"/>
    <mergeCell ref="P19:R19"/>
    <mergeCell ref="C21:E21"/>
    <mergeCell ref="P21:R21"/>
    <mergeCell ref="C22:E22"/>
    <mergeCell ref="P22:R22"/>
    <mergeCell ref="C24:E24"/>
    <mergeCell ref="C25:E25"/>
    <mergeCell ref="C27:E27"/>
    <mergeCell ref="C28:E28"/>
    <mergeCell ref="C19:E19"/>
  </mergeCells>
  <pageMargins left="0.511811024" right="0.511811024" top="0.78740157499999996" bottom="0.78740157499999996" header="0.31496062000000002" footer="0.31496062000000002"/>
  <drawing r:id="rId1"/>
  <picture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B99E-6626-4729-A922-6EA2D0ED2B2F}">
  <dimension ref="F9:L13"/>
  <sheetViews>
    <sheetView showGridLines="0" workbookViewId="0"/>
  </sheetViews>
  <sheetFormatPr defaultRowHeight="21.75" x14ac:dyDescent="0.6"/>
  <cols>
    <col min="1" max="4" width="9.140625" style="14"/>
    <col min="5" max="5" width="52" style="14" customWidth="1"/>
    <col min="6" max="6" width="28.42578125" style="14" bestFit="1" customWidth="1"/>
    <col min="7" max="7" width="24.85546875" style="14" bestFit="1" customWidth="1"/>
    <col min="8" max="11" width="9.140625" style="14"/>
    <col min="12" max="12" width="12.140625" style="14" customWidth="1"/>
    <col min="13" max="16384" width="9.140625" style="14"/>
  </cols>
  <sheetData>
    <row r="9" spans="6:12" ht="22.5" thickBot="1" x14ac:dyDescent="0.65"/>
    <row r="10" spans="6:12" ht="22.5" thickBot="1" x14ac:dyDescent="0.65">
      <c r="F10" s="15" t="s">
        <v>61</v>
      </c>
      <c r="G10" s="19" t="s">
        <v>79</v>
      </c>
      <c r="J10" s="34" t="s">
        <v>72</v>
      </c>
      <c r="K10" s="35"/>
      <c r="L10" s="35"/>
    </row>
    <row r="11" spans="6:12" ht="22.5" thickBot="1" x14ac:dyDescent="0.65">
      <c r="F11" s="16" t="s">
        <v>62</v>
      </c>
      <c r="G11" s="20" t="s">
        <v>80</v>
      </c>
      <c r="J11" s="36" t="s">
        <v>77</v>
      </c>
      <c r="K11" s="37"/>
      <c r="L11" s="38"/>
    </row>
    <row r="12" spans="6:12" ht="22.5" thickBot="1" x14ac:dyDescent="0.65"/>
    <row r="13" spans="6:12" ht="22.5" thickBot="1" x14ac:dyDescent="0.65">
      <c r="F13" s="17" t="s">
        <v>63</v>
      </c>
      <c r="G13" s="18">
        <v>0.95</v>
      </c>
      <c r="J13" s="34" t="s">
        <v>78</v>
      </c>
      <c r="K13" s="35"/>
      <c r="L13" s="35"/>
    </row>
  </sheetData>
  <sheetProtection algorithmName="SHA-512" hashValue="jijBIiALC7Fl2rjU+JPGHU98e3roovOiDcs2DsnuxO4sVkitQ7iexPSUqd7uJWiKuVtJBfNs2jtQPNYTxc82Bg==" saltValue="dH9/FEFPXSI3D/rvGd7Avg==" spinCount="100000" sheet="1" objects="1" scenarios="1"/>
  <mergeCells count="3">
    <mergeCell ref="J10:L10"/>
    <mergeCell ref="J11:L11"/>
    <mergeCell ref="J13:L13"/>
  </mergeCells>
  <pageMargins left="0.511811024" right="0.511811024" top="0.78740157499999996" bottom="0.78740157499999996" header="0.31496062000000002" footer="0.31496062000000002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Página Inicial</vt:lpstr>
      <vt:lpstr>Documentação</vt:lpstr>
      <vt:lpstr>Dados</vt:lpstr>
      <vt:lpstr>Dados - Sem estoquistas</vt:lpstr>
      <vt:lpstr>Métricas iniciais</vt:lpstr>
      <vt:lpstr>Cálculo - Feature "Adicionar"</vt:lpstr>
      <vt:lpstr>Cálculo - Ambas Features</vt:lpstr>
      <vt:lpstr>Resultados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Mayumi Shimizu Castiglioni</dc:creator>
  <cp:keywords/>
  <dc:description/>
  <cp:lastModifiedBy>Mayumi Shimizu Castiglioni</cp:lastModifiedBy>
  <cp:revision/>
  <cp:lastPrinted>2025-10-28T01:21:38Z</cp:lastPrinted>
  <dcterms:created xsi:type="dcterms:W3CDTF">2025-10-22T10:06:32Z</dcterms:created>
  <dcterms:modified xsi:type="dcterms:W3CDTF">2025-10-31T11:50:54Z</dcterms:modified>
  <cp:category/>
  <cp:contentStatus/>
</cp:coreProperties>
</file>