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eswiatek\Documents\Csi_projects\2017_Summer_course_fluxes_modeling\Paper_pencil_exercise\"/>
    </mc:Choice>
  </mc:AlternateContent>
  <bookViews>
    <workbookView xWindow="0" yWindow="0" windowWidth="7125" windowHeight="5175" activeTab="4"/>
  </bookViews>
  <sheets>
    <sheet name="ts_data" sheetId="5" r:id="rId1"/>
    <sheet name="Tc, Xc, Xv" sheetId="1" r:id="rId2"/>
    <sheet name="Statistics" sheetId="3" r:id="rId3"/>
    <sheet name="Covariances" sheetId="4" r:id="rId4"/>
    <sheet name="Q&amp;A" sheetId="6" r:id="rId5"/>
  </sheets>
  <externalReferences>
    <externalReference r:id="rId6"/>
  </externalReferences>
  <definedNames>
    <definedName name="C_p">Covariances!$B$8</definedName>
    <definedName name="Cp" localSheetId="3">Covariances!$B$8</definedName>
    <definedName name="Cp">Statistics!$B$8</definedName>
    <definedName name="L_v" localSheetId="4">[1]Covariances!$B$7</definedName>
    <definedName name="L_v">Covariances!$B$7</definedName>
    <definedName name="Lv" localSheetId="3">Covariances!$B$7</definedName>
    <definedName name="Lv">Statistics!$B$7</definedName>
    <definedName name="M_c">Covariances!$B$4</definedName>
    <definedName name="M_v">Covariances!$B$5</definedName>
    <definedName name="Mc" localSheetId="3">Covariances!$B$4</definedName>
    <definedName name="Mc" localSheetId="4">'[1]Tc, Xc, Xv'!$B$4</definedName>
    <definedName name="Mc" localSheetId="2">Statistics!$B$4</definedName>
    <definedName name="Mc">'Tc, Xc, Xv'!$B$4</definedName>
    <definedName name="Mv" localSheetId="3">Covariances!$B$5</definedName>
    <definedName name="Mv" localSheetId="4">'[1]Tc, Xc, Xv'!$B$5</definedName>
    <definedName name="Mv" localSheetId="2">Statistics!$B$5</definedName>
    <definedName name="Mv">'Tc, Xc, Xv'!$B$5</definedName>
    <definedName name="P_mean" localSheetId="4">[1]Covariances!$R$23</definedName>
    <definedName name="P_mean">Covariances!$R$22</definedName>
    <definedName name="R_const" localSheetId="3">Covariances!$B$2</definedName>
    <definedName name="R_const" localSheetId="4">'[1]Tc, Xc, Xv'!$B$2</definedName>
    <definedName name="R_const" localSheetId="2">Statistics!$B$2</definedName>
    <definedName name="R_const">'Tc, Xc, Xv'!$B$2</definedName>
    <definedName name="rho_air" localSheetId="3">Covariances!$B$6</definedName>
    <definedName name="rho_air">Statistics!$B$6</definedName>
    <definedName name="T_convert" localSheetId="3">Covariances!$B$3</definedName>
    <definedName name="T_convert" localSheetId="4">'[1]Tc, Xc, Xv'!$B$3</definedName>
    <definedName name="T_convert" localSheetId="2">Statistics!$B$3</definedName>
    <definedName name="T_convert">'Tc, Xc, Xv'!$B$3</definedName>
    <definedName name="Tc_mean" localSheetId="4">[1]Covariances!$H$23</definedName>
    <definedName name="Tc_mean">Covariances!$H$22</definedName>
  </definedNames>
  <calcPr calcId="171027"/>
</workbook>
</file>

<file path=xl/calcChain.xml><?xml version="1.0" encoding="utf-8"?>
<calcChain xmlns="http://schemas.openxmlformats.org/spreadsheetml/2006/main">
  <c r="N15" i="1" l="1"/>
  <c r="N16" i="1"/>
  <c r="N17" i="1"/>
  <c r="N18" i="1"/>
  <c r="N19" i="1"/>
  <c r="N20" i="1"/>
  <c r="N14" i="1"/>
  <c r="N13" i="1"/>
  <c r="R22" i="4" l="1"/>
  <c r="C38" i="4" l="1"/>
  <c r="D38" i="4"/>
  <c r="E38" i="4"/>
  <c r="B38" i="4"/>
  <c r="H36" i="4"/>
  <c r="G29" i="4"/>
  <c r="H29" i="4"/>
  <c r="G30" i="4"/>
  <c r="H30" i="4"/>
  <c r="G31" i="4"/>
  <c r="H31" i="4"/>
  <c r="G32" i="4"/>
  <c r="H32" i="4"/>
  <c r="G33" i="4"/>
  <c r="H33" i="4"/>
  <c r="G34" i="4"/>
  <c r="H34" i="4"/>
  <c r="G35" i="4"/>
  <c r="H35" i="4"/>
  <c r="G36" i="4"/>
  <c r="F36" i="4"/>
  <c r="F30" i="4"/>
  <c r="F31" i="4"/>
  <c r="F32" i="4"/>
  <c r="F33" i="4"/>
  <c r="F34" i="4"/>
  <c r="F35" i="4"/>
  <c r="F29" i="4"/>
  <c r="J13" i="4"/>
  <c r="J14" i="4"/>
  <c r="J15" i="4"/>
  <c r="J16" i="4"/>
  <c r="J17" i="4"/>
  <c r="J18" i="4"/>
  <c r="J19" i="4"/>
  <c r="J20" i="4"/>
  <c r="U23" i="4"/>
  <c r="T23" i="4"/>
  <c r="S23" i="4"/>
  <c r="R23" i="4"/>
  <c r="N23" i="4"/>
  <c r="K23" i="4"/>
  <c r="G23" i="4"/>
  <c r="E23" i="4"/>
  <c r="D23" i="4"/>
  <c r="C23" i="4"/>
  <c r="U22" i="4"/>
  <c r="T22" i="4"/>
  <c r="S22" i="4"/>
  <c r="N22" i="4"/>
  <c r="K22" i="4"/>
  <c r="G22" i="4"/>
  <c r="E22" i="4"/>
  <c r="F14" i="4" s="1"/>
  <c r="D22" i="4"/>
  <c r="C22" i="4"/>
  <c r="Q20" i="4"/>
  <c r="H20" i="4" s="1"/>
  <c r="Q19" i="4"/>
  <c r="H19" i="4" s="1"/>
  <c r="Q18" i="4"/>
  <c r="H18" i="4" s="1"/>
  <c r="O18" i="4" s="1"/>
  <c r="Q17" i="4"/>
  <c r="H17" i="4" s="1"/>
  <c r="O17" i="4" s="1"/>
  <c r="Q16" i="4"/>
  <c r="H16" i="4" s="1"/>
  <c r="Q15" i="4"/>
  <c r="H15" i="4" s="1"/>
  <c r="Q14" i="4"/>
  <c r="H14" i="4" s="1"/>
  <c r="O14" i="4" s="1"/>
  <c r="Q13" i="4"/>
  <c r="H13" i="4" s="1"/>
  <c r="L13" i="4" s="1"/>
  <c r="D23" i="3"/>
  <c r="E23" i="3"/>
  <c r="F23" i="3"/>
  <c r="I23" i="3"/>
  <c r="K23" i="3"/>
  <c r="N23" i="3"/>
  <c r="O23" i="3"/>
  <c r="P23" i="3"/>
  <c r="Q23" i="3"/>
  <c r="C23" i="3"/>
  <c r="I22" i="3"/>
  <c r="K22" i="3"/>
  <c r="N22" i="3"/>
  <c r="O22" i="3"/>
  <c r="P22" i="3"/>
  <c r="Q22" i="3"/>
  <c r="D22" i="3"/>
  <c r="E22" i="3"/>
  <c r="F22" i="3"/>
  <c r="C22" i="3"/>
  <c r="M20" i="3"/>
  <c r="G20" i="3" s="1"/>
  <c r="H20" i="3"/>
  <c r="M19" i="3"/>
  <c r="G19" i="3" s="1"/>
  <c r="L19" i="3" s="1"/>
  <c r="H19" i="3"/>
  <c r="M18" i="3"/>
  <c r="G18" i="3" s="1"/>
  <c r="L18" i="3" s="1"/>
  <c r="H18" i="3"/>
  <c r="M17" i="3"/>
  <c r="G17" i="3" s="1"/>
  <c r="L17" i="3" s="1"/>
  <c r="H17" i="3"/>
  <c r="M16" i="3"/>
  <c r="G16" i="3" s="1"/>
  <c r="H16" i="3"/>
  <c r="M15" i="3"/>
  <c r="G15" i="3" s="1"/>
  <c r="L15" i="3" s="1"/>
  <c r="H15" i="3"/>
  <c r="M14" i="3"/>
  <c r="G14" i="3" s="1"/>
  <c r="H14" i="3"/>
  <c r="M13" i="3"/>
  <c r="H13" i="3"/>
  <c r="H14" i="1"/>
  <c r="H15" i="1"/>
  <c r="H16" i="1"/>
  <c r="H17" i="1"/>
  <c r="H18" i="1"/>
  <c r="H19" i="1"/>
  <c r="H20" i="1"/>
  <c r="H13" i="1"/>
  <c r="G14" i="1"/>
  <c r="G15" i="1"/>
  <c r="G16" i="1"/>
  <c r="G17" i="1"/>
  <c r="G18" i="1"/>
  <c r="G19" i="1"/>
  <c r="G20" i="1"/>
  <c r="G13" i="1"/>
  <c r="M23" i="3" l="1"/>
  <c r="M13" i="1"/>
  <c r="I13" i="1"/>
  <c r="M20" i="1"/>
  <c r="I20" i="1"/>
  <c r="M16" i="1"/>
  <c r="I16" i="1"/>
  <c r="M17" i="1"/>
  <c r="I17" i="1"/>
  <c r="M19" i="1"/>
  <c r="I19" i="1"/>
  <c r="K15" i="1"/>
  <c r="I15" i="1"/>
  <c r="M18" i="1"/>
  <c r="I18" i="1"/>
  <c r="M14" i="1"/>
  <c r="I14" i="1"/>
  <c r="L14" i="3"/>
  <c r="J14" i="3"/>
  <c r="G13" i="3"/>
  <c r="G23" i="3" s="1"/>
  <c r="H38" i="4"/>
  <c r="H22" i="3"/>
  <c r="M22" i="3"/>
  <c r="G38" i="4"/>
  <c r="F40" i="4"/>
  <c r="F42" i="4" s="1"/>
  <c r="F38" i="4"/>
  <c r="F45" i="4" s="1"/>
  <c r="F13" i="4"/>
  <c r="F17" i="4"/>
  <c r="F20" i="4"/>
  <c r="F16" i="4"/>
  <c r="J22" i="4"/>
  <c r="F19" i="4"/>
  <c r="F15" i="4"/>
  <c r="F18" i="4"/>
  <c r="O15" i="4"/>
  <c r="L15" i="4"/>
  <c r="H22" i="4"/>
  <c r="J23" i="4"/>
  <c r="O19" i="4"/>
  <c r="L19" i="4"/>
  <c r="O16" i="4"/>
  <c r="L16" i="4"/>
  <c r="O20" i="4"/>
  <c r="L20" i="4"/>
  <c r="Q23" i="4"/>
  <c r="Q22" i="4"/>
  <c r="J17" i="3"/>
  <c r="L17" i="4"/>
  <c r="J18" i="3"/>
  <c r="H23" i="3"/>
  <c r="O13" i="4"/>
  <c r="L14" i="4"/>
  <c r="L18" i="4"/>
  <c r="H23" i="4"/>
  <c r="J16" i="3"/>
  <c r="L16" i="3"/>
  <c r="J20" i="3"/>
  <c r="L20" i="3"/>
  <c r="K19" i="1"/>
  <c r="M15" i="1"/>
  <c r="K14" i="1"/>
  <c r="K13" i="1"/>
  <c r="K17" i="1"/>
  <c r="J15" i="3"/>
  <c r="J19" i="3"/>
  <c r="K18" i="1"/>
  <c r="K20" i="1"/>
  <c r="K16" i="1"/>
  <c r="I22" i="1" l="1"/>
  <c r="G22" i="3"/>
  <c r="J13" i="3"/>
  <c r="J22" i="3" s="1"/>
  <c r="L13" i="3"/>
  <c r="L23" i="3" s="1"/>
  <c r="H40" i="4"/>
  <c r="H42" i="4" s="1"/>
  <c r="H47" i="4" s="1"/>
  <c r="G40" i="4"/>
  <c r="I13" i="4"/>
  <c r="I14" i="4"/>
  <c r="I16" i="4"/>
  <c r="I18" i="4"/>
  <c r="I19" i="4"/>
  <c r="I17" i="4"/>
  <c r="I15" i="4"/>
  <c r="I20" i="4"/>
  <c r="O23" i="4"/>
  <c r="O22" i="4"/>
  <c r="P20" i="4" s="1"/>
  <c r="L22" i="4"/>
  <c r="L23" i="4"/>
  <c r="C50" i="4" l="1"/>
  <c r="C51" i="4" s="1"/>
  <c r="L22" i="3"/>
  <c r="G42" i="4"/>
  <c r="G46" i="4" s="1"/>
  <c r="J23" i="3"/>
  <c r="M20" i="4"/>
  <c r="P14" i="4"/>
  <c r="P18" i="4"/>
  <c r="P17" i="4"/>
  <c r="M14" i="4"/>
  <c r="P16" i="4"/>
  <c r="P15" i="4"/>
  <c r="P13" i="4"/>
  <c r="P19" i="4"/>
  <c r="M13" i="4"/>
  <c r="M19" i="4"/>
  <c r="M16" i="4"/>
  <c r="M15" i="4"/>
  <c r="M17" i="4"/>
  <c r="M18" i="4"/>
</calcChain>
</file>

<file path=xl/comments1.xml><?xml version="1.0" encoding="utf-8"?>
<comments xmlns="http://schemas.openxmlformats.org/spreadsheetml/2006/main">
  <authors>
    <author>Ryan Campbell</author>
  </authors>
  <commentList>
    <comment ref="D38" authorId="0" shapeId="0">
      <text>
        <r>
          <rPr>
            <b/>
            <sz val="9"/>
            <color indexed="81"/>
            <rFont val="Tahoma"/>
            <charset val="1"/>
          </rPr>
          <t>Ryan Campbell:</t>
        </r>
        <r>
          <rPr>
            <sz val="9"/>
            <color indexed="81"/>
            <rFont val="Tahoma"/>
            <charset val="1"/>
          </rPr>
          <t xml:space="preserve">
Effectively zero.  Non-zero is from rounding errors.</t>
        </r>
      </text>
    </comment>
    <comment ref="E38" authorId="0" shapeId="0">
      <text>
        <r>
          <rPr>
            <b/>
            <sz val="9"/>
            <color indexed="81"/>
            <rFont val="Tahoma"/>
            <charset val="1"/>
          </rPr>
          <t>Ryan Campbell:</t>
        </r>
        <r>
          <rPr>
            <sz val="9"/>
            <color indexed="81"/>
            <rFont val="Tahoma"/>
            <charset val="1"/>
          </rPr>
          <t xml:space="preserve">
Effectively zero.  Non-zero value is due to rounding errors.</t>
        </r>
      </text>
    </comment>
  </commentList>
</comments>
</file>

<file path=xl/sharedStrings.xml><?xml version="1.0" encoding="utf-8"?>
<sst xmlns="http://schemas.openxmlformats.org/spreadsheetml/2006/main" count="292" uniqueCount="94">
  <si>
    <t>TOA5</t>
  </si>
  <si>
    <t>EC_Training</t>
  </si>
  <si>
    <t>CR3000</t>
  </si>
  <si>
    <t>CR3000.Std.03</t>
  </si>
  <si>
    <t>ts_data</t>
  </si>
  <si>
    <t>TIMESTAMP</t>
  </si>
  <si>
    <t>RECORD</t>
  </si>
  <si>
    <t>Ux</t>
  </si>
  <si>
    <t>Uy</t>
  </si>
  <si>
    <t>Uz</t>
  </si>
  <si>
    <t>Ts</t>
  </si>
  <si>
    <t>CO2</t>
  </si>
  <si>
    <t>H2O</t>
  </si>
  <si>
    <t>press</t>
  </si>
  <si>
    <t>t_hmp</t>
  </si>
  <si>
    <t>e_hmp</t>
  </si>
  <si>
    <t>TS</t>
  </si>
  <si>
    <t>RN</t>
  </si>
  <si>
    <t>m/s</t>
  </si>
  <si>
    <t>C</t>
  </si>
  <si>
    <t>mg/m^3</t>
  </si>
  <si>
    <t>g/m^3</t>
  </si>
  <si>
    <t>kPa</t>
  </si>
  <si>
    <t>unitless</t>
  </si>
  <si>
    <t>Smp</t>
  </si>
  <si>
    <t>Tc_irga</t>
  </si>
  <si>
    <t>Tc_hmp</t>
  </si>
  <si>
    <t>e_irga</t>
  </si>
  <si>
    <t>Xc</t>
  </si>
  <si>
    <t>Constants</t>
  </si>
  <si>
    <t>kPa m^3/K/mmol</t>
  </si>
  <si>
    <t>T_convert</t>
  </si>
  <si>
    <t>mg/mmol</t>
  </si>
  <si>
    <t>g/mmol</t>
  </si>
  <si>
    <t>R_const</t>
  </si>
  <si>
    <t>mmol/mol</t>
  </si>
  <si>
    <t>umol/mol</t>
  </si>
  <si>
    <t>Mean</t>
  </si>
  <si>
    <t>StdDev</t>
  </si>
  <si>
    <t>rho_air</t>
  </si>
  <si>
    <t>kg/m^3</t>
  </si>
  <si>
    <t>J/g</t>
  </si>
  <si>
    <t>J/kg/K</t>
  </si>
  <si>
    <t>C'</t>
  </si>
  <si>
    <t>Tc'</t>
  </si>
  <si>
    <t>Xc'</t>
  </si>
  <si>
    <t>Uz'</t>
  </si>
  <si>
    <t>Uz'Tc'</t>
  </si>
  <si>
    <t>C m/s</t>
  </si>
  <si>
    <t>Uz'Xc'</t>
  </si>
  <si>
    <t>umol m/s/mol</t>
  </si>
  <si>
    <t>mmol m/s/mol</t>
  </si>
  <si>
    <t>Fluxes</t>
  </si>
  <si>
    <t>Double Check Covariances w/ COVAR()</t>
  </si>
  <si>
    <t>Convert Covariance Units back to mass density * m/s</t>
  </si>
  <si>
    <t>CO2, Fc = Covar(rho_CO2, Uz)</t>
  </si>
  <si>
    <t>Latent, LE = L_v*Covar(rho_H2O,Uz)</t>
  </si>
  <si>
    <t>L_v</t>
  </si>
  <si>
    <t>C_p</t>
  </si>
  <si>
    <t>M_v</t>
  </si>
  <si>
    <t>M_c</t>
  </si>
  <si>
    <t>Units</t>
  </si>
  <si>
    <t>mg/m^2/s</t>
  </si>
  <si>
    <t>Xv'</t>
  </si>
  <si>
    <t>Uz'Xv'</t>
  </si>
  <si>
    <t>Xv</t>
  </si>
  <si>
    <t>Copy over fluctuations</t>
  </si>
  <si>
    <t>and calculate covariances</t>
  </si>
  <si>
    <t>%</t>
  </si>
  <si>
    <t>Sensible, Hs = rho_air*C_p*Covar(Tc,Uz)</t>
  </si>
  <si>
    <t>W/m^2</t>
  </si>
  <si>
    <t>CPU:OPECv2_2.CR3</t>
  </si>
  <si>
    <t>diag</t>
  </si>
  <si>
    <t>% diff between Tc</t>
  </si>
  <si>
    <t>1.  Q: Do the data need to be lagged, etc.?  A:  All data coming from the EC100 are already aligned, thus the gas, wind, and pressure data are already aligned, however the temp/rh probe was an analog measurement with no measurement delay, so it is not aligned with the rest of the data.  The EC100 data has a 200ms delay, so it has effectively been lagged by this amount.  To align the data, the EC100 data can be unlagged by 200ms, or the temp/rh probe data could be lagged by 200 ms.</t>
  </si>
  <si>
    <t xml:space="preserve">2.  Q: Are there other reasons to lag/unlag data?  And how significant are lags in this example?  A:  In cases where the sonic and gas sensors have their own control electronics and in cases where spatial separation is great, their delays will probably differ, and therefore the data must be aligned.  Closed-path analyzers also present additional delays between gas and sonic data, mostly due to travel time in a sample tube.  Cross correlation is sometimes required to figure out the appropriate delay.  In this exercise, the RH/temp probe is a slow response sensor, so 10Hz sampling is oversampling this kind of sensor, thus it is probably insignificant to have this data exactly aligned with the fast response data.  </t>
  </si>
  <si>
    <t>3.  Q: How many records will remain if data are aligned?  A: Eight.</t>
  </si>
  <si>
    <t>4. The EC100 data should be unlagged by 200ms so that timestamps reflect actual moment of measurement.  See aligned data and calculated Tc_irga, Tc_hmp, Xc, and Xv on "Tc, Xc, Xv" spreadsheet.</t>
  </si>
  <si>
    <t>5.  Tc_hmp was always higher than Tc_irga, on average 0.2% higher.  Possible reasons are solar loading on temp/RH probe radiation shield and offsets on each of the measurements (temperature from sonic, H20 from IRGA, temp and RH from probe, etc.)</t>
  </si>
  <si>
    <t>6.  Molar mixing ratio is the same regardless of fluctuations in density, so it is a convenient unit to use.  The temperature and pressure of a sample of air must be known to calculate molar mixing ratio.  These are easily measured with a closed-path analyzer, but an open-path analyzer can only be used if the temperature measurement is fast response and colocated with the gas measurements and if it is assumed that pressure measurements from the system's barometer are adequate (assuming pressure fluctuations on open-path are negligible compared to what the barometer measures).</t>
  </si>
  <si>
    <t>7.  If units are left in density, then the WPL correction for density fluctuations must be applied.  This requires an adequately long averaging or sampling interval.  In this case, there are not enough samples.</t>
  </si>
  <si>
    <t>8.  See "Statistics" spreadsheet.</t>
  </si>
  <si>
    <t>9.  See "Covariances" spreadsheet.</t>
  </si>
  <si>
    <t>10.  The averages for Uz', Tc', Xc' and Xv' should be zero, neglecting rounding errors.</t>
  </si>
  <si>
    <t>11.  Covariances done by hand or calculated using Excel's CoVar() function should yield the same result.  See "Covariances" spreadsheet.</t>
  </si>
  <si>
    <t>12.  See "Covariances" spreadsheet.</t>
  </si>
  <si>
    <t>13.  The WPL correction need not be applied since molar mixing ratio was used before converting back to mass density for final fluxes.</t>
  </si>
  <si>
    <t>14.  Normal processing would require a wind coordinate correction and frequency corrections, however, a longer time period of 10Hz samples is required to make these corrections.</t>
  </si>
  <si>
    <t>15.  A negative flux means uptake by the surface (plants, soil, or surface water).  This ecosystem is grassy wetland.</t>
  </si>
  <si>
    <t>H + LE</t>
  </si>
  <si>
    <t>If R_net = 950, G_s = -30, % E closure =</t>
  </si>
  <si>
    <t>876/920 = 95% closure</t>
  </si>
  <si>
    <t>Why? Frequency losses (high and low), accuracy of E bal terms, correctly accounting for available energy, sonic transducer shadowing, instrument siting, instrument settings (bandwidth)</t>
  </si>
  <si>
    <t>16.               950-30 = 920 W/m^2             LE + H = 876 W/m^2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</si>
</sst>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hh:mm:ss.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charset val="1"/>
    </font>
    <font>
      <b/>
      <sz val="9"/>
      <color indexed="81"/>
      <name val="Tahoma"/>
      <charset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47" fontId="0" fillId="0" borderId="0" xfId="0" applyNumberFormat="1"/>
    <xf numFmtId="22" fontId="0" fillId="0" borderId="0" xfId="0" applyNumberFormat="1"/>
    <xf numFmtId="164" fontId="0" fillId="0" borderId="0" xfId="0" applyNumberFormat="1"/>
    <xf numFmtId="11" fontId="0" fillId="0" borderId="0" xfId="0" applyNumberFormat="1"/>
    <xf numFmtId="0" fontId="0" fillId="33" borderId="0" xfId="0" applyFill="1"/>
    <xf numFmtId="164" fontId="0" fillId="33" borderId="0" xfId="0" applyNumberFormat="1" applyFill="1"/>
    <xf numFmtId="0" fontId="0" fillId="0" borderId="0" xfId="0" applyAlignment="1">
      <alignment wrapText="1"/>
    </xf>
    <xf numFmtId="0" fontId="0" fillId="0" borderId="0" xfId="0" applyAlignment="1"/>
    <xf numFmtId="49"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duct/Paper&amp;Pencil_Exercise/Ryan's%20version/PaperPencilAnswers_te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s_data"/>
      <sheetName val="Tc, Xc, Xv"/>
      <sheetName val="Statistics"/>
      <sheetName val="Covariances"/>
      <sheetName val="Q&amp;A"/>
    </sheetNames>
    <sheetDataSet>
      <sheetData sheetId="0"/>
      <sheetData sheetId="1">
        <row r="2">
          <cell r="B2">
            <v>8.3142999999999993E-6</v>
          </cell>
        </row>
        <row r="3">
          <cell r="B3">
            <v>273.14999999999998</v>
          </cell>
        </row>
        <row r="4">
          <cell r="B4">
            <v>44</v>
          </cell>
        </row>
        <row r="5">
          <cell r="B5">
            <v>1.7999999999999999E-2</v>
          </cell>
        </row>
      </sheetData>
      <sheetData sheetId="2"/>
      <sheetData sheetId="3">
        <row r="7">
          <cell r="B7">
            <v>2440</v>
          </cell>
        </row>
        <row r="23">
          <cell r="H23">
            <v>34.920051206428262</v>
          </cell>
          <cell r="R23">
            <v>96.812084999999982</v>
          </cell>
        </row>
      </sheetData>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workbookViewId="0">
      <selection activeCell="F16" sqref="F16"/>
    </sheetView>
  </sheetViews>
  <sheetFormatPr defaultRowHeight="14.25" x14ac:dyDescent="0.45"/>
  <cols>
    <col min="1" max="1" width="15.73046875" customWidth="1"/>
  </cols>
  <sheetData>
    <row r="1" spans="1:12" x14ac:dyDescent="0.45">
      <c r="A1" t="s">
        <v>29</v>
      </c>
      <c r="C1" t="s">
        <v>61</v>
      </c>
    </row>
    <row r="2" spans="1:12" x14ac:dyDescent="0.45">
      <c r="A2" t="s">
        <v>34</v>
      </c>
      <c r="B2" s="4">
        <v>8.3142999999999993E-6</v>
      </c>
      <c r="C2" t="s">
        <v>30</v>
      </c>
    </row>
    <row r="3" spans="1:12" x14ac:dyDescent="0.45">
      <c r="A3" t="s">
        <v>31</v>
      </c>
      <c r="B3">
        <v>273.14999999999998</v>
      </c>
    </row>
    <row r="4" spans="1:12" x14ac:dyDescent="0.45">
      <c r="A4" t="s">
        <v>60</v>
      </c>
      <c r="B4">
        <v>44</v>
      </c>
      <c r="C4" t="s">
        <v>32</v>
      </c>
    </row>
    <row r="5" spans="1:12" x14ac:dyDescent="0.45">
      <c r="A5" t="s">
        <v>59</v>
      </c>
      <c r="B5">
        <v>1.7999999999999999E-2</v>
      </c>
      <c r="C5" t="s">
        <v>33</v>
      </c>
    </row>
    <row r="6" spans="1:12" x14ac:dyDescent="0.45">
      <c r="A6" t="s">
        <v>39</v>
      </c>
      <c r="B6">
        <v>1.1000000000000001</v>
      </c>
      <c r="C6" t="s">
        <v>40</v>
      </c>
    </row>
    <row r="7" spans="1:12" x14ac:dyDescent="0.45">
      <c r="A7" t="s">
        <v>57</v>
      </c>
      <c r="B7">
        <v>2440</v>
      </c>
      <c r="C7" t="s">
        <v>41</v>
      </c>
    </row>
    <row r="8" spans="1:12" x14ac:dyDescent="0.45">
      <c r="A8" t="s">
        <v>58</v>
      </c>
      <c r="B8">
        <v>1005</v>
      </c>
      <c r="C8" t="s">
        <v>42</v>
      </c>
    </row>
    <row r="10" spans="1:12" x14ac:dyDescent="0.45">
      <c r="A10" t="s">
        <v>0</v>
      </c>
      <c r="B10" t="s">
        <v>1</v>
      </c>
      <c r="C10" t="s">
        <v>2</v>
      </c>
      <c r="D10">
        <v>5</v>
      </c>
      <c r="E10" t="s">
        <v>3</v>
      </c>
      <c r="F10" t="s">
        <v>71</v>
      </c>
      <c r="G10">
        <v>45110</v>
      </c>
      <c r="H10" t="s">
        <v>4</v>
      </c>
    </row>
    <row r="11" spans="1:12" x14ac:dyDescent="0.45">
      <c r="A11" t="s">
        <v>5</v>
      </c>
      <c r="B11" t="s">
        <v>6</v>
      </c>
      <c r="C11" t="s">
        <v>7</v>
      </c>
      <c r="D11" t="s">
        <v>8</v>
      </c>
      <c r="E11" t="s">
        <v>9</v>
      </c>
      <c r="F11" t="s">
        <v>10</v>
      </c>
      <c r="G11" t="s">
        <v>11</v>
      </c>
      <c r="H11" t="s">
        <v>12</v>
      </c>
      <c r="I11" t="s">
        <v>13</v>
      </c>
      <c r="J11" t="s">
        <v>72</v>
      </c>
      <c r="K11" t="s">
        <v>14</v>
      </c>
      <c r="L11" t="s">
        <v>15</v>
      </c>
    </row>
    <row r="12" spans="1:12" x14ac:dyDescent="0.45">
      <c r="A12" t="s">
        <v>16</v>
      </c>
      <c r="B12" t="s">
        <v>17</v>
      </c>
      <c r="C12" t="s">
        <v>18</v>
      </c>
      <c r="D12" t="s">
        <v>18</v>
      </c>
      <c r="E12" t="s">
        <v>18</v>
      </c>
      <c r="F12" t="s">
        <v>19</v>
      </c>
      <c r="G12" t="s">
        <v>20</v>
      </c>
      <c r="H12" t="s">
        <v>21</v>
      </c>
      <c r="I12" t="s">
        <v>22</v>
      </c>
      <c r="J12" t="s">
        <v>23</v>
      </c>
      <c r="K12" t="s">
        <v>19</v>
      </c>
      <c r="L12" t="s">
        <v>22</v>
      </c>
    </row>
    <row r="13" spans="1:12" x14ac:dyDescent="0.45">
      <c r="C13" t="s">
        <v>24</v>
      </c>
      <c r="D13" t="s">
        <v>24</v>
      </c>
      <c r="E13" t="s">
        <v>24</v>
      </c>
      <c r="F13" t="s">
        <v>24</v>
      </c>
      <c r="G13" t="s">
        <v>24</v>
      </c>
      <c r="H13" t="s">
        <v>24</v>
      </c>
      <c r="I13" t="s">
        <v>24</v>
      </c>
      <c r="J13" t="s">
        <v>24</v>
      </c>
      <c r="K13" t="s">
        <v>24</v>
      </c>
      <c r="L13" t="s">
        <v>24</v>
      </c>
    </row>
    <row r="14" spans="1:12" x14ac:dyDescent="0.45">
      <c r="A14" s="1">
        <v>38929.562564814813</v>
      </c>
      <c r="B14">
        <v>486055</v>
      </c>
      <c r="C14">
        <v>3.5470000000000002</v>
      </c>
      <c r="D14">
        <v>0.69925000000000004</v>
      </c>
      <c r="E14">
        <v>-1.12025</v>
      </c>
      <c r="F14">
        <v>36.986420000000003</v>
      </c>
      <c r="G14">
        <v>565.20000000000005</v>
      </c>
      <c r="H14">
        <v>18.588730000000002</v>
      </c>
      <c r="I14">
        <v>96.814430000000002</v>
      </c>
      <c r="J14">
        <v>0</v>
      </c>
      <c r="K14">
        <v>35.267809999999997</v>
      </c>
      <c r="L14">
        <v>2.53213</v>
      </c>
    </row>
    <row r="15" spans="1:12" x14ac:dyDescent="0.45">
      <c r="A15" s="1">
        <v>38929.562565972221</v>
      </c>
      <c r="B15">
        <v>486056</v>
      </c>
      <c r="C15">
        <v>2.2745000000000002</v>
      </c>
      <c r="D15">
        <v>0.70625000000000004</v>
      </c>
      <c r="E15">
        <v>0.38324999999999998</v>
      </c>
      <c r="F15">
        <v>37.227170000000001</v>
      </c>
      <c r="G15">
        <v>565.79160000000002</v>
      </c>
      <c r="H15">
        <v>18.491399999999999</v>
      </c>
      <c r="I15">
        <v>96.779349999999994</v>
      </c>
      <c r="J15">
        <v>0</v>
      </c>
      <c r="K15">
        <v>35.281059999999997</v>
      </c>
      <c r="L15">
        <v>2.5397599999999998</v>
      </c>
    </row>
    <row r="16" spans="1:12" x14ac:dyDescent="0.45">
      <c r="A16" s="1">
        <v>38929.562567129629</v>
      </c>
      <c r="B16">
        <v>486057</v>
      </c>
      <c r="C16">
        <v>2.2930000000000001</v>
      </c>
      <c r="D16">
        <v>1.3207500000000001</v>
      </c>
      <c r="E16">
        <v>1.2909999999999999</v>
      </c>
      <c r="F16">
        <v>38.316160000000004</v>
      </c>
      <c r="G16">
        <v>566.76790000000005</v>
      </c>
      <c r="H16">
        <v>18.36722</v>
      </c>
      <c r="I16">
        <v>96.76249</v>
      </c>
      <c r="J16">
        <v>0</v>
      </c>
      <c r="K16">
        <v>35.26614</v>
      </c>
      <c r="L16">
        <v>2.5338799999999999</v>
      </c>
    </row>
    <row r="17" spans="1:12" x14ac:dyDescent="0.45">
      <c r="A17" s="1">
        <v>38929.562568287038</v>
      </c>
      <c r="B17">
        <v>486058</v>
      </c>
      <c r="C17">
        <v>2.3285</v>
      </c>
      <c r="D17">
        <v>-0.11849999999999999</v>
      </c>
      <c r="E17">
        <v>1.476</v>
      </c>
      <c r="F17">
        <v>38.324979999999996</v>
      </c>
      <c r="G17">
        <v>566.27949999999998</v>
      </c>
      <c r="H17">
        <v>18.452950000000001</v>
      </c>
      <c r="I17">
        <v>96.822879999999998</v>
      </c>
      <c r="J17">
        <v>0</v>
      </c>
      <c r="K17">
        <v>35.239629999999998</v>
      </c>
      <c r="L17">
        <v>2.53735</v>
      </c>
    </row>
    <row r="18" spans="1:12" x14ac:dyDescent="0.45">
      <c r="A18" s="2">
        <v>38929.562569444446</v>
      </c>
      <c r="B18">
        <v>486059</v>
      </c>
      <c r="C18">
        <v>1.8879999999999999</v>
      </c>
      <c r="D18">
        <v>0.60799999999999998</v>
      </c>
      <c r="E18">
        <v>1.6972499999999999</v>
      </c>
      <c r="F18">
        <v>38.203490000000002</v>
      </c>
      <c r="G18">
        <v>564.30439999999999</v>
      </c>
      <c r="H18">
        <v>18.792470000000002</v>
      </c>
      <c r="I18">
        <v>96.822879999999998</v>
      </c>
      <c r="J18">
        <v>0</v>
      </c>
      <c r="K18">
        <v>35.269460000000002</v>
      </c>
      <c r="L18">
        <v>2.5390799999999998</v>
      </c>
    </row>
    <row r="19" spans="1:12" x14ac:dyDescent="0.45">
      <c r="A19" s="1">
        <v>38929.562570601855</v>
      </c>
      <c r="B19">
        <v>486060</v>
      </c>
      <c r="C19">
        <v>3.4822500000000001</v>
      </c>
      <c r="D19">
        <v>-9.7000000000000003E-2</v>
      </c>
      <c r="E19">
        <v>0.24</v>
      </c>
      <c r="F19">
        <v>37.455719999999999</v>
      </c>
      <c r="G19">
        <v>565.1694</v>
      </c>
      <c r="H19">
        <v>18.623180000000001</v>
      </c>
      <c r="I19">
        <v>96.796909999999997</v>
      </c>
      <c r="J19">
        <v>0</v>
      </c>
      <c r="K19">
        <v>35.254550000000002</v>
      </c>
      <c r="L19">
        <v>2.5378400000000001</v>
      </c>
    </row>
    <row r="20" spans="1:12" x14ac:dyDescent="0.45">
      <c r="A20" s="1">
        <v>38929.562571759256</v>
      </c>
      <c r="B20">
        <v>486061</v>
      </c>
      <c r="C20">
        <v>4.2287499999999998</v>
      </c>
      <c r="D20">
        <v>0.92</v>
      </c>
      <c r="E20">
        <v>1.0575000000000001</v>
      </c>
      <c r="F20">
        <v>37.886659999999999</v>
      </c>
      <c r="G20">
        <v>566.15859999999998</v>
      </c>
      <c r="H20">
        <v>18.52571</v>
      </c>
      <c r="I20">
        <v>96.822879999999998</v>
      </c>
      <c r="J20">
        <v>0</v>
      </c>
      <c r="K20">
        <v>35.211460000000002</v>
      </c>
      <c r="L20">
        <v>2.5347300000000001</v>
      </c>
    </row>
    <row r="21" spans="1:12" x14ac:dyDescent="0.45">
      <c r="A21" s="1">
        <v>38929.562572916664</v>
      </c>
      <c r="B21">
        <v>486062</v>
      </c>
      <c r="C21">
        <v>5.5787500000000003</v>
      </c>
      <c r="D21">
        <v>-0.14499999999999999</v>
      </c>
      <c r="E21">
        <v>0.65225</v>
      </c>
      <c r="F21">
        <v>36.963590000000003</v>
      </c>
      <c r="G21">
        <v>566.9932</v>
      </c>
      <c r="H21">
        <v>18.40635</v>
      </c>
      <c r="I21">
        <v>96.822879999999998</v>
      </c>
      <c r="J21">
        <v>0</v>
      </c>
      <c r="K21">
        <v>35.30095</v>
      </c>
      <c r="L21">
        <v>2.5461499999999999</v>
      </c>
    </row>
    <row r="22" spans="1:12" x14ac:dyDescent="0.45">
      <c r="A22" s="1">
        <v>38929.562574074072</v>
      </c>
      <c r="B22">
        <v>486063</v>
      </c>
      <c r="C22">
        <v>5.1615000000000002</v>
      </c>
      <c r="D22">
        <v>0.747</v>
      </c>
      <c r="E22">
        <v>-0.66425000000000001</v>
      </c>
      <c r="F22">
        <v>36.7774</v>
      </c>
      <c r="G22">
        <v>569.13120000000004</v>
      </c>
      <c r="H22">
        <v>18.06692</v>
      </c>
      <c r="I22">
        <v>96.822879999999998</v>
      </c>
      <c r="J22">
        <v>0</v>
      </c>
      <c r="K22">
        <v>35.241289999999999</v>
      </c>
      <c r="L22">
        <v>2.5386299999999999</v>
      </c>
    </row>
    <row r="23" spans="1:12" x14ac:dyDescent="0.45">
      <c r="A23" s="1">
        <v>38929.562575231481</v>
      </c>
      <c r="B23">
        <v>486064</v>
      </c>
      <c r="C23">
        <v>5.17225</v>
      </c>
      <c r="D23">
        <v>0.68325000000000002</v>
      </c>
      <c r="E23">
        <v>-0.47875000000000001</v>
      </c>
      <c r="F23">
        <v>36.780880000000003</v>
      </c>
      <c r="G23">
        <v>569.82989999999995</v>
      </c>
      <c r="H23">
        <v>18.332450000000001</v>
      </c>
      <c r="I23">
        <v>96.822879999999998</v>
      </c>
      <c r="J23">
        <v>0</v>
      </c>
      <c r="K23">
        <v>35.282719999999998</v>
      </c>
      <c r="L23">
        <v>2.5387599999999999</v>
      </c>
    </row>
  </sheetData>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22"/>
  <sheetViews>
    <sheetView topLeftCell="B1" workbookViewId="0">
      <selection activeCell="M13" sqref="M13"/>
    </sheetView>
  </sheetViews>
  <sheetFormatPr defaultRowHeight="14.25" x14ac:dyDescent="0.45"/>
  <cols>
    <col min="1" max="1" width="23.86328125" customWidth="1"/>
  </cols>
  <sheetData>
    <row r="1" spans="1:18" x14ac:dyDescent="0.45">
      <c r="A1" t="s">
        <v>29</v>
      </c>
      <c r="C1" t="s">
        <v>61</v>
      </c>
    </row>
    <row r="2" spans="1:18" x14ac:dyDescent="0.45">
      <c r="A2" t="s">
        <v>34</v>
      </c>
      <c r="B2" s="4">
        <v>8.3142999999999993E-6</v>
      </c>
      <c r="C2" t="s">
        <v>30</v>
      </c>
    </row>
    <row r="3" spans="1:18" x14ac:dyDescent="0.45">
      <c r="A3" t="s">
        <v>31</v>
      </c>
      <c r="B3">
        <v>273.14999999999998</v>
      </c>
    </row>
    <row r="4" spans="1:18" ht="15.6" customHeight="1" x14ac:dyDescent="0.45">
      <c r="A4" t="s">
        <v>60</v>
      </c>
      <c r="B4">
        <v>44</v>
      </c>
      <c r="C4" t="s">
        <v>32</v>
      </c>
    </row>
    <row r="5" spans="1:18" x14ac:dyDescent="0.45">
      <c r="A5" t="s">
        <v>59</v>
      </c>
      <c r="B5">
        <v>1.7999999999999999E-2</v>
      </c>
      <c r="C5" t="s">
        <v>33</v>
      </c>
    </row>
    <row r="6" spans="1:18" x14ac:dyDescent="0.45">
      <c r="A6" t="s">
        <v>39</v>
      </c>
      <c r="B6">
        <v>1.1000000000000001</v>
      </c>
      <c r="C6" t="s">
        <v>40</v>
      </c>
    </row>
    <row r="7" spans="1:18" x14ac:dyDescent="0.45">
      <c r="A7" t="s">
        <v>57</v>
      </c>
      <c r="B7">
        <v>2440</v>
      </c>
      <c r="C7" t="s">
        <v>41</v>
      </c>
    </row>
    <row r="8" spans="1:18" x14ac:dyDescent="0.45">
      <c r="A8" t="s">
        <v>58</v>
      </c>
      <c r="B8">
        <v>1005</v>
      </c>
      <c r="C8" t="s">
        <v>42</v>
      </c>
    </row>
    <row r="10" spans="1:18" x14ac:dyDescent="0.45">
      <c r="A10" t="s">
        <v>5</v>
      </c>
      <c r="B10" t="s">
        <v>6</v>
      </c>
      <c r="C10" t="s">
        <v>7</v>
      </c>
      <c r="D10" t="s">
        <v>8</v>
      </c>
      <c r="E10" t="s">
        <v>9</v>
      </c>
      <c r="F10" t="s">
        <v>10</v>
      </c>
      <c r="G10" s="5" t="s">
        <v>25</v>
      </c>
      <c r="H10" s="5" t="s">
        <v>26</v>
      </c>
      <c r="I10" s="5" t="s">
        <v>73</v>
      </c>
      <c r="J10" t="s">
        <v>11</v>
      </c>
      <c r="K10" s="5" t="s">
        <v>28</v>
      </c>
      <c r="L10" t="s">
        <v>12</v>
      </c>
      <c r="M10" s="5" t="s">
        <v>65</v>
      </c>
      <c r="N10" t="s">
        <v>27</v>
      </c>
      <c r="O10" t="s">
        <v>13</v>
      </c>
      <c r="P10" t="s">
        <v>72</v>
      </c>
      <c r="Q10" t="s">
        <v>14</v>
      </c>
      <c r="R10" t="s">
        <v>15</v>
      </c>
    </row>
    <row r="11" spans="1:18" x14ac:dyDescent="0.45">
      <c r="A11" t="s">
        <v>16</v>
      </c>
      <c r="B11" t="s">
        <v>17</v>
      </c>
      <c r="C11" t="s">
        <v>18</v>
      </c>
      <c r="D11" t="s">
        <v>18</v>
      </c>
      <c r="E11" t="s">
        <v>18</v>
      </c>
      <c r="F11" t="s">
        <v>19</v>
      </c>
      <c r="G11" s="5" t="s">
        <v>19</v>
      </c>
      <c r="H11" s="5" t="s">
        <v>19</v>
      </c>
      <c r="I11" s="5" t="s">
        <v>68</v>
      </c>
      <c r="J11" t="s">
        <v>20</v>
      </c>
      <c r="K11" s="5" t="s">
        <v>36</v>
      </c>
      <c r="L11" t="s">
        <v>21</v>
      </c>
      <c r="M11" s="5" t="s">
        <v>35</v>
      </c>
      <c r="N11" t="s">
        <v>22</v>
      </c>
      <c r="O11" t="s">
        <v>22</v>
      </c>
      <c r="P11" t="s">
        <v>23</v>
      </c>
      <c r="Q11" t="s">
        <v>19</v>
      </c>
      <c r="R11" t="s">
        <v>22</v>
      </c>
    </row>
    <row r="12" spans="1:18" x14ac:dyDescent="0.45">
      <c r="C12" t="s">
        <v>24</v>
      </c>
      <c r="D12" t="s">
        <v>24</v>
      </c>
      <c r="E12" t="s">
        <v>24</v>
      </c>
      <c r="F12" t="s">
        <v>24</v>
      </c>
      <c r="G12" s="5"/>
      <c r="H12" s="5"/>
      <c r="I12" s="5"/>
      <c r="J12" t="s">
        <v>24</v>
      </c>
      <c r="K12" s="5"/>
      <c r="L12" t="s">
        <v>24</v>
      </c>
      <c r="M12" s="5"/>
      <c r="O12" t="s">
        <v>24</v>
      </c>
      <c r="P12" t="s">
        <v>24</v>
      </c>
      <c r="Q12" t="s">
        <v>24</v>
      </c>
      <c r="R12" t="s">
        <v>24</v>
      </c>
    </row>
    <row r="13" spans="1:18" x14ac:dyDescent="0.45">
      <c r="A13" s="6">
        <v>38929.562564814813</v>
      </c>
      <c r="B13">
        <v>486055</v>
      </c>
      <c r="C13">
        <v>2.2930000000000001</v>
      </c>
      <c r="D13">
        <v>1.3207500000000001</v>
      </c>
      <c r="E13">
        <v>1.2909999999999999</v>
      </c>
      <c r="F13">
        <v>38.316160000000004</v>
      </c>
      <c r="G13" s="5">
        <f t="shared" ref="G13:G20" si="0">(T_convert+F13)/(1+0.32*N13/O13)-T_convert</f>
        <v>35.644089059954126</v>
      </c>
      <c r="H13" s="5">
        <f t="shared" ref="H13:H20" si="1">(T_convert+F13)/(1+0.32*R13/O13)-T_convert</f>
        <v>35.729625925665573</v>
      </c>
      <c r="I13" s="5">
        <f>(H13-G13)/G13*100</f>
        <v>0.23997489616741771</v>
      </c>
      <c r="J13">
        <v>566.76790000000005</v>
      </c>
      <c r="K13" s="5">
        <f t="shared" ref="K13:K20" si="2">(J13/Mc)/(O13/(R_const*(G13+T_convert))-L13/Mv)*10^6</f>
        <v>351.28577487300549</v>
      </c>
      <c r="L13">
        <v>18.36722</v>
      </c>
      <c r="M13" s="5">
        <f t="shared" ref="M13:M20" si="3">(L13/Mv)/(O13/(R_const*(G13+T_convert))-L13/Mv)*10^3</f>
        <v>27.827802844708508</v>
      </c>
      <c r="N13">
        <f t="shared" ref="N13:N20" si="4">L13*R_const*(Q13+273.15)/Mv</f>
        <v>2.6165923221137302</v>
      </c>
      <c r="O13">
        <v>96.76249</v>
      </c>
      <c r="P13">
        <v>0</v>
      </c>
      <c r="Q13">
        <v>35.267809999999997</v>
      </c>
      <c r="R13">
        <v>2.53213</v>
      </c>
    </row>
    <row r="14" spans="1:18" x14ac:dyDescent="0.45">
      <c r="A14" s="6">
        <v>38929.562565972221</v>
      </c>
      <c r="B14">
        <v>486056</v>
      </c>
      <c r="C14">
        <v>2.3285</v>
      </c>
      <c r="D14">
        <v>-0.11849999999999999</v>
      </c>
      <c r="E14">
        <v>1.476</v>
      </c>
      <c r="F14">
        <v>38.324979999999996</v>
      </c>
      <c r="G14" s="5">
        <f t="shared" si="0"/>
        <v>35.642014184714583</v>
      </c>
      <c r="H14" s="5">
        <f t="shared" si="1"/>
        <v>35.732248105396025</v>
      </c>
      <c r="I14" s="5">
        <f t="shared" ref="I14:I20" si="5">(H14-G14)/G14*100</f>
        <v>0.25316728794788329</v>
      </c>
      <c r="J14">
        <v>566.27949999999998</v>
      </c>
      <c r="K14" s="5">
        <f t="shared" si="2"/>
        <v>350.80117300696884</v>
      </c>
      <c r="L14">
        <v>18.452950000000001</v>
      </c>
      <c r="M14" s="5">
        <f t="shared" si="3"/>
        <v>27.943202197591045</v>
      </c>
      <c r="N14">
        <f t="shared" si="4"/>
        <v>2.6289183459713041</v>
      </c>
      <c r="O14">
        <v>96.822879999999998</v>
      </c>
      <c r="P14">
        <v>0</v>
      </c>
      <c r="Q14">
        <v>35.281059999999997</v>
      </c>
      <c r="R14">
        <v>2.5397599999999998</v>
      </c>
    </row>
    <row r="15" spans="1:18" x14ac:dyDescent="0.45">
      <c r="A15" s="6">
        <v>38929.562567129629</v>
      </c>
      <c r="B15">
        <v>486057</v>
      </c>
      <c r="C15">
        <v>1.8879999999999999</v>
      </c>
      <c r="D15">
        <v>0.60799999999999998</v>
      </c>
      <c r="E15">
        <v>1.6972499999999999</v>
      </c>
      <c r="F15">
        <v>38.203490000000002</v>
      </c>
      <c r="G15" s="5">
        <f t="shared" si="0"/>
        <v>35.472789169746193</v>
      </c>
      <c r="H15" s="5">
        <f t="shared" si="1"/>
        <v>35.617719859725128</v>
      </c>
      <c r="I15" s="5">
        <f t="shared" si="5"/>
        <v>0.40856863351061901</v>
      </c>
      <c r="J15">
        <v>564.30439999999999</v>
      </c>
      <c r="K15" s="5">
        <f t="shared" si="2"/>
        <v>349.56032252782808</v>
      </c>
      <c r="L15">
        <v>18.792470000000002</v>
      </c>
      <c r="M15" s="5">
        <f t="shared" si="3"/>
        <v>28.455926591408581</v>
      </c>
      <c r="N15">
        <f t="shared" si="4"/>
        <v>2.6771588983556778</v>
      </c>
      <c r="O15">
        <v>96.822879999999998</v>
      </c>
      <c r="P15">
        <v>0</v>
      </c>
      <c r="Q15">
        <v>35.26614</v>
      </c>
      <c r="R15">
        <v>2.5338799999999999</v>
      </c>
    </row>
    <row r="16" spans="1:18" x14ac:dyDescent="0.45">
      <c r="A16" s="6">
        <v>38929.562568287038</v>
      </c>
      <c r="B16">
        <v>486058</v>
      </c>
      <c r="C16">
        <v>3.4822500000000001</v>
      </c>
      <c r="D16">
        <v>-9.7000000000000003E-2</v>
      </c>
      <c r="E16">
        <v>0.24</v>
      </c>
      <c r="F16">
        <v>37.455719999999999</v>
      </c>
      <c r="G16" s="5">
        <f t="shared" si="0"/>
        <v>34.755416335912571</v>
      </c>
      <c r="H16" s="5">
        <f t="shared" si="1"/>
        <v>34.871969606870323</v>
      </c>
      <c r="I16" s="5">
        <f t="shared" si="5"/>
        <v>0.33535282625090612</v>
      </c>
      <c r="J16">
        <v>565.1694</v>
      </c>
      <c r="K16" s="5">
        <f t="shared" si="2"/>
        <v>349.26629608668054</v>
      </c>
      <c r="L16">
        <v>18.623180000000001</v>
      </c>
      <c r="M16" s="5">
        <f t="shared" si="3"/>
        <v>28.132741203890387</v>
      </c>
      <c r="N16">
        <f t="shared" si="4"/>
        <v>2.6528139494892127</v>
      </c>
      <c r="O16">
        <v>96.796909999999997</v>
      </c>
      <c r="P16">
        <v>0</v>
      </c>
      <c r="Q16">
        <v>35.239629999999998</v>
      </c>
      <c r="R16">
        <v>2.53735</v>
      </c>
    </row>
    <row r="17" spans="1:18" x14ac:dyDescent="0.45">
      <c r="A17" s="6">
        <v>38929.562569444446</v>
      </c>
      <c r="B17">
        <v>486059</v>
      </c>
      <c r="C17">
        <v>4.2287499999999998</v>
      </c>
      <c r="D17">
        <v>0.92</v>
      </c>
      <c r="E17">
        <v>1.0575000000000001</v>
      </c>
      <c r="F17">
        <v>37.886659999999999</v>
      </c>
      <c r="G17" s="5">
        <f t="shared" si="0"/>
        <v>35.197097345762415</v>
      </c>
      <c r="H17" s="5">
        <f t="shared" si="1"/>
        <v>35.298264138169202</v>
      </c>
      <c r="I17" s="5">
        <f t="shared" si="5"/>
        <v>0.28742936217996556</v>
      </c>
      <c r="J17">
        <v>566.15859999999998</v>
      </c>
      <c r="K17" s="5">
        <f t="shared" si="2"/>
        <v>350.24537347219217</v>
      </c>
      <c r="L17">
        <v>18.52571</v>
      </c>
      <c r="M17" s="5">
        <f t="shared" si="3"/>
        <v>28.01491643101922</v>
      </c>
      <c r="N17">
        <f t="shared" si="4"/>
        <v>2.6391849109061392</v>
      </c>
      <c r="O17">
        <v>96.822879999999998</v>
      </c>
      <c r="P17">
        <v>0</v>
      </c>
      <c r="Q17">
        <v>35.269460000000002</v>
      </c>
      <c r="R17">
        <v>2.5390799999999998</v>
      </c>
    </row>
    <row r="18" spans="1:18" x14ac:dyDescent="0.45">
      <c r="A18" s="6">
        <v>38929.562570601855</v>
      </c>
      <c r="B18">
        <v>486060</v>
      </c>
      <c r="C18">
        <v>5.5787500000000003</v>
      </c>
      <c r="D18">
        <v>-0.14499999999999999</v>
      </c>
      <c r="E18">
        <v>0.65225</v>
      </c>
      <c r="F18">
        <v>36.963590000000003</v>
      </c>
      <c r="G18" s="5">
        <f t="shared" si="0"/>
        <v>34.299265733555671</v>
      </c>
      <c r="H18" s="5">
        <f t="shared" si="1"/>
        <v>34.384125624227067</v>
      </c>
      <c r="I18" s="5">
        <f t="shared" si="5"/>
        <v>0.24741022542758348</v>
      </c>
      <c r="J18">
        <v>566.9932</v>
      </c>
      <c r="K18" s="5">
        <f t="shared" si="2"/>
        <v>349.64890439338046</v>
      </c>
      <c r="L18">
        <v>18.40635</v>
      </c>
      <c r="M18" s="5">
        <f t="shared" si="3"/>
        <v>27.746114151003376</v>
      </c>
      <c r="N18">
        <f t="shared" si="4"/>
        <v>2.6220540415377172</v>
      </c>
      <c r="O18">
        <v>96.822879999999998</v>
      </c>
      <c r="P18">
        <v>0</v>
      </c>
      <c r="Q18">
        <v>35.254550000000002</v>
      </c>
      <c r="R18">
        <v>2.5378400000000001</v>
      </c>
    </row>
    <row r="19" spans="1:18" x14ac:dyDescent="0.45">
      <c r="A19" s="6">
        <v>38929.562571759256</v>
      </c>
      <c r="B19">
        <v>486061</v>
      </c>
      <c r="C19">
        <v>5.1615000000000002</v>
      </c>
      <c r="D19">
        <v>0.747</v>
      </c>
      <c r="E19">
        <v>-0.66425000000000001</v>
      </c>
      <c r="F19">
        <v>36.7774</v>
      </c>
      <c r="G19" s="5">
        <f t="shared" si="0"/>
        <v>34.163726460766782</v>
      </c>
      <c r="H19" s="5">
        <f t="shared" si="1"/>
        <v>34.202617182218773</v>
      </c>
      <c r="I19" s="5">
        <f t="shared" si="5"/>
        <v>0.11383629797133939</v>
      </c>
      <c r="J19">
        <v>569.13120000000004</v>
      </c>
      <c r="K19" s="5">
        <f t="shared" si="2"/>
        <v>350.62901119971167</v>
      </c>
      <c r="L19">
        <v>18.06692</v>
      </c>
      <c r="M19" s="5">
        <f t="shared" si="3"/>
        <v>27.208195870503921</v>
      </c>
      <c r="N19">
        <f t="shared" si="4"/>
        <v>2.573341361558326</v>
      </c>
      <c r="O19">
        <v>96.822879999999998</v>
      </c>
      <c r="P19">
        <v>0</v>
      </c>
      <c r="Q19">
        <v>35.211460000000002</v>
      </c>
      <c r="R19">
        <v>2.5347300000000001</v>
      </c>
    </row>
    <row r="20" spans="1:18" x14ac:dyDescent="0.45">
      <c r="A20" s="6">
        <v>38929.562572916664</v>
      </c>
      <c r="B20">
        <v>486062</v>
      </c>
      <c r="C20">
        <v>5.17225</v>
      </c>
      <c r="D20">
        <v>0.68325000000000002</v>
      </c>
      <c r="E20">
        <v>-0.47875000000000001</v>
      </c>
      <c r="F20">
        <v>36.780880000000003</v>
      </c>
      <c r="G20" s="5">
        <f t="shared" si="0"/>
        <v>34.128329130150917</v>
      </c>
      <c r="H20" s="5">
        <f t="shared" si="1"/>
        <v>34.194564491500273</v>
      </c>
      <c r="I20" s="5">
        <f t="shared" si="5"/>
        <v>0.19407736340318044</v>
      </c>
      <c r="J20">
        <v>569.82989999999995</v>
      </c>
      <c r="K20" s="5">
        <f t="shared" si="2"/>
        <v>351.15833292144481</v>
      </c>
      <c r="L20">
        <v>18.332450000000001</v>
      </c>
      <c r="M20" s="5">
        <f t="shared" si="3"/>
        <v>27.615850657664357</v>
      </c>
      <c r="N20">
        <f t="shared" si="4"/>
        <v>2.6119196162922407</v>
      </c>
      <c r="O20">
        <v>96.822879999999998</v>
      </c>
      <c r="P20">
        <v>0</v>
      </c>
      <c r="Q20">
        <v>35.30095</v>
      </c>
      <c r="R20">
        <v>2.5461499999999999</v>
      </c>
    </row>
    <row r="21" spans="1:18" x14ac:dyDescent="0.45">
      <c r="A21" s="3"/>
    </row>
    <row r="22" spans="1:18" x14ac:dyDescent="0.45">
      <c r="A22" s="3"/>
      <c r="I22" s="5">
        <f>AVERAGE(I13:I20)</f>
        <v>0.25997711160736187</v>
      </c>
    </row>
  </sheetData>
  <pageMargins left="0.7" right="0.7" top="0.75" bottom="0.75" header="0.3" footer="0.3"/>
  <pageSetup scale="68"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3"/>
  <sheetViews>
    <sheetView topLeftCell="A4" workbookViewId="0">
      <selection activeCell="C22" sqref="C22"/>
    </sheetView>
  </sheetViews>
  <sheetFormatPr defaultRowHeight="14.25" x14ac:dyDescent="0.45"/>
  <cols>
    <col min="1" max="1" width="23.86328125" customWidth="1"/>
  </cols>
  <sheetData>
    <row r="1" spans="1:17" x14ac:dyDescent="0.45">
      <c r="A1" t="s">
        <v>29</v>
      </c>
    </row>
    <row r="2" spans="1:17" x14ac:dyDescent="0.45">
      <c r="A2" t="s">
        <v>34</v>
      </c>
      <c r="B2" s="4">
        <v>8.3142999999999993E-6</v>
      </c>
      <c r="C2" t="s">
        <v>30</v>
      </c>
    </row>
    <row r="3" spans="1:17" x14ac:dyDescent="0.45">
      <c r="A3" t="s">
        <v>31</v>
      </c>
      <c r="B3">
        <v>273.14999999999998</v>
      </c>
    </row>
    <row r="4" spans="1:17" ht="15.6" customHeight="1" x14ac:dyDescent="0.45">
      <c r="A4" t="s">
        <v>60</v>
      </c>
      <c r="B4">
        <v>44</v>
      </c>
      <c r="C4" t="s">
        <v>32</v>
      </c>
    </row>
    <row r="5" spans="1:17" x14ac:dyDescent="0.45">
      <c r="A5" t="s">
        <v>59</v>
      </c>
      <c r="B5">
        <v>1.7999999999999999E-2</v>
      </c>
      <c r="C5" t="s">
        <v>33</v>
      </c>
    </row>
    <row r="6" spans="1:17" x14ac:dyDescent="0.45">
      <c r="A6" t="s">
        <v>39</v>
      </c>
      <c r="B6">
        <v>1.1000000000000001</v>
      </c>
      <c r="C6" t="s">
        <v>40</v>
      </c>
    </row>
    <row r="7" spans="1:17" x14ac:dyDescent="0.45">
      <c r="A7" t="s">
        <v>57</v>
      </c>
      <c r="B7">
        <v>2440</v>
      </c>
      <c r="C7" t="s">
        <v>41</v>
      </c>
    </row>
    <row r="8" spans="1:17" x14ac:dyDescent="0.45">
      <c r="A8" t="s">
        <v>58</v>
      </c>
      <c r="B8">
        <v>1005</v>
      </c>
      <c r="C8" t="s">
        <v>42</v>
      </c>
    </row>
    <row r="10" spans="1:17" x14ac:dyDescent="0.45">
      <c r="A10" t="s">
        <v>5</v>
      </c>
      <c r="B10" t="s">
        <v>6</v>
      </c>
      <c r="C10" t="s">
        <v>7</v>
      </c>
      <c r="D10" t="s">
        <v>8</v>
      </c>
      <c r="E10" t="s">
        <v>9</v>
      </c>
      <c r="F10" t="s">
        <v>10</v>
      </c>
      <c r="G10" t="s">
        <v>25</v>
      </c>
      <c r="H10" t="s">
        <v>26</v>
      </c>
      <c r="I10" t="s">
        <v>11</v>
      </c>
      <c r="J10" t="s">
        <v>28</v>
      </c>
      <c r="K10" t="s">
        <v>12</v>
      </c>
      <c r="L10" t="s">
        <v>65</v>
      </c>
      <c r="M10" t="s">
        <v>27</v>
      </c>
      <c r="N10" t="s">
        <v>13</v>
      </c>
      <c r="O10" t="s">
        <v>72</v>
      </c>
      <c r="P10" t="s">
        <v>14</v>
      </c>
      <c r="Q10" t="s">
        <v>15</v>
      </c>
    </row>
    <row r="11" spans="1:17" x14ac:dyDescent="0.45">
      <c r="A11" t="s">
        <v>16</v>
      </c>
      <c r="B11" t="s">
        <v>17</v>
      </c>
      <c r="C11" t="s">
        <v>18</v>
      </c>
      <c r="D11" t="s">
        <v>18</v>
      </c>
      <c r="E11" t="s">
        <v>18</v>
      </c>
      <c r="F11" t="s">
        <v>19</v>
      </c>
      <c r="G11" t="s">
        <v>19</v>
      </c>
      <c r="H11" t="s">
        <v>19</v>
      </c>
      <c r="I11" t="s">
        <v>20</v>
      </c>
      <c r="J11" t="s">
        <v>36</v>
      </c>
      <c r="K11" t="s">
        <v>21</v>
      </c>
      <c r="L11" t="s">
        <v>35</v>
      </c>
      <c r="M11" t="s">
        <v>22</v>
      </c>
      <c r="N11" t="s">
        <v>22</v>
      </c>
      <c r="O11" t="s">
        <v>23</v>
      </c>
      <c r="P11" t="s">
        <v>19</v>
      </c>
      <c r="Q11" t="s">
        <v>22</v>
      </c>
    </row>
    <row r="12" spans="1:17" x14ac:dyDescent="0.45">
      <c r="C12" t="s">
        <v>24</v>
      </c>
      <c r="D12" t="s">
        <v>24</v>
      </c>
      <c r="E12" t="s">
        <v>24</v>
      </c>
      <c r="F12" t="s">
        <v>24</v>
      </c>
      <c r="I12" t="s">
        <v>24</v>
      </c>
      <c r="K12" t="s">
        <v>24</v>
      </c>
      <c r="N12" t="s">
        <v>24</v>
      </c>
      <c r="O12" t="s">
        <v>24</v>
      </c>
      <c r="P12" t="s">
        <v>24</v>
      </c>
      <c r="Q12" t="s">
        <v>24</v>
      </c>
    </row>
    <row r="13" spans="1:17" x14ac:dyDescent="0.45">
      <c r="A13" s="3">
        <v>38929.562564814813</v>
      </c>
      <c r="B13">
        <v>486055</v>
      </c>
      <c r="C13">
        <v>2.2930000000000001</v>
      </c>
      <c r="D13">
        <v>1.3207500000000001</v>
      </c>
      <c r="E13">
        <v>1.2909999999999999</v>
      </c>
      <c r="F13">
        <v>38.316160000000004</v>
      </c>
      <c r="G13">
        <f t="shared" ref="G13:G20" si="0">(T_convert+F13)/(1+0.32*M13/N13)-T_convert</f>
        <v>35.644089059954126</v>
      </c>
      <c r="H13">
        <f t="shared" ref="H13:H20" si="1">(T_convert+F13)/(1+0.32*Q13/N13)-T_convert</f>
        <v>35.729625925665573</v>
      </c>
      <c r="I13">
        <v>566.76790000000005</v>
      </c>
      <c r="J13">
        <f t="shared" ref="J13:J20" si="2">(I13/Mc)/(N13/(R_const*(G13+T_convert))-K13/Mv)*10^6</f>
        <v>351.28577487300549</v>
      </c>
      <c r="K13">
        <v>18.36722</v>
      </c>
      <c r="L13">
        <f t="shared" ref="L13:L20" si="3">(K13/Mv)/(N13/(R_const*(G13+T_convert))-K13/Mv)*10^3</f>
        <v>27.827802844708508</v>
      </c>
      <c r="M13">
        <f>K13*0.0000083143*(P13+273.15)/0.018</f>
        <v>2.6165923221137302</v>
      </c>
      <c r="N13">
        <v>96.76249</v>
      </c>
      <c r="O13">
        <v>0</v>
      </c>
      <c r="P13">
        <v>35.267809999999997</v>
      </c>
      <c r="Q13">
        <v>2.53213</v>
      </c>
    </row>
    <row r="14" spans="1:17" x14ac:dyDescent="0.45">
      <c r="A14" s="3">
        <v>38929.562565972221</v>
      </c>
      <c r="B14">
        <v>486056</v>
      </c>
      <c r="C14">
        <v>2.3285</v>
      </c>
      <c r="D14">
        <v>-0.11849999999999999</v>
      </c>
      <c r="E14">
        <v>1.476</v>
      </c>
      <c r="F14">
        <v>38.324979999999996</v>
      </c>
      <c r="G14">
        <f t="shared" si="0"/>
        <v>35.642014184714583</v>
      </c>
      <c r="H14">
        <f t="shared" si="1"/>
        <v>35.732248105396025</v>
      </c>
      <c r="I14">
        <v>566.27949999999998</v>
      </c>
      <c r="J14">
        <f t="shared" si="2"/>
        <v>350.80117300696884</v>
      </c>
      <c r="K14">
        <v>18.452950000000001</v>
      </c>
      <c r="L14">
        <f t="shared" si="3"/>
        <v>27.943202197591045</v>
      </c>
      <c r="M14">
        <f t="shared" ref="M14:M20" si="4">K14*0.0000083143*(P14+273.15)/0.018</f>
        <v>2.6289183459713041</v>
      </c>
      <c r="N14">
        <v>96.822879999999998</v>
      </c>
      <c r="O14">
        <v>0</v>
      </c>
      <c r="P14">
        <v>35.281059999999997</v>
      </c>
      <c r="Q14">
        <v>2.5397599999999998</v>
      </c>
    </row>
    <row r="15" spans="1:17" x14ac:dyDescent="0.45">
      <c r="A15" s="3">
        <v>38929.562567129629</v>
      </c>
      <c r="B15">
        <v>486057</v>
      </c>
      <c r="C15">
        <v>1.8879999999999999</v>
      </c>
      <c r="D15">
        <v>0.60799999999999998</v>
      </c>
      <c r="E15">
        <v>1.6972499999999999</v>
      </c>
      <c r="F15">
        <v>38.203490000000002</v>
      </c>
      <c r="G15">
        <f t="shared" si="0"/>
        <v>35.472789169746193</v>
      </c>
      <c r="H15">
        <f t="shared" si="1"/>
        <v>35.617719859725128</v>
      </c>
      <c r="I15">
        <v>564.30439999999999</v>
      </c>
      <c r="J15">
        <f t="shared" si="2"/>
        <v>349.56032252782808</v>
      </c>
      <c r="K15">
        <v>18.792470000000002</v>
      </c>
      <c r="L15">
        <f t="shared" si="3"/>
        <v>28.455926591408581</v>
      </c>
      <c r="M15">
        <f t="shared" si="4"/>
        <v>2.6771588983556778</v>
      </c>
      <c r="N15">
        <v>96.822879999999998</v>
      </c>
      <c r="O15">
        <v>0</v>
      </c>
      <c r="P15">
        <v>35.26614</v>
      </c>
      <c r="Q15">
        <v>2.5338799999999999</v>
      </c>
    </row>
    <row r="16" spans="1:17" x14ac:dyDescent="0.45">
      <c r="A16" s="3">
        <v>38929.562568287038</v>
      </c>
      <c r="B16">
        <v>486058</v>
      </c>
      <c r="C16">
        <v>3.4822500000000001</v>
      </c>
      <c r="D16">
        <v>-9.7000000000000003E-2</v>
      </c>
      <c r="E16">
        <v>0.24</v>
      </c>
      <c r="F16">
        <v>37.455719999999999</v>
      </c>
      <c r="G16">
        <f t="shared" si="0"/>
        <v>34.755416335912571</v>
      </c>
      <c r="H16">
        <f t="shared" si="1"/>
        <v>34.871969606870323</v>
      </c>
      <c r="I16">
        <v>565.1694</v>
      </c>
      <c r="J16">
        <f t="shared" si="2"/>
        <v>349.26629608668054</v>
      </c>
      <c r="K16">
        <v>18.623180000000001</v>
      </c>
      <c r="L16">
        <f t="shared" si="3"/>
        <v>28.132741203890387</v>
      </c>
      <c r="M16">
        <f t="shared" si="4"/>
        <v>2.6528139494892127</v>
      </c>
      <c r="N16">
        <v>96.796909999999997</v>
      </c>
      <c r="O16">
        <v>0</v>
      </c>
      <c r="P16">
        <v>35.239629999999998</v>
      </c>
      <c r="Q16">
        <v>2.53735</v>
      </c>
    </row>
    <row r="17" spans="1:17" x14ac:dyDescent="0.45">
      <c r="A17" s="3">
        <v>38929.562569444446</v>
      </c>
      <c r="B17">
        <v>486059</v>
      </c>
      <c r="C17">
        <v>4.2287499999999998</v>
      </c>
      <c r="D17">
        <v>0.92</v>
      </c>
      <c r="E17">
        <v>1.0575000000000001</v>
      </c>
      <c r="F17">
        <v>37.886659999999999</v>
      </c>
      <c r="G17">
        <f t="shared" si="0"/>
        <v>35.197097345762415</v>
      </c>
      <c r="H17">
        <f t="shared" si="1"/>
        <v>35.298264138169202</v>
      </c>
      <c r="I17">
        <v>566.15859999999998</v>
      </c>
      <c r="J17">
        <f t="shared" si="2"/>
        <v>350.24537347219217</v>
      </c>
      <c r="K17">
        <v>18.52571</v>
      </c>
      <c r="L17">
        <f t="shared" si="3"/>
        <v>28.01491643101922</v>
      </c>
      <c r="M17">
        <f t="shared" si="4"/>
        <v>2.6391849109061392</v>
      </c>
      <c r="N17">
        <v>96.822879999999998</v>
      </c>
      <c r="O17">
        <v>0</v>
      </c>
      <c r="P17">
        <v>35.269460000000002</v>
      </c>
      <c r="Q17">
        <v>2.5390799999999998</v>
      </c>
    </row>
    <row r="18" spans="1:17" x14ac:dyDescent="0.45">
      <c r="A18" s="3">
        <v>38929.562570601855</v>
      </c>
      <c r="B18">
        <v>486060</v>
      </c>
      <c r="C18">
        <v>5.5787500000000003</v>
      </c>
      <c r="D18">
        <v>-0.14499999999999999</v>
      </c>
      <c r="E18">
        <v>0.65225</v>
      </c>
      <c r="F18">
        <v>36.963590000000003</v>
      </c>
      <c r="G18">
        <f t="shared" si="0"/>
        <v>34.299265733555671</v>
      </c>
      <c r="H18">
        <f t="shared" si="1"/>
        <v>34.384125624227067</v>
      </c>
      <c r="I18">
        <v>566.9932</v>
      </c>
      <c r="J18">
        <f t="shared" si="2"/>
        <v>349.64890439338046</v>
      </c>
      <c r="K18">
        <v>18.40635</v>
      </c>
      <c r="L18">
        <f t="shared" si="3"/>
        <v>27.746114151003376</v>
      </c>
      <c r="M18">
        <f t="shared" si="4"/>
        <v>2.6220540415377172</v>
      </c>
      <c r="N18">
        <v>96.822879999999998</v>
      </c>
      <c r="O18">
        <v>0</v>
      </c>
      <c r="P18">
        <v>35.254550000000002</v>
      </c>
      <c r="Q18">
        <v>2.5378400000000001</v>
      </c>
    </row>
    <row r="19" spans="1:17" x14ac:dyDescent="0.45">
      <c r="A19" s="3">
        <v>38929.562571759256</v>
      </c>
      <c r="B19">
        <v>486061</v>
      </c>
      <c r="C19">
        <v>5.1615000000000002</v>
      </c>
      <c r="D19">
        <v>0.747</v>
      </c>
      <c r="E19">
        <v>-0.66425000000000001</v>
      </c>
      <c r="F19">
        <v>36.7774</v>
      </c>
      <c r="G19">
        <f t="shared" si="0"/>
        <v>34.163726460766782</v>
      </c>
      <c r="H19">
        <f t="shared" si="1"/>
        <v>34.202617182218773</v>
      </c>
      <c r="I19">
        <v>569.13120000000004</v>
      </c>
      <c r="J19">
        <f t="shared" si="2"/>
        <v>350.62901119971167</v>
      </c>
      <c r="K19">
        <v>18.06692</v>
      </c>
      <c r="L19">
        <f t="shared" si="3"/>
        <v>27.208195870503921</v>
      </c>
      <c r="M19">
        <f t="shared" si="4"/>
        <v>2.573341361558326</v>
      </c>
      <c r="N19">
        <v>96.822879999999998</v>
      </c>
      <c r="O19">
        <v>0</v>
      </c>
      <c r="P19">
        <v>35.211460000000002</v>
      </c>
      <c r="Q19">
        <v>2.5347300000000001</v>
      </c>
    </row>
    <row r="20" spans="1:17" x14ac:dyDescent="0.45">
      <c r="A20" s="3">
        <v>38929.562572916664</v>
      </c>
      <c r="B20">
        <v>486062</v>
      </c>
      <c r="C20">
        <v>5.17225</v>
      </c>
      <c r="D20">
        <v>0.68325000000000002</v>
      </c>
      <c r="E20">
        <v>-0.47875000000000001</v>
      </c>
      <c r="F20">
        <v>36.780880000000003</v>
      </c>
      <c r="G20">
        <f t="shared" si="0"/>
        <v>34.128329130150917</v>
      </c>
      <c r="H20">
        <f t="shared" si="1"/>
        <v>34.194564491500273</v>
      </c>
      <c r="I20">
        <v>569.82989999999995</v>
      </c>
      <c r="J20">
        <f t="shared" si="2"/>
        <v>351.15833292144481</v>
      </c>
      <c r="K20">
        <v>18.332450000000001</v>
      </c>
      <c r="L20">
        <f t="shared" si="3"/>
        <v>27.615850657664357</v>
      </c>
      <c r="M20">
        <f t="shared" si="4"/>
        <v>2.6119196162922407</v>
      </c>
      <c r="N20">
        <v>96.822879999999998</v>
      </c>
      <c r="O20">
        <v>0</v>
      </c>
      <c r="P20">
        <v>35.30095</v>
      </c>
      <c r="Q20">
        <v>2.5461499999999999</v>
      </c>
    </row>
    <row r="21" spans="1:17" x14ac:dyDescent="0.45">
      <c r="A21" s="3"/>
    </row>
    <row r="22" spans="1:17" x14ac:dyDescent="0.45">
      <c r="A22" s="6" t="s">
        <v>37</v>
      </c>
      <c r="B22" s="5"/>
      <c r="C22" s="5">
        <f>AVERAGE(C13:C20)</f>
        <v>3.7666250000000003</v>
      </c>
      <c r="D22" s="5">
        <f t="shared" ref="D22:Q22" si="5">AVERAGE(D13:D20)</f>
        <v>0.48981249999999998</v>
      </c>
      <c r="E22" s="5">
        <f t="shared" si="5"/>
        <v>0.65887499999999999</v>
      </c>
      <c r="F22" s="5">
        <f t="shared" si="5"/>
        <v>37.588610000000003</v>
      </c>
      <c r="G22" s="5">
        <f t="shared" si="5"/>
        <v>34.912840927570407</v>
      </c>
      <c r="H22" s="5">
        <f t="shared" si="5"/>
        <v>35.003891866721546</v>
      </c>
      <c r="I22" s="5">
        <f t="shared" si="5"/>
        <v>566.82926249999991</v>
      </c>
      <c r="J22" s="5">
        <f t="shared" si="5"/>
        <v>350.32439856015151</v>
      </c>
      <c r="K22" s="5">
        <f t="shared" si="5"/>
        <v>18.44590625</v>
      </c>
      <c r="L22" s="5">
        <f t="shared" si="5"/>
        <v>27.868093743473676</v>
      </c>
      <c r="M22" s="5">
        <f t="shared" si="5"/>
        <v>2.6277479307780434</v>
      </c>
      <c r="N22" s="5">
        <f t="shared" si="5"/>
        <v>96.812084999999996</v>
      </c>
      <c r="O22" s="5">
        <f t="shared" si="5"/>
        <v>0</v>
      </c>
      <c r="P22" s="5">
        <f t="shared" si="5"/>
        <v>35.261382500000003</v>
      </c>
      <c r="Q22" s="5">
        <f t="shared" si="5"/>
        <v>2.5376150000000002</v>
      </c>
    </row>
    <row r="23" spans="1:17" x14ac:dyDescent="0.45">
      <c r="A23" s="5" t="s">
        <v>38</v>
      </c>
      <c r="B23" s="5"/>
      <c r="C23" s="5">
        <f>STDEV(C13:C20)</f>
        <v>1.4769026288147771</v>
      </c>
      <c r="D23" s="5">
        <f t="shared" ref="D23:Q23" si="6">STDEV(D13:D20)</f>
        <v>0.54908106267914325</v>
      </c>
      <c r="E23" s="5">
        <f t="shared" si="6"/>
        <v>0.88839746373536488</v>
      </c>
      <c r="F23" s="5">
        <f t="shared" si="6"/>
        <v>0.68214788570472573</v>
      </c>
      <c r="G23" s="5">
        <f t="shared" si="6"/>
        <v>0.65885717948166256</v>
      </c>
      <c r="H23" s="5">
        <f t="shared" si="6"/>
        <v>0.67814854801321423</v>
      </c>
      <c r="I23" s="5">
        <f t="shared" si="6"/>
        <v>1.8599340878778472</v>
      </c>
      <c r="J23" s="5">
        <f t="shared" si="6"/>
        <v>0.76585377460950244</v>
      </c>
      <c r="K23" s="5">
        <f t="shared" si="6"/>
        <v>0.21454596223769914</v>
      </c>
      <c r="L23" s="5">
        <f t="shared" si="6"/>
        <v>0.37001507140451378</v>
      </c>
      <c r="M23" s="5">
        <f t="shared" si="6"/>
        <v>3.0634718143765224E-2</v>
      </c>
      <c r="N23" s="5">
        <f t="shared" si="6"/>
        <v>2.2003690599533023E-2</v>
      </c>
      <c r="O23" s="5">
        <f t="shared" si="6"/>
        <v>0</v>
      </c>
      <c r="P23" s="5">
        <f t="shared" si="6"/>
        <v>2.6976428732187918E-2</v>
      </c>
      <c r="Q23" s="5">
        <f t="shared" si="6"/>
        <v>4.3436817826091947E-3</v>
      </c>
    </row>
  </sheetData>
  <pageMargins left="0.7" right="0.7" top="0.75" bottom="0.75" header="0.3" footer="0.3"/>
  <pageSetup scale="71"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U51"/>
  <sheetViews>
    <sheetView topLeftCell="A34" workbookViewId="0">
      <selection activeCell="H54" sqref="H54:I54"/>
    </sheetView>
  </sheetViews>
  <sheetFormatPr defaultRowHeight="14.25" x14ac:dyDescent="0.45"/>
  <cols>
    <col min="1" max="1" width="23.86328125" customWidth="1"/>
  </cols>
  <sheetData>
    <row r="1" spans="1:21" x14ac:dyDescent="0.45">
      <c r="A1" t="s">
        <v>29</v>
      </c>
      <c r="C1" t="s">
        <v>61</v>
      </c>
    </row>
    <row r="2" spans="1:21" x14ac:dyDescent="0.45">
      <c r="A2" t="s">
        <v>34</v>
      </c>
      <c r="B2" s="4">
        <v>8.3142999999999993E-6</v>
      </c>
      <c r="C2" t="s">
        <v>30</v>
      </c>
    </row>
    <row r="3" spans="1:21" x14ac:dyDescent="0.45">
      <c r="A3" t="s">
        <v>31</v>
      </c>
      <c r="B3">
        <v>273.14999999999998</v>
      </c>
    </row>
    <row r="4" spans="1:21" ht="15.6" customHeight="1" x14ac:dyDescent="0.45">
      <c r="A4" t="s">
        <v>60</v>
      </c>
      <c r="B4">
        <v>44</v>
      </c>
      <c r="C4" t="s">
        <v>32</v>
      </c>
    </row>
    <row r="5" spans="1:21" x14ac:dyDescent="0.45">
      <c r="A5" t="s">
        <v>59</v>
      </c>
      <c r="B5">
        <v>1.7999999999999999E-2</v>
      </c>
      <c r="C5" t="s">
        <v>33</v>
      </c>
    </row>
    <row r="6" spans="1:21" x14ac:dyDescent="0.45">
      <c r="A6" t="s">
        <v>39</v>
      </c>
      <c r="B6">
        <v>1.1000000000000001</v>
      </c>
      <c r="C6" t="s">
        <v>40</v>
      </c>
    </row>
    <row r="7" spans="1:21" x14ac:dyDescent="0.45">
      <c r="A7" t="s">
        <v>57</v>
      </c>
      <c r="B7">
        <v>2440</v>
      </c>
      <c r="C7" t="s">
        <v>41</v>
      </c>
    </row>
    <row r="8" spans="1:21" x14ac:dyDescent="0.45">
      <c r="A8" t="s">
        <v>58</v>
      </c>
      <c r="B8">
        <v>1005</v>
      </c>
      <c r="C8" t="s">
        <v>42</v>
      </c>
    </row>
    <row r="10" spans="1:21" x14ac:dyDescent="0.45">
      <c r="A10" t="s">
        <v>5</v>
      </c>
      <c r="B10" t="s">
        <v>6</v>
      </c>
      <c r="C10" t="s">
        <v>7</v>
      </c>
      <c r="D10" t="s">
        <v>8</v>
      </c>
      <c r="E10" t="s">
        <v>9</v>
      </c>
      <c r="F10" t="s">
        <v>46</v>
      </c>
      <c r="G10" t="s">
        <v>10</v>
      </c>
      <c r="H10" t="s">
        <v>25</v>
      </c>
      <c r="I10" t="s">
        <v>44</v>
      </c>
      <c r="J10" t="s">
        <v>26</v>
      </c>
      <c r="K10" t="s">
        <v>11</v>
      </c>
      <c r="L10" t="s">
        <v>28</v>
      </c>
      <c r="M10" t="s">
        <v>45</v>
      </c>
      <c r="N10" t="s">
        <v>12</v>
      </c>
      <c r="O10" t="s">
        <v>65</v>
      </c>
      <c r="P10" t="s">
        <v>63</v>
      </c>
      <c r="Q10" t="s">
        <v>27</v>
      </c>
      <c r="R10" t="s">
        <v>13</v>
      </c>
      <c r="S10" t="s">
        <v>72</v>
      </c>
      <c r="T10" t="s">
        <v>14</v>
      </c>
      <c r="U10" t="s">
        <v>15</v>
      </c>
    </row>
    <row r="11" spans="1:21" x14ac:dyDescent="0.45">
      <c r="A11" t="s">
        <v>16</v>
      </c>
      <c r="B11" t="s">
        <v>17</v>
      </c>
      <c r="C11" t="s">
        <v>18</v>
      </c>
      <c r="D11" t="s">
        <v>18</v>
      </c>
      <c r="E11" t="s">
        <v>18</v>
      </c>
      <c r="F11" t="s">
        <v>18</v>
      </c>
      <c r="G11" t="s">
        <v>19</v>
      </c>
      <c r="H11" t="s">
        <v>19</v>
      </c>
      <c r="I11" t="s">
        <v>43</v>
      </c>
      <c r="J11" t="s">
        <v>19</v>
      </c>
      <c r="K11" t="s">
        <v>20</v>
      </c>
      <c r="L11" t="s">
        <v>36</v>
      </c>
      <c r="M11" t="s">
        <v>36</v>
      </c>
      <c r="N11" t="s">
        <v>21</v>
      </c>
      <c r="O11" t="s">
        <v>35</v>
      </c>
      <c r="P11" t="s">
        <v>35</v>
      </c>
      <c r="Q11" t="s">
        <v>22</v>
      </c>
      <c r="R11" t="s">
        <v>22</v>
      </c>
      <c r="S11" t="s">
        <v>23</v>
      </c>
      <c r="T11" t="s">
        <v>19</v>
      </c>
      <c r="U11" t="s">
        <v>22</v>
      </c>
    </row>
    <row r="12" spans="1:21" x14ac:dyDescent="0.45">
      <c r="C12" t="s">
        <v>24</v>
      </c>
      <c r="D12" t="s">
        <v>24</v>
      </c>
      <c r="E12" t="s">
        <v>24</v>
      </c>
      <c r="G12" t="s">
        <v>24</v>
      </c>
      <c r="K12" t="s">
        <v>24</v>
      </c>
      <c r="N12" t="s">
        <v>24</v>
      </c>
      <c r="R12" t="s">
        <v>24</v>
      </c>
      <c r="S12" t="s">
        <v>24</v>
      </c>
      <c r="T12" t="s">
        <v>24</v>
      </c>
      <c r="U12" t="s">
        <v>24</v>
      </c>
    </row>
    <row r="13" spans="1:21" x14ac:dyDescent="0.45">
      <c r="A13" s="3">
        <v>38929.562564814813</v>
      </c>
      <c r="B13">
        <v>486055</v>
      </c>
      <c r="C13">
        <v>2.2930000000000001</v>
      </c>
      <c r="D13">
        <v>1.3207500000000001</v>
      </c>
      <c r="E13">
        <v>1.2909999999999999</v>
      </c>
      <c r="F13">
        <f>E13-$E$22</f>
        <v>0.63212499999999994</v>
      </c>
      <c r="G13">
        <v>38.316160000000004</v>
      </c>
      <c r="H13">
        <f t="shared" ref="H13:H20" si="0">(T_convert+G13)/(1+0.32*Q13/R13)-T_convert</f>
        <v>35.644089059954126</v>
      </c>
      <c r="I13">
        <f>H13-$H$22</f>
        <v>0.731248132383719</v>
      </c>
      <c r="J13">
        <f t="shared" ref="J13:J20" si="1">(T_convert+G13)/(1+0.32*U13/R13)-T_convert</f>
        <v>35.729625925665573</v>
      </c>
      <c r="K13">
        <v>566.76790000000005</v>
      </c>
      <c r="L13">
        <f t="shared" ref="L13:L20" si="2">(K13/Mc)/(R13/(R_const*(H13+T_convert))-N13/Mv)*10^6</f>
        <v>351.28577487300549</v>
      </c>
      <c r="M13">
        <f>L13-$L$22</f>
        <v>0.96137631285398584</v>
      </c>
      <c r="N13">
        <v>18.36722</v>
      </c>
      <c r="O13">
        <f t="shared" ref="O13:O20" si="3">(N13/Mv)/(R13/(R_const*(H13+T_convert))-N13/Mv)*10^3</f>
        <v>27.827802844708508</v>
      </c>
      <c r="P13">
        <f>O13-$O$22</f>
        <v>-4.0290898765167782E-2</v>
      </c>
      <c r="Q13">
        <f>N13*0.0000083143*(T13+273.15)/0.018</f>
        <v>2.6165923221137302</v>
      </c>
      <c r="R13">
        <v>96.76249</v>
      </c>
      <c r="S13">
        <v>0</v>
      </c>
      <c r="T13">
        <v>35.267809999999997</v>
      </c>
      <c r="U13">
        <v>2.53213</v>
      </c>
    </row>
    <row r="14" spans="1:21" x14ac:dyDescent="0.45">
      <c r="A14" s="3">
        <v>38929.562565972221</v>
      </c>
      <c r="B14">
        <v>486056</v>
      </c>
      <c r="C14">
        <v>2.3285</v>
      </c>
      <c r="D14">
        <v>-0.11849999999999999</v>
      </c>
      <c r="E14">
        <v>1.476</v>
      </c>
      <c r="F14">
        <f t="shared" ref="F14:F20" si="4">E14-$E$22</f>
        <v>0.81712499999999999</v>
      </c>
      <c r="G14">
        <v>38.324979999999996</v>
      </c>
      <c r="H14">
        <f t="shared" si="0"/>
        <v>35.642014184714583</v>
      </c>
      <c r="I14">
        <f t="shared" ref="I14:I20" si="5">H14-$H$22</f>
        <v>0.72917325714417558</v>
      </c>
      <c r="J14">
        <f t="shared" si="1"/>
        <v>35.732248105396025</v>
      </c>
      <c r="K14">
        <v>566.27949999999998</v>
      </c>
      <c r="L14">
        <f t="shared" si="2"/>
        <v>350.80117300696884</v>
      </c>
      <c r="M14">
        <f t="shared" ref="M14:M20" si="6">L14-$L$22</f>
        <v>0.4767744468173305</v>
      </c>
      <c r="N14">
        <v>18.452950000000001</v>
      </c>
      <c r="O14">
        <f t="shared" si="3"/>
        <v>27.943202197591045</v>
      </c>
      <c r="P14">
        <f t="shared" ref="P14:P20" si="7">O14-$O$22</f>
        <v>7.5108454117369661E-2</v>
      </c>
      <c r="Q14">
        <f t="shared" ref="Q14:Q20" si="8">N14*0.0000083143*(T14+273.15)/0.018</f>
        <v>2.6289183459713041</v>
      </c>
      <c r="R14">
        <v>96.822879999999998</v>
      </c>
      <c r="S14">
        <v>0</v>
      </c>
      <c r="T14">
        <v>35.281059999999997</v>
      </c>
      <c r="U14">
        <v>2.5397599999999998</v>
      </c>
    </row>
    <row r="15" spans="1:21" x14ac:dyDescent="0.45">
      <c r="A15" s="3">
        <v>38929.562567129629</v>
      </c>
      <c r="B15">
        <v>486057</v>
      </c>
      <c r="C15">
        <v>1.8879999999999999</v>
      </c>
      <c r="D15">
        <v>0.60799999999999998</v>
      </c>
      <c r="E15">
        <v>1.6972499999999999</v>
      </c>
      <c r="F15">
        <f t="shared" si="4"/>
        <v>1.0383749999999998</v>
      </c>
      <c r="G15">
        <v>38.203490000000002</v>
      </c>
      <c r="H15">
        <f t="shared" si="0"/>
        <v>35.472789169746193</v>
      </c>
      <c r="I15">
        <f t="shared" si="5"/>
        <v>0.55994824217578554</v>
      </c>
      <c r="J15">
        <f t="shared" si="1"/>
        <v>35.617719859725128</v>
      </c>
      <c r="K15">
        <v>564.30439999999999</v>
      </c>
      <c r="L15">
        <f t="shared" si="2"/>
        <v>349.56032252782808</v>
      </c>
      <c r="M15">
        <f t="shared" si="6"/>
        <v>-0.76407603232343035</v>
      </c>
      <c r="N15">
        <v>18.792470000000002</v>
      </c>
      <c r="O15">
        <f t="shared" si="3"/>
        <v>28.455926591408581</v>
      </c>
      <c r="P15">
        <f t="shared" si="7"/>
        <v>0.58783284793490509</v>
      </c>
      <c r="Q15">
        <f t="shared" si="8"/>
        <v>2.6771588983556778</v>
      </c>
      <c r="R15">
        <v>96.822879999999998</v>
      </c>
      <c r="S15">
        <v>0</v>
      </c>
      <c r="T15">
        <v>35.26614</v>
      </c>
      <c r="U15">
        <v>2.5338799999999999</v>
      </c>
    </row>
    <row r="16" spans="1:21" x14ac:dyDescent="0.45">
      <c r="A16" s="3">
        <v>38929.562568287038</v>
      </c>
      <c r="B16">
        <v>486058</v>
      </c>
      <c r="C16">
        <v>3.4822500000000001</v>
      </c>
      <c r="D16">
        <v>-9.7000000000000003E-2</v>
      </c>
      <c r="E16">
        <v>0.24</v>
      </c>
      <c r="F16">
        <f t="shared" si="4"/>
        <v>-0.418875</v>
      </c>
      <c r="G16">
        <v>37.455719999999999</v>
      </c>
      <c r="H16">
        <f t="shared" si="0"/>
        <v>34.755416335912571</v>
      </c>
      <c r="I16">
        <f t="shared" si="5"/>
        <v>-0.15742459165783629</v>
      </c>
      <c r="J16">
        <f t="shared" si="1"/>
        <v>34.871969606870323</v>
      </c>
      <c r="K16">
        <v>565.1694</v>
      </c>
      <c r="L16">
        <f t="shared" si="2"/>
        <v>349.26629608668054</v>
      </c>
      <c r="M16">
        <f t="shared" si="6"/>
        <v>-1.0581024734709672</v>
      </c>
      <c r="N16">
        <v>18.623180000000001</v>
      </c>
      <c r="O16">
        <f t="shared" si="3"/>
        <v>28.132741203890387</v>
      </c>
      <c r="P16">
        <f t="shared" si="7"/>
        <v>0.26464746041671106</v>
      </c>
      <c r="Q16">
        <f t="shared" si="8"/>
        <v>2.6528139494892127</v>
      </c>
      <c r="R16">
        <v>96.796909999999997</v>
      </c>
      <c r="S16">
        <v>0</v>
      </c>
      <c r="T16">
        <v>35.239629999999998</v>
      </c>
      <c r="U16">
        <v>2.53735</v>
      </c>
    </row>
    <row r="17" spans="1:21" x14ac:dyDescent="0.45">
      <c r="A17" s="3">
        <v>38929.562569444446</v>
      </c>
      <c r="B17">
        <v>486059</v>
      </c>
      <c r="C17">
        <v>4.2287499999999998</v>
      </c>
      <c r="D17">
        <v>0.92</v>
      </c>
      <c r="E17">
        <v>1.0575000000000001</v>
      </c>
      <c r="F17">
        <f t="shared" si="4"/>
        <v>0.39862500000000012</v>
      </c>
      <c r="G17">
        <v>37.886659999999999</v>
      </c>
      <c r="H17">
        <f t="shared" si="0"/>
        <v>35.197097345762415</v>
      </c>
      <c r="I17">
        <f t="shared" si="5"/>
        <v>0.2842564181920082</v>
      </c>
      <c r="J17">
        <f t="shared" si="1"/>
        <v>35.298264138169202</v>
      </c>
      <c r="K17">
        <v>566.15859999999998</v>
      </c>
      <c r="L17">
        <f t="shared" si="2"/>
        <v>350.24537347219217</v>
      </c>
      <c r="M17">
        <f t="shared" si="6"/>
        <v>-7.902508795933727E-2</v>
      </c>
      <c r="N17">
        <v>18.52571</v>
      </c>
      <c r="O17">
        <f t="shared" si="3"/>
        <v>28.01491643101922</v>
      </c>
      <c r="P17">
        <f t="shared" si="7"/>
        <v>0.14682268754554428</v>
      </c>
      <c r="Q17">
        <f t="shared" si="8"/>
        <v>2.6391849109061392</v>
      </c>
      <c r="R17">
        <v>96.822879999999998</v>
      </c>
      <c r="S17">
        <v>0</v>
      </c>
      <c r="T17">
        <v>35.269460000000002</v>
      </c>
      <c r="U17">
        <v>2.5390799999999998</v>
      </c>
    </row>
    <row r="18" spans="1:21" x14ac:dyDescent="0.45">
      <c r="A18" s="3">
        <v>38929.562570601855</v>
      </c>
      <c r="B18">
        <v>486060</v>
      </c>
      <c r="C18">
        <v>5.5787500000000003</v>
      </c>
      <c r="D18">
        <v>-0.14499999999999999</v>
      </c>
      <c r="E18">
        <v>0.65225</v>
      </c>
      <c r="F18">
        <f t="shared" si="4"/>
        <v>-6.624999999999992E-3</v>
      </c>
      <c r="G18">
        <v>36.963590000000003</v>
      </c>
      <c r="H18">
        <f t="shared" si="0"/>
        <v>34.299265733555671</v>
      </c>
      <c r="I18">
        <f t="shared" si="5"/>
        <v>-0.61357519401473581</v>
      </c>
      <c r="J18">
        <f t="shared" si="1"/>
        <v>34.384125624227067</v>
      </c>
      <c r="K18">
        <v>566.9932</v>
      </c>
      <c r="L18">
        <f t="shared" si="2"/>
        <v>349.64890439338046</v>
      </c>
      <c r="M18">
        <f t="shared" si="6"/>
        <v>-0.67549416677104546</v>
      </c>
      <c r="N18">
        <v>18.40635</v>
      </c>
      <c r="O18">
        <f t="shared" si="3"/>
        <v>27.746114151003376</v>
      </c>
      <c r="P18">
        <f t="shared" si="7"/>
        <v>-0.12197959247029999</v>
      </c>
      <c r="Q18">
        <f t="shared" si="8"/>
        <v>2.6220540415377172</v>
      </c>
      <c r="R18">
        <v>96.822879999999998</v>
      </c>
      <c r="S18">
        <v>0</v>
      </c>
      <c r="T18">
        <v>35.254550000000002</v>
      </c>
      <c r="U18">
        <v>2.5378400000000001</v>
      </c>
    </row>
    <row r="19" spans="1:21" x14ac:dyDescent="0.45">
      <c r="A19" s="3">
        <v>38929.562571759256</v>
      </c>
      <c r="B19">
        <v>486061</v>
      </c>
      <c r="C19">
        <v>5.1615000000000002</v>
      </c>
      <c r="D19">
        <v>0.747</v>
      </c>
      <c r="E19">
        <v>-0.66425000000000001</v>
      </c>
      <c r="F19">
        <f t="shared" si="4"/>
        <v>-1.3231250000000001</v>
      </c>
      <c r="G19">
        <v>36.7774</v>
      </c>
      <c r="H19">
        <f t="shared" si="0"/>
        <v>34.163726460766782</v>
      </c>
      <c r="I19">
        <f t="shared" si="5"/>
        <v>-0.74911446680362559</v>
      </c>
      <c r="J19">
        <f t="shared" si="1"/>
        <v>34.202617182218773</v>
      </c>
      <c r="K19">
        <v>569.13120000000004</v>
      </c>
      <c r="L19">
        <f t="shared" si="2"/>
        <v>350.62901119971167</v>
      </c>
      <c r="M19">
        <f t="shared" si="6"/>
        <v>0.30461263956016182</v>
      </c>
      <c r="N19">
        <v>18.06692</v>
      </c>
      <c r="O19">
        <f t="shared" si="3"/>
        <v>27.208195870503921</v>
      </c>
      <c r="P19">
        <f t="shared" si="7"/>
        <v>-0.65989787296975422</v>
      </c>
      <c r="Q19">
        <f t="shared" si="8"/>
        <v>2.573341361558326</v>
      </c>
      <c r="R19">
        <v>96.822879999999998</v>
      </c>
      <c r="S19">
        <v>0</v>
      </c>
      <c r="T19">
        <v>35.211460000000002</v>
      </c>
      <c r="U19">
        <v>2.5347300000000001</v>
      </c>
    </row>
    <row r="20" spans="1:21" x14ac:dyDescent="0.45">
      <c r="A20" s="3">
        <v>38929.562572916664</v>
      </c>
      <c r="B20">
        <v>486062</v>
      </c>
      <c r="C20">
        <v>5.17225</v>
      </c>
      <c r="D20">
        <v>0.68325000000000002</v>
      </c>
      <c r="E20">
        <v>-0.47875000000000001</v>
      </c>
      <c r="F20">
        <f t="shared" si="4"/>
        <v>-1.1376249999999999</v>
      </c>
      <c r="G20">
        <v>36.780880000000003</v>
      </c>
      <c r="H20">
        <f t="shared" si="0"/>
        <v>34.128329130150917</v>
      </c>
      <c r="I20">
        <f t="shared" si="5"/>
        <v>-0.78451179741949062</v>
      </c>
      <c r="J20">
        <f t="shared" si="1"/>
        <v>34.194564491500273</v>
      </c>
      <c r="K20">
        <v>569.82989999999995</v>
      </c>
      <c r="L20">
        <f t="shared" si="2"/>
        <v>351.15833292144481</v>
      </c>
      <c r="M20">
        <f t="shared" si="6"/>
        <v>0.83393436129330212</v>
      </c>
      <c r="N20">
        <v>18.332450000000001</v>
      </c>
      <c r="O20">
        <f t="shared" si="3"/>
        <v>27.615850657664357</v>
      </c>
      <c r="P20">
        <f t="shared" si="7"/>
        <v>-0.25224308580931876</v>
      </c>
      <c r="Q20">
        <f t="shared" si="8"/>
        <v>2.6119196162922407</v>
      </c>
      <c r="R20">
        <v>96.822879999999998</v>
      </c>
      <c r="S20">
        <v>0</v>
      </c>
      <c r="T20">
        <v>35.30095</v>
      </c>
      <c r="U20">
        <v>2.5461499999999999</v>
      </c>
    </row>
    <row r="21" spans="1:21" x14ac:dyDescent="0.45">
      <c r="A21" s="3"/>
    </row>
    <row r="22" spans="1:21" x14ac:dyDescent="0.45">
      <c r="A22" s="3" t="s">
        <v>37</v>
      </c>
      <c r="C22">
        <f>AVERAGE(C13:C20)</f>
        <v>3.7666250000000003</v>
      </c>
      <c r="D22">
        <f t="shared" ref="D22:U22" si="9">AVERAGE(D13:D20)</f>
        <v>0.48981249999999998</v>
      </c>
      <c r="E22">
        <f t="shared" si="9"/>
        <v>0.65887499999999999</v>
      </c>
      <c r="G22">
        <f t="shared" si="9"/>
        <v>37.588610000000003</v>
      </c>
      <c r="H22">
        <f t="shared" si="9"/>
        <v>34.912840927570407</v>
      </c>
      <c r="J22">
        <f t="shared" si="9"/>
        <v>35.003891866721546</v>
      </c>
      <c r="K22">
        <f t="shared" si="9"/>
        <v>566.82926249999991</v>
      </c>
      <c r="L22">
        <f t="shared" si="9"/>
        <v>350.32439856015151</v>
      </c>
      <c r="N22">
        <f t="shared" si="9"/>
        <v>18.44590625</v>
      </c>
      <c r="O22">
        <f t="shared" si="9"/>
        <v>27.868093743473676</v>
      </c>
      <c r="Q22">
        <f t="shared" si="9"/>
        <v>2.6277479307780434</v>
      </c>
      <c r="R22">
        <f>AVERAGE(R13:R20)</f>
        <v>96.812084999999996</v>
      </c>
      <c r="S22">
        <f t="shared" si="9"/>
        <v>0</v>
      </c>
      <c r="T22">
        <f t="shared" si="9"/>
        <v>35.261382500000003</v>
      </c>
      <c r="U22">
        <f t="shared" si="9"/>
        <v>2.5376150000000002</v>
      </c>
    </row>
    <row r="23" spans="1:21" x14ac:dyDescent="0.45">
      <c r="A23" t="s">
        <v>38</v>
      </c>
      <c r="C23">
        <f>STDEV(C13:C20)</f>
        <v>1.4769026288147771</v>
      </c>
      <c r="D23">
        <f t="shared" ref="D23:U23" si="10">STDEV(D13:D20)</f>
        <v>0.54908106267914325</v>
      </c>
      <c r="E23">
        <f t="shared" si="10"/>
        <v>0.88839746373536488</v>
      </c>
      <c r="G23">
        <f t="shared" si="10"/>
        <v>0.68214788570472573</v>
      </c>
      <c r="H23">
        <f t="shared" si="10"/>
        <v>0.65885717948166256</v>
      </c>
      <c r="J23">
        <f t="shared" si="10"/>
        <v>0.67814854801321423</v>
      </c>
      <c r="K23">
        <f t="shared" si="10"/>
        <v>1.8599340878778472</v>
      </c>
      <c r="L23">
        <f t="shared" si="10"/>
        <v>0.76585377460950244</v>
      </c>
      <c r="N23">
        <f t="shared" si="10"/>
        <v>0.21454596223769914</v>
      </c>
      <c r="O23">
        <f t="shared" si="10"/>
        <v>0.37001507140451378</v>
      </c>
      <c r="Q23">
        <f t="shared" si="10"/>
        <v>3.0634718143765224E-2</v>
      </c>
      <c r="R23">
        <f t="shared" si="10"/>
        <v>2.2003690599533023E-2</v>
      </c>
      <c r="S23">
        <f t="shared" si="10"/>
        <v>0</v>
      </c>
      <c r="T23">
        <f t="shared" si="10"/>
        <v>2.6976428732187918E-2</v>
      </c>
      <c r="U23">
        <f t="shared" si="10"/>
        <v>4.3436817826091947E-3</v>
      </c>
    </row>
    <row r="26" spans="1:21" x14ac:dyDescent="0.45">
      <c r="A26" s="3" t="s">
        <v>66</v>
      </c>
      <c r="B26" t="s">
        <v>46</v>
      </c>
      <c r="C26" t="s">
        <v>44</v>
      </c>
      <c r="D26" t="s">
        <v>45</v>
      </c>
      <c r="E26" t="s">
        <v>63</v>
      </c>
      <c r="F26" t="s">
        <v>47</v>
      </c>
      <c r="G26" t="s">
        <v>49</v>
      </c>
      <c r="H26" t="s">
        <v>64</v>
      </c>
    </row>
    <row r="27" spans="1:21" x14ac:dyDescent="0.45">
      <c r="A27" s="3" t="s">
        <v>67</v>
      </c>
      <c r="B27" t="s">
        <v>18</v>
      </c>
      <c r="C27" t="s">
        <v>43</v>
      </c>
      <c r="D27" t="s">
        <v>36</v>
      </c>
      <c r="E27" t="s">
        <v>35</v>
      </c>
      <c r="F27" t="s">
        <v>48</v>
      </c>
      <c r="G27" t="s">
        <v>50</v>
      </c>
      <c r="H27" t="s">
        <v>51</v>
      </c>
    </row>
    <row r="29" spans="1:21" x14ac:dyDescent="0.45">
      <c r="B29">
        <v>0.63212499999999994</v>
      </c>
      <c r="C29">
        <v>0.731248132383719</v>
      </c>
      <c r="D29">
        <v>0.96137631285398584</v>
      </c>
      <c r="E29">
        <v>-4.0290898765167782E-2</v>
      </c>
      <c r="F29">
        <f>$B29*C29</f>
        <v>0.46224022568305834</v>
      </c>
      <c r="G29">
        <f t="shared" ref="G29:H36" si="11">$B29*D29</f>
        <v>0.60771000176282575</v>
      </c>
      <c r="H29">
        <f t="shared" si="11"/>
        <v>-2.5468884381931681E-2</v>
      </c>
    </row>
    <row r="30" spans="1:21" x14ac:dyDescent="0.45">
      <c r="B30">
        <v>0.81712499999999999</v>
      </c>
      <c r="C30">
        <v>0.72917325714417558</v>
      </c>
      <c r="D30">
        <v>0.4767744468173305</v>
      </c>
      <c r="E30">
        <v>7.5108454117369661E-2</v>
      </c>
      <c r="F30">
        <f t="shared" ref="F30:F35" si="12">$B30*C30</f>
        <v>0.59582569774393446</v>
      </c>
      <c r="G30">
        <f t="shared" si="11"/>
        <v>0.38958431985561121</v>
      </c>
      <c r="H30">
        <f t="shared" si="11"/>
        <v>6.1372995570655682E-2</v>
      </c>
    </row>
    <row r="31" spans="1:21" x14ac:dyDescent="0.45">
      <c r="A31" s="3"/>
      <c r="B31">
        <v>1.0383749999999998</v>
      </c>
      <c r="C31">
        <v>0.55994824217578554</v>
      </c>
      <c r="D31">
        <v>-0.76407603232343035</v>
      </c>
      <c r="E31">
        <v>0.58783284793490509</v>
      </c>
      <c r="F31">
        <f t="shared" si="12"/>
        <v>0.58143625596928117</v>
      </c>
      <c r="G31">
        <f t="shared" si="11"/>
        <v>-0.79339745006384188</v>
      </c>
      <c r="H31">
        <f t="shared" si="11"/>
        <v>0.61039093347440698</v>
      </c>
    </row>
    <row r="32" spans="1:21" x14ac:dyDescent="0.45">
      <c r="A32" s="3"/>
      <c r="B32">
        <v>-0.418875</v>
      </c>
      <c r="C32">
        <v>-0.15742459165783629</v>
      </c>
      <c r="D32">
        <v>-1.0581024734709672</v>
      </c>
      <c r="E32">
        <v>0.26464746041671106</v>
      </c>
      <c r="F32">
        <f t="shared" si="12"/>
        <v>6.5941225830676173E-2</v>
      </c>
      <c r="G32">
        <f t="shared" si="11"/>
        <v>0.44321267357515137</v>
      </c>
      <c r="H32">
        <f t="shared" si="11"/>
        <v>-0.11085420498204984</v>
      </c>
    </row>
    <row r="33" spans="1:9" x14ac:dyDescent="0.45">
      <c r="A33" s="3"/>
      <c r="B33">
        <v>0.39862500000000012</v>
      </c>
      <c r="C33">
        <v>0.2842564181920082</v>
      </c>
      <c r="D33">
        <v>-7.902508795933727E-2</v>
      </c>
      <c r="E33">
        <v>0.14682268754554428</v>
      </c>
      <c r="F33">
        <f t="shared" si="12"/>
        <v>0.1133117147017893</v>
      </c>
      <c r="G33">
        <f t="shared" si="11"/>
        <v>-3.1501375687790829E-2</v>
      </c>
      <c r="H33">
        <f t="shared" si="11"/>
        <v>5.8527193822842605E-2</v>
      </c>
    </row>
    <row r="34" spans="1:9" x14ac:dyDescent="0.45">
      <c r="A34" s="3"/>
      <c r="B34">
        <v>-6.624999999999992E-3</v>
      </c>
      <c r="C34">
        <v>-0.61357519401473581</v>
      </c>
      <c r="D34">
        <v>-0.67549416677104546</v>
      </c>
      <c r="E34">
        <v>-0.12197959247029999</v>
      </c>
      <c r="F34">
        <f t="shared" si="12"/>
        <v>4.0649356603476199E-3</v>
      </c>
      <c r="G34">
        <f t="shared" si="11"/>
        <v>4.4751488548581703E-3</v>
      </c>
      <c r="H34">
        <f t="shared" si="11"/>
        <v>8.0811480011573644E-4</v>
      </c>
    </row>
    <row r="35" spans="1:9" x14ac:dyDescent="0.45">
      <c r="A35" s="3"/>
      <c r="B35">
        <v>-1.3231250000000001</v>
      </c>
      <c r="C35">
        <v>-0.74911446680362559</v>
      </c>
      <c r="D35">
        <v>0.30461263956016182</v>
      </c>
      <c r="E35">
        <v>-0.65989787296975422</v>
      </c>
      <c r="F35">
        <f t="shared" si="12"/>
        <v>0.99117207888954717</v>
      </c>
      <c r="G35">
        <f t="shared" si="11"/>
        <v>-0.40304059871803916</v>
      </c>
      <c r="H35">
        <f t="shared" si="11"/>
        <v>0.87312737317310607</v>
      </c>
    </row>
    <row r="36" spans="1:9" x14ac:dyDescent="0.45">
      <c r="A36" s="3"/>
      <c r="B36">
        <v>-1.1376249999999999</v>
      </c>
      <c r="C36">
        <v>-0.78451179741949062</v>
      </c>
      <c r="D36">
        <v>0.83393436129330212</v>
      </c>
      <c r="E36">
        <v>-0.25224308580931876</v>
      </c>
      <c r="F36">
        <f>$B36*C36</f>
        <v>0.89248023353934791</v>
      </c>
      <c r="G36">
        <f t="shared" si="11"/>
        <v>-0.94870457776629269</v>
      </c>
      <c r="H36">
        <f>$B36*E36</f>
        <v>0.28695804049382623</v>
      </c>
    </row>
    <row r="38" spans="1:9" x14ac:dyDescent="0.45">
      <c r="A38" t="s">
        <v>37</v>
      </c>
      <c r="B38">
        <f>AVERAGE(B29:B36)</f>
        <v>0</v>
      </c>
      <c r="C38">
        <f t="shared" ref="C38:H38" si="13">AVERAGE(C29:C36)</f>
        <v>0</v>
      </c>
      <c r="D38">
        <f t="shared" si="13"/>
        <v>0</v>
      </c>
      <c r="E38">
        <f t="shared" si="13"/>
        <v>-1.3322676295501878E-15</v>
      </c>
      <c r="F38">
        <f t="shared" si="13"/>
        <v>0.46330904600224776</v>
      </c>
      <c r="G38">
        <f t="shared" si="13"/>
        <v>-9.1457732273439757E-2</v>
      </c>
      <c r="H38">
        <f t="shared" si="13"/>
        <v>0.2193576952463715</v>
      </c>
    </row>
    <row r="40" spans="1:9" x14ac:dyDescent="0.45">
      <c r="A40" t="s">
        <v>53</v>
      </c>
      <c r="F40">
        <f>COVAR(H13:H20,$E$13:$E$20)</f>
        <v>0.46330904600224776</v>
      </c>
      <c r="G40">
        <f>COVAR(E13:E20,L13:L20)</f>
        <v>-9.1457732273439757E-2</v>
      </c>
      <c r="H40">
        <f>COVAR(E13:E20,O13:O20)</f>
        <v>0.2193576952463715</v>
      </c>
    </row>
    <row r="42" spans="1:9" x14ac:dyDescent="0.45">
      <c r="A42" t="s">
        <v>54</v>
      </c>
      <c r="F42">
        <f>F40</f>
        <v>0.46330904600224776</v>
      </c>
      <c r="G42">
        <f>G40*Mc*P_mean/(10^6*R_const*(Tc_mean+T_convert))</f>
        <v>-0.15210296207429147</v>
      </c>
      <c r="H42">
        <f>H40*Mv*P_mean/((10^3*R_const*(Tc_mean+T_convert)))</f>
        <v>0.14924161703516689</v>
      </c>
    </row>
    <row r="44" spans="1:9" x14ac:dyDescent="0.45">
      <c r="A44" t="s">
        <v>52</v>
      </c>
      <c r="I44" t="s">
        <v>61</v>
      </c>
    </row>
    <row r="45" spans="1:9" x14ac:dyDescent="0.45">
      <c r="A45" t="s">
        <v>69</v>
      </c>
      <c r="F45">
        <f>rho_air*Cp*F38</f>
        <v>512.18815035548494</v>
      </c>
      <c r="I45" t="s">
        <v>70</v>
      </c>
    </row>
    <row r="46" spans="1:9" x14ac:dyDescent="0.45">
      <c r="A46" t="s">
        <v>55</v>
      </c>
      <c r="G46">
        <f>G42</f>
        <v>-0.15210296207429147</v>
      </c>
      <c r="I46" t="s">
        <v>62</v>
      </c>
    </row>
    <row r="47" spans="1:9" x14ac:dyDescent="0.45">
      <c r="A47" t="s">
        <v>56</v>
      </c>
      <c r="H47">
        <f>L_v*H42</f>
        <v>364.14954556580722</v>
      </c>
      <c r="I47" t="s">
        <v>70</v>
      </c>
    </row>
    <row r="50" spans="1:3" x14ac:dyDescent="0.45">
      <c r="A50" t="s">
        <v>89</v>
      </c>
      <c r="C50">
        <f>F45+H47</f>
        <v>876.33769592129215</v>
      </c>
    </row>
    <row r="51" spans="1:3" x14ac:dyDescent="0.45">
      <c r="A51" t="s">
        <v>90</v>
      </c>
      <c r="C51">
        <f>C50/920*100</f>
        <v>95.254097382749151</v>
      </c>
    </row>
  </sheetData>
  <pageMargins left="0.7" right="0.7" top="0.75" bottom="0.75" header="0.3" footer="0.3"/>
  <pageSetup scale="59" orientation="landscape"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8"/>
  <sheetViews>
    <sheetView tabSelected="1" workbookViewId="0">
      <selection sqref="A1:O1"/>
    </sheetView>
  </sheetViews>
  <sheetFormatPr defaultRowHeight="14.25" x14ac:dyDescent="0.45"/>
  <sheetData>
    <row r="1" spans="1:15" ht="60" customHeight="1" x14ac:dyDescent="0.45">
      <c r="A1" s="9" t="s">
        <v>74</v>
      </c>
      <c r="B1" s="8"/>
      <c r="C1" s="8"/>
      <c r="D1" s="8"/>
      <c r="E1" s="8"/>
      <c r="F1" s="8"/>
      <c r="G1" s="8"/>
      <c r="H1" s="8"/>
      <c r="I1" s="8"/>
      <c r="J1" s="8"/>
      <c r="K1" s="8"/>
      <c r="L1" s="8"/>
      <c r="M1" s="8"/>
      <c r="N1" s="8"/>
      <c r="O1" s="8"/>
    </row>
    <row r="2" spans="1:15" ht="75.95" customHeight="1" x14ac:dyDescent="0.45">
      <c r="A2" s="9" t="s">
        <v>75</v>
      </c>
      <c r="B2" s="8"/>
      <c r="C2" s="8"/>
      <c r="D2" s="8"/>
      <c r="E2" s="8"/>
      <c r="F2" s="8"/>
      <c r="G2" s="8"/>
      <c r="H2" s="8"/>
      <c r="I2" s="8"/>
      <c r="J2" s="8"/>
      <c r="K2" s="8"/>
      <c r="L2" s="8"/>
      <c r="M2" s="8"/>
      <c r="N2" s="8"/>
      <c r="O2" s="8"/>
    </row>
    <row r="3" spans="1:15" x14ac:dyDescent="0.45">
      <c r="A3" t="s">
        <v>76</v>
      </c>
    </row>
    <row r="4" spans="1:15" ht="30.6" customHeight="1" x14ac:dyDescent="0.45">
      <c r="A4" s="7" t="s">
        <v>77</v>
      </c>
      <c r="B4" s="8"/>
      <c r="C4" s="8"/>
      <c r="D4" s="8"/>
      <c r="E4" s="8"/>
      <c r="F4" s="8"/>
      <c r="G4" s="8"/>
      <c r="H4" s="8"/>
      <c r="I4" s="8"/>
      <c r="J4" s="8"/>
      <c r="K4" s="8"/>
      <c r="L4" s="8"/>
      <c r="M4" s="8"/>
      <c r="N4" s="8"/>
      <c r="O4" s="8"/>
    </row>
    <row r="5" spans="1:15" ht="33" customHeight="1" x14ac:dyDescent="0.45">
      <c r="A5" s="7" t="s">
        <v>78</v>
      </c>
      <c r="B5" s="8"/>
      <c r="C5" s="8"/>
      <c r="D5" s="8"/>
      <c r="E5" s="8"/>
      <c r="F5" s="8"/>
      <c r="G5" s="8"/>
      <c r="H5" s="8"/>
      <c r="I5" s="8"/>
      <c r="J5" s="8"/>
      <c r="K5" s="8"/>
      <c r="L5" s="8"/>
      <c r="M5" s="8"/>
      <c r="N5" s="8"/>
      <c r="O5" s="8"/>
    </row>
    <row r="6" spans="1:15" ht="57.95" customHeight="1" x14ac:dyDescent="0.45">
      <c r="A6" s="7" t="s">
        <v>79</v>
      </c>
      <c r="B6" s="8"/>
      <c r="C6" s="8"/>
      <c r="D6" s="8"/>
      <c r="E6" s="8"/>
      <c r="F6" s="8"/>
      <c r="G6" s="8"/>
      <c r="H6" s="8"/>
      <c r="I6" s="8"/>
      <c r="J6" s="8"/>
      <c r="K6" s="8"/>
      <c r="L6" s="8"/>
      <c r="M6" s="8"/>
      <c r="N6" s="8"/>
      <c r="O6" s="8"/>
    </row>
    <row r="7" spans="1:15" ht="29.45" customHeight="1" x14ac:dyDescent="0.45">
      <c r="A7" s="7" t="s">
        <v>80</v>
      </c>
      <c r="B7" s="8"/>
      <c r="C7" s="8"/>
      <c r="D7" s="8"/>
      <c r="E7" s="8"/>
      <c r="F7" s="8"/>
      <c r="G7" s="8"/>
      <c r="H7" s="8"/>
      <c r="I7" s="8"/>
      <c r="J7" s="8"/>
      <c r="K7" s="8"/>
      <c r="L7" s="8"/>
      <c r="M7" s="8"/>
      <c r="N7" s="8"/>
      <c r="O7" s="8"/>
    </row>
    <row r="8" spans="1:15" x14ac:dyDescent="0.45">
      <c r="A8" t="s">
        <v>81</v>
      </c>
    </row>
    <row r="9" spans="1:15" x14ac:dyDescent="0.45">
      <c r="A9" t="s">
        <v>82</v>
      </c>
    </row>
    <row r="10" spans="1:15" x14ac:dyDescent="0.45">
      <c r="A10" t="s">
        <v>83</v>
      </c>
    </row>
    <row r="11" spans="1:15" x14ac:dyDescent="0.45">
      <c r="A11" t="s">
        <v>84</v>
      </c>
    </row>
    <row r="12" spans="1:15" x14ac:dyDescent="0.45">
      <c r="A12" t="s">
        <v>85</v>
      </c>
    </row>
    <row r="13" spans="1:15" x14ac:dyDescent="0.45">
      <c r="A13" t="s">
        <v>86</v>
      </c>
    </row>
    <row r="14" spans="1:15" x14ac:dyDescent="0.45">
      <c r="A14" t="s">
        <v>87</v>
      </c>
    </row>
    <row r="15" spans="1:15" x14ac:dyDescent="0.45">
      <c r="A15" t="s">
        <v>88</v>
      </c>
    </row>
    <row r="16" spans="1:15" x14ac:dyDescent="0.45">
      <c r="A16" t="s">
        <v>93</v>
      </c>
    </row>
    <row r="17" spans="2:2" x14ac:dyDescent="0.45">
      <c r="B17" t="s">
        <v>91</v>
      </c>
    </row>
    <row r="18" spans="2:2" x14ac:dyDescent="0.45">
      <c r="B18" t="s">
        <v>92</v>
      </c>
    </row>
  </sheetData>
  <mergeCells count="6">
    <mergeCell ref="A7:O7"/>
    <mergeCell ref="A1:O1"/>
    <mergeCell ref="A2:O2"/>
    <mergeCell ref="A4:O4"/>
    <mergeCell ref="A5:O5"/>
    <mergeCell ref="A6:O6"/>
  </mergeCells>
  <pageMargins left="0.7" right="0.7" top="0.75" bottom="0.75" header="0.3" footer="0.3"/>
  <pageSetup scale="7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24</vt:i4>
      </vt:variant>
    </vt:vector>
  </HeadingPairs>
  <TitlesOfParts>
    <vt:vector size="29" baseType="lpstr">
      <vt:lpstr>ts_data</vt:lpstr>
      <vt:lpstr>Tc, Xc, Xv</vt:lpstr>
      <vt:lpstr>Statistics</vt:lpstr>
      <vt:lpstr>Covariances</vt:lpstr>
      <vt:lpstr>Q&amp;A</vt:lpstr>
      <vt:lpstr>C_p</vt:lpstr>
      <vt:lpstr>Covariances!Cp</vt:lpstr>
      <vt:lpstr>Cp</vt:lpstr>
      <vt:lpstr>L_v</vt:lpstr>
      <vt:lpstr>Covariances!Lv</vt:lpstr>
      <vt:lpstr>Lv</vt:lpstr>
      <vt:lpstr>M_c</vt:lpstr>
      <vt:lpstr>M_v</vt:lpstr>
      <vt:lpstr>Covariances!Mc</vt:lpstr>
      <vt:lpstr>Statistics!Mc</vt:lpstr>
      <vt:lpstr>Mc</vt:lpstr>
      <vt:lpstr>Covariances!Mv</vt:lpstr>
      <vt:lpstr>Statistics!Mv</vt:lpstr>
      <vt:lpstr>Mv</vt:lpstr>
      <vt:lpstr>P_mean</vt:lpstr>
      <vt:lpstr>Covariances!R_const</vt:lpstr>
      <vt:lpstr>Statistics!R_const</vt:lpstr>
      <vt:lpstr>R_const</vt:lpstr>
      <vt:lpstr>Covariances!rho_air</vt:lpstr>
      <vt:lpstr>rho_air</vt:lpstr>
      <vt:lpstr>Covariances!T_convert</vt:lpstr>
      <vt:lpstr>Statistics!T_convert</vt:lpstr>
      <vt:lpstr>T_convert</vt:lpstr>
      <vt:lpstr>Tc_mean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Campbell</dc:creator>
  <cp:lastModifiedBy>Edward Swiatek</cp:lastModifiedBy>
  <cp:lastPrinted>2016-07-06T17:50:35Z</cp:lastPrinted>
  <dcterms:created xsi:type="dcterms:W3CDTF">2014-06-12T23:53:37Z</dcterms:created>
  <dcterms:modified xsi:type="dcterms:W3CDTF">2017-07-11T19:30:47Z</dcterms:modified>
</cp:coreProperties>
</file>