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974V276\Documents\GitHub\structures-calc\src\"/>
    </mc:Choice>
  </mc:AlternateContent>
  <xr:revisionPtr revIDLastSave="0" documentId="8_{55017144-532C-4BCD-B28F-048B479D65B4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Cross Section Properti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A16" i="1" l="1"/>
  <c r="BB16" i="1"/>
  <c r="AZ16" i="1"/>
  <c r="X16" i="1"/>
  <c r="Y16" i="1"/>
  <c r="W16" i="1"/>
  <c r="S16" i="1"/>
  <c r="T16" i="1"/>
  <c r="R16" i="1"/>
  <c r="N16" i="1"/>
  <c r="O16" i="1"/>
  <c r="M16" i="1"/>
  <c r="G16" i="1"/>
  <c r="H16" i="1"/>
  <c r="I16" i="1"/>
  <c r="J16" i="1"/>
  <c r="F16" i="1"/>
  <c r="C16" i="1"/>
  <c r="E13" i="1"/>
  <c r="D13" i="1"/>
  <c r="D12" i="1"/>
  <c r="E12" i="1"/>
  <c r="H11" i="1"/>
  <c r="E11" i="1"/>
  <c r="J3" i="1"/>
  <c r="I3" i="1"/>
  <c r="H3" i="1"/>
  <c r="D3" i="1"/>
  <c r="D4" i="1"/>
  <c r="E3" i="1"/>
  <c r="C5" i="1"/>
  <c r="C4" i="1"/>
  <c r="C3" i="1"/>
  <c r="AJ12" i="1" l="1"/>
  <c r="AJ10" i="1"/>
  <c r="AE3" i="1"/>
  <c r="AE4" i="1"/>
  <c r="AE5" i="1"/>
  <c r="D5" i="1"/>
  <c r="AX4" i="1"/>
  <c r="AH12" i="1"/>
  <c r="AH10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2" i="1"/>
  <c r="H7" i="1"/>
  <c r="I7" i="1"/>
  <c r="H8" i="1"/>
  <c r="I8" i="1"/>
  <c r="H9" i="1"/>
  <c r="I9" i="1"/>
  <c r="H10" i="1"/>
  <c r="I10" i="1"/>
  <c r="I11" i="1"/>
  <c r="H12" i="1"/>
  <c r="I12" i="1"/>
  <c r="H13" i="1"/>
  <c r="I13" i="1"/>
  <c r="H14" i="1"/>
  <c r="I14" i="1"/>
  <c r="H15" i="1"/>
  <c r="I15" i="1"/>
  <c r="I6" i="1"/>
  <c r="H6" i="1"/>
  <c r="I5" i="1"/>
  <c r="H5" i="1"/>
  <c r="I4" i="1"/>
  <c r="H4" i="1"/>
  <c r="I2" i="1"/>
  <c r="H2" i="1"/>
  <c r="F4" i="1"/>
  <c r="F5" i="1"/>
  <c r="D7" i="1"/>
  <c r="D8" i="1"/>
  <c r="D9" i="1"/>
  <c r="D10" i="1"/>
  <c r="D6" i="1"/>
  <c r="E5" i="1"/>
  <c r="G5" i="1" s="1"/>
  <c r="E4" i="1"/>
  <c r="G4" i="1" s="1"/>
  <c r="D2" i="1"/>
  <c r="E2" i="1"/>
  <c r="C7" i="1"/>
  <c r="AE7" i="1" s="1"/>
  <c r="C8" i="1"/>
  <c r="F8" i="1" s="1"/>
  <c r="C9" i="1"/>
  <c r="AE9" i="1" s="1"/>
  <c r="C10" i="1"/>
  <c r="AE10" i="1" s="1"/>
  <c r="C11" i="1"/>
  <c r="C12" i="1"/>
  <c r="F12" i="1" s="1"/>
  <c r="C13" i="1"/>
  <c r="AE13" i="1" s="1"/>
  <c r="C14" i="1"/>
  <c r="AE14" i="1" s="1"/>
  <c r="C15" i="1"/>
  <c r="AE15" i="1" s="1"/>
  <c r="C6" i="1"/>
  <c r="AE6" i="1" s="1"/>
  <c r="C2" i="1"/>
  <c r="F2" i="1" l="1"/>
  <c r="AE11" i="1"/>
  <c r="F15" i="1"/>
  <c r="F11" i="1"/>
  <c r="F7" i="1"/>
  <c r="G2" i="1"/>
  <c r="G12" i="1"/>
  <c r="G8" i="1"/>
  <c r="AE2" i="1"/>
  <c r="AE12" i="1"/>
  <c r="AE8" i="1"/>
  <c r="F14" i="1"/>
  <c r="F10" i="1"/>
  <c r="F6" i="1"/>
  <c r="G15" i="1"/>
  <c r="G11" i="1"/>
  <c r="G7" i="1"/>
  <c r="F13" i="1"/>
  <c r="F9" i="1"/>
  <c r="G14" i="1"/>
  <c r="G10" i="1"/>
  <c r="G6" i="1"/>
  <c r="G13" i="1"/>
  <c r="G9" i="1"/>
  <c r="R7" i="1"/>
  <c r="S7" i="1" s="1"/>
  <c r="R2" i="1"/>
  <c r="R13" i="1"/>
  <c r="T13" i="1" s="1"/>
  <c r="R10" i="1"/>
  <c r="T10" i="1" s="1"/>
  <c r="R6" i="1"/>
  <c r="R5" i="1"/>
  <c r="T5" i="1" s="1"/>
  <c r="R4" i="1"/>
  <c r="S4" i="1" s="1"/>
  <c r="R15" i="1"/>
  <c r="T15" i="1" s="1"/>
  <c r="R14" i="1"/>
  <c r="T14" i="1" s="1"/>
  <c r="R12" i="1"/>
  <c r="T12" i="1" s="1"/>
  <c r="R11" i="1"/>
  <c r="S11" i="1" s="1"/>
  <c r="R9" i="1"/>
  <c r="S9" i="1" s="1"/>
  <c r="R8" i="1"/>
  <c r="T8" i="1" s="1"/>
  <c r="G3" i="1"/>
  <c r="F3" i="1"/>
  <c r="R3" i="1"/>
  <c r="S3" i="1" s="1"/>
  <c r="S6" i="1"/>
  <c r="T6" i="1"/>
  <c r="T2" i="1" l="1"/>
  <c r="AH3" i="1"/>
  <c r="K2" i="1" s="1"/>
  <c r="M2" i="1" s="1"/>
  <c r="T4" i="1"/>
  <c r="S15" i="1"/>
  <c r="T11" i="1"/>
  <c r="S12" i="1"/>
  <c r="T9" i="1"/>
  <c r="S10" i="1"/>
  <c r="T7" i="1"/>
  <c r="S8" i="1"/>
  <c r="S5" i="1"/>
  <c r="S14" i="1"/>
  <c r="S13" i="1"/>
  <c r="S2" i="1"/>
  <c r="T3" i="1"/>
  <c r="AI3" i="1"/>
  <c r="L12" i="1" s="1"/>
  <c r="N12" i="1" s="1"/>
  <c r="K7" i="1" l="1"/>
  <c r="M7" i="1" s="1"/>
  <c r="K15" i="1"/>
  <c r="M15" i="1" s="1"/>
  <c r="K13" i="1"/>
  <c r="M13" i="1" s="1"/>
  <c r="K9" i="1"/>
  <c r="M9" i="1" s="1"/>
  <c r="K8" i="1"/>
  <c r="M8" i="1" s="1"/>
  <c r="K3" i="1"/>
  <c r="M3" i="1" s="1"/>
  <c r="K5" i="1"/>
  <c r="M5" i="1" s="1"/>
  <c r="K14" i="1"/>
  <c r="M14" i="1" s="1"/>
  <c r="K6" i="1"/>
  <c r="M6" i="1" s="1"/>
  <c r="K10" i="1"/>
  <c r="M10" i="1" s="1"/>
  <c r="K4" i="1"/>
  <c r="M4" i="1" s="1"/>
  <c r="K11" i="1"/>
  <c r="M11" i="1" s="1"/>
  <c r="K12" i="1"/>
  <c r="M12" i="1" s="1"/>
  <c r="AI5" i="1"/>
  <c r="V8" i="1" s="1"/>
  <c r="X8" i="1" s="1"/>
  <c r="AZ8" i="1" s="1"/>
  <c r="AH5" i="1"/>
  <c r="U14" i="1" s="1"/>
  <c r="W14" i="1" s="1"/>
  <c r="BA14" i="1" s="1"/>
  <c r="L8" i="1"/>
  <c r="N8" i="1" s="1"/>
  <c r="L6" i="1"/>
  <c r="N6" i="1" s="1"/>
  <c r="L5" i="1"/>
  <c r="N5" i="1" s="1"/>
  <c r="AT3" i="1"/>
  <c r="L2" i="1"/>
  <c r="N2" i="1" s="1"/>
  <c r="L7" i="1"/>
  <c r="N7" i="1" s="1"/>
  <c r="L3" i="1"/>
  <c r="N3" i="1" s="1"/>
  <c r="L11" i="1"/>
  <c r="N11" i="1" s="1"/>
  <c r="L4" i="1"/>
  <c r="N4" i="1" s="1"/>
  <c r="L15" i="1"/>
  <c r="N15" i="1" s="1"/>
  <c r="L14" i="1"/>
  <c r="N14" i="1" s="1"/>
  <c r="AT2" i="1"/>
  <c r="L13" i="1"/>
  <c r="N13" i="1" s="1"/>
  <c r="L9" i="1"/>
  <c r="N9" i="1" s="1"/>
  <c r="L10" i="1"/>
  <c r="N10" i="1" s="1"/>
  <c r="AK3" i="1" l="1"/>
  <c r="O12" i="1"/>
  <c r="O6" i="1"/>
  <c r="AJ3" i="1"/>
  <c r="O5" i="1"/>
  <c r="V3" i="1"/>
  <c r="X3" i="1" s="1"/>
  <c r="AZ3" i="1" s="1"/>
  <c r="U8" i="1"/>
  <c r="W8" i="1" s="1"/>
  <c r="BA8" i="1" s="1"/>
  <c r="V2" i="1"/>
  <c r="X2" i="1" s="1"/>
  <c r="U5" i="1"/>
  <c r="W5" i="1" s="1"/>
  <c r="BA5" i="1" s="1"/>
  <c r="V5" i="1"/>
  <c r="X5" i="1" s="1"/>
  <c r="AZ5" i="1" s="1"/>
  <c r="V6" i="1"/>
  <c r="X6" i="1" s="1"/>
  <c r="AZ6" i="1" s="1"/>
  <c r="V11" i="1"/>
  <c r="X11" i="1" s="1"/>
  <c r="AZ11" i="1" s="1"/>
  <c r="V7" i="1"/>
  <c r="X7" i="1" s="1"/>
  <c r="AZ7" i="1" s="1"/>
  <c r="V10" i="1"/>
  <c r="X10" i="1" s="1"/>
  <c r="AZ10" i="1" s="1"/>
  <c r="V12" i="1"/>
  <c r="X12" i="1" s="1"/>
  <c r="AZ12" i="1" s="1"/>
  <c r="V13" i="1"/>
  <c r="X13" i="1" s="1"/>
  <c r="AZ13" i="1" s="1"/>
  <c r="V9" i="1"/>
  <c r="X9" i="1" s="1"/>
  <c r="AZ9" i="1" s="1"/>
  <c r="V15" i="1"/>
  <c r="X15" i="1" s="1"/>
  <c r="AZ15" i="1" s="1"/>
  <c r="V4" i="1"/>
  <c r="X4" i="1" s="1"/>
  <c r="AZ4" i="1" s="1"/>
  <c r="V14" i="1"/>
  <c r="X14" i="1" s="1"/>
  <c r="AZ14" i="1" s="1"/>
  <c r="U13" i="1"/>
  <c r="W13" i="1" s="1"/>
  <c r="BA13" i="1" s="1"/>
  <c r="U2" i="1"/>
  <c r="U11" i="1"/>
  <c r="W11" i="1" s="1"/>
  <c r="BA11" i="1" s="1"/>
  <c r="U9" i="1"/>
  <c r="W9" i="1" s="1"/>
  <c r="BA9" i="1" s="1"/>
  <c r="U15" i="1"/>
  <c r="W15" i="1" s="1"/>
  <c r="BA15" i="1" s="1"/>
  <c r="U12" i="1"/>
  <c r="W12" i="1" s="1"/>
  <c r="BA12" i="1" s="1"/>
  <c r="U4" i="1"/>
  <c r="W4" i="1" s="1"/>
  <c r="BA4" i="1" s="1"/>
  <c r="U7" i="1"/>
  <c r="U3" i="1"/>
  <c r="W3" i="1" s="1"/>
  <c r="BA3" i="1" s="1"/>
  <c r="U10" i="1"/>
  <c r="W10" i="1" s="1"/>
  <c r="BA10" i="1" s="1"/>
  <c r="U6" i="1"/>
  <c r="W6" i="1" s="1"/>
  <c r="BA6" i="1" s="1"/>
  <c r="O2" i="1"/>
  <c r="O7" i="1"/>
  <c r="O8" i="1"/>
  <c r="O13" i="1"/>
  <c r="O15" i="1"/>
  <c r="O14" i="1"/>
  <c r="O9" i="1"/>
  <c r="O4" i="1"/>
  <c r="O10" i="1"/>
  <c r="O11" i="1"/>
  <c r="O3" i="1"/>
  <c r="AZ2" i="1" l="1"/>
  <c r="Y7" i="1"/>
  <c r="BB7" i="1" s="1"/>
  <c r="Y5" i="1"/>
  <c r="BB5" i="1" s="1"/>
  <c r="Y8" i="1"/>
  <c r="BB8" i="1" s="1"/>
  <c r="Y14" i="1"/>
  <c r="BB14" i="1" s="1"/>
  <c r="Y4" i="1"/>
  <c r="BB4" i="1" s="1"/>
  <c r="Y12" i="1"/>
  <c r="BB12" i="1" s="1"/>
  <c r="Y11" i="1"/>
  <c r="BB11" i="1" s="1"/>
  <c r="Y3" i="1"/>
  <c r="BB3" i="1" s="1"/>
  <c r="Y13" i="1"/>
  <c r="BB13" i="1" s="1"/>
  <c r="W7" i="1"/>
  <c r="BA7" i="1" s="1"/>
  <c r="Y9" i="1"/>
  <c r="BB9" i="1" s="1"/>
  <c r="Y6" i="1"/>
  <c r="BB6" i="1" s="1"/>
  <c r="Y10" i="1"/>
  <c r="BB10" i="1" s="1"/>
  <c r="Y2" i="1"/>
  <c r="W2" i="1"/>
  <c r="Y15" i="1"/>
  <c r="BB15" i="1" s="1"/>
  <c r="AJ5" i="1" l="1"/>
  <c r="BB2" i="1"/>
  <c r="AL3" i="1"/>
  <c r="AM3" i="1" s="1"/>
  <c r="BA2" i="1"/>
  <c r="AL5" i="1" l="1"/>
  <c r="AK5" i="1"/>
  <c r="AM5" i="1" l="1"/>
</calcChain>
</file>

<file path=xl/sharedStrings.xml><?xml version="1.0" encoding="utf-8"?>
<sst xmlns="http://schemas.openxmlformats.org/spreadsheetml/2006/main" count="260" uniqueCount="85">
  <si>
    <t>Name of element</t>
  </si>
  <si>
    <t>y'i</t>
  </si>
  <si>
    <t>z'i</t>
  </si>
  <si>
    <t>Ai(y'i)</t>
  </si>
  <si>
    <t>Ai(z'i)</t>
  </si>
  <si>
    <t>Iyy</t>
  </si>
  <si>
    <t>Izz</t>
  </si>
  <si>
    <t>Iyz</t>
  </si>
  <si>
    <t>y'i-ybar</t>
  </si>
  <si>
    <t>z'i-zbar</t>
  </si>
  <si>
    <t>Ai</t>
  </si>
  <si>
    <t>Number (i)</t>
  </si>
  <si>
    <t>Top Skin</t>
  </si>
  <si>
    <t>Bottom Skin</t>
  </si>
  <si>
    <t>LE Spar (big one)</t>
  </si>
  <si>
    <t>TE Spar (Small one)</t>
  </si>
  <si>
    <t>Top Stringer1</t>
  </si>
  <si>
    <t>Top Stringer2</t>
  </si>
  <si>
    <t>Top Stringer3</t>
  </si>
  <si>
    <t>Top Stringer4</t>
  </si>
  <si>
    <t>Top Stringer5</t>
  </si>
  <si>
    <t>Bottom Stringer1</t>
  </si>
  <si>
    <t>Bottom Stringer2</t>
  </si>
  <si>
    <t>Bottom Stringer3</t>
  </si>
  <si>
    <t>Bottom Stringer4</t>
  </si>
  <si>
    <t>Bottom Stringer5</t>
  </si>
  <si>
    <t>Iyyi</t>
  </si>
  <si>
    <t>Izzi</t>
  </si>
  <si>
    <t>Iyzi</t>
  </si>
  <si>
    <t>TBD</t>
  </si>
  <si>
    <t>ybar</t>
  </si>
  <si>
    <t>zbar</t>
  </si>
  <si>
    <t>TOTALS</t>
  </si>
  <si>
    <t>Ai(y'i-ybar)^2</t>
  </si>
  <si>
    <t>Ai(z'i-zbar)^2</t>
  </si>
  <si>
    <t>I~</t>
  </si>
  <si>
    <t>WARNING: DO NOT CHANGE THE LOCATION OF VALUES IN THIS SHEET, LOCATIONS ARE HARD CODED IN THE MATLAB CODE.</t>
  </si>
  <si>
    <t>Ei (ksi)</t>
  </si>
  <si>
    <t>Ei/ER</t>
  </si>
  <si>
    <t>ER (ksi)</t>
  </si>
  <si>
    <t>(Ei/ER)Ai</t>
  </si>
  <si>
    <t>Ai(y'i-ybar)(z'i-zbar)</t>
  </si>
  <si>
    <t>Ai*(y'i)</t>
  </si>
  <si>
    <t>Ai*(z'i)</t>
  </si>
  <si>
    <t>ybar*</t>
  </si>
  <si>
    <t>zbar*</t>
  </si>
  <si>
    <t>Iyy*</t>
  </si>
  <si>
    <t>Izz*</t>
  </si>
  <si>
    <t>Iyz*</t>
  </si>
  <si>
    <t>I~*</t>
  </si>
  <si>
    <t>y'i-ybar*</t>
  </si>
  <si>
    <t>Ai(y'i-ybar*)^2</t>
  </si>
  <si>
    <t>Ai(z'i-zbar*)^2</t>
  </si>
  <si>
    <t>Ai(y'i-ybar*)(z'i-zbar*)</t>
  </si>
  <si>
    <t>=add data</t>
  </si>
  <si>
    <t>=update formula to add stringers in sum</t>
  </si>
  <si>
    <t>z'i-zbar*</t>
  </si>
  <si>
    <t>Ult Tens Strength (ksi)</t>
  </si>
  <si>
    <t>Ult Comp Strength (ksi)</t>
  </si>
  <si>
    <t>Poisson's ratio</t>
  </si>
  <si>
    <t>Specific Weight (lbf/ft^3)</t>
  </si>
  <si>
    <t>Not Avaliable</t>
  </si>
  <si>
    <t>Not Applicable</t>
  </si>
  <si>
    <t>Shear Modulus (ksi)</t>
  </si>
  <si>
    <t>LE Top Skin y</t>
  </si>
  <si>
    <t>TE Top Skin y</t>
  </si>
  <si>
    <t>LE Bottom Skin y</t>
  </si>
  <si>
    <t>TE Bottom Skin y</t>
  </si>
  <si>
    <t>LE Top Skin z</t>
  </si>
  <si>
    <t>LE Bottom Skin z</t>
  </si>
  <si>
    <t>TE Top Skin z</t>
  </si>
  <si>
    <t>TE Bottom Skin z</t>
  </si>
  <si>
    <t>Volume (in^3)</t>
  </si>
  <si>
    <t>Rib x Location (in)</t>
  </si>
  <si>
    <t>End Loads in the X Direction(lbf)</t>
  </si>
  <si>
    <t>End Loads in the Y Direction(lbf)</t>
  </si>
  <si>
    <t>Y Position along the Y-Axis(in)</t>
  </si>
  <si>
    <t>Z Position along the Z-Axis(in)</t>
  </si>
  <si>
    <t>End Loads in the Z Direction(lbf)</t>
  </si>
  <si>
    <t>Length of the beam in X (in)</t>
  </si>
  <si>
    <t>X position of End Loads (in)</t>
  </si>
  <si>
    <t>P=100, Our Goal</t>
  </si>
  <si>
    <t xml:space="preserve">         Below values are assumed to be in the blue axis (auxillary axes) coord system below:</t>
  </si>
  <si>
    <t>Iyyi*</t>
  </si>
  <si>
    <t>Izzi*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</si>
</sst>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4" borderId="0" xfId="0" applyFill="1"/>
    <xf numFmtId="0" fontId="0" fillId="0" borderId="0" xfId="0" quotePrefix="1"/>
    <xf numFmtId="0" fontId="0" fillId="0" borderId="0" xfId="0" quotePrefix="1" applyAlignment="1"/>
    <xf numFmtId="0" fontId="0" fillId="0" borderId="0" xfId="0" applyFill="1"/>
    <xf numFmtId="0" fontId="0" fillId="3" borderId="0" xfId="0" applyFill="1" applyAlignment="1">
      <alignment horizontal="center" vertic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160020</xdr:colOff>
      <xdr:row>16</xdr:row>
      <xdr:rowOff>129540</xdr:rowOff>
    </xdr:from>
    <xdr:to>
      <xdr:col>7</xdr:col>
      <xdr:colOff>617695</xdr:colOff>
      <xdr:row>39</xdr:row>
      <xdr:rowOff>23215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AE33786-B34B-4591-9706-0C1DFDCC3A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020" y="3055620"/>
          <a:ext cx="5486875" cy="409991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8</xdr:col>
      <xdr:colOff>190500</xdr:colOff>
      <xdr:row>16</xdr:row>
      <xdr:rowOff>129541</xdr:rowOff>
    </xdr:from>
    <xdr:to>
      <xdr:col>15</xdr:col>
      <xdr:colOff>167640</xdr:colOff>
      <xdr:row>39</xdr:row>
      <xdr:rowOff>49385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DEAA6CC-36F7-4381-9BE2-14D4238A25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29300" y="3055621"/>
          <a:ext cx="5509260" cy="412608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32</xdr:col>
      <xdr:colOff>205740</xdr:colOff>
      <xdr:row>16</xdr:row>
      <xdr:rowOff>160020</xdr:rowOff>
    </xdr:from>
    <xdr:to>
      <xdr:col>38</xdr:col>
      <xdr:colOff>457675</xdr:colOff>
      <xdr:row>39</xdr:row>
      <xdr:rowOff>53695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72DF825-8A7B-44BE-93A0-9E653997D0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883360" y="3086100"/>
          <a:ext cx="5486875" cy="409991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25"/>
  <sheetViews>
    <sheetView tabSelected="1" zoomScaleNormal="100" workbookViewId="0">
      <selection activeCell="E13" sqref="E13"/>
    </sheetView>
  </sheetViews>
  <sheetFormatPr defaultRowHeight="15" x14ac:dyDescent="0.25"/>
  <cols>
    <col min="1" max="1" width="16.5703125" bestFit="1" customWidth="1"/>
    <col min="2" max="2" width="9.5703125" bestFit="1" customWidth="1"/>
    <col min="4" max="4" width="10.7109375" bestFit="1" customWidth="1"/>
    <col min="5" max="5" width="9.7109375" bestFit="1" customWidth="1"/>
    <col min="8" max="9" width="12" bestFit="1" customWidth="1"/>
    <col min="13" max="13" width="11.7109375" bestFit="1" customWidth="1"/>
    <col min="14" max="14" width="11.5703125" bestFit="1" customWidth="1"/>
    <col min="15" max="15" width="18.7109375" bestFit="1" customWidth="1"/>
    <col min="23" max="23" width="12.7109375" bestFit="1" customWidth="1"/>
    <col min="24" max="24" width="12.42578125" bestFit="1" customWidth="1"/>
    <col min="25" max="26" width="18.7109375" bestFit="1" customWidth="1"/>
    <col min="27" max="27" width="19.28515625" bestFit="1" customWidth="1"/>
    <col min="28" max="28" width="12.7109375" bestFit="1" customWidth="1"/>
    <col min="29" max="29" width="16.7109375" customWidth="1"/>
    <col min="30" max="30" width="21.5703125" bestFit="1" customWidth="1"/>
    <col min="31" max="31" width="12.28515625" bestFit="1" customWidth="1"/>
    <col min="32" max="32" width="15.5703125" bestFit="1" customWidth="1"/>
    <col min="33" max="35" width="12.7109375" bestFit="1" customWidth="1"/>
    <col min="36" max="37" width="14.7109375" bestFit="1" customWidth="1"/>
    <col min="41" max="41" width="27.28515625" bestFit="1" customWidth="1"/>
    <col min="42" max="42" width="25.7109375" bestFit="1" customWidth="1"/>
    <col min="43" max="43" width="25.5703125" bestFit="1" customWidth="1"/>
    <col min="44" max="44" width="27.28515625" bestFit="1" customWidth="1"/>
    <col min="45" max="45" width="25.7109375" bestFit="1" customWidth="1"/>
    <col min="46" max="46" width="25.5703125" bestFit="1" customWidth="1"/>
    <col min="47" max="47" width="27.28515625" bestFit="1" customWidth="1"/>
    <col min="48" max="48" width="25.28515625" bestFit="1" customWidth="1"/>
    <col min="49" max="49" width="25" bestFit="1" customWidth="1"/>
    <col min="50" max="50" width="23.42578125" bestFit="1" customWidth="1"/>
  </cols>
  <sheetData>
    <row r="1" spans="1:54" x14ac:dyDescent="0.25">
      <c r="A1" t="s">
        <v>0</v>
      </c>
      <c r="B1" t="s">
        <v>11</v>
      </c>
      <c r="C1" t="s">
        <v>10</v>
      </c>
      <c r="D1" t="s">
        <v>1</v>
      </c>
      <c r="E1" t="s">
        <v>2</v>
      </c>
      <c r="F1" t="s">
        <v>3</v>
      </c>
      <c r="G1" t="s">
        <v>4</v>
      </c>
      <c r="H1" t="s">
        <v>26</v>
      </c>
      <c r="I1" t="s">
        <v>27</v>
      </c>
      <c r="J1" t="s">
        <v>28</v>
      </c>
      <c r="K1" t="s">
        <v>8</v>
      </c>
      <c r="L1" t="s">
        <v>9</v>
      </c>
      <c r="M1" t="s">
        <v>33</v>
      </c>
      <c r="N1" t="s">
        <v>34</v>
      </c>
      <c r="O1" t="s">
        <v>41</v>
      </c>
      <c r="P1" t="s">
        <v>37</v>
      </c>
      <c r="Q1" t="s">
        <v>38</v>
      </c>
      <c r="R1" t="s">
        <v>40</v>
      </c>
      <c r="S1" t="s">
        <v>42</v>
      </c>
      <c r="T1" t="s">
        <v>43</v>
      </c>
      <c r="U1" t="s">
        <v>50</v>
      </c>
      <c r="V1" t="s">
        <v>56</v>
      </c>
      <c r="W1" t="s">
        <v>51</v>
      </c>
      <c r="X1" t="s">
        <v>52</v>
      </c>
      <c r="Y1" t="s">
        <v>53</v>
      </c>
      <c r="Z1" t="s">
        <v>57</v>
      </c>
      <c r="AA1" t="s">
        <v>58</v>
      </c>
      <c r="AB1" t="s">
        <v>59</v>
      </c>
      <c r="AC1" t="s">
        <v>63</v>
      </c>
      <c r="AD1" t="s">
        <v>60</v>
      </c>
      <c r="AE1" t="s">
        <v>72</v>
      </c>
      <c r="AF1" t="s">
        <v>73</v>
      </c>
      <c r="AO1" t="s">
        <v>74</v>
      </c>
      <c r="AP1" t="s">
        <v>76</v>
      </c>
      <c r="AQ1" t="s">
        <v>77</v>
      </c>
      <c r="AR1" t="s">
        <v>75</v>
      </c>
      <c r="AS1" t="s">
        <v>76</v>
      </c>
      <c r="AT1" t="s">
        <v>77</v>
      </c>
      <c r="AU1" t="s">
        <v>78</v>
      </c>
      <c r="AV1" t="s">
        <v>76</v>
      </c>
      <c r="AW1" t="s">
        <v>77</v>
      </c>
      <c r="AX1" t="s">
        <v>79</v>
      </c>
      <c r="AZ1" t="s">
        <v>83</v>
      </c>
      <c r="BA1" t="s">
        <v>84</v>
      </c>
      <c r="BB1" t="s">
        <v>48</v>
      </c>
    </row>
    <row r="2" spans="1:54" x14ac:dyDescent="0.25">
      <c r="A2" t="s">
        <v>12</v>
      </c>
      <c r="B2">
        <v>1</v>
      </c>
      <c r="C2">
        <f>3.75*0.0625</f>
        <v>0.234375</v>
      </c>
      <c r="D2">
        <f>(1/32)</f>
        <v>3.125E-2</v>
      </c>
      <c r="E2">
        <f>-3.75/2</f>
        <v>-1.875</v>
      </c>
      <c r="F2">
        <f>C2*D2</f>
        <v>7.32421875E-3</v>
      </c>
      <c r="G2">
        <f>C2*E2</f>
        <v>-0.439453125</v>
      </c>
      <c r="H2">
        <f>((1/16)*(3.75)^3)/12</f>
        <v>0.274658203125</v>
      </c>
      <c r="I2">
        <f>(3.75*(1/16)^3)/12</f>
        <v>7.62939453125E-5</v>
      </c>
      <c r="J2">
        <v>0</v>
      </c>
      <c r="K2">
        <f t="shared" ref="K2:K15" si="0">D2-$AH$3</f>
        <v>0.43116428060598644</v>
      </c>
      <c r="L2">
        <f t="shared" ref="L2:L15" si="1">E2-$AI$3</f>
        <v>-0.41015322566362666</v>
      </c>
      <c r="M2">
        <f>C2*K2^2</f>
        <v>4.3570930516518239E-2</v>
      </c>
      <c r="N2">
        <f>C2*L2^2</f>
        <v>3.9427891059908869E-2</v>
      </c>
      <c r="O2">
        <f>C2*K2*L2</f>
        <v>-4.144767667534744E-2</v>
      </c>
      <c r="P2">
        <v>255</v>
      </c>
      <c r="Q2">
        <f t="shared" ref="Q2:Q15" si="2">P2/$AH$7</f>
        <v>0.1275</v>
      </c>
      <c r="R2">
        <f>Q2*C2</f>
        <v>2.9882812500000001E-2</v>
      </c>
      <c r="S2">
        <f>R2*D2</f>
        <v>9.3383789062500004E-4</v>
      </c>
      <c r="T2">
        <f>R2*E2</f>
        <v>-5.60302734375E-2</v>
      </c>
      <c r="U2">
        <f t="shared" ref="U2:U15" si="3">D2-$AH$5</f>
        <v>-8.5464004873213179E-3</v>
      </c>
      <c r="V2">
        <f t="shared" ref="V2:V15" si="4">E2-$AI$5</f>
        <v>-0.64565999620843528</v>
      </c>
      <c r="W2">
        <f>C2*U2^2</f>
        <v>1.711897530227017E-5</v>
      </c>
      <c r="X2">
        <f>C2*V2^2</f>
        <v>9.7705507196221092E-2</v>
      </c>
      <c r="Y2">
        <f>C2*U2*V2</f>
        <v>1.2932973998999184E-3</v>
      </c>
      <c r="Z2">
        <v>1.47</v>
      </c>
      <c r="AA2">
        <v>3</v>
      </c>
      <c r="AB2">
        <v>0.35</v>
      </c>
      <c r="AC2">
        <v>36</v>
      </c>
      <c r="AD2">
        <v>5.6</v>
      </c>
      <c r="AE2" s="5">
        <f>C2*$AX$2</f>
        <v>10.78125</v>
      </c>
      <c r="AF2" s="1" t="s">
        <v>61</v>
      </c>
      <c r="AH2" t="s">
        <v>30</v>
      </c>
      <c r="AI2" t="s">
        <v>31</v>
      </c>
      <c r="AJ2" t="s">
        <v>5</v>
      </c>
      <c r="AK2" t="s">
        <v>6</v>
      </c>
      <c r="AL2" t="s">
        <v>7</v>
      </c>
      <c r="AM2" t="s">
        <v>35</v>
      </c>
      <c r="AO2" t="s">
        <v>62</v>
      </c>
      <c r="AP2" t="s">
        <v>62</v>
      </c>
      <c r="AQ2" t="s">
        <v>62</v>
      </c>
      <c r="AR2">
        <v>5</v>
      </c>
      <c r="AS2">
        <v>0</v>
      </c>
      <c r="AT2">
        <f>-AI3</f>
        <v>1.4648467743363733</v>
      </c>
      <c r="AU2" t="s">
        <v>62</v>
      </c>
      <c r="AV2" t="s">
        <v>62</v>
      </c>
      <c r="AW2" t="s">
        <v>62</v>
      </c>
      <c r="AX2">
        <v>46</v>
      </c>
      <c r="AZ2">
        <f>(Q2)*(H2+X2)</f>
        <v>4.7476373065955688E-2</v>
      </c>
      <c r="BA2">
        <f>(Q2)*(I2+W2)</f>
        <v>1.1910147378383197E-5</v>
      </c>
      <c r="BB2">
        <f>(Q2)*(J2+Y2)</f>
        <v>1.648954184872396E-4</v>
      </c>
    </row>
    <row r="3" spans="1:54" x14ac:dyDescent="0.25">
      <c r="A3" t="s">
        <v>13</v>
      </c>
      <c r="B3">
        <v>2</v>
      </c>
      <c r="C3">
        <f>SQRT(1+3.75^2)*0.0625</f>
        <v>0.24256522962906288</v>
      </c>
      <c r="D3">
        <f>SQRT(1+3.75^2)/2*SIN(ATAN(1/3.75))-1.5</f>
        <v>-1</v>
      </c>
      <c r="E3">
        <f>(-SQRT(1+3.75^2)/2)*COS(ATAN(1/3.75))</f>
        <v>-1.875</v>
      </c>
      <c r="F3">
        <f t="shared" ref="F3:F15" si="5">C3*D3</f>
        <v>-0.24256522962906288</v>
      </c>
      <c r="G3">
        <f t="shared" ref="G3:G15" si="6">C3*E3</f>
        <v>-0.45480980555449291</v>
      </c>
      <c r="H3">
        <f>(((1/16)*(SQRT(1+3.75^2)))/24)*((1/16)^2+(SQRT(1+3.75^2))^2)+(((1/16)*(SQRT(1+3.75^2)))/24)*((1/16)^2-(SQRT(1+3.75^2))^2)*COS(2*ATAN(1/3.75))</f>
        <v>2.028748701139621E-2</v>
      </c>
      <c r="I3">
        <f>(((1/16)*(SQRT(1+3.75^2)))/24)*((1/16)^2+(SQRT(1+3.75^2))^2)-(((1/16)*(SQRT(1+3.75^2)))/24)*((1/16)^2-(SQRT(1+3.75^2))^2)*COS(2*ATAN(1/3.75))</f>
        <v>0.28426137063160367</v>
      </c>
      <c r="J3">
        <f>(((1/16)*(SQRT(1+3.75^2)))/24)*((1/16)^2-(SQRT(1+3.75^2))^2)*SIN(2*ATAN(1/3.75))</f>
        <v>-7.5781976158911218E-2</v>
      </c>
      <c r="K3">
        <f t="shared" si="0"/>
        <v>-0.60008571939401356</v>
      </c>
      <c r="L3">
        <f t="shared" si="1"/>
        <v>-0.41015322566362666</v>
      </c>
      <c r="M3">
        <f t="shared" ref="M3:M15" si="7">C3*K3^2</f>
        <v>8.7348435502178023E-2</v>
      </c>
      <c r="N3">
        <f t="shared" ref="N3:N15" si="8">C3*L3^2</f>
        <v>4.0805697914608946E-2</v>
      </c>
      <c r="O3">
        <f t="shared" ref="O3:O15" si="9">C3*K3*L3</f>
        <v>5.9701874948912451E-2</v>
      </c>
      <c r="P3">
        <v>255</v>
      </c>
      <c r="Q3">
        <f t="shared" si="2"/>
        <v>0.1275</v>
      </c>
      <c r="R3">
        <f t="shared" ref="R3:R15" si="10">Q3*C3</f>
        <v>3.0927066777705518E-2</v>
      </c>
      <c r="S3">
        <f t="shared" ref="S3:S15" si="11">R3*D3</f>
        <v>-3.0927066777705518E-2</v>
      </c>
      <c r="T3">
        <f t="shared" ref="T3:T15" si="12">R3*E3</f>
        <v>-5.7988250208197846E-2</v>
      </c>
      <c r="U3">
        <f t="shared" si="3"/>
        <v>-1.0397964004873212</v>
      </c>
      <c r="V3">
        <f t="shared" si="4"/>
        <v>-0.64565999620843528</v>
      </c>
      <c r="W3">
        <f t="shared" ref="W3:W15" si="13">C3*U3^2</f>
        <v>0.26225583920369888</v>
      </c>
      <c r="X3">
        <f t="shared" ref="X3:X15" si="14">C3*V3^2</f>
        <v>0.10111982416672181</v>
      </c>
      <c r="Y3">
        <f t="shared" ref="Y3:Y15" si="15">C3*U3*V3</f>
        <v>0.16284736518278117</v>
      </c>
      <c r="Z3">
        <v>1.47</v>
      </c>
      <c r="AA3">
        <v>3</v>
      </c>
      <c r="AB3">
        <v>0.35</v>
      </c>
      <c r="AC3">
        <v>36</v>
      </c>
      <c r="AD3">
        <v>5.6</v>
      </c>
      <c r="AE3" s="5">
        <f t="shared" ref="AE3:AE15" si="16">C3*$AX$2</f>
        <v>11.158000562936893</v>
      </c>
      <c r="AF3" s="1" t="s">
        <v>61</v>
      </c>
      <c r="AH3">
        <f>F16/C16</f>
        <v>-0.39991428060598644</v>
      </c>
      <c r="AI3">
        <f>G16/C16</f>
        <v>-1.4648467743363733</v>
      </c>
      <c r="AJ3">
        <f>H16+N16</f>
        <v>1.1624100797776606</v>
      </c>
      <c r="AK3">
        <f>I16+M16</f>
        <v>0.68159298563304871</v>
      </c>
      <c r="AL3">
        <f>J16+O16</f>
        <v>-1.6483010146269045E-2</v>
      </c>
      <c r="AM3">
        <f>(AJ3*AK3)-AL3^2</f>
        <v>0.792018867182124</v>
      </c>
      <c r="AO3" t="s">
        <v>62</v>
      </c>
      <c r="AP3" t="s">
        <v>62</v>
      </c>
      <c r="AQ3" t="s">
        <v>62</v>
      </c>
      <c r="AR3" t="s">
        <v>81</v>
      </c>
      <c r="AS3">
        <v>0</v>
      </c>
      <c r="AT3">
        <f>-1.875-AI3</f>
        <v>-0.41015322566362666</v>
      </c>
      <c r="AU3" t="s">
        <v>62</v>
      </c>
      <c r="AV3" t="s">
        <v>62</v>
      </c>
      <c r="AW3" t="s">
        <v>62</v>
      </c>
      <c r="AX3" t="s">
        <v>80</v>
      </c>
      <c r="AZ3">
        <f t="shared" ref="AZ3:AZ15" si="17">(Q3)*(H3+X3)</f>
        <v>1.5479432175210049E-2</v>
      </c>
      <c r="BA3">
        <f t="shared" ref="BA3:BA15" si="18">(Q3)*(I3+W3)</f>
        <v>6.9680944254001079E-2</v>
      </c>
      <c r="BB3">
        <f t="shared" ref="BB3:BB15" si="19">(Q3)*(J3+Y3)</f>
        <v>1.110083710054342E-2</v>
      </c>
    </row>
    <row r="4" spans="1:54" x14ac:dyDescent="0.25">
      <c r="A4" t="s">
        <v>14</v>
      </c>
      <c r="B4">
        <v>3</v>
      </c>
      <c r="C4">
        <f>1.5*0.125</f>
        <v>0.1875</v>
      </c>
      <c r="D4">
        <f>(-1.5)/2</f>
        <v>-0.75</v>
      </c>
      <c r="E4">
        <f>-1/16</f>
        <v>-6.25E-2</v>
      </c>
      <c r="F4">
        <f t="shared" si="5"/>
        <v>-0.140625</v>
      </c>
      <c r="G4">
        <f t="shared" si="6"/>
        <v>-1.171875E-2</v>
      </c>
      <c r="H4">
        <f>(1.5*(1/8)^3)/12</f>
        <v>2.44140625E-4</v>
      </c>
      <c r="I4">
        <f>((1/8)*1.5^2)/12</f>
        <v>2.34375E-2</v>
      </c>
      <c r="J4">
        <v>0</v>
      </c>
      <c r="K4">
        <f t="shared" si="0"/>
        <v>-0.35008571939401356</v>
      </c>
      <c r="L4">
        <f t="shared" si="1"/>
        <v>1.4023467743363733</v>
      </c>
      <c r="M4">
        <f t="shared" si="7"/>
        <v>2.2980002048179501E-2</v>
      </c>
      <c r="N4">
        <f t="shared" si="8"/>
        <v>0.36873308915468084</v>
      </c>
      <c r="O4">
        <f t="shared" si="9"/>
        <v>-9.2051546125016925E-2</v>
      </c>
      <c r="P4">
        <v>155</v>
      </c>
      <c r="Q4">
        <f t="shared" si="2"/>
        <v>7.7499999999999999E-2</v>
      </c>
      <c r="R4">
        <f t="shared" si="10"/>
        <v>1.4531249999999999E-2</v>
      </c>
      <c r="S4">
        <f t="shared" si="11"/>
        <v>-1.08984375E-2</v>
      </c>
      <c r="T4">
        <f t="shared" si="12"/>
        <v>-9.0820312499999994E-4</v>
      </c>
      <c r="U4">
        <f t="shared" si="3"/>
        <v>-0.78979640048732136</v>
      </c>
      <c r="V4">
        <f t="shared" si="4"/>
        <v>1.1668400037915647</v>
      </c>
      <c r="W4">
        <f t="shared" si="13"/>
        <v>0.11695844141676175</v>
      </c>
      <c r="X4">
        <f t="shared" si="14"/>
        <v>0.255284173959056</v>
      </c>
      <c r="Y4">
        <f t="shared" si="15"/>
        <v>-0.17279363155109817</v>
      </c>
      <c r="Z4">
        <v>0.63</v>
      </c>
      <c r="AA4">
        <v>1.46</v>
      </c>
      <c r="AB4">
        <v>0.35</v>
      </c>
      <c r="AC4">
        <v>36</v>
      </c>
      <c r="AD4">
        <v>5.3</v>
      </c>
      <c r="AE4" s="5">
        <f t="shared" si="16"/>
        <v>8.625</v>
      </c>
      <c r="AF4" s="1" t="s">
        <v>61</v>
      </c>
      <c r="AH4" t="s">
        <v>44</v>
      </c>
      <c r="AI4" t="s">
        <v>45</v>
      </c>
      <c r="AJ4" t="s">
        <v>46</v>
      </c>
      <c r="AK4" t="s">
        <v>47</v>
      </c>
      <c r="AL4" t="s">
        <v>48</v>
      </c>
      <c r="AM4" t="s">
        <v>49</v>
      </c>
      <c r="AO4" t="s">
        <v>62</v>
      </c>
      <c r="AP4" t="s">
        <v>62</v>
      </c>
      <c r="AQ4" t="s">
        <v>62</v>
      </c>
      <c r="AR4" t="s">
        <v>62</v>
      </c>
      <c r="AS4" t="s">
        <v>62</v>
      </c>
      <c r="AT4" t="s">
        <v>62</v>
      </c>
      <c r="AU4" t="s">
        <v>62</v>
      </c>
      <c r="AV4" t="s">
        <v>62</v>
      </c>
      <c r="AW4" t="s">
        <v>62</v>
      </c>
      <c r="AX4">
        <f>AX2-0.375</f>
        <v>45.625</v>
      </c>
      <c r="AZ4">
        <f t="shared" si="17"/>
        <v>1.9803444380264341E-2</v>
      </c>
      <c r="BA4">
        <f t="shared" si="18"/>
        <v>1.0880685459799037E-2</v>
      </c>
      <c r="BB4">
        <f t="shared" si="19"/>
        <v>-1.3391506445210108E-2</v>
      </c>
    </row>
    <row r="5" spans="1:54" x14ac:dyDescent="0.25">
      <c r="A5" t="s">
        <v>15</v>
      </c>
      <c r="B5">
        <v>4</v>
      </c>
      <c r="C5">
        <f>0.5*0.125</f>
        <v>6.25E-2</v>
      </c>
      <c r="D5">
        <f>-0.5/2</f>
        <v>-0.25</v>
      </c>
      <c r="E5">
        <f>-3.75+(1/8)/2</f>
        <v>-3.6875</v>
      </c>
      <c r="F5">
        <f t="shared" si="5"/>
        <v>-1.5625E-2</v>
      </c>
      <c r="G5">
        <f t="shared" si="6"/>
        <v>-0.23046875</v>
      </c>
      <c r="H5">
        <f>(0.5*(1/8)^3)/12</f>
        <v>8.1380208333333329E-5</v>
      </c>
      <c r="I5">
        <f>((1/8)*0.5^3)/12</f>
        <v>1.3020833333333333E-3</v>
      </c>
      <c r="J5">
        <v>0</v>
      </c>
      <c r="K5">
        <f t="shared" si="0"/>
        <v>0.14991428060598644</v>
      </c>
      <c r="L5">
        <f t="shared" si="1"/>
        <v>-2.2226532256636267</v>
      </c>
      <c r="M5">
        <f t="shared" si="7"/>
        <v>1.4046432206006527E-3</v>
      </c>
      <c r="N5">
        <f t="shared" si="8"/>
        <v>0.30876171009705777</v>
      </c>
      <c r="O5">
        <f t="shared" si="9"/>
        <v>-2.0825466210121116E-2</v>
      </c>
      <c r="P5">
        <v>155</v>
      </c>
      <c r="Q5">
        <f t="shared" si="2"/>
        <v>7.7499999999999999E-2</v>
      </c>
      <c r="R5">
        <f t="shared" si="10"/>
        <v>4.84375E-3</v>
      </c>
      <c r="S5">
        <f t="shared" si="11"/>
        <v>-1.2109375E-3</v>
      </c>
      <c r="T5">
        <f t="shared" si="12"/>
        <v>-1.7861328124999999E-2</v>
      </c>
      <c r="U5">
        <f t="shared" si="3"/>
        <v>-0.2897964004873213</v>
      </c>
      <c r="V5">
        <f t="shared" si="4"/>
        <v>-2.4581599962084351</v>
      </c>
      <c r="W5">
        <f t="shared" si="13"/>
        <v>5.2488721084629946E-3</v>
      </c>
      <c r="X5">
        <f t="shared" si="14"/>
        <v>0.37765941043496581</v>
      </c>
      <c r="Y5">
        <f t="shared" si="15"/>
        <v>4.4522869920195739E-2</v>
      </c>
      <c r="Z5">
        <v>0.63</v>
      </c>
      <c r="AA5">
        <v>1.46</v>
      </c>
      <c r="AB5">
        <v>0.35</v>
      </c>
      <c r="AC5">
        <v>36</v>
      </c>
      <c r="AD5">
        <v>5.3</v>
      </c>
      <c r="AE5" s="5">
        <f t="shared" si="16"/>
        <v>2.875</v>
      </c>
      <c r="AF5" s="1" t="s">
        <v>61</v>
      </c>
      <c r="AH5">
        <f>S16/R16</f>
        <v>3.9796400487321318E-2</v>
      </c>
      <c r="AI5">
        <f>T16/R16</f>
        <v>-1.2293400037915647</v>
      </c>
      <c r="AJ5">
        <f>AZ16</f>
        <v>0.15626711074701294</v>
      </c>
      <c r="AK5">
        <f>BA16</f>
        <v>0.15885300605678454</v>
      </c>
      <c r="AL5">
        <f>BB16</f>
        <v>5.9836927781566615E-2</v>
      </c>
      <c r="AM5">
        <f>(AJ5*AK5)-AL5^2</f>
        <v>2.1243042363635046E-2</v>
      </c>
      <c r="AO5" t="s">
        <v>62</v>
      </c>
      <c r="AP5" t="s">
        <v>62</v>
      </c>
      <c r="AQ5" t="s">
        <v>62</v>
      </c>
      <c r="AR5" t="s">
        <v>62</v>
      </c>
      <c r="AS5" t="s">
        <v>62</v>
      </c>
      <c r="AT5" t="s">
        <v>62</v>
      </c>
      <c r="AU5" t="s">
        <v>62</v>
      </c>
      <c r="AV5" t="s">
        <v>62</v>
      </c>
      <c r="AW5" t="s">
        <v>62</v>
      </c>
      <c r="AZ5">
        <f t="shared" si="17"/>
        <v>2.9274911274855681E-2</v>
      </c>
      <c r="BA5">
        <f t="shared" si="18"/>
        <v>5.0769904673921538E-4</v>
      </c>
      <c r="BB5">
        <f t="shared" si="19"/>
        <v>3.4505224188151697E-3</v>
      </c>
    </row>
    <row r="6" spans="1:54" x14ac:dyDescent="0.25">
      <c r="A6" t="s">
        <v>16</v>
      </c>
      <c r="B6">
        <v>5</v>
      </c>
      <c r="C6">
        <f>0.125*0.125</f>
        <v>1.5625E-2</v>
      </c>
      <c r="D6">
        <f>(1/16)+(1/8)/2</f>
        <v>0.125</v>
      </c>
      <c r="E6" s="1" t="s">
        <v>29</v>
      </c>
      <c r="F6">
        <f t="shared" si="5"/>
        <v>1.953125E-3</v>
      </c>
      <c r="G6" t="e">
        <f t="shared" si="6"/>
        <v>#VALUE!</v>
      </c>
      <c r="H6">
        <f>((1/8)^4)/12</f>
        <v>2.0345052083333332E-5</v>
      </c>
      <c r="I6">
        <f>((1/8)^4)/12</f>
        <v>2.0345052083333332E-5</v>
      </c>
      <c r="J6">
        <v>0</v>
      </c>
      <c r="K6">
        <f t="shared" si="0"/>
        <v>0.52491428060598644</v>
      </c>
      <c r="L6" t="e">
        <f t="shared" si="1"/>
        <v>#VALUE!</v>
      </c>
      <c r="M6">
        <f t="shared" si="7"/>
        <v>4.3052344060015664E-3</v>
      </c>
      <c r="N6" t="e">
        <f t="shared" si="8"/>
        <v>#VALUE!</v>
      </c>
      <c r="O6" t="e">
        <f t="shared" si="9"/>
        <v>#VALUE!</v>
      </c>
      <c r="P6">
        <v>1130</v>
      </c>
      <c r="Q6">
        <f t="shared" si="2"/>
        <v>0.56499999999999995</v>
      </c>
      <c r="R6">
        <f t="shared" si="10"/>
        <v>8.8281249999999992E-3</v>
      </c>
      <c r="S6">
        <f t="shared" si="11"/>
        <v>1.1035156249999999E-3</v>
      </c>
      <c r="T6" t="e">
        <f t="shared" si="12"/>
        <v>#VALUE!</v>
      </c>
      <c r="U6">
        <f t="shared" si="3"/>
        <v>8.5203599512678682E-2</v>
      </c>
      <c r="V6" t="e">
        <f t="shared" si="4"/>
        <v>#VALUE!</v>
      </c>
      <c r="W6">
        <f t="shared" si="13"/>
        <v>1.1343208390495217E-4</v>
      </c>
      <c r="X6" t="e">
        <f t="shared" si="14"/>
        <v>#VALUE!</v>
      </c>
      <c r="Y6" t="e">
        <f t="shared" si="15"/>
        <v>#VALUE!</v>
      </c>
      <c r="Z6">
        <v>7.8</v>
      </c>
      <c r="AA6">
        <v>7.8</v>
      </c>
      <c r="AB6" t="s">
        <v>62</v>
      </c>
      <c r="AC6" s="1" t="s">
        <v>61</v>
      </c>
      <c r="AD6" s="1" t="s">
        <v>61</v>
      </c>
      <c r="AE6" s="5">
        <f t="shared" si="16"/>
        <v>0.71875</v>
      </c>
      <c r="AF6" s="1" t="s">
        <v>61</v>
      </c>
      <c r="AH6" t="s">
        <v>39</v>
      </c>
      <c r="AO6" t="s">
        <v>62</v>
      </c>
      <c r="AP6" t="s">
        <v>62</v>
      </c>
      <c r="AQ6" t="s">
        <v>62</v>
      </c>
      <c r="AR6" t="s">
        <v>62</v>
      </c>
      <c r="AS6" t="s">
        <v>62</v>
      </c>
      <c r="AT6" t="s">
        <v>62</v>
      </c>
      <c r="AU6" t="s">
        <v>62</v>
      </c>
      <c r="AV6" t="s">
        <v>62</v>
      </c>
      <c r="AW6" t="s">
        <v>62</v>
      </c>
      <c r="AZ6" t="e">
        <f t="shared" si="17"/>
        <v>#VALUE!</v>
      </c>
      <c r="BA6">
        <f t="shared" si="18"/>
        <v>7.5584081833381312E-5</v>
      </c>
      <c r="BB6" t="e">
        <f t="shared" si="19"/>
        <v>#VALUE!</v>
      </c>
    </row>
    <row r="7" spans="1:54" x14ac:dyDescent="0.25">
      <c r="A7" t="s">
        <v>17</v>
      </c>
      <c r="B7">
        <v>6</v>
      </c>
      <c r="C7">
        <f t="shared" ref="C7:C15" si="20">0.125*0.125</f>
        <v>1.5625E-2</v>
      </c>
      <c r="D7">
        <f t="shared" ref="D7:D10" si="21">(1/16)+(1/8)/2</f>
        <v>0.125</v>
      </c>
      <c r="E7" s="1" t="s">
        <v>29</v>
      </c>
      <c r="F7">
        <f t="shared" si="5"/>
        <v>1.953125E-3</v>
      </c>
      <c r="G7" t="e">
        <f t="shared" si="6"/>
        <v>#VALUE!</v>
      </c>
      <c r="H7">
        <f t="shared" ref="H7:I15" si="22">((1/8)^4)/12</f>
        <v>2.0345052083333332E-5</v>
      </c>
      <c r="I7">
        <f t="shared" si="22"/>
        <v>2.0345052083333332E-5</v>
      </c>
      <c r="J7">
        <v>0</v>
      </c>
      <c r="K7">
        <f t="shared" si="0"/>
        <v>0.52491428060598644</v>
      </c>
      <c r="L7" t="e">
        <f t="shared" si="1"/>
        <v>#VALUE!</v>
      </c>
      <c r="M7">
        <f t="shared" si="7"/>
        <v>4.3052344060015664E-3</v>
      </c>
      <c r="N7" t="e">
        <f t="shared" si="8"/>
        <v>#VALUE!</v>
      </c>
      <c r="O7" t="e">
        <f t="shared" si="9"/>
        <v>#VALUE!</v>
      </c>
      <c r="P7">
        <v>1130</v>
      </c>
      <c r="Q7">
        <f t="shared" si="2"/>
        <v>0.56499999999999995</v>
      </c>
      <c r="R7">
        <f t="shared" si="10"/>
        <v>8.8281249999999992E-3</v>
      </c>
      <c r="S7">
        <f t="shared" si="11"/>
        <v>1.1035156249999999E-3</v>
      </c>
      <c r="T7" t="e">
        <f t="shared" si="12"/>
        <v>#VALUE!</v>
      </c>
      <c r="U7">
        <f t="shared" si="3"/>
        <v>8.5203599512678682E-2</v>
      </c>
      <c r="V7" t="e">
        <f t="shared" si="4"/>
        <v>#VALUE!</v>
      </c>
      <c r="W7">
        <f t="shared" si="13"/>
        <v>1.1343208390495217E-4</v>
      </c>
      <c r="X7" t="e">
        <f t="shared" si="14"/>
        <v>#VALUE!</v>
      </c>
      <c r="Y7" t="e">
        <f t="shared" si="15"/>
        <v>#VALUE!</v>
      </c>
      <c r="Z7">
        <v>7.8</v>
      </c>
      <c r="AA7">
        <v>7.8</v>
      </c>
      <c r="AB7" t="s">
        <v>62</v>
      </c>
      <c r="AC7" s="1" t="s">
        <v>61</v>
      </c>
      <c r="AD7" s="1" t="s">
        <v>61</v>
      </c>
      <c r="AE7" s="5">
        <f t="shared" si="16"/>
        <v>0.71875</v>
      </c>
      <c r="AF7" s="1" t="s">
        <v>61</v>
      </c>
      <c r="AH7">
        <v>2000</v>
      </c>
      <c r="AO7" t="s">
        <v>62</v>
      </c>
      <c r="AP7" t="s">
        <v>62</v>
      </c>
      <c r="AQ7" t="s">
        <v>62</v>
      </c>
      <c r="AR7" t="s">
        <v>62</v>
      </c>
      <c r="AS7" t="s">
        <v>62</v>
      </c>
      <c r="AT7" t="s">
        <v>62</v>
      </c>
      <c r="AU7" t="s">
        <v>62</v>
      </c>
      <c r="AV7" t="s">
        <v>62</v>
      </c>
      <c r="AW7" t="s">
        <v>62</v>
      </c>
      <c r="AZ7" t="e">
        <f t="shared" si="17"/>
        <v>#VALUE!</v>
      </c>
      <c r="BA7">
        <f t="shared" si="18"/>
        <v>7.5584081833381312E-5</v>
      </c>
      <c r="BB7" t="e">
        <f t="shared" si="19"/>
        <v>#VALUE!</v>
      </c>
    </row>
    <row r="8" spans="1:54" x14ac:dyDescent="0.25">
      <c r="A8" t="s">
        <v>18</v>
      </c>
      <c r="B8">
        <v>7</v>
      </c>
      <c r="C8">
        <f t="shared" si="20"/>
        <v>1.5625E-2</v>
      </c>
      <c r="D8">
        <f t="shared" si="21"/>
        <v>0.125</v>
      </c>
      <c r="E8" s="1" t="s">
        <v>29</v>
      </c>
      <c r="F8">
        <f t="shared" si="5"/>
        <v>1.953125E-3</v>
      </c>
      <c r="G8" t="e">
        <f t="shared" si="6"/>
        <v>#VALUE!</v>
      </c>
      <c r="H8">
        <f t="shared" si="22"/>
        <v>2.0345052083333332E-5</v>
      </c>
      <c r="I8">
        <f t="shared" si="22"/>
        <v>2.0345052083333332E-5</v>
      </c>
      <c r="J8">
        <v>0</v>
      </c>
      <c r="K8">
        <f t="shared" si="0"/>
        <v>0.52491428060598644</v>
      </c>
      <c r="L8" t="e">
        <f t="shared" si="1"/>
        <v>#VALUE!</v>
      </c>
      <c r="M8">
        <f t="shared" si="7"/>
        <v>4.3052344060015664E-3</v>
      </c>
      <c r="N8" t="e">
        <f t="shared" si="8"/>
        <v>#VALUE!</v>
      </c>
      <c r="O8" t="e">
        <f t="shared" si="9"/>
        <v>#VALUE!</v>
      </c>
      <c r="P8">
        <v>1130</v>
      </c>
      <c r="Q8">
        <f t="shared" si="2"/>
        <v>0.56499999999999995</v>
      </c>
      <c r="R8">
        <f t="shared" si="10"/>
        <v>8.8281249999999992E-3</v>
      </c>
      <c r="S8">
        <f t="shared" si="11"/>
        <v>1.1035156249999999E-3</v>
      </c>
      <c r="T8" t="e">
        <f t="shared" si="12"/>
        <v>#VALUE!</v>
      </c>
      <c r="U8">
        <f t="shared" si="3"/>
        <v>8.5203599512678682E-2</v>
      </c>
      <c r="V8" t="e">
        <f t="shared" si="4"/>
        <v>#VALUE!</v>
      </c>
      <c r="W8">
        <f t="shared" si="13"/>
        <v>1.1343208390495217E-4</v>
      </c>
      <c r="X8" t="e">
        <f t="shared" si="14"/>
        <v>#VALUE!</v>
      </c>
      <c r="Y8" t="e">
        <f t="shared" si="15"/>
        <v>#VALUE!</v>
      </c>
      <c r="Z8">
        <v>7.8</v>
      </c>
      <c r="AA8">
        <v>7.8</v>
      </c>
      <c r="AB8" t="s">
        <v>62</v>
      </c>
      <c r="AC8" s="1" t="s">
        <v>61</v>
      </c>
      <c r="AD8" s="1" t="s">
        <v>61</v>
      </c>
      <c r="AE8" s="5">
        <f t="shared" si="16"/>
        <v>0.71875</v>
      </c>
      <c r="AF8" s="1" t="s">
        <v>61</v>
      </c>
      <c r="AG8" s="7" t="s">
        <v>82</v>
      </c>
      <c r="AH8" s="7"/>
      <c r="AI8" s="7"/>
      <c r="AJ8" s="7"/>
      <c r="AK8" s="7"/>
      <c r="AL8" s="7"/>
      <c r="AO8" t="s">
        <v>62</v>
      </c>
      <c r="AP8" t="s">
        <v>62</v>
      </c>
      <c r="AQ8" t="s">
        <v>62</v>
      </c>
      <c r="AR8" t="s">
        <v>62</v>
      </c>
      <c r="AS8" t="s">
        <v>62</v>
      </c>
      <c r="AT8" t="s">
        <v>62</v>
      </c>
      <c r="AU8" t="s">
        <v>62</v>
      </c>
      <c r="AV8" t="s">
        <v>62</v>
      </c>
      <c r="AW8" t="s">
        <v>62</v>
      </c>
      <c r="AZ8" t="e">
        <f t="shared" si="17"/>
        <v>#VALUE!</v>
      </c>
      <c r="BA8">
        <f t="shared" si="18"/>
        <v>7.5584081833381312E-5</v>
      </c>
      <c r="BB8" t="e">
        <f t="shared" si="19"/>
        <v>#VALUE!</v>
      </c>
    </row>
    <row r="9" spans="1:54" x14ac:dyDescent="0.25">
      <c r="A9" t="s">
        <v>19</v>
      </c>
      <c r="B9">
        <v>8</v>
      </c>
      <c r="C9">
        <f t="shared" si="20"/>
        <v>1.5625E-2</v>
      </c>
      <c r="D9">
        <f t="shared" si="21"/>
        <v>0.125</v>
      </c>
      <c r="E9" s="1" t="s">
        <v>29</v>
      </c>
      <c r="F9">
        <f t="shared" si="5"/>
        <v>1.953125E-3</v>
      </c>
      <c r="G9" t="e">
        <f t="shared" si="6"/>
        <v>#VALUE!</v>
      </c>
      <c r="H9">
        <f t="shared" si="22"/>
        <v>2.0345052083333332E-5</v>
      </c>
      <c r="I9">
        <f t="shared" si="22"/>
        <v>2.0345052083333332E-5</v>
      </c>
      <c r="J9">
        <v>0</v>
      </c>
      <c r="K9">
        <f t="shared" si="0"/>
        <v>0.52491428060598644</v>
      </c>
      <c r="L9" t="e">
        <f t="shared" si="1"/>
        <v>#VALUE!</v>
      </c>
      <c r="M9">
        <f t="shared" si="7"/>
        <v>4.3052344060015664E-3</v>
      </c>
      <c r="N9" t="e">
        <f t="shared" si="8"/>
        <v>#VALUE!</v>
      </c>
      <c r="O9" t="e">
        <f t="shared" si="9"/>
        <v>#VALUE!</v>
      </c>
      <c r="P9">
        <v>1130</v>
      </c>
      <c r="Q9">
        <f t="shared" si="2"/>
        <v>0.56499999999999995</v>
      </c>
      <c r="R9">
        <f t="shared" si="10"/>
        <v>8.8281249999999992E-3</v>
      </c>
      <c r="S9">
        <f t="shared" si="11"/>
        <v>1.1035156249999999E-3</v>
      </c>
      <c r="T9" t="e">
        <f t="shared" si="12"/>
        <v>#VALUE!</v>
      </c>
      <c r="U9">
        <f t="shared" si="3"/>
        <v>8.5203599512678682E-2</v>
      </c>
      <c r="V9" t="e">
        <f t="shared" si="4"/>
        <v>#VALUE!</v>
      </c>
      <c r="W9">
        <f t="shared" si="13"/>
        <v>1.1343208390495217E-4</v>
      </c>
      <c r="X9" t="e">
        <f t="shared" si="14"/>
        <v>#VALUE!</v>
      </c>
      <c r="Y9" t="e">
        <f t="shared" si="15"/>
        <v>#VALUE!</v>
      </c>
      <c r="Z9">
        <v>7.8</v>
      </c>
      <c r="AA9">
        <v>7.8</v>
      </c>
      <c r="AB9" t="s">
        <v>62</v>
      </c>
      <c r="AC9" s="1" t="s">
        <v>61</v>
      </c>
      <c r="AD9" s="1" t="s">
        <v>61</v>
      </c>
      <c r="AE9" s="5">
        <f t="shared" si="16"/>
        <v>0.71875</v>
      </c>
      <c r="AF9" s="1" t="s">
        <v>61</v>
      </c>
      <c r="AH9" t="s">
        <v>64</v>
      </c>
      <c r="AI9" t="s">
        <v>68</v>
      </c>
      <c r="AJ9" t="s">
        <v>66</v>
      </c>
      <c r="AK9" t="s">
        <v>69</v>
      </c>
      <c r="AO9" t="s">
        <v>62</v>
      </c>
      <c r="AP9" t="s">
        <v>62</v>
      </c>
      <c r="AQ9" t="s">
        <v>62</v>
      </c>
      <c r="AR9" t="s">
        <v>62</v>
      </c>
      <c r="AS9" t="s">
        <v>62</v>
      </c>
      <c r="AT9" t="s">
        <v>62</v>
      </c>
      <c r="AU9" t="s">
        <v>62</v>
      </c>
      <c r="AV9" t="s">
        <v>62</v>
      </c>
      <c r="AW9" t="s">
        <v>62</v>
      </c>
      <c r="AZ9" t="e">
        <f t="shared" si="17"/>
        <v>#VALUE!</v>
      </c>
      <c r="BA9">
        <f t="shared" si="18"/>
        <v>7.5584081833381312E-5</v>
      </c>
      <c r="BB9" t="e">
        <f t="shared" si="19"/>
        <v>#VALUE!</v>
      </c>
    </row>
    <row r="10" spans="1:54" x14ac:dyDescent="0.25">
      <c r="A10" t="s">
        <v>20</v>
      </c>
      <c r="B10">
        <v>9</v>
      </c>
      <c r="C10">
        <f t="shared" si="20"/>
        <v>1.5625E-2</v>
      </c>
      <c r="D10">
        <f t="shared" si="21"/>
        <v>0.125</v>
      </c>
      <c r="E10" s="1" t="s">
        <v>29</v>
      </c>
      <c r="F10">
        <f t="shared" si="5"/>
        <v>1.953125E-3</v>
      </c>
      <c r="G10" t="e">
        <f t="shared" si="6"/>
        <v>#VALUE!</v>
      </c>
      <c r="H10">
        <f t="shared" si="22"/>
        <v>2.0345052083333332E-5</v>
      </c>
      <c r="I10">
        <f t="shared" si="22"/>
        <v>2.0345052083333332E-5</v>
      </c>
      <c r="J10">
        <v>0</v>
      </c>
      <c r="K10">
        <f t="shared" si="0"/>
        <v>0.52491428060598644</v>
      </c>
      <c r="L10" t="e">
        <f t="shared" si="1"/>
        <v>#VALUE!</v>
      </c>
      <c r="M10">
        <f t="shared" si="7"/>
        <v>4.3052344060015664E-3</v>
      </c>
      <c r="N10" t="e">
        <f t="shared" si="8"/>
        <v>#VALUE!</v>
      </c>
      <c r="O10" t="e">
        <f t="shared" si="9"/>
        <v>#VALUE!</v>
      </c>
      <c r="P10">
        <v>1130</v>
      </c>
      <c r="Q10">
        <f t="shared" si="2"/>
        <v>0.56499999999999995</v>
      </c>
      <c r="R10">
        <f t="shared" si="10"/>
        <v>8.8281249999999992E-3</v>
      </c>
      <c r="S10">
        <f t="shared" si="11"/>
        <v>1.1035156249999999E-3</v>
      </c>
      <c r="T10" t="e">
        <f t="shared" si="12"/>
        <v>#VALUE!</v>
      </c>
      <c r="U10">
        <f t="shared" si="3"/>
        <v>8.5203599512678682E-2</v>
      </c>
      <c r="V10" t="e">
        <f t="shared" si="4"/>
        <v>#VALUE!</v>
      </c>
      <c r="W10">
        <f t="shared" si="13"/>
        <v>1.1343208390495217E-4</v>
      </c>
      <c r="X10" t="e">
        <f t="shared" si="14"/>
        <v>#VALUE!</v>
      </c>
      <c r="Y10" t="e">
        <f t="shared" si="15"/>
        <v>#VALUE!</v>
      </c>
      <c r="Z10">
        <v>7.8</v>
      </c>
      <c r="AA10">
        <v>7.8</v>
      </c>
      <c r="AB10" t="s">
        <v>62</v>
      </c>
      <c r="AC10" s="1" t="s">
        <v>61</v>
      </c>
      <c r="AD10" s="1" t="s">
        <v>61</v>
      </c>
      <c r="AE10" s="5">
        <f t="shared" si="16"/>
        <v>0.71875</v>
      </c>
      <c r="AF10" s="1" t="s">
        <v>61</v>
      </c>
      <c r="AH10">
        <f>1/16</f>
        <v>6.25E-2</v>
      </c>
      <c r="AI10">
        <v>0</v>
      </c>
      <c r="AJ10" s="5">
        <f>-1.5-SQRT((1/16)^2+(3/180)^2)</f>
        <v>-1.5646840612344168</v>
      </c>
      <c r="AK10">
        <v>0</v>
      </c>
      <c r="AO10" t="s">
        <v>62</v>
      </c>
      <c r="AP10" t="s">
        <v>62</v>
      </c>
      <c r="AQ10" t="s">
        <v>62</v>
      </c>
      <c r="AR10" t="s">
        <v>62</v>
      </c>
      <c r="AS10" t="s">
        <v>62</v>
      </c>
      <c r="AT10" t="s">
        <v>62</v>
      </c>
      <c r="AU10" t="s">
        <v>62</v>
      </c>
      <c r="AV10" t="s">
        <v>62</v>
      </c>
      <c r="AW10" t="s">
        <v>62</v>
      </c>
      <c r="AZ10" t="e">
        <f t="shared" si="17"/>
        <v>#VALUE!</v>
      </c>
      <c r="BA10">
        <f t="shared" si="18"/>
        <v>7.5584081833381312E-5</v>
      </c>
      <c r="BB10" t="e">
        <f t="shared" si="19"/>
        <v>#VALUE!</v>
      </c>
    </row>
    <row r="11" spans="1:54" x14ac:dyDescent="0.25">
      <c r="A11" t="s">
        <v>21</v>
      </c>
      <c r="B11">
        <v>10</v>
      </c>
      <c r="C11">
        <f t="shared" si="20"/>
        <v>1.5625E-2</v>
      </c>
      <c r="D11" s="5">
        <v>1.625</v>
      </c>
      <c r="E11" s="5">
        <f>0.5*(1/8)</f>
        <v>6.25E-2</v>
      </c>
      <c r="F11">
        <f t="shared" si="5"/>
        <v>2.5390625E-2</v>
      </c>
      <c r="G11">
        <f t="shared" si="6"/>
        <v>9.765625E-4</v>
      </c>
      <c r="H11">
        <f t="shared" si="22"/>
        <v>2.0345052083333332E-5</v>
      </c>
      <c r="I11">
        <f t="shared" si="22"/>
        <v>2.0345052083333332E-5</v>
      </c>
      <c r="J11">
        <v>0</v>
      </c>
      <c r="K11">
        <f t="shared" si="0"/>
        <v>2.0249142806059863</v>
      </c>
      <c r="L11">
        <f t="shared" si="1"/>
        <v>1.5273467743363733</v>
      </c>
      <c r="M11">
        <f>C11*K11^2</f>
        <v>6.406684130940718E-2</v>
      </c>
      <c r="N11">
        <f t="shared" si="8"/>
        <v>3.6449815141808194E-2</v>
      </c>
      <c r="O11">
        <f t="shared" si="9"/>
        <v>4.8324160856112672E-2</v>
      </c>
      <c r="P11">
        <v>1130</v>
      </c>
      <c r="Q11">
        <f t="shared" si="2"/>
        <v>0.56499999999999995</v>
      </c>
      <c r="R11">
        <f t="shared" si="10"/>
        <v>8.8281249999999992E-3</v>
      </c>
      <c r="S11">
        <f t="shared" si="11"/>
        <v>1.4345703124999998E-2</v>
      </c>
      <c r="T11">
        <f t="shared" si="12"/>
        <v>5.5175781249999995E-4</v>
      </c>
      <c r="U11">
        <f t="shared" si="3"/>
        <v>1.5852035995126788</v>
      </c>
      <c r="V11">
        <f t="shared" si="4"/>
        <v>1.2918400037915647</v>
      </c>
      <c r="W11">
        <f t="shared" si="13"/>
        <v>3.9263600811061769E-2</v>
      </c>
      <c r="X11">
        <f t="shared" si="14"/>
        <v>2.6075790553065466E-2</v>
      </c>
      <c r="Y11">
        <f t="shared" si="15"/>
        <v>3.1997334750075955E-2</v>
      </c>
      <c r="Z11">
        <v>7.8</v>
      </c>
      <c r="AA11">
        <v>7.8</v>
      </c>
      <c r="AB11" t="s">
        <v>62</v>
      </c>
      <c r="AC11" s="1" t="s">
        <v>61</v>
      </c>
      <c r="AD11" s="1" t="s">
        <v>61</v>
      </c>
      <c r="AE11" s="5">
        <f t="shared" si="16"/>
        <v>0.71875</v>
      </c>
      <c r="AF11" s="1" t="s">
        <v>61</v>
      </c>
      <c r="AH11" t="s">
        <v>65</v>
      </c>
      <c r="AI11" t="s">
        <v>70</v>
      </c>
      <c r="AJ11" t="s">
        <v>67</v>
      </c>
      <c r="AK11" t="s">
        <v>71</v>
      </c>
      <c r="AO11" t="s">
        <v>62</v>
      </c>
      <c r="AP11" t="s">
        <v>62</v>
      </c>
      <c r="AQ11" t="s">
        <v>62</v>
      </c>
      <c r="AR11" t="s">
        <v>62</v>
      </c>
      <c r="AS11" t="s">
        <v>62</v>
      </c>
      <c r="AT11" t="s">
        <v>62</v>
      </c>
      <c r="AU11" t="s">
        <v>62</v>
      </c>
      <c r="AV11" t="s">
        <v>62</v>
      </c>
      <c r="AW11" t="s">
        <v>62</v>
      </c>
      <c r="AZ11">
        <f t="shared" si="17"/>
        <v>1.4744316616909069E-2</v>
      </c>
      <c r="BA11">
        <f t="shared" si="18"/>
        <v>2.2195429412676982E-2</v>
      </c>
      <c r="BB11">
        <f t="shared" si="19"/>
        <v>1.8078494133792911E-2</v>
      </c>
    </row>
    <row r="12" spans="1:54" x14ac:dyDescent="0.25">
      <c r="A12" t="s">
        <v>22</v>
      </c>
      <c r="B12">
        <v>11</v>
      </c>
      <c r="C12">
        <f t="shared" si="20"/>
        <v>1.5625E-2</v>
      </c>
      <c r="D12" s="5">
        <f>D11+1/8</f>
        <v>1.75</v>
      </c>
      <c r="E12" s="5">
        <f>0.5*(1/8)</f>
        <v>6.25E-2</v>
      </c>
      <c r="F12">
        <f t="shared" si="5"/>
        <v>2.734375E-2</v>
      </c>
      <c r="G12">
        <f t="shared" si="6"/>
        <v>9.765625E-4</v>
      </c>
      <c r="H12">
        <f t="shared" si="22"/>
        <v>2.0345052083333332E-5</v>
      </c>
      <c r="I12">
        <f t="shared" si="22"/>
        <v>2.0345052083333332E-5</v>
      </c>
      <c r="J12">
        <v>0</v>
      </c>
      <c r="K12">
        <f t="shared" si="0"/>
        <v>2.1499142806059863</v>
      </c>
      <c r="L12">
        <f t="shared" si="1"/>
        <v>1.5273467743363733</v>
      </c>
      <c r="M12">
        <f t="shared" si="7"/>
        <v>7.2220803343024303E-2</v>
      </c>
      <c r="N12">
        <f t="shared" si="8"/>
        <v>3.6449815141808194E-2</v>
      </c>
      <c r="O12">
        <f t="shared" si="9"/>
        <v>5.1307260024738406E-2</v>
      </c>
      <c r="P12">
        <v>1130</v>
      </c>
      <c r="Q12">
        <f t="shared" si="2"/>
        <v>0.56499999999999995</v>
      </c>
      <c r="R12">
        <f t="shared" si="10"/>
        <v>8.8281249999999992E-3</v>
      </c>
      <c r="S12">
        <f t="shared" si="11"/>
        <v>1.5449218749999999E-2</v>
      </c>
      <c r="T12">
        <f t="shared" si="12"/>
        <v>5.5175781249999995E-4</v>
      </c>
      <c r="U12">
        <f t="shared" si="3"/>
        <v>1.7102035995126788</v>
      </c>
      <c r="V12">
        <f t="shared" si="4"/>
        <v>1.2918400037915647</v>
      </c>
      <c r="W12">
        <f t="shared" si="13"/>
        <v>4.5699942996658173E-2</v>
      </c>
      <c r="X12">
        <f t="shared" si="14"/>
        <v>2.6075790553065466E-2</v>
      </c>
      <c r="Y12">
        <f t="shared" si="15"/>
        <v>3.4520459757481352E-2</v>
      </c>
      <c r="Z12">
        <v>7.8</v>
      </c>
      <c r="AA12">
        <v>7.8</v>
      </c>
      <c r="AB12" t="s">
        <v>62</v>
      </c>
      <c r="AC12" s="1" t="s">
        <v>61</v>
      </c>
      <c r="AD12" s="1" t="s">
        <v>61</v>
      </c>
      <c r="AE12" s="5">
        <f t="shared" si="16"/>
        <v>0.71875</v>
      </c>
      <c r="AF12" s="1" t="s">
        <v>61</v>
      </c>
      <c r="AH12">
        <f>1/16</f>
        <v>6.25E-2</v>
      </c>
      <c r="AI12">
        <v>-3.75</v>
      </c>
      <c r="AJ12" s="5">
        <f>-0.5-SQRT((1/16)^2+(3/180)^2)</f>
        <v>-0.56468406123441672</v>
      </c>
      <c r="AK12">
        <v>-3.75</v>
      </c>
      <c r="AO12" t="s">
        <v>62</v>
      </c>
      <c r="AP12" t="s">
        <v>62</v>
      </c>
      <c r="AQ12" t="s">
        <v>62</v>
      </c>
      <c r="AR12" t="s">
        <v>62</v>
      </c>
      <c r="AS12" t="s">
        <v>62</v>
      </c>
      <c r="AT12" t="s">
        <v>62</v>
      </c>
      <c r="AU12" t="s">
        <v>62</v>
      </c>
      <c r="AV12" t="s">
        <v>62</v>
      </c>
      <c r="AW12" t="s">
        <v>62</v>
      </c>
      <c r="AZ12">
        <f t="shared" si="17"/>
        <v>1.4744316616909069E-2</v>
      </c>
      <c r="BA12">
        <f t="shared" si="18"/>
        <v>2.5831962747538951E-2</v>
      </c>
      <c r="BB12">
        <f t="shared" si="19"/>
        <v>1.9504059762976964E-2</v>
      </c>
    </row>
    <row r="13" spans="1:54" x14ac:dyDescent="0.25">
      <c r="A13" t="s">
        <v>23</v>
      </c>
      <c r="B13">
        <v>12</v>
      </c>
      <c r="C13">
        <f t="shared" si="20"/>
        <v>1.5625E-2</v>
      </c>
      <c r="D13" s="5">
        <f>D12+1/8</f>
        <v>1.875</v>
      </c>
      <c r="E13" s="5">
        <f>0.5*(1/8)</f>
        <v>6.25E-2</v>
      </c>
      <c r="F13">
        <f t="shared" si="5"/>
        <v>2.9296875E-2</v>
      </c>
      <c r="G13">
        <f t="shared" si="6"/>
        <v>9.765625E-4</v>
      </c>
      <c r="H13">
        <f t="shared" si="22"/>
        <v>2.0345052083333332E-5</v>
      </c>
      <c r="I13">
        <f t="shared" si="22"/>
        <v>2.0345052083333332E-5</v>
      </c>
      <c r="J13">
        <v>0</v>
      </c>
      <c r="K13">
        <f t="shared" si="0"/>
        <v>2.2749142806059863</v>
      </c>
      <c r="L13">
        <f t="shared" si="1"/>
        <v>1.5273467743363733</v>
      </c>
      <c r="M13">
        <f t="shared" si="7"/>
        <v>8.0863046626641441E-2</v>
      </c>
      <c r="N13">
        <f t="shared" si="8"/>
        <v>3.6449815141808194E-2</v>
      </c>
      <c r="O13">
        <f t="shared" si="9"/>
        <v>5.4290359193364134E-2</v>
      </c>
      <c r="P13">
        <v>1130</v>
      </c>
      <c r="Q13">
        <f t="shared" si="2"/>
        <v>0.56499999999999995</v>
      </c>
      <c r="R13">
        <f t="shared" si="10"/>
        <v>8.8281249999999992E-3</v>
      </c>
      <c r="S13">
        <f t="shared" si="11"/>
        <v>1.6552734374999999E-2</v>
      </c>
      <c r="T13">
        <f t="shared" si="12"/>
        <v>5.5175781249999995E-4</v>
      </c>
      <c r="U13">
        <f t="shared" si="3"/>
        <v>1.8352035995126788</v>
      </c>
      <c r="V13">
        <f t="shared" si="4"/>
        <v>1.2918400037915647</v>
      </c>
      <c r="W13">
        <f t="shared" si="13"/>
        <v>5.262456643225457E-2</v>
      </c>
      <c r="X13">
        <f t="shared" si="14"/>
        <v>2.6075790553065466E-2</v>
      </c>
      <c r="Y13">
        <f t="shared" si="15"/>
        <v>3.7043584764886756E-2</v>
      </c>
      <c r="Z13">
        <v>7.8</v>
      </c>
      <c r="AA13">
        <v>7.8</v>
      </c>
      <c r="AB13" t="s">
        <v>62</v>
      </c>
      <c r="AC13" s="1" t="s">
        <v>61</v>
      </c>
      <c r="AD13" s="1" t="s">
        <v>61</v>
      </c>
      <c r="AE13" s="5">
        <f t="shared" si="16"/>
        <v>0.71875</v>
      </c>
      <c r="AF13" s="1" t="s">
        <v>61</v>
      </c>
      <c r="AO13" t="s">
        <v>62</v>
      </c>
      <c r="AP13" t="s">
        <v>62</v>
      </c>
      <c r="AQ13" t="s">
        <v>62</v>
      </c>
      <c r="AR13" t="s">
        <v>62</v>
      </c>
      <c r="AS13" t="s">
        <v>62</v>
      </c>
      <c r="AT13" t="s">
        <v>62</v>
      </c>
      <c r="AU13" t="s">
        <v>62</v>
      </c>
      <c r="AV13" t="s">
        <v>62</v>
      </c>
      <c r="AW13" t="s">
        <v>62</v>
      </c>
      <c r="AZ13">
        <f t="shared" si="17"/>
        <v>1.4744316616909069E-2</v>
      </c>
      <c r="BA13">
        <f t="shared" si="18"/>
        <v>2.9744374988650915E-2</v>
      </c>
      <c r="BB13">
        <f t="shared" si="19"/>
        <v>2.0929625392161016E-2</v>
      </c>
    </row>
    <row r="14" spans="1:54" x14ac:dyDescent="0.25">
      <c r="A14" t="s">
        <v>24</v>
      </c>
      <c r="B14">
        <v>13</v>
      </c>
      <c r="C14">
        <f t="shared" si="20"/>
        <v>1.5625E-2</v>
      </c>
      <c r="D14" s="1" t="s">
        <v>29</v>
      </c>
      <c r="E14" s="1" t="s">
        <v>29</v>
      </c>
      <c r="F14" t="e">
        <f t="shared" si="5"/>
        <v>#VALUE!</v>
      </c>
      <c r="G14" t="e">
        <f t="shared" si="6"/>
        <v>#VALUE!</v>
      </c>
      <c r="H14">
        <f t="shared" si="22"/>
        <v>2.0345052083333332E-5</v>
      </c>
      <c r="I14">
        <f t="shared" si="22"/>
        <v>2.0345052083333332E-5</v>
      </c>
      <c r="J14">
        <v>0</v>
      </c>
      <c r="K14" t="e">
        <f t="shared" si="0"/>
        <v>#VALUE!</v>
      </c>
      <c r="L14" t="e">
        <f t="shared" si="1"/>
        <v>#VALUE!</v>
      </c>
      <c r="M14" t="e">
        <f t="shared" si="7"/>
        <v>#VALUE!</v>
      </c>
      <c r="N14" t="e">
        <f t="shared" si="8"/>
        <v>#VALUE!</v>
      </c>
      <c r="O14" t="e">
        <f t="shared" si="9"/>
        <v>#VALUE!</v>
      </c>
      <c r="P14">
        <v>1130</v>
      </c>
      <c r="Q14">
        <f t="shared" si="2"/>
        <v>0.56499999999999995</v>
      </c>
      <c r="R14">
        <f t="shared" si="10"/>
        <v>8.8281249999999992E-3</v>
      </c>
      <c r="S14" t="e">
        <f t="shared" si="11"/>
        <v>#VALUE!</v>
      </c>
      <c r="T14" t="e">
        <f t="shared" si="12"/>
        <v>#VALUE!</v>
      </c>
      <c r="U14" t="e">
        <f t="shared" si="3"/>
        <v>#VALUE!</v>
      </c>
      <c r="V14" t="e">
        <f t="shared" si="4"/>
        <v>#VALUE!</v>
      </c>
      <c r="W14" t="e">
        <f t="shared" si="13"/>
        <v>#VALUE!</v>
      </c>
      <c r="X14" t="e">
        <f t="shared" si="14"/>
        <v>#VALUE!</v>
      </c>
      <c r="Y14" t="e">
        <f t="shared" si="15"/>
        <v>#VALUE!</v>
      </c>
      <c r="Z14">
        <v>7.8</v>
      </c>
      <c r="AA14">
        <v>7.8</v>
      </c>
      <c r="AB14" t="s">
        <v>62</v>
      </c>
      <c r="AC14" s="1" t="s">
        <v>61</v>
      </c>
      <c r="AD14" s="1" t="s">
        <v>61</v>
      </c>
      <c r="AE14" s="5">
        <f t="shared" si="16"/>
        <v>0.71875</v>
      </c>
      <c r="AF14" s="1" t="s">
        <v>61</v>
      </c>
      <c r="AO14" t="s">
        <v>62</v>
      </c>
      <c r="AP14" t="s">
        <v>62</v>
      </c>
      <c r="AQ14" t="s">
        <v>62</v>
      </c>
      <c r="AR14" t="s">
        <v>62</v>
      </c>
      <c r="AS14" t="s">
        <v>62</v>
      </c>
      <c r="AT14" t="s">
        <v>62</v>
      </c>
      <c r="AU14" t="s">
        <v>62</v>
      </c>
      <c r="AV14" t="s">
        <v>62</v>
      </c>
      <c r="AW14" t="s">
        <v>62</v>
      </c>
      <c r="AZ14" t="e">
        <f t="shared" si="17"/>
        <v>#VALUE!</v>
      </c>
      <c r="BA14" t="e">
        <f t="shared" si="18"/>
        <v>#VALUE!</v>
      </c>
      <c r="BB14" t="e">
        <f t="shared" si="19"/>
        <v>#VALUE!</v>
      </c>
    </row>
    <row r="15" spans="1:54" x14ac:dyDescent="0.25">
      <c r="A15" t="s">
        <v>25</v>
      </c>
      <c r="B15">
        <v>14</v>
      </c>
      <c r="C15">
        <f t="shared" si="20"/>
        <v>1.5625E-2</v>
      </c>
      <c r="D15" s="1" t="s">
        <v>29</v>
      </c>
      <c r="E15" s="1" t="s">
        <v>29</v>
      </c>
      <c r="F15" t="e">
        <f t="shared" si="5"/>
        <v>#VALUE!</v>
      </c>
      <c r="G15" t="e">
        <f t="shared" si="6"/>
        <v>#VALUE!</v>
      </c>
      <c r="H15">
        <f t="shared" si="22"/>
        <v>2.0345052083333332E-5</v>
      </c>
      <c r="I15">
        <f t="shared" si="22"/>
        <v>2.0345052083333332E-5</v>
      </c>
      <c r="J15">
        <v>0</v>
      </c>
      <c r="K15" t="e">
        <f t="shared" si="0"/>
        <v>#VALUE!</v>
      </c>
      <c r="L15" t="e">
        <f t="shared" si="1"/>
        <v>#VALUE!</v>
      </c>
      <c r="M15" t="e">
        <f t="shared" si="7"/>
        <v>#VALUE!</v>
      </c>
      <c r="N15" t="e">
        <f t="shared" si="8"/>
        <v>#VALUE!</v>
      </c>
      <c r="O15" t="e">
        <f t="shared" si="9"/>
        <v>#VALUE!</v>
      </c>
      <c r="P15">
        <v>1130</v>
      </c>
      <c r="Q15">
        <f t="shared" si="2"/>
        <v>0.56499999999999995</v>
      </c>
      <c r="R15">
        <f t="shared" si="10"/>
        <v>8.8281249999999992E-3</v>
      </c>
      <c r="S15" t="e">
        <f t="shared" si="11"/>
        <v>#VALUE!</v>
      </c>
      <c r="T15" t="e">
        <f t="shared" si="12"/>
        <v>#VALUE!</v>
      </c>
      <c r="U15" t="e">
        <f t="shared" si="3"/>
        <v>#VALUE!</v>
      </c>
      <c r="V15" t="e">
        <f t="shared" si="4"/>
        <v>#VALUE!</v>
      </c>
      <c r="W15" t="e">
        <f t="shared" si="13"/>
        <v>#VALUE!</v>
      </c>
      <c r="X15" t="e">
        <f t="shared" si="14"/>
        <v>#VALUE!</v>
      </c>
      <c r="Y15" t="e">
        <f t="shared" si="15"/>
        <v>#VALUE!</v>
      </c>
      <c r="Z15">
        <v>7.8</v>
      </c>
      <c r="AA15">
        <v>7.8</v>
      </c>
      <c r="AB15" t="s">
        <v>62</v>
      </c>
      <c r="AC15" s="1" t="s">
        <v>61</v>
      </c>
      <c r="AD15" s="1" t="s">
        <v>61</v>
      </c>
      <c r="AE15" s="5">
        <f t="shared" si="16"/>
        <v>0.71875</v>
      </c>
      <c r="AF15" s="1" t="s">
        <v>61</v>
      </c>
      <c r="AO15" t="s">
        <v>62</v>
      </c>
      <c r="AP15" t="s">
        <v>62</v>
      </c>
      <c r="AQ15" t="s">
        <v>62</v>
      </c>
      <c r="AR15" t="s">
        <v>62</v>
      </c>
      <c r="AS15" t="s">
        <v>62</v>
      </c>
      <c r="AT15" t="s">
        <v>62</v>
      </c>
      <c r="AU15" t="s">
        <v>62</v>
      </c>
      <c r="AV15" t="s">
        <v>62</v>
      </c>
      <c r="AW15" t="s">
        <v>62</v>
      </c>
      <c r="AZ15" t="e">
        <f t="shared" si="17"/>
        <v>#VALUE!</v>
      </c>
      <c r="BA15" t="e">
        <f t="shared" si="18"/>
        <v>#VALUE!</v>
      </c>
      <c r="BB15" t="e">
        <f t="shared" si="19"/>
        <v>#VALUE!</v>
      </c>
    </row>
    <row r="16" spans="1:54" x14ac:dyDescent="0.25">
      <c r="A16" t="s">
        <v>32</v>
      </c>
      <c r="C16" s="2">
        <f>SUM(C2:C5,C11:C13)</f>
        <v>0.77381522962906291</v>
      </c>
      <c r="F16" s="2">
        <f>SUM(F2:F5,F11:F13)</f>
        <v>-0.30945976087906291</v>
      </c>
      <c r="G16" s="2">
        <f t="shared" ref="G16:J16" si="23">SUM(G2:G5,G11:G13)</f>
        <v>-1.1335207430544929</v>
      </c>
      <c r="H16" s="2">
        <f t="shared" si="23"/>
        <v>0.29533224612597947</v>
      </c>
      <c r="I16" s="2">
        <f t="shared" si="23"/>
        <v>0.30913828306649943</v>
      </c>
      <c r="J16" s="2">
        <f t="shared" si="23"/>
        <v>-7.5781976158911218E-2</v>
      </c>
      <c r="M16" s="2">
        <f>SUM(M2:M5,M11:M13)</f>
        <v>0.37245470256654933</v>
      </c>
      <c r="N16" s="2">
        <f t="shared" ref="N16:O16" si="24">SUM(N2:N5,N11:N13)</f>
        <v>0.86707783365168112</v>
      </c>
      <c r="O16" s="2">
        <f t="shared" si="24"/>
        <v>5.9298966012642174E-2</v>
      </c>
      <c r="R16" s="2">
        <f>SUM(R2:R5,R11:R13)</f>
        <v>0.10666925427770549</v>
      </c>
      <c r="S16" s="2">
        <f t="shared" ref="S16:T16" si="25">SUM(S2:S5,S11:S13)</f>
        <v>4.2450523629194801E-3</v>
      </c>
      <c r="T16" s="2">
        <f t="shared" si="25"/>
        <v>-0.13113278145819784</v>
      </c>
      <c r="W16" s="2">
        <f>SUM(W2:W5,W11:W13)</f>
        <v>0.52206838194420047</v>
      </c>
      <c r="X16" s="2">
        <f t="shared" ref="X16:Y16" si="26">SUM(X2:X5,X11:X13)</f>
        <v>0.90999628741616101</v>
      </c>
      <c r="Y16" s="2">
        <f t="shared" si="26"/>
        <v>0.13943128022422271</v>
      </c>
      <c r="AZ16" s="2">
        <f>SUM(AZ2:AZ5,AZ11:AZ13)</f>
        <v>0.15626711074701294</v>
      </c>
      <c r="BA16" s="2">
        <f t="shared" ref="BA16:BB16" si="27">SUM(BA2:BA5,BA11:BA13)</f>
        <v>0.15885300605678454</v>
      </c>
      <c r="BB16" s="2">
        <f t="shared" si="27"/>
        <v>5.9836927781566615E-2</v>
      </c>
    </row>
    <row r="21" spans="17:22" x14ac:dyDescent="0.25">
      <c r="Q21" s="1"/>
      <c r="R21" s="4" t="s">
        <v>54</v>
      </c>
      <c r="S21" s="4"/>
      <c r="T21" s="4"/>
    </row>
    <row r="22" spans="17:22" x14ac:dyDescent="0.25">
      <c r="Q22" s="2"/>
      <c r="R22" s="3" t="s">
        <v>55</v>
      </c>
    </row>
    <row r="23" spans="17:22" x14ac:dyDescent="0.25">
      <c r="Q23" s="6" t="s">
        <v>36</v>
      </c>
      <c r="R23" s="6"/>
      <c r="S23" s="6"/>
      <c r="T23" s="6"/>
      <c r="U23" s="6"/>
      <c r="V23" s="6"/>
    </row>
    <row r="24" spans="17:22" x14ac:dyDescent="0.25">
      <c r="Q24" s="6"/>
      <c r="R24" s="6"/>
      <c r="S24" s="6"/>
      <c r="T24" s="6"/>
      <c r="U24" s="6"/>
      <c r="V24" s="6"/>
    </row>
    <row r="25" spans="17:22" x14ac:dyDescent="0.25">
      <c r="Q25" s="6"/>
      <c r="R25" s="6"/>
      <c r="S25" s="6"/>
      <c r="T25" s="6"/>
      <c r="U25" s="6"/>
      <c r="V25" s="6"/>
    </row>
  </sheetData>
  <mergeCells count="2">
    <mergeCell ref="Q23:V25"/>
    <mergeCell ref="AG8:AL8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Cross Section Properties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KMAC_PC</dc:creator>
  <cp:lastModifiedBy>Macormic, Kale</cp:lastModifiedBy>
  <dcterms:created xsi:type="dcterms:W3CDTF">2021-11-06T13:45:30Z</dcterms:created>
  <dcterms:modified xsi:type="dcterms:W3CDTF">2021-11-21T03:32:03Z</dcterms:modified>
</cp:coreProperties>
</file>