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544q894\Documents\GitHub\structures-calc\src\"/>
    </mc:Choice>
  </mc:AlternateContent>
  <xr:revisionPtr revIDLastSave="0" documentId="8_{A1AA6F4B-E182-4A6A-9F7C-5A099BE0B09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ross Section Proper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30" i="1" l="1"/>
  <c r="BB30" i="1"/>
  <c r="AZ30" i="1"/>
  <c r="X30" i="1"/>
  <c r="Y30" i="1"/>
  <c r="W30" i="1"/>
  <c r="S30" i="1"/>
  <c r="T30" i="1"/>
  <c r="R30" i="1"/>
  <c r="N30" i="1"/>
  <c r="O30" i="1"/>
  <c r="M30" i="1"/>
  <c r="G30" i="1"/>
  <c r="H30" i="1"/>
  <c r="I30" i="1"/>
  <c r="J30" i="1"/>
  <c r="F30" i="1"/>
  <c r="C30" i="1"/>
  <c r="E19" i="1"/>
  <c r="D19" i="1"/>
  <c r="E18" i="1" l="1"/>
  <c r="D18" i="1"/>
  <c r="AL15" i="1" l="1"/>
  <c r="AK15" i="1"/>
  <c r="AJ15" i="1"/>
  <c r="AI15" i="1"/>
  <c r="AH15" i="1"/>
  <c r="D11" i="1"/>
  <c r="D12" i="1"/>
  <c r="D13" i="1"/>
  <c r="D14" i="1"/>
  <c r="D15" i="1"/>
  <c r="D16" i="1"/>
  <c r="D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G15" i="1"/>
  <c r="H15" i="1"/>
  <c r="I15" i="1"/>
  <c r="Q15" i="1"/>
  <c r="R15" i="1" s="1"/>
  <c r="G16" i="1"/>
  <c r="H16" i="1"/>
  <c r="I16" i="1"/>
  <c r="Q16" i="1"/>
  <c r="R16" i="1"/>
  <c r="G17" i="1"/>
  <c r="H17" i="1"/>
  <c r="I17" i="1"/>
  <c r="Q17" i="1"/>
  <c r="R17" i="1" s="1"/>
  <c r="G18" i="1"/>
  <c r="H18" i="1"/>
  <c r="I18" i="1"/>
  <c r="Q18" i="1"/>
  <c r="R18" i="1" s="1"/>
  <c r="G19" i="1"/>
  <c r="H19" i="1"/>
  <c r="I19" i="1"/>
  <c r="Q19" i="1"/>
  <c r="R19" i="1"/>
  <c r="S19" i="1" s="1"/>
  <c r="G20" i="1"/>
  <c r="H20" i="1"/>
  <c r="I20" i="1"/>
  <c r="Q20" i="1"/>
  <c r="R20" i="1"/>
  <c r="T20" i="1" s="1"/>
  <c r="G21" i="1"/>
  <c r="H21" i="1"/>
  <c r="I21" i="1"/>
  <c r="Q21" i="1"/>
  <c r="R21" i="1" s="1"/>
  <c r="S21" i="1" s="1"/>
  <c r="G22" i="1"/>
  <c r="H22" i="1"/>
  <c r="I22" i="1"/>
  <c r="Q22" i="1"/>
  <c r="R22" i="1" s="1"/>
  <c r="G23" i="1"/>
  <c r="H23" i="1"/>
  <c r="I23" i="1"/>
  <c r="Q23" i="1"/>
  <c r="R23" i="1" s="1"/>
  <c r="G24" i="1"/>
  <c r="H24" i="1"/>
  <c r="I24" i="1"/>
  <c r="Q24" i="1"/>
  <c r="R24" i="1" s="1"/>
  <c r="G25" i="1"/>
  <c r="H25" i="1"/>
  <c r="I25" i="1"/>
  <c r="Q25" i="1"/>
  <c r="R25" i="1"/>
  <c r="T25" i="1" s="1"/>
  <c r="S25" i="1"/>
  <c r="G26" i="1"/>
  <c r="H26" i="1"/>
  <c r="I26" i="1"/>
  <c r="Q26" i="1"/>
  <c r="R26" i="1"/>
  <c r="S26" i="1" s="1"/>
  <c r="T26" i="1"/>
  <c r="G27" i="1"/>
  <c r="H27" i="1"/>
  <c r="I27" i="1"/>
  <c r="Q27" i="1"/>
  <c r="R27" i="1" s="1"/>
  <c r="G28" i="1"/>
  <c r="H28" i="1"/>
  <c r="I28" i="1"/>
  <c r="Q28" i="1"/>
  <c r="R28" i="1"/>
  <c r="S28" i="1" s="1"/>
  <c r="T28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C27" i="1"/>
  <c r="C28" i="1"/>
  <c r="C29" i="1"/>
  <c r="C15" i="1"/>
  <c r="C16" i="1"/>
  <c r="C17" i="1"/>
  <c r="C18" i="1"/>
  <c r="C19" i="1"/>
  <c r="C20" i="1"/>
  <c r="C21" i="1"/>
  <c r="C22" i="1"/>
  <c r="C23" i="1"/>
  <c r="C24" i="1"/>
  <c r="C25" i="1"/>
  <c r="C26" i="1"/>
  <c r="J3" i="1"/>
  <c r="I3" i="1"/>
  <c r="H3" i="1"/>
  <c r="D3" i="1"/>
  <c r="D4" i="1"/>
  <c r="E3" i="1"/>
  <c r="C5" i="1"/>
  <c r="C4" i="1"/>
  <c r="C3" i="1"/>
  <c r="S16" i="1" l="1"/>
  <c r="S24" i="1"/>
  <c r="T24" i="1"/>
  <c r="T19" i="1"/>
  <c r="S20" i="1"/>
  <c r="T18" i="1"/>
  <c r="S18" i="1"/>
  <c r="T27" i="1"/>
  <c r="S27" i="1"/>
  <c r="S23" i="1"/>
  <c r="T23" i="1"/>
  <c r="T22" i="1"/>
  <c r="S22" i="1"/>
  <c r="S15" i="1"/>
  <c r="T15" i="1"/>
  <c r="S17" i="1"/>
  <c r="T17" i="1"/>
  <c r="T16" i="1"/>
  <c r="T21" i="1"/>
  <c r="AJ12" i="1"/>
  <c r="AJ10" i="1"/>
  <c r="AE3" i="1"/>
  <c r="AE4" i="1"/>
  <c r="AE5" i="1"/>
  <c r="D5" i="1"/>
  <c r="F5" i="1" s="1"/>
  <c r="AX4" i="1"/>
  <c r="AH12" i="1"/>
  <c r="AH10" i="1"/>
  <c r="Q3" i="1"/>
  <c r="Q4" i="1"/>
  <c r="Q5" i="1"/>
  <c r="Q6" i="1"/>
  <c r="Q7" i="1"/>
  <c r="Q8" i="1"/>
  <c r="Q9" i="1"/>
  <c r="Q10" i="1"/>
  <c r="Q11" i="1"/>
  <c r="Q12" i="1"/>
  <c r="Q13" i="1"/>
  <c r="Q14" i="1"/>
  <c r="Q29" i="1"/>
  <c r="Q2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29" i="1"/>
  <c r="I29" i="1"/>
  <c r="I6" i="1"/>
  <c r="H6" i="1"/>
  <c r="I5" i="1"/>
  <c r="H5" i="1"/>
  <c r="I4" i="1"/>
  <c r="H4" i="1"/>
  <c r="I2" i="1"/>
  <c r="H2" i="1"/>
  <c r="F4" i="1"/>
  <c r="D7" i="1"/>
  <c r="D8" i="1"/>
  <c r="D9" i="1"/>
  <c r="D10" i="1"/>
  <c r="D6" i="1"/>
  <c r="E5" i="1"/>
  <c r="G5" i="1" s="1"/>
  <c r="E4" i="1"/>
  <c r="G4" i="1" s="1"/>
  <c r="D2" i="1"/>
  <c r="E2" i="1"/>
  <c r="C7" i="1"/>
  <c r="G7" i="1" s="1"/>
  <c r="C8" i="1"/>
  <c r="C9" i="1"/>
  <c r="C10" i="1"/>
  <c r="C11" i="1"/>
  <c r="F11" i="1" s="1"/>
  <c r="C12" i="1"/>
  <c r="G12" i="1" s="1"/>
  <c r="C13" i="1"/>
  <c r="F13" i="1" s="1"/>
  <c r="C14" i="1"/>
  <c r="F14" i="1" s="1"/>
  <c r="C6" i="1"/>
  <c r="G6" i="1" s="1"/>
  <c r="C2" i="1"/>
  <c r="G2" i="1" l="1"/>
  <c r="AE2" i="1"/>
  <c r="F7" i="1"/>
  <c r="AE29" i="1"/>
  <c r="F10" i="1"/>
  <c r="AE14" i="1"/>
  <c r="AE13" i="1"/>
  <c r="AE12" i="1"/>
  <c r="F9" i="1"/>
  <c r="G13" i="1"/>
  <c r="AE10" i="1"/>
  <c r="F6" i="1"/>
  <c r="F8" i="1"/>
  <c r="AE11" i="1"/>
  <c r="AE9" i="1"/>
  <c r="AE8" i="1"/>
  <c r="G29" i="1"/>
  <c r="G14" i="1"/>
  <c r="F2" i="1"/>
  <c r="G11" i="1"/>
  <c r="AE7" i="1"/>
  <c r="G10" i="1"/>
  <c r="AE6" i="1"/>
  <c r="F12" i="1"/>
  <c r="G9" i="1"/>
  <c r="G8" i="1"/>
  <c r="R7" i="1"/>
  <c r="S7" i="1" s="1"/>
  <c r="R2" i="1"/>
  <c r="T2" i="1" s="1"/>
  <c r="R13" i="1"/>
  <c r="T13" i="1" s="1"/>
  <c r="R10" i="1"/>
  <c r="T10" i="1" s="1"/>
  <c r="R6" i="1"/>
  <c r="S6" i="1" s="1"/>
  <c r="R5" i="1"/>
  <c r="T5" i="1" s="1"/>
  <c r="R4" i="1"/>
  <c r="S4" i="1" s="1"/>
  <c r="R29" i="1"/>
  <c r="T29" i="1" s="1"/>
  <c r="R14" i="1"/>
  <c r="T14" i="1" s="1"/>
  <c r="R12" i="1"/>
  <c r="T12" i="1" s="1"/>
  <c r="R11" i="1"/>
  <c r="S11" i="1" s="1"/>
  <c r="R9" i="1"/>
  <c r="S9" i="1" s="1"/>
  <c r="R8" i="1"/>
  <c r="T8" i="1" s="1"/>
  <c r="G3" i="1"/>
  <c r="F3" i="1"/>
  <c r="R3" i="1"/>
  <c r="S3" i="1" s="1"/>
  <c r="T4" i="1" l="1"/>
  <c r="AH3" i="1"/>
  <c r="T6" i="1"/>
  <c r="S29" i="1"/>
  <c r="T11" i="1"/>
  <c r="S12" i="1"/>
  <c r="T9" i="1"/>
  <c r="S10" i="1"/>
  <c r="T7" i="1"/>
  <c r="S8" i="1"/>
  <c r="S5" i="1"/>
  <c r="S14" i="1"/>
  <c r="S13" i="1"/>
  <c r="S2" i="1"/>
  <c r="T3" i="1"/>
  <c r="AI3" i="1"/>
  <c r="L12" i="1" l="1"/>
  <c r="N12" i="1" s="1"/>
  <c r="L16" i="1"/>
  <c r="N16" i="1" s="1"/>
  <c r="L18" i="1"/>
  <c r="N18" i="1" s="1"/>
  <c r="L19" i="1"/>
  <c r="L24" i="1"/>
  <c r="N24" i="1" s="1"/>
  <c r="L25" i="1"/>
  <c r="N25" i="1" s="1"/>
  <c r="L28" i="1"/>
  <c r="N28" i="1" s="1"/>
  <c r="L20" i="1"/>
  <c r="N20" i="1" s="1"/>
  <c r="L26" i="1"/>
  <c r="N26" i="1" s="1"/>
  <c r="L17" i="1"/>
  <c r="L23" i="1"/>
  <c r="N23" i="1" s="1"/>
  <c r="L22" i="1"/>
  <c r="N22" i="1" s="1"/>
  <c r="L21" i="1"/>
  <c r="N21" i="1" s="1"/>
  <c r="L27" i="1"/>
  <c r="N27" i="1" s="1"/>
  <c r="L15" i="1"/>
  <c r="N15" i="1" s="1"/>
  <c r="K2" i="1"/>
  <c r="M2" i="1" s="1"/>
  <c r="K20" i="1"/>
  <c r="K21" i="1"/>
  <c r="K26" i="1"/>
  <c r="K27" i="1"/>
  <c r="K16" i="1"/>
  <c r="K18" i="1"/>
  <c r="K19" i="1"/>
  <c r="M19" i="1" s="1"/>
  <c r="K24" i="1"/>
  <c r="K25" i="1"/>
  <c r="K28" i="1"/>
  <c r="K15" i="1"/>
  <c r="K17" i="1"/>
  <c r="M17" i="1" s="1"/>
  <c r="K23" i="1"/>
  <c r="K22" i="1"/>
  <c r="K29" i="1"/>
  <c r="M29" i="1" s="1"/>
  <c r="K3" i="1"/>
  <c r="M3" i="1" s="1"/>
  <c r="K4" i="1"/>
  <c r="M4" i="1" s="1"/>
  <c r="K6" i="1"/>
  <c r="M6" i="1" s="1"/>
  <c r="K9" i="1"/>
  <c r="M9" i="1" s="1"/>
  <c r="K8" i="1"/>
  <c r="M8" i="1" s="1"/>
  <c r="K11" i="1"/>
  <c r="M11" i="1" s="1"/>
  <c r="K5" i="1"/>
  <c r="M5" i="1" s="1"/>
  <c r="K10" i="1"/>
  <c r="M10" i="1" s="1"/>
  <c r="K7" i="1"/>
  <c r="M7" i="1" s="1"/>
  <c r="K12" i="1"/>
  <c r="M12" i="1" s="1"/>
  <c r="K13" i="1"/>
  <c r="M13" i="1" s="1"/>
  <c r="K14" i="1"/>
  <c r="M14" i="1" s="1"/>
  <c r="AH5" i="1"/>
  <c r="AI5" i="1"/>
  <c r="L8" i="1"/>
  <c r="N8" i="1" s="1"/>
  <c r="L6" i="1"/>
  <c r="N6" i="1" s="1"/>
  <c r="L5" i="1"/>
  <c r="N5" i="1" s="1"/>
  <c r="AT3" i="1"/>
  <c r="L2" i="1"/>
  <c r="N2" i="1" s="1"/>
  <c r="L7" i="1"/>
  <c r="N7" i="1" s="1"/>
  <c r="L3" i="1"/>
  <c r="N3" i="1" s="1"/>
  <c r="L11" i="1"/>
  <c r="N11" i="1" s="1"/>
  <c r="L4" i="1"/>
  <c r="N4" i="1" s="1"/>
  <c r="L29" i="1"/>
  <c r="N29" i="1" s="1"/>
  <c r="L14" i="1"/>
  <c r="N14" i="1" s="1"/>
  <c r="AT2" i="1"/>
  <c r="L13" i="1"/>
  <c r="N13" i="1" s="1"/>
  <c r="L9" i="1"/>
  <c r="N9" i="1" s="1"/>
  <c r="L10" i="1"/>
  <c r="N10" i="1" s="1"/>
  <c r="AJ3" i="1" l="1"/>
  <c r="U14" i="1"/>
  <c r="W14" i="1" s="1"/>
  <c r="BA14" i="1" s="1"/>
  <c r="U17" i="1"/>
  <c r="U23" i="1"/>
  <c r="U28" i="1"/>
  <c r="U19" i="1"/>
  <c r="U22" i="1"/>
  <c r="U24" i="1"/>
  <c r="W24" i="1" s="1"/>
  <c r="BA24" i="1" s="1"/>
  <c r="U26" i="1"/>
  <c r="U27" i="1"/>
  <c r="U15" i="1"/>
  <c r="U18" i="1"/>
  <c r="U21" i="1"/>
  <c r="U20" i="1"/>
  <c r="U25" i="1"/>
  <c r="U16" i="1"/>
  <c r="V8" i="1"/>
  <c r="X8" i="1" s="1"/>
  <c r="AZ8" i="1" s="1"/>
  <c r="V20" i="1"/>
  <c r="X20" i="1" s="1"/>
  <c r="AZ20" i="1" s="1"/>
  <c r="V25" i="1"/>
  <c r="X25" i="1" s="1"/>
  <c r="AZ25" i="1" s="1"/>
  <c r="V28" i="1"/>
  <c r="X28" i="1" s="1"/>
  <c r="AZ28" i="1" s="1"/>
  <c r="V27" i="1"/>
  <c r="X27" i="1" s="1"/>
  <c r="AZ27" i="1" s="1"/>
  <c r="V16" i="1"/>
  <c r="X16" i="1" s="1"/>
  <c r="AZ16" i="1" s="1"/>
  <c r="V17" i="1"/>
  <c r="X17" i="1" s="1"/>
  <c r="AZ17" i="1" s="1"/>
  <c r="V23" i="1"/>
  <c r="X23" i="1" s="1"/>
  <c r="AZ23" i="1" s="1"/>
  <c r="V21" i="1"/>
  <c r="X21" i="1" s="1"/>
  <c r="AZ21" i="1" s="1"/>
  <c r="V19" i="1"/>
  <c r="X19" i="1" s="1"/>
  <c r="AZ19" i="1" s="1"/>
  <c r="V22" i="1"/>
  <c r="X22" i="1" s="1"/>
  <c r="AZ22" i="1" s="1"/>
  <c r="V24" i="1"/>
  <c r="V26" i="1"/>
  <c r="X26" i="1" s="1"/>
  <c r="AZ26" i="1" s="1"/>
  <c r="V15" i="1"/>
  <c r="X15" i="1" s="1"/>
  <c r="AZ15" i="1" s="1"/>
  <c r="V18" i="1"/>
  <c r="X18" i="1" s="1"/>
  <c r="AZ18" i="1" s="1"/>
  <c r="O20" i="1"/>
  <c r="M20" i="1"/>
  <c r="O24" i="1"/>
  <c r="M24" i="1"/>
  <c r="O27" i="1"/>
  <c r="M27" i="1"/>
  <c r="O19" i="1"/>
  <c r="N19" i="1"/>
  <c r="M23" i="1"/>
  <c r="O23" i="1"/>
  <c r="M15" i="1"/>
  <c r="O15" i="1"/>
  <c r="M26" i="1"/>
  <c r="O26" i="1"/>
  <c r="O25" i="1"/>
  <c r="M25" i="1"/>
  <c r="M16" i="1"/>
  <c r="O16" i="1"/>
  <c r="M22" i="1"/>
  <c r="O22" i="1"/>
  <c r="M28" i="1"/>
  <c r="O28" i="1"/>
  <c r="M18" i="1"/>
  <c r="AK3" i="1" s="1"/>
  <c r="O18" i="1"/>
  <c r="M21" i="1"/>
  <c r="O21" i="1"/>
  <c r="O17" i="1"/>
  <c r="N17" i="1"/>
  <c r="O12" i="1"/>
  <c r="O6" i="1"/>
  <c r="O5" i="1"/>
  <c r="V3" i="1"/>
  <c r="X3" i="1" s="1"/>
  <c r="AZ3" i="1" s="1"/>
  <c r="U8" i="1"/>
  <c r="W8" i="1" s="1"/>
  <c r="BA8" i="1" s="1"/>
  <c r="V2" i="1"/>
  <c r="X2" i="1" s="1"/>
  <c r="U5" i="1"/>
  <c r="W5" i="1" s="1"/>
  <c r="BA5" i="1" s="1"/>
  <c r="V5" i="1"/>
  <c r="X5" i="1" s="1"/>
  <c r="AZ5" i="1" s="1"/>
  <c r="V6" i="1"/>
  <c r="X6" i="1" s="1"/>
  <c r="AZ6" i="1" s="1"/>
  <c r="V11" i="1"/>
  <c r="X11" i="1" s="1"/>
  <c r="AZ11" i="1" s="1"/>
  <c r="V7" i="1"/>
  <c r="X7" i="1" s="1"/>
  <c r="AZ7" i="1" s="1"/>
  <c r="V10" i="1"/>
  <c r="X10" i="1" s="1"/>
  <c r="AZ10" i="1" s="1"/>
  <c r="V12" i="1"/>
  <c r="X12" i="1" s="1"/>
  <c r="AZ12" i="1" s="1"/>
  <c r="V13" i="1"/>
  <c r="X13" i="1" s="1"/>
  <c r="AZ13" i="1" s="1"/>
  <c r="V9" i="1"/>
  <c r="X9" i="1" s="1"/>
  <c r="AZ9" i="1" s="1"/>
  <c r="V29" i="1"/>
  <c r="X29" i="1" s="1"/>
  <c r="AZ29" i="1" s="1"/>
  <c r="V4" i="1"/>
  <c r="X4" i="1" s="1"/>
  <c r="AZ4" i="1" s="1"/>
  <c r="V14" i="1"/>
  <c r="X14" i="1" s="1"/>
  <c r="AZ14" i="1" s="1"/>
  <c r="U13" i="1"/>
  <c r="W13" i="1" s="1"/>
  <c r="BA13" i="1" s="1"/>
  <c r="U2" i="1"/>
  <c r="U11" i="1"/>
  <c r="W11" i="1" s="1"/>
  <c r="BA11" i="1" s="1"/>
  <c r="U9" i="1"/>
  <c r="W9" i="1" s="1"/>
  <c r="BA9" i="1" s="1"/>
  <c r="U29" i="1"/>
  <c r="W29" i="1" s="1"/>
  <c r="BA29" i="1" s="1"/>
  <c r="U12" i="1"/>
  <c r="W12" i="1" s="1"/>
  <c r="BA12" i="1" s="1"/>
  <c r="U4" i="1"/>
  <c r="W4" i="1" s="1"/>
  <c r="BA4" i="1" s="1"/>
  <c r="U7" i="1"/>
  <c r="U3" i="1"/>
  <c r="W3" i="1" s="1"/>
  <c r="BA3" i="1" s="1"/>
  <c r="U10" i="1"/>
  <c r="W10" i="1" s="1"/>
  <c r="BA10" i="1" s="1"/>
  <c r="U6" i="1"/>
  <c r="W6" i="1" s="1"/>
  <c r="BA6" i="1" s="1"/>
  <c r="O2" i="1"/>
  <c r="O7" i="1"/>
  <c r="O8" i="1"/>
  <c r="O13" i="1"/>
  <c r="O29" i="1"/>
  <c r="O14" i="1"/>
  <c r="O9" i="1"/>
  <c r="O4" i="1"/>
  <c r="O10" i="1"/>
  <c r="O11" i="1"/>
  <c r="O3" i="1"/>
  <c r="AZ2" i="1" l="1"/>
  <c r="W21" i="1"/>
  <c r="BA21" i="1" s="1"/>
  <c r="Y21" i="1"/>
  <c r="BB21" i="1" s="1"/>
  <c r="W26" i="1"/>
  <c r="BA26" i="1" s="1"/>
  <c r="Y26" i="1"/>
  <c r="BB26" i="1" s="1"/>
  <c r="W28" i="1"/>
  <c r="BA28" i="1" s="1"/>
  <c r="Y28" i="1"/>
  <c r="BB28" i="1" s="1"/>
  <c r="Y24" i="1"/>
  <c r="BB24" i="1" s="1"/>
  <c r="X24" i="1"/>
  <c r="AZ24" i="1" s="1"/>
  <c r="W16" i="1"/>
  <c r="BA16" i="1" s="1"/>
  <c r="Y16" i="1"/>
  <c r="BB16" i="1" s="1"/>
  <c r="W18" i="1"/>
  <c r="BA18" i="1" s="1"/>
  <c r="Y18" i="1"/>
  <c r="BB18" i="1" s="1"/>
  <c r="Y23" i="1"/>
  <c r="BB23" i="1" s="1"/>
  <c r="W23" i="1"/>
  <c r="BA23" i="1" s="1"/>
  <c r="W25" i="1"/>
  <c r="BA25" i="1" s="1"/>
  <c r="Y25" i="1"/>
  <c r="BB25" i="1" s="1"/>
  <c r="Y15" i="1"/>
  <c r="BB15" i="1" s="1"/>
  <c r="W15" i="1"/>
  <c r="BA15" i="1" s="1"/>
  <c r="W22" i="1"/>
  <c r="BA22" i="1" s="1"/>
  <c r="Y22" i="1"/>
  <c r="BB22" i="1" s="1"/>
  <c r="W17" i="1"/>
  <c r="BA17" i="1" s="1"/>
  <c r="Y17" i="1"/>
  <c r="BB17" i="1" s="1"/>
  <c r="W20" i="1"/>
  <c r="BA20" i="1" s="1"/>
  <c r="Y20" i="1"/>
  <c r="BB20" i="1" s="1"/>
  <c r="Y27" i="1"/>
  <c r="BB27" i="1" s="1"/>
  <c r="W27" i="1"/>
  <c r="BA27" i="1" s="1"/>
  <c r="Y19" i="1"/>
  <c r="BB19" i="1" s="1"/>
  <c r="W19" i="1"/>
  <c r="BA19" i="1" s="1"/>
  <c r="Y7" i="1"/>
  <c r="BB7" i="1" s="1"/>
  <c r="Y5" i="1"/>
  <c r="BB5" i="1" s="1"/>
  <c r="AJ5" i="1"/>
  <c r="Y8" i="1"/>
  <c r="BB8" i="1" s="1"/>
  <c r="Y14" i="1"/>
  <c r="BB14" i="1" s="1"/>
  <c r="Y4" i="1"/>
  <c r="BB4" i="1" s="1"/>
  <c r="Y12" i="1"/>
  <c r="BB12" i="1" s="1"/>
  <c r="Y11" i="1"/>
  <c r="BB11" i="1" s="1"/>
  <c r="Y3" i="1"/>
  <c r="BB3" i="1" s="1"/>
  <c r="Y13" i="1"/>
  <c r="BB13" i="1" s="1"/>
  <c r="W7" i="1"/>
  <c r="BA7" i="1" s="1"/>
  <c r="Y9" i="1"/>
  <c r="BB9" i="1" s="1"/>
  <c r="Y6" i="1"/>
  <c r="BB6" i="1" s="1"/>
  <c r="Y10" i="1"/>
  <c r="BB10" i="1" s="1"/>
  <c r="Y2" i="1"/>
  <c r="W2" i="1"/>
  <c r="Y29" i="1"/>
  <c r="BB29" i="1" s="1"/>
  <c r="BB2" i="1" l="1"/>
  <c r="AL3" i="1"/>
  <c r="AM3" i="1" s="1"/>
  <c r="BA2" i="1"/>
  <c r="AK5" i="1" l="1"/>
  <c r="AL5" i="1"/>
  <c r="AM5" i="1" l="1"/>
</calcChain>
</file>

<file path=xl/sharedStrings.xml><?xml version="1.0" encoding="utf-8"?>
<sst xmlns="http://schemas.openxmlformats.org/spreadsheetml/2006/main" count="483" uniqueCount="105">
  <si>
    <t>Name of element</t>
  </si>
  <si>
    <t>y'i</t>
  </si>
  <si>
    <t>z'i</t>
  </si>
  <si>
    <t>Ai(y'i)</t>
  </si>
  <si>
    <t>Ai(z'i)</t>
  </si>
  <si>
    <t>Iyy</t>
  </si>
  <si>
    <t>Izz</t>
  </si>
  <si>
    <t>Iyz</t>
  </si>
  <si>
    <t>y'i-ybar</t>
  </si>
  <si>
    <t>z'i-zbar</t>
  </si>
  <si>
    <t>Ai</t>
  </si>
  <si>
    <t>Number (i)</t>
  </si>
  <si>
    <t>Top Skin</t>
  </si>
  <si>
    <t>Bottom Skin</t>
  </si>
  <si>
    <t>LE Spar (big one)</t>
  </si>
  <si>
    <t>TE Spar (Small one)</t>
  </si>
  <si>
    <t>Top Stringer1</t>
  </si>
  <si>
    <t>Top Stringer2</t>
  </si>
  <si>
    <t>Top Stringer3</t>
  </si>
  <si>
    <t>Top Stringer4</t>
  </si>
  <si>
    <t>Top Stringer5</t>
  </si>
  <si>
    <t>Bottom Stringer1</t>
  </si>
  <si>
    <t>Bottom Stringer2</t>
  </si>
  <si>
    <t>Bottom Stringer3</t>
  </si>
  <si>
    <t>Bottom Stringer4</t>
  </si>
  <si>
    <t>Bottom Stringer5</t>
  </si>
  <si>
    <t>Iyyi</t>
  </si>
  <si>
    <t>Izzi</t>
  </si>
  <si>
    <t>Iyzi</t>
  </si>
  <si>
    <t>TBD</t>
  </si>
  <si>
    <t>ybar</t>
  </si>
  <si>
    <t>zbar</t>
  </si>
  <si>
    <t>TOTALS</t>
  </si>
  <si>
    <t>Ai(y'i-ybar)^2</t>
  </si>
  <si>
    <t>Ai(z'i-zbar)^2</t>
  </si>
  <si>
    <t>I~</t>
  </si>
  <si>
    <t>WARNING: DO NOT CHANGE THE LOCATION OF VALUES IN THIS SHEET, LOCATIONS ARE HARD CODED IN THE MATLAB CODE.</t>
  </si>
  <si>
    <t>Ei (ksi)</t>
  </si>
  <si>
    <t>Ei/ER</t>
  </si>
  <si>
    <t>ER (ksi)</t>
  </si>
  <si>
    <t>(Ei/ER)Ai</t>
  </si>
  <si>
    <t>Ai(y'i-ybar)(z'i-zbar)</t>
  </si>
  <si>
    <t>Ai*(y'i)</t>
  </si>
  <si>
    <t>Ai*(z'i)</t>
  </si>
  <si>
    <t>ybar*</t>
  </si>
  <si>
    <t>zbar*</t>
  </si>
  <si>
    <t>Iyy*</t>
  </si>
  <si>
    <t>Izz*</t>
  </si>
  <si>
    <t>Iyz*</t>
  </si>
  <si>
    <t>I~*</t>
  </si>
  <si>
    <t>y'i-ybar*</t>
  </si>
  <si>
    <t>Ai(y'i-ybar*)^2</t>
  </si>
  <si>
    <t>Ai(z'i-zbar*)^2</t>
  </si>
  <si>
    <t>Ai(y'i-ybar*)(z'i-zbar*)</t>
  </si>
  <si>
    <t>=add data</t>
  </si>
  <si>
    <t>=update formula to add stringers in sum</t>
  </si>
  <si>
    <t>z'i-zbar*</t>
  </si>
  <si>
    <t>Ult Tens Strength (ksi)</t>
  </si>
  <si>
    <t>Ult Comp Strength (ksi)</t>
  </si>
  <si>
    <t>Poisson's ratio</t>
  </si>
  <si>
    <t>Specific Weight (lbf/ft^3)</t>
  </si>
  <si>
    <t>Not Avaliable</t>
  </si>
  <si>
    <t>Not Applicable</t>
  </si>
  <si>
    <t>Shear Modulus (ksi)</t>
  </si>
  <si>
    <t>LE Top Skin y</t>
  </si>
  <si>
    <t>TE Top Skin y</t>
  </si>
  <si>
    <t>LE Bottom Skin y</t>
  </si>
  <si>
    <t>TE Bottom Skin y</t>
  </si>
  <si>
    <t>LE Top Skin z</t>
  </si>
  <si>
    <t>LE Bottom Skin z</t>
  </si>
  <si>
    <t>TE Top Skin z</t>
  </si>
  <si>
    <t>TE Bottom Skin z</t>
  </si>
  <si>
    <t>Volume (in^3)</t>
  </si>
  <si>
    <t>Rib x Location (in)</t>
  </si>
  <si>
    <t>End Loads in the X Direction(lbf)</t>
  </si>
  <si>
    <t>End Loads in the Y Direction(lbf)</t>
  </si>
  <si>
    <t>Y Position along the Y-Axis(in)</t>
  </si>
  <si>
    <t>Z Position along the Z-Axis(in)</t>
  </si>
  <si>
    <t>End Loads in the Z Direction(lbf)</t>
  </si>
  <si>
    <t>Length of the beam in X (in)</t>
  </si>
  <si>
    <t>X position of End Loads (in)</t>
  </si>
  <si>
    <t>P=100, Our Goal</t>
  </si>
  <si>
    <t xml:space="preserve">         Below values are assumed to be in the blue axis (auxillary axes) coord system below:</t>
  </si>
  <si>
    <t>Iyyi*</t>
  </si>
  <si>
    <t>Izzi*</t>
  </si>
  <si>
    <t>Top Stringer6</t>
  </si>
  <si>
    <t>Top Stringer7</t>
  </si>
  <si>
    <t>Top Stringer8</t>
  </si>
  <si>
    <t>Top Stringer9</t>
  </si>
  <si>
    <t>Top Stringer10</t>
  </si>
  <si>
    <t>Top Stringer11</t>
  </si>
  <si>
    <t>Top Stringer12</t>
  </si>
  <si>
    <t>Bottom Stringer6</t>
  </si>
  <si>
    <t>Bottom Stringer7</t>
  </si>
  <si>
    <t>Bottom Stringer8</t>
  </si>
  <si>
    <t>Bottom Stringer9</t>
  </si>
  <si>
    <t>Bottom Stringer10</t>
  </si>
  <si>
    <t>Bottom Stringer11</t>
  </si>
  <si>
    <t>Bottom Stringer12</t>
  </si>
  <si>
    <t>Skin Thickness</t>
  </si>
  <si>
    <t>Stringer Width</t>
  </si>
  <si>
    <t>Spar Width</t>
  </si>
  <si>
    <t>Top Skin Stringer Count</t>
  </si>
  <si>
    <t>Bottom Skin Stringer Count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</si>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</sst>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quotePrefix="1"/>
    <xf numFmtId="0" fontId="0" fillId="0" borderId="0" xfId="0" quotePrefix="1" applyAlignment="1"/>
    <xf numFmtId="0" fontId="0" fillId="0" borderId="0" xfId="0" applyFill="1"/>
    <xf numFmtId="0" fontId="0" fillId="5" borderId="0" xfId="0" applyFill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30</xdr:row>
      <xdr:rowOff>129540</xdr:rowOff>
    </xdr:from>
    <xdr:to>
      <xdr:col>7</xdr:col>
      <xdr:colOff>617695</xdr:colOff>
      <xdr:row>53</xdr:row>
      <xdr:rowOff>23215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E33786-B34B-4591-9706-0C1DFDCC3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055620"/>
          <a:ext cx="548687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190500</xdr:colOff>
      <xdr:row>30</xdr:row>
      <xdr:rowOff>129541</xdr:rowOff>
    </xdr:from>
    <xdr:to>
      <xdr:col>15</xdr:col>
      <xdr:colOff>167640</xdr:colOff>
      <xdr:row>53</xdr:row>
      <xdr:rowOff>49385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EAA6CC-36F7-4381-9BE2-14D4238A2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3055621"/>
          <a:ext cx="5509260" cy="412608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32</xdr:col>
      <xdr:colOff>487680</xdr:colOff>
      <xdr:row>29</xdr:row>
      <xdr:rowOff>160020</xdr:rowOff>
    </xdr:from>
    <xdr:to>
      <xdr:col>37</xdr:col>
      <xdr:colOff>983455</xdr:colOff>
      <xdr:row>52</xdr:row>
      <xdr:rowOff>53695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2DF825-8A7B-44BE-93A0-9E653997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127200" y="5463540"/>
          <a:ext cx="5479255" cy="40999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9"/>
  <sheetViews>
    <sheetView tabSelected="1" zoomScaleNormal="100" workbookViewId="0">
      <selection activeCell="AZ30" sqref="AZ30:BB30"/>
    </sheetView>
  </sheetViews>
  <sheetFormatPr defaultRowHeight="15" x14ac:dyDescent="0.25"/>
  <cols>
    <col min="1" max="1" width="16.5703125" bestFit="1" customWidth="1"/>
    <col min="2" max="2" width="9.5703125" bestFit="1" customWidth="1"/>
    <col min="4" max="4" width="10.7109375" bestFit="1" customWidth="1"/>
    <col min="5" max="5" width="9.7109375" bestFit="1" customWidth="1"/>
    <col min="8" max="9" width="12" bestFit="1" customWidth="1"/>
    <col min="13" max="13" width="11.7109375" bestFit="1" customWidth="1"/>
    <col min="14" max="14" width="11.5703125" bestFit="1" customWidth="1"/>
    <col min="15" max="15" width="18.7109375" bestFit="1" customWidth="1"/>
    <col min="23" max="23" width="12.7109375" bestFit="1" customWidth="1"/>
    <col min="24" max="24" width="12.42578125" bestFit="1" customWidth="1"/>
    <col min="25" max="26" width="18.7109375" bestFit="1" customWidth="1"/>
    <col min="27" max="27" width="19.28515625" bestFit="1" customWidth="1"/>
    <col min="28" max="28" width="12.7109375" bestFit="1" customWidth="1"/>
    <col min="29" max="29" width="16.7109375" customWidth="1"/>
    <col min="30" max="30" width="21.5703125" bestFit="1" customWidth="1"/>
    <col min="31" max="31" width="12.28515625" bestFit="1" customWidth="1"/>
    <col min="32" max="32" width="15.5703125" bestFit="1" customWidth="1"/>
    <col min="33" max="35" width="12.7109375" bestFit="1" customWidth="1"/>
    <col min="36" max="36" width="14.7109375" bestFit="1" customWidth="1"/>
    <col min="37" max="37" width="20" bestFit="1" customWidth="1"/>
    <col min="38" max="38" width="23" bestFit="1" customWidth="1"/>
    <col min="41" max="41" width="27.28515625" bestFit="1" customWidth="1"/>
    <col min="42" max="42" width="25.7109375" bestFit="1" customWidth="1"/>
    <col min="43" max="43" width="25.5703125" bestFit="1" customWidth="1"/>
    <col min="44" max="44" width="27.28515625" bestFit="1" customWidth="1"/>
    <col min="45" max="45" width="25.7109375" bestFit="1" customWidth="1"/>
    <col min="46" max="46" width="25.5703125" bestFit="1" customWidth="1"/>
    <col min="47" max="47" width="27.28515625" bestFit="1" customWidth="1"/>
    <col min="48" max="48" width="25.28515625" bestFit="1" customWidth="1"/>
    <col min="49" max="49" width="25" bestFit="1" customWidth="1"/>
    <col min="50" max="50" width="23.42578125" bestFit="1" customWidth="1"/>
  </cols>
  <sheetData>
    <row r="1" spans="1:54" x14ac:dyDescent="0.25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26</v>
      </c>
      <c r="I1" t="s">
        <v>27</v>
      </c>
      <c r="J1" t="s">
        <v>28</v>
      </c>
      <c r="K1" t="s">
        <v>8</v>
      </c>
      <c r="L1" t="s">
        <v>9</v>
      </c>
      <c r="M1" t="s">
        <v>33</v>
      </c>
      <c r="N1" t="s">
        <v>34</v>
      </c>
      <c r="O1" t="s">
        <v>41</v>
      </c>
      <c r="P1" t="s">
        <v>37</v>
      </c>
      <c r="Q1" t="s">
        <v>38</v>
      </c>
      <c r="R1" t="s">
        <v>40</v>
      </c>
      <c r="S1" t="s">
        <v>42</v>
      </c>
      <c r="T1" t="s">
        <v>43</v>
      </c>
      <c r="U1" t="s">
        <v>50</v>
      </c>
      <c r="V1" t="s">
        <v>56</v>
      </c>
      <c r="W1" t="s">
        <v>51</v>
      </c>
      <c r="X1" t="s">
        <v>52</v>
      </c>
      <c r="Y1" t="s">
        <v>53</v>
      </c>
      <c r="Z1" t="s">
        <v>57</v>
      </c>
      <c r="AA1" t="s">
        <v>58</v>
      </c>
      <c r="AB1" t="s">
        <v>59</v>
      </c>
      <c r="AC1" t="s">
        <v>63</v>
      </c>
      <c r="AD1" t="s">
        <v>60</v>
      </c>
      <c r="AE1" t="s">
        <v>72</v>
      </c>
      <c r="AF1" t="s">
        <v>73</v>
      </c>
      <c r="AO1" t="s">
        <v>74</v>
      </c>
      <c r="AP1" t="s">
        <v>76</v>
      </c>
      <c r="AQ1" t="s">
        <v>77</v>
      </c>
      <c r="AR1" t="s">
        <v>75</v>
      </c>
      <c r="AS1" t="s">
        <v>76</v>
      </c>
      <c r="AT1" t="s">
        <v>77</v>
      </c>
      <c r="AU1" t="s">
        <v>78</v>
      </c>
      <c r="AV1" t="s">
        <v>76</v>
      </c>
      <c r="AW1" t="s">
        <v>77</v>
      </c>
      <c r="AX1" t="s">
        <v>79</v>
      </c>
      <c r="AZ1" t="s">
        <v>83</v>
      </c>
      <c r="BA1" t="s">
        <v>84</v>
      </c>
      <c r="BB1" t="s">
        <v>48</v>
      </c>
    </row>
    <row r="2" spans="1:54" x14ac:dyDescent="0.25">
      <c r="A2" t="s">
        <v>12</v>
      </c>
      <c r="B2">
        <v>1</v>
      </c>
      <c r="C2">
        <f>3.75*0.0625</f>
        <v>0.234375</v>
      </c>
      <c r="D2">
        <f>(1/32)</f>
        <v>3.125E-2</v>
      </c>
      <c r="E2">
        <f>-3.75/2</f>
        <v>-1.875</v>
      </c>
      <c r="F2">
        <f>C2*D2</f>
        <v>7.32421875E-3</v>
      </c>
      <c r="G2">
        <f>C2*E2</f>
        <v>-0.439453125</v>
      </c>
      <c r="H2">
        <f>((1/16)*(3.75)^3)/12</f>
        <v>0.274658203125</v>
      </c>
      <c r="I2">
        <f>(3.75*(1/16)^3)/12</f>
        <v>7.62939453125E-5</v>
      </c>
      <c r="J2">
        <v>0</v>
      </c>
      <c r="K2">
        <f t="shared" ref="K2:K29" si="0">D2-$AH$3</f>
        <v>0.59880247191797531</v>
      </c>
      <c r="L2">
        <f t="shared" ref="L2:L29" si="1">E2-$AI$3</f>
        <v>-0.398926902339515</v>
      </c>
      <c r="M2">
        <f>C2*K2^2</f>
        <v>8.4038531337908812E-2</v>
      </c>
      <c r="N2">
        <f>C2*L2^2</f>
        <v>3.7299064080515844E-2</v>
      </c>
      <c r="O2">
        <f>C2*K2*L2</f>
        <v>-5.5987128570816162E-2</v>
      </c>
      <c r="P2">
        <v>255</v>
      </c>
      <c r="Q2">
        <f t="shared" ref="Q2:Q29" si="2">P2/$AH$7</f>
        <v>0.1275</v>
      </c>
      <c r="R2">
        <f>Q2*C2</f>
        <v>2.9882812500000001E-2</v>
      </c>
      <c r="S2">
        <f>R2*D2</f>
        <v>9.3383789062500004E-4</v>
      </c>
      <c r="T2">
        <f>R2*E2</f>
        <v>-5.60302734375E-2</v>
      </c>
      <c r="U2">
        <f t="shared" ref="U2:U29" si="3">D2-$AH$5</f>
        <v>0.67855277636955647</v>
      </c>
      <c r="V2">
        <f t="shared" ref="V2:V29" si="4">E2-$AI$5</f>
        <v>-0.59964662983435812</v>
      </c>
      <c r="W2">
        <f>C2*U2^2</f>
        <v>0.10791418835597656</v>
      </c>
      <c r="X2">
        <f>C2*V2^2</f>
        <v>8.4275643907430559E-2</v>
      </c>
      <c r="Y2">
        <f>C2*U2*V2</f>
        <v>-9.5365285667519853E-2</v>
      </c>
      <c r="Z2">
        <v>1.47</v>
      </c>
      <c r="AA2">
        <v>3</v>
      </c>
      <c r="AB2">
        <v>0.35</v>
      </c>
      <c r="AC2">
        <v>36</v>
      </c>
      <c r="AD2">
        <v>5.6</v>
      </c>
      <c r="AE2" s="5">
        <f>C2*$AX$2</f>
        <v>10.78125</v>
      </c>
      <c r="AF2" s="6" t="s">
        <v>104</v>
      </c>
      <c r="AH2" t="s">
        <v>30</v>
      </c>
      <c r="AI2" t="s">
        <v>31</v>
      </c>
      <c r="AJ2" t="s">
        <v>5</v>
      </c>
      <c r="AK2" t="s">
        <v>6</v>
      </c>
      <c r="AL2" t="s">
        <v>7</v>
      </c>
      <c r="AM2" t="s">
        <v>35</v>
      </c>
      <c r="AO2" t="s">
        <v>62</v>
      </c>
      <c r="AP2" t="s">
        <v>62</v>
      </c>
      <c r="AQ2" t="s">
        <v>62</v>
      </c>
      <c r="AR2">
        <v>5</v>
      </c>
      <c r="AS2">
        <v>0</v>
      </c>
      <c r="AT2">
        <f>-AI3</f>
        <v>1.476073097660485</v>
      </c>
      <c r="AU2" t="s">
        <v>62</v>
      </c>
      <c r="AV2" t="s">
        <v>62</v>
      </c>
      <c r="AW2" t="s">
        <v>62</v>
      </c>
      <c r="AX2">
        <v>46</v>
      </c>
      <c r="AZ2">
        <f>(Q2)*(H2+X2)</f>
        <v>4.5764065496634899E-2</v>
      </c>
      <c r="BA2">
        <f>(Q2)*(I2+W2)</f>
        <v>1.3768786493414356E-2</v>
      </c>
      <c r="BB2">
        <f>(Q2)*(J2+Y2)</f>
        <v>-1.2159073922608782E-2</v>
      </c>
    </row>
    <row r="3" spans="1:54" x14ac:dyDescent="0.25">
      <c r="A3" t="s">
        <v>13</v>
      </c>
      <c r="B3">
        <v>2</v>
      </c>
      <c r="C3">
        <f>SQRT(1+3.75^2)*0.0625</f>
        <v>0.24256522962906288</v>
      </c>
      <c r="D3">
        <f>SQRT(1+3.75^2)/2*SIN(ATAN(1/3.75))-1.5</f>
        <v>-1</v>
      </c>
      <c r="E3">
        <f>(-SQRT(1+3.75^2)/2)*COS(ATAN(1/3.75))</f>
        <v>-1.875</v>
      </c>
      <c r="F3">
        <f t="shared" ref="F3:F29" si="5">C3*D3</f>
        <v>-0.24256522962906288</v>
      </c>
      <c r="G3">
        <f t="shared" ref="G3:G29" si="6">C3*E3</f>
        <v>-0.45480980555449291</v>
      </c>
      <c r="H3">
        <f>(((1/16)*(SQRT(1+3.75^2)))/24)*((1/16)^2+(SQRT(1+3.75^2))^2)+(((1/16)*(SQRT(1+3.75^2)))/24)*((1/16)^2-(SQRT(1+3.75^2))^2)*COS(2*ATAN(1/3.75))</f>
        <v>2.028748701139621E-2</v>
      </c>
      <c r="I3">
        <f>(((1/16)*(SQRT(1+3.75^2)))/24)*((1/16)^2+(SQRT(1+3.75^2))^2)-(((1/16)*(SQRT(1+3.75^2)))/24)*((1/16)^2-(SQRT(1+3.75^2))^2)*COS(2*ATAN(1/3.75))</f>
        <v>0.28426137063160367</v>
      </c>
      <c r="J3">
        <f>(((1/16)*(SQRT(1+3.75^2)))/24)*((1/16)^2-(SQRT(1+3.75^2))^2)*SIN(2*ATAN(1/3.75))</f>
        <v>-7.5781976158911218E-2</v>
      </c>
      <c r="K3">
        <f t="shared" si="0"/>
        <v>-0.43244752808202469</v>
      </c>
      <c r="L3">
        <f t="shared" si="1"/>
        <v>-0.398926902339515</v>
      </c>
      <c r="M3">
        <f t="shared" ref="M3:M29" si="7">C3*K3^2</f>
        <v>4.5362333301306429E-2</v>
      </c>
      <c r="N3">
        <f t="shared" ref="N3:N29" si="8">C3*L3^2</f>
        <v>3.8602479119528348E-2</v>
      </c>
      <c r="O3">
        <f t="shared" ref="O3:O29" si="9">C3*K3*L3</f>
        <v>4.1846129140898643E-2</v>
      </c>
      <c r="P3">
        <v>255</v>
      </c>
      <c r="Q3">
        <f t="shared" si="2"/>
        <v>0.1275</v>
      </c>
      <c r="R3">
        <f t="shared" ref="R3:R29" si="10">Q3*C3</f>
        <v>3.0927066777705518E-2</v>
      </c>
      <c r="S3">
        <f t="shared" ref="S3:S29" si="11">R3*D3</f>
        <v>-3.0927066777705518E-2</v>
      </c>
      <c r="T3">
        <f t="shared" ref="T3:T29" si="12">R3*E3</f>
        <v>-5.7988250208197846E-2</v>
      </c>
      <c r="U3">
        <f t="shared" si="3"/>
        <v>-0.35269722363044353</v>
      </c>
      <c r="V3">
        <f t="shared" si="4"/>
        <v>-0.59964662983435812</v>
      </c>
      <c r="W3">
        <f t="shared" ref="W3:W29" si="13">C3*U3^2</f>
        <v>3.0173982163815692E-2</v>
      </c>
      <c r="X3">
        <f t="shared" ref="X3:X29" si="14">C3*V3^2</f>
        <v>8.7220654577250256E-2</v>
      </c>
      <c r="Y3">
        <f t="shared" ref="Y3:Y29" si="15">C3*U3*V3</f>
        <v>5.1301018269916232E-2</v>
      </c>
      <c r="Z3">
        <v>1.47</v>
      </c>
      <c r="AA3">
        <v>3</v>
      </c>
      <c r="AB3">
        <v>0.35</v>
      </c>
      <c r="AC3">
        <v>36</v>
      </c>
      <c r="AD3">
        <v>5.6</v>
      </c>
      <c r="AE3" s="5">
        <f t="shared" ref="AE3:AE29" si="16">C3*$AX$2</f>
        <v>11.158000562936893</v>
      </c>
      <c r="AF3" s="6" t="s">
        <v>104</v>
      </c>
      <c r="AH3">
        <f>F30/C30</f>
        <v>-0.56755247191797531</v>
      </c>
      <c r="AI3">
        <f>G30/C30</f>
        <v>-1.476073097660485</v>
      </c>
      <c r="AJ3">
        <f>H30+N30</f>
        <v>1.1375853194626662</v>
      </c>
      <c r="AK3">
        <f>I30+M30</f>
        <v>0.49116275635153439</v>
      </c>
      <c r="AL3">
        <f>J30+O30</f>
        <v>-0.20911945460328921</v>
      </c>
      <c r="AM3">
        <f>(AJ3*AK3)-AL3^2</f>
        <v>0.51500859479874683</v>
      </c>
      <c r="AO3" t="s">
        <v>62</v>
      </c>
      <c r="AP3" t="s">
        <v>62</v>
      </c>
      <c r="AQ3" t="s">
        <v>62</v>
      </c>
      <c r="AR3" t="s">
        <v>81</v>
      </c>
      <c r="AS3">
        <v>0</v>
      </c>
      <c r="AT3">
        <f>-1.875-AI3</f>
        <v>-0.398926902339515</v>
      </c>
      <c r="AU3" t="s">
        <v>62</v>
      </c>
      <c r="AV3" t="s">
        <v>62</v>
      </c>
      <c r="AW3" t="s">
        <v>62</v>
      </c>
      <c r="AX3" t="s">
        <v>80</v>
      </c>
      <c r="AZ3">
        <f t="shared" ref="AZ3:AZ29" si="17">(Q3)*(H3+X3)</f>
        <v>1.3707288052552424E-2</v>
      </c>
      <c r="BA3">
        <f t="shared" ref="BA3:BA29" si="18">(Q3)*(I3+W3)</f>
        <v>4.0090507481415967E-2</v>
      </c>
      <c r="BB3">
        <f t="shared" ref="BB3:BB29" si="19">(Q3)*(J3+Y3)</f>
        <v>-3.1213221308468608E-3</v>
      </c>
    </row>
    <row r="4" spans="1:54" x14ac:dyDescent="0.25">
      <c r="A4" t="s">
        <v>14</v>
      </c>
      <c r="B4">
        <v>3</v>
      </c>
      <c r="C4">
        <f>1.5*0.125</f>
        <v>0.1875</v>
      </c>
      <c r="D4">
        <f>(-1.5)/2</f>
        <v>-0.75</v>
      </c>
      <c r="E4">
        <f>-1/16</f>
        <v>-6.25E-2</v>
      </c>
      <c r="F4">
        <f t="shared" si="5"/>
        <v>-0.140625</v>
      </c>
      <c r="G4">
        <f t="shared" si="6"/>
        <v>-1.171875E-2</v>
      </c>
      <c r="H4">
        <f>(1.5*(1/8)^3)/12</f>
        <v>2.44140625E-4</v>
      </c>
      <c r="I4">
        <f>((1/8)*1.5^2)/12</f>
        <v>2.34375E-2</v>
      </c>
      <c r="J4">
        <v>0</v>
      </c>
      <c r="K4">
        <f t="shared" si="0"/>
        <v>-0.18244752808202469</v>
      </c>
      <c r="L4">
        <f t="shared" si="1"/>
        <v>1.413573097660485</v>
      </c>
      <c r="M4">
        <f t="shared" si="7"/>
        <v>6.2413313443577222E-3</v>
      </c>
      <c r="N4">
        <f t="shared" si="8"/>
        <v>0.37466041920552356</v>
      </c>
      <c r="O4">
        <f t="shared" si="9"/>
        <v>-4.8356797018388617E-2</v>
      </c>
      <c r="P4">
        <v>155</v>
      </c>
      <c r="Q4">
        <f t="shared" si="2"/>
        <v>7.7499999999999999E-2</v>
      </c>
      <c r="R4">
        <f t="shared" si="10"/>
        <v>1.4531249999999999E-2</v>
      </c>
      <c r="S4">
        <f t="shared" si="11"/>
        <v>-1.08984375E-2</v>
      </c>
      <c r="T4">
        <f t="shared" si="12"/>
        <v>-9.0820312499999994E-4</v>
      </c>
      <c r="U4">
        <f t="shared" si="3"/>
        <v>-0.10269722363044353</v>
      </c>
      <c r="V4">
        <f t="shared" si="4"/>
        <v>1.2128533701656419</v>
      </c>
      <c r="W4">
        <f t="shared" si="13"/>
        <v>1.9775099515127494E-3</v>
      </c>
      <c r="X4">
        <f t="shared" si="14"/>
        <v>0.27581499328540415</v>
      </c>
      <c r="Y4">
        <f t="shared" si="15"/>
        <v>-2.3354376335032134E-2</v>
      </c>
      <c r="Z4">
        <v>0.63</v>
      </c>
      <c r="AA4">
        <v>1.46</v>
      </c>
      <c r="AB4">
        <v>0.35</v>
      </c>
      <c r="AC4">
        <v>36</v>
      </c>
      <c r="AD4">
        <v>5.3</v>
      </c>
      <c r="AE4" s="5">
        <f t="shared" si="16"/>
        <v>8.625</v>
      </c>
      <c r="AF4" s="6" t="s">
        <v>104</v>
      </c>
      <c r="AH4" t="s">
        <v>44</v>
      </c>
      <c r="AI4" t="s">
        <v>45</v>
      </c>
      <c r="AJ4" t="s">
        <v>46</v>
      </c>
      <c r="AK4" t="s">
        <v>47</v>
      </c>
      <c r="AL4" t="s">
        <v>48</v>
      </c>
      <c r="AM4" t="s">
        <v>49</v>
      </c>
      <c r="AO4" t="s">
        <v>62</v>
      </c>
      <c r="AP4" t="s">
        <v>62</v>
      </c>
      <c r="AQ4" t="s">
        <v>62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 t="s">
        <v>62</v>
      </c>
      <c r="AX4">
        <f>AX2-0.375</f>
        <v>45.625</v>
      </c>
      <c r="AZ4">
        <f t="shared" si="17"/>
        <v>2.1394582878056321E-2</v>
      </c>
      <c r="BA4">
        <f t="shared" si="18"/>
        <v>1.9696632712422383E-3</v>
      </c>
      <c r="BB4">
        <f t="shared" si="19"/>
        <v>-1.8099641659649903E-3</v>
      </c>
    </row>
    <row r="5" spans="1:54" x14ac:dyDescent="0.25">
      <c r="A5" t="s">
        <v>15</v>
      </c>
      <c r="B5">
        <v>4</v>
      </c>
      <c r="C5">
        <f>0.5*0.125</f>
        <v>6.25E-2</v>
      </c>
      <c r="D5">
        <f>-0.5/2</f>
        <v>-0.25</v>
      </c>
      <c r="E5">
        <f>-3.75+(1/8)/2</f>
        <v>-3.6875</v>
      </c>
      <c r="F5">
        <f t="shared" si="5"/>
        <v>-1.5625E-2</v>
      </c>
      <c r="G5">
        <f t="shared" si="6"/>
        <v>-0.23046875</v>
      </c>
      <c r="H5">
        <f>(0.5*(1/8)^3)/12</f>
        <v>8.1380208333333329E-5</v>
      </c>
      <c r="I5">
        <f>((1/8)*0.5^3)/12</f>
        <v>1.3020833333333333E-3</v>
      </c>
      <c r="J5">
        <v>0</v>
      </c>
      <c r="K5">
        <f t="shared" si="0"/>
        <v>0.31755247191797531</v>
      </c>
      <c r="L5">
        <f t="shared" si="1"/>
        <v>-2.211426902339515</v>
      </c>
      <c r="M5">
        <f t="shared" si="7"/>
        <v>6.3024732763260309E-3</v>
      </c>
      <c r="N5">
        <f t="shared" si="8"/>
        <v>0.30565055902443394</v>
      </c>
      <c r="O5">
        <f t="shared" si="9"/>
        <v>-4.3890254956488996E-2</v>
      </c>
      <c r="P5">
        <v>155</v>
      </c>
      <c r="Q5">
        <f t="shared" si="2"/>
        <v>7.7499999999999999E-2</v>
      </c>
      <c r="R5">
        <f t="shared" si="10"/>
        <v>4.84375E-3</v>
      </c>
      <c r="S5">
        <f t="shared" si="11"/>
        <v>-1.2109375E-3</v>
      </c>
      <c r="T5">
        <f t="shared" si="12"/>
        <v>-1.7861328124999999E-2</v>
      </c>
      <c r="U5">
        <f t="shared" si="3"/>
        <v>0.39730277636955647</v>
      </c>
      <c r="V5">
        <f t="shared" si="4"/>
        <v>-2.4121466298343579</v>
      </c>
      <c r="W5">
        <f t="shared" si="13"/>
        <v>9.8655935069348628E-3</v>
      </c>
      <c r="X5">
        <f t="shared" si="14"/>
        <v>0.36365321023882818</v>
      </c>
      <c r="Y5">
        <f t="shared" si="15"/>
        <v>-5.9897034565228699E-2</v>
      </c>
      <c r="Z5">
        <v>0.63</v>
      </c>
      <c r="AA5">
        <v>1.46</v>
      </c>
      <c r="AB5">
        <v>0.35</v>
      </c>
      <c r="AC5">
        <v>36</v>
      </c>
      <c r="AD5">
        <v>5.3</v>
      </c>
      <c r="AE5" s="5">
        <f t="shared" si="16"/>
        <v>2.875</v>
      </c>
      <c r="AF5" s="6" t="s">
        <v>104</v>
      </c>
      <c r="AH5">
        <f>S30/R30</f>
        <v>-0.64730277636955647</v>
      </c>
      <c r="AI5">
        <f>T30/R30</f>
        <v>-1.2753533701656419</v>
      </c>
      <c r="AJ5">
        <f>AZ30</f>
        <v>0.14438221307369647</v>
      </c>
      <c r="AK5">
        <f>BA30</f>
        <v>7.7642270875069766E-2</v>
      </c>
      <c r="AL5">
        <f>BB30</f>
        <v>-3.2133248438351511E-2</v>
      </c>
      <c r="AM5">
        <f>(AJ5*AK5)-AL5^2</f>
        <v>1.0177617241809161E-2</v>
      </c>
      <c r="AO5" t="s">
        <v>62</v>
      </c>
      <c r="AP5" t="s">
        <v>62</v>
      </c>
      <c r="AQ5" t="s">
        <v>62</v>
      </c>
      <c r="AR5" t="s">
        <v>62</v>
      </c>
      <c r="AS5" t="s">
        <v>62</v>
      </c>
      <c r="AT5" t="s">
        <v>62</v>
      </c>
      <c r="AU5" t="s">
        <v>62</v>
      </c>
      <c r="AV5" t="s">
        <v>62</v>
      </c>
      <c r="AW5" t="s">
        <v>62</v>
      </c>
      <c r="AZ5">
        <f t="shared" si="17"/>
        <v>2.8189430759655017E-2</v>
      </c>
      <c r="BA5">
        <f t="shared" si="18"/>
        <v>8.6549495512078527E-4</v>
      </c>
      <c r="BB5">
        <f t="shared" si="19"/>
        <v>-4.6420201788052243E-3</v>
      </c>
    </row>
    <row r="6" spans="1:54" x14ac:dyDescent="0.25">
      <c r="A6" t="s">
        <v>16</v>
      </c>
      <c r="B6">
        <v>5</v>
      </c>
      <c r="C6">
        <f>0.125*0.125</f>
        <v>1.5625E-2</v>
      </c>
      <c r="D6">
        <f>(1/16)+(1/8)/2</f>
        <v>0.125</v>
      </c>
      <c r="E6">
        <v>-6.25E-2</v>
      </c>
      <c r="F6">
        <f t="shared" si="5"/>
        <v>1.953125E-3</v>
      </c>
      <c r="G6">
        <f t="shared" si="6"/>
        <v>-9.765625E-4</v>
      </c>
      <c r="H6">
        <f>((1/8)^4)/12</f>
        <v>2.0345052083333332E-5</v>
      </c>
      <c r="I6">
        <f>((1/8)^4)/12</f>
        <v>2.0345052083333332E-5</v>
      </c>
      <c r="J6">
        <v>0</v>
      </c>
      <c r="K6">
        <f t="shared" si="0"/>
        <v>0.69255247191797531</v>
      </c>
      <c r="L6">
        <f t="shared" si="1"/>
        <v>1.413573097660485</v>
      </c>
      <c r="M6">
        <f t="shared" si="7"/>
        <v>7.4942019743702813E-3</v>
      </c>
      <c r="N6">
        <f t="shared" si="8"/>
        <v>3.1221701600460297E-2</v>
      </c>
      <c r="O6">
        <f t="shared" si="9"/>
        <v>1.5296461609711225E-2</v>
      </c>
      <c r="P6">
        <v>1130</v>
      </c>
      <c r="Q6">
        <f t="shared" si="2"/>
        <v>0.56499999999999995</v>
      </c>
      <c r="R6">
        <f t="shared" si="10"/>
        <v>8.8281249999999992E-3</v>
      </c>
      <c r="S6">
        <f t="shared" si="11"/>
        <v>1.1035156249999999E-3</v>
      </c>
      <c r="T6">
        <f t="shared" si="12"/>
        <v>-5.5175781249999995E-4</v>
      </c>
      <c r="U6">
        <f t="shared" si="3"/>
        <v>0.77230277636955647</v>
      </c>
      <c r="V6">
        <f t="shared" si="4"/>
        <v>1.2128533701656419</v>
      </c>
      <c r="W6">
        <f t="shared" si="13"/>
        <v>9.3195559123144551E-3</v>
      </c>
      <c r="X6">
        <f t="shared" si="14"/>
        <v>2.2984582773783679E-2</v>
      </c>
      <c r="Y6">
        <f t="shared" si="15"/>
        <v>1.4635781642314041E-2</v>
      </c>
      <c r="Z6">
        <v>7.8</v>
      </c>
      <c r="AA6">
        <v>7.8</v>
      </c>
      <c r="AB6" t="s">
        <v>62</v>
      </c>
      <c r="AC6" s="1" t="s">
        <v>61</v>
      </c>
      <c r="AD6" s="1" t="s">
        <v>61</v>
      </c>
      <c r="AE6" s="5">
        <f t="shared" si="16"/>
        <v>0.71875</v>
      </c>
      <c r="AF6" s="6" t="s">
        <v>104</v>
      </c>
      <c r="AH6" t="s">
        <v>39</v>
      </c>
      <c r="AO6" t="s">
        <v>62</v>
      </c>
      <c r="AP6" t="s">
        <v>62</v>
      </c>
      <c r="AQ6" t="s">
        <v>62</v>
      </c>
      <c r="AR6" t="s">
        <v>62</v>
      </c>
      <c r="AS6" t="s">
        <v>62</v>
      </c>
      <c r="AT6" t="s">
        <v>62</v>
      </c>
      <c r="AU6" t="s">
        <v>62</v>
      </c>
      <c r="AV6" t="s">
        <v>62</v>
      </c>
      <c r="AW6" t="s">
        <v>62</v>
      </c>
      <c r="AZ6">
        <f t="shared" si="17"/>
        <v>1.299778422161486E-2</v>
      </c>
      <c r="BA6">
        <f t="shared" si="18"/>
        <v>5.2770440448847503E-3</v>
      </c>
      <c r="BB6">
        <f t="shared" si="19"/>
        <v>8.269216627907432E-3</v>
      </c>
    </row>
    <row r="7" spans="1:54" x14ac:dyDescent="0.25">
      <c r="A7" t="s">
        <v>17</v>
      </c>
      <c r="B7">
        <v>6</v>
      </c>
      <c r="C7">
        <f t="shared" ref="C7:C29" si="20">0.125*0.125</f>
        <v>1.5625E-2</v>
      </c>
      <c r="D7">
        <f t="shared" ref="D7:D17" si="21">(1/16)+(1/8)/2</f>
        <v>0.125</v>
      </c>
      <c r="E7" s="1" t="s">
        <v>29</v>
      </c>
      <c r="F7">
        <f t="shared" si="5"/>
        <v>1.953125E-3</v>
      </c>
      <c r="G7" t="e">
        <f t="shared" si="6"/>
        <v>#VALUE!</v>
      </c>
      <c r="H7">
        <f t="shared" ref="H7:I29" si="22">((1/8)^4)/12</f>
        <v>2.0345052083333332E-5</v>
      </c>
      <c r="I7">
        <f t="shared" si="22"/>
        <v>2.0345052083333332E-5</v>
      </c>
      <c r="J7">
        <v>0</v>
      </c>
      <c r="K7">
        <f t="shared" si="0"/>
        <v>0.69255247191797531</v>
      </c>
      <c r="L7" t="e">
        <f t="shared" si="1"/>
        <v>#VALUE!</v>
      </c>
      <c r="M7">
        <f t="shared" si="7"/>
        <v>7.4942019743702813E-3</v>
      </c>
      <c r="N7" t="e">
        <f t="shared" si="8"/>
        <v>#VALUE!</v>
      </c>
      <c r="O7" t="e">
        <f t="shared" si="9"/>
        <v>#VALUE!</v>
      </c>
      <c r="P7">
        <v>1130</v>
      </c>
      <c r="Q7">
        <f t="shared" si="2"/>
        <v>0.56499999999999995</v>
      </c>
      <c r="R7">
        <f t="shared" si="10"/>
        <v>8.8281249999999992E-3</v>
      </c>
      <c r="S7">
        <f t="shared" si="11"/>
        <v>1.1035156249999999E-3</v>
      </c>
      <c r="T7" t="e">
        <f t="shared" si="12"/>
        <v>#VALUE!</v>
      </c>
      <c r="U7">
        <f t="shared" si="3"/>
        <v>0.77230277636955647</v>
      </c>
      <c r="V7" t="e">
        <f t="shared" si="4"/>
        <v>#VALUE!</v>
      </c>
      <c r="W7">
        <f t="shared" si="13"/>
        <v>9.3195559123144551E-3</v>
      </c>
      <c r="X7" t="e">
        <f t="shared" si="14"/>
        <v>#VALUE!</v>
      </c>
      <c r="Y7" t="e">
        <f t="shared" si="15"/>
        <v>#VALUE!</v>
      </c>
      <c r="Z7">
        <v>7.8</v>
      </c>
      <c r="AA7">
        <v>7.8</v>
      </c>
      <c r="AB7" t="s">
        <v>62</v>
      </c>
      <c r="AC7" s="1" t="s">
        <v>61</v>
      </c>
      <c r="AD7" s="1" t="s">
        <v>61</v>
      </c>
      <c r="AE7" s="5">
        <f t="shared" si="16"/>
        <v>0.71875</v>
      </c>
      <c r="AF7" s="6" t="s">
        <v>104</v>
      </c>
      <c r="AH7">
        <v>2000</v>
      </c>
      <c r="AO7" t="s">
        <v>62</v>
      </c>
      <c r="AP7" t="s">
        <v>62</v>
      </c>
      <c r="AQ7" t="s">
        <v>62</v>
      </c>
      <c r="AR7" t="s">
        <v>62</v>
      </c>
      <c r="AS7" t="s">
        <v>62</v>
      </c>
      <c r="AT7" t="s">
        <v>62</v>
      </c>
      <c r="AU7" t="s">
        <v>62</v>
      </c>
      <c r="AV7" t="s">
        <v>62</v>
      </c>
      <c r="AW7" t="s">
        <v>62</v>
      </c>
      <c r="AZ7" t="e">
        <f t="shared" si="17"/>
        <v>#VALUE!</v>
      </c>
      <c r="BA7">
        <f t="shared" si="18"/>
        <v>5.2770440448847503E-3</v>
      </c>
      <c r="BB7" t="e">
        <f t="shared" si="19"/>
        <v>#VALUE!</v>
      </c>
    </row>
    <row r="8" spans="1:54" x14ac:dyDescent="0.25">
      <c r="A8" t="s">
        <v>18</v>
      </c>
      <c r="B8">
        <v>7</v>
      </c>
      <c r="C8">
        <f t="shared" si="20"/>
        <v>1.5625E-2</v>
      </c>
      <c r="D8">
        <f t="shared" si="21"/>
        <v>0.125</v>
      </c>
      <c r="E8" s="1" t="s">
        <v>29</v>
      </c>
      <c r="F8">
        <f t="shared" si="5"/>
        <v>1.953125E-3</v>
      </c>
      <c r="G8" t="e">
        <f t="shared" si="6"/>
        <v>#VALUE!</v>
      </c>
      <c r="H8">
        <f t="shared" si="22"/>
        <v>2.0345052083333332E-5</v>
      </c>
      <c r="I8">
        <f t="shared" si="22"/>
        <v>2.0345052083333332E-5</v>
      </c>
      <c r="J8">
        <v>0</v>
      </c>
      <c r="K8">
        <f t="shared" si="0"/>
        <v>0.69255247191797531</v>
      </c>
      <c r="L8" t="e">
        <f t="shared" si="1"/>
        <v>#VALUE!</v>
      </c>
      <c r="M8">
        <f t="shared" si="7"/>
        <v>7.4942019743702813E-3</v>
      </c>
      <c r="N8" t="e">
        <f t="shared" si="8"/>
        <v>#VALUE!</v>
      </c>
      <c r="O8" t="e">
        <f t="shared" si="9"/>
        <v>#VALUE!</v>
      </c>
      <c r="P8">
        <v>1130</v>
      </c>
      <c r="Q8">
        <f t="shared" si="2"/>
        <v>0.56499999999999995</v>
      </c>
      <c r="R8">
        <f t="shared" si="10"/>
        <v>8.8281249999999992E-3</v>
      </c>
      <c r="S8">
        <f t="shared" si="11"/>
        <v>1.1035156249999999E-3</v>
      </c>
      <c r="T8" t="e">
        <f t="shared" si="12"/>
        <v>#VALUE!</v>
      </c>
      <c r="U8">
        <f t="shared" si="3"/>
        <v>0.77230277636955647</v>
      </c>
      <c r="V8" t="e">
        <f t="shared" si="4"/>
        <v>#VALUE!</v>
      </c>
      <c r="W8">
        <f t="shared" si="13"/>
        <v>9.3195559123144551E-3</v>
      </c>
      <c r="X8" t="e">
        <f t="shared" si="14"/>
        <v>#VALUE!</v>
      </c>
      <c r="Y8" t="e">
        <f t="shared" si="15"/>
        <v>#VALUE!</v>
      </c>
      <c r="Z8">
        <v>7.8</v>
      </c>
      <c r="AA8">
        <v>7.8</v>
      </c>
      <c r="AB8" t="s">
        <v>62</v>
      </c>
      <c r="AC8" s="1" t="s">
        <v>61</v>
      </c>
      <c r="AD8" s="1" t="s">
        <v>61</v>
      </c>
      <c r="AE8" s="5">
        <f t="shared" si="16"/>
        <v>0.71875</v>
      </c>
      <c r="AF8" s="6" t="s">
        <v>104</v>
      </c>
      <c r="AG8" s="8" t="s">
        <v>82</v>
      </c>
      <c r="AH8" s="8"/>
      <c r="AI8" s="8"/>
      <c r="AJ8" s="8"/>
      <c r="AK8" s="8"/>
      <c r="AL8" s="8"/>
      <c r="AO8" t="s">
        <v>62</v>
      </c>
      <c r="AP8" t="s">
        <v>62</v>
      </c>
      <c r="AQ8" t="s">
        <v>62</v>
      </c>
      <c r="AR8" t="s">
        <v>62</v>
      </c>
      <c r="AS8" t="s">
        <v>62</v>
      </c>
      <c r="AT8" t="s">
        <v>62</v>
      </c>
      <c r="AU8" t="s">
        <v>62</v>
      </c>
      <c r="AV8" t="s">
        <v>62</v>
      </c>
      <c r="AW8" t="s">
        <v>62</v>
      </c>
      <c r="AZ8" t="e">
        <f t="shared" si="17"/>
        <v>#VALUE!</v>
      </c>
      <c r="BA8">
        <f t="shared" si="18"/>
        <v>5.2770440448847503E-3</v>
      </c>
      <c r="BB8" t="e">
        <f t="shared" si="19"/>
        <v>#VALUE!</v>
      </c>
    </row>
    <row r="9" spans="1:54" x14ac:dyDescent="0.25">
      <c r="A9" t="s">
        <v>19</v>
      </c>
      <c r="B9">
        <v>8</v>
      </c>
      <c r="C9">
        <f t="shared" si="20"/>
        <v>1.5625E-2</v>
      </c>
      <c r="D9">
        <f t="shared" si="21"/>
        <v>0.125</v>
      </c>
      <c r="E9" s="1" t="s">
        <v>29</v>
      </c>
      <c r="F9">
        <f t="shared" si="5"/>
        <v>1.953125E-3</v>
      </c>
      <c r="G9" t="e">
        <f t="shared" si="6"/>
        <v>#VALUE!</v>
      </c>
      <c r="H9">
        <f t="shared" si="22"/>
        <v>2.0345052083333332E-5</v>
      </c>
      <c r="I9">
        <f t="shared" si="22"/>
        <v>2.0345052083333332E-5</v>
      </c>
      <c r="J9">
        <v>0</v>
      </c>
      <c r="K9">
        <f t="shared" si="0"/>
        <v>0.69255247191797531</v>
      </c>
      <c r="L9" t="e">
        <f t="shared" si="1"/>
        <v>#VALUE!</v>
      </c>
      <c r="M9">
        <f t="shared" si="7"/>
        <v>7.4942019743702813E-3</v>
      </c>
      <c r="N9" t="e">
        <f t="shared" si="8"/>
        <v>#VALUE!</v>
      </c>
      <c r="O9" t="e">
        <f t="shared" si="9"/>
        <v>#VALUE!</v>
      </c>
      <c r="P9">
        <v>1130</v>
      </c>
      <c r="Q9">
        <f t="shared" si="2"/>
        <v>0.56499999999999995</v>
      </c>
      <c r="R9">
        <f t="shared" si="10"/>
        <v>8.8281249999999992E-3</v>
      </c>
      <c r="S9">
        <f t="shared" si="11"/>
        <v>1.1035156249999999E-3</v>
      </c>
      <c r="T9" t="e">
        <f t="shared" si="12"/>
        <v>#VALUE!</v>
      </c>
      <c r="U9">
        <f t="shared" si="3"/>
        <v>0.77230277636955647</v>
      </c>
      <c r="V9" t="e">
        <f t="shared" si="4"/>
        <v>#VALUE!</v>
      </c>
      <c r="W9">
        <f t="shared" si="13"/>
        <v>9.3195559123144551E-3</v>
      </c>
      <c r="X9" t="e">
        <f t="shared" si="14"/>
        <v>#VALUE!</v>
      </c>
      <c r="Y9" t="e">
        <f t="shared" si="15"/>
        <v>#VALUE!</v>
      </c>
      <c r="Z9">
        <v>7.8</v>
      </c>
      <c r="AA9">
        <v>7.8</v>
      </c>
      <c r="AB9" t="s">
        <v>62</v>
      </c>
      <c r="AC9" s="1" t="s">
        <v>61</v>
      </c>
      <c r="AD9" s="1" t="s">
        <v>61</v>
      </c>
      <c r="AE9" s="5">
        <f t="shared" si="16"/>
        <v>0.71875</v>
      </c>
      <c r="AF9" s="6" t="s">
        <v>104</v>
      </c>
      <c r="AH9" t="s">
        <v>64</v>
      </c>
      <c r="AI9" t="s">
        <v>68</v>
      </c>
      <c r="AJ9" t="s">
        <v>66</v>
      </c>
      <c r="AK9" t="s">
        <v>69</v>
      </c>
      <c r="AO9" t="s">
        <v>62</v>
      </c>
      <c r="AP9" t="s">
        <v>62</v>
      </c>
      <c r="AQ9" t="s">
        <v>62</v>
      </c>
      <c r="AR9" t="s">
        <v>62</v>
      </c>
      <c r="AS9" t="s">
        <v>62</v>
      </c>
      <c r="AT9" t="s">
        <v>62</v>
      </c>
      <c r="AU9" t="s">
        <v>62</v>
      </c>
      <c r="AV9" t="s">
        <v>62</v>
      </c>
      <c r="AW9" t="s">
        <v>62</v>
      </c>
      <c r="AZ9" t="e">
        <f t="shared" si="17"/>
        <v>#VALUE!</v>
      </c>
      <c r="BA9">
        <f t="shared" si="18"/>
        <v>5.2770440448847503E-3</v>
      </c>
      <c r="BB9" t="e">
        <f t="shared" si="19"/>
        <v>#VALUE!</v>
      </c>
    </row>
    <row r="10" spans="1:54" x14ac:dyDescent="0.25">
      <c r="A10" t="s">
        <v>20</v>
      </c>
      <c r="B10">
        <v>9</v>
      </c>
      <c r="C10">
        <f t="shared" si="20"/>
        <v>1.5625E-2</v>
      </c>
      <c r="D10">
        <f t="shared" si="21"/>
        <v>0.125</v>
      </c>
      <c r="E10" s="1" t="s">
        <v>29</v>
      </c>
      <c r="F10">
        <f t="shared" si="5"/>
        <v>1.953125E-3</v>
      </c>
      <c r="G10" t="e">
        <f t="shared" si="6"/>
        <v>#VALUE!</v>
      </c>
      <c r="H10">
        <f t="shared" si="22"/>
        <v>2.0345052083333332E-5</v>
      </c>
      <c r="I10">
        <f t="shared" si="22"/>
        <v>2.0345052083333332E-5</v>
      </c>
      <c r="J10">
        <v>0</v>
      </c>
      <c r="K10">
        <f t="shared" si="0"/>
        <v>0.69255247191797531</v>
      </c>
      <c r="L10" t="e">
        <f t="shared" si="1"/>
        <v>#VALUE!</v>
      </c>
      <c r="M10">
        <f t="shared" si="7"/>
        <v>7.4942019743702813E-3</v>
      </c>
      <c r="N10" t="e">
        <f t="shared" si="8"/>
        <v>#VALUE!</v>
      </c>
      <c r="O10" t="e">
        <f t="shared" si="9"/>
        <v>#VALUE!</v>
      </c>
      <c r="P10">
        <v>1130</v>
      </c>
      <c r="Q10">
        <f t="shared" si="2"/>
        <v>0.56499999999999995</v>
      </c>
      <c r="R10">
        <f t="shared" si="10"/>
        <v>8.8281249999999992E-3</v>
      </c>
      <c r="S10">
        <f t="shared" si="11"/>
        <v>1.1035156249999999E-3</v>
      </c>
      <c r="T10" t="e">
        <f t="shared" si="12"/>
        <v>#VALUE!</v>
      </c>
      <c r="U10">
        <f t="shared" si="3"/>
        <v>0.77230277636955647</v>
      </c>
      <c r="V10" t="e">
        <f t="shared" si="4"/>
        <v>#VALUE!</v>
      </c>
      <c r="W10">
        <f t="shared" si="13"/>
        <v>9.3195559123144551E-3</v>
      </c>
      <c r="X10" t="e">
        <f t="shared" si="14"/>
        <v>#VALUE!</v>
      </c>
      <c r="Y10" t="e">
        <f t="shared" si="15"/>
        <v>#VALUE!</v>
      </c>
      <c r="Z10">
        <v>7.8</v>
      </c>
      <c r="AA10">
        <v>7.8</v>
      </c>
      <c r="AB10" t="s">
        <v>62</v>
      </c>
      <c r="AC10" s="1" t="s">
        <v>61</v>
      </c>
      <c r="AD10" s="1" t="s">
        <v>61</v>
      </c>
      <c r="AE10" s="5">
        <f t="shared" si="16"/>
        <v>0.71875</v>
      </c>
      <c r="AF10" s="6" t="s">
        <v>104</v>
      </c>
      <c r="AH10">
        <f>1/16</f>
        <v>6.25E-2</v>
      </c>
      <c r="AI10">
        <v>0</v>
      </c>
      <c r="AJ10" s="5">
        <f>-1.5-SQRT((1/16)^2+(3/180)^2)</f>
        <v>-1.5646840612344168</v>
      </c>
      <c r="AK10">
        <v>0</v>
      </c>
      <c r="AO10" t="s">
        <v>62</v>
      </c>
      <c r="AP10" t="s">
        <v>62</v>
      </c>
      <c r="AQ10" t="s">
        <v>62</v>
      </c>
      <c r="AR10" t="s">
        <v>62</v>
      </c>
      <c r="AS10" t="s">
        <v>62</v>
      </c>
      <c r="AT10" t="s">
        <v>62</v>
      </c>
      <c r="AU10" t="s">
        <v>62</v>
      </c>
      <c r="AV10" t="s">
        <v>62</v>
      </c>
      <c r="AW10" t="s">
        <v>62</v>
      </c>
      <c r="AZ10" t="e">
        <f t="shared" si="17"/>
        <v>#VALUE!</v>
      </c>
      <c r="BA10">
        <f t="shared" si="18"/>
        <v>5.2770440448847503E-3</v>
      </c>
      <c r="BB10" t="e">
        <f t="shared" si="19"/>
        <v>#VALUE!</v>
      </c>
    </row>
    <row r="11" spans="1:54" x14ac:dyDescent="0.25">
      <c r="A11" t="s">
        <v>85</v>
      </c>
      <c r="B11">
        <v>10</v>
      </c>
      <c r="C11">
        <f t="shared" si="20"/>
        <v>1.5625E-2</v>
      </c>
      <c r="D11">
        <f t="shared" si="21"/>
        <v>0.125</v>
      </c>
      <c r="E11" s="1" t="s">
        <v>29</v>
      </c>
      <c r="F11">
        <f t="shared" si="5"/>
        <v>1.953125E-3</v>
      </c>
      <c r="G11" t="e">
        <f t="shared" si="6"/>
        <v>#VALUE!</v>
      </c>
      <c r="H11">
        <f t="shared" si="22"/>
        <v>2.0345052083333332E-5</v>
      </c>
      <c r="I11">
        <f t="shared" si="22"/>
        <v>2.0345052083333332E-5</v>
      </c>
      <c r="J11">
        <v>0</v>
      </c>
      <c r="K11">
        <f t="shared" si="0"/>
        <v>0.69255247191797531</v>
      </c>
      <c r="L11" t="e">
        <f t="shared" si="1"/>
        <v>#VALUE!</v>
      </c>
      <c r="M11">
        <f t="shared" si="7"/>
        <v>7.4942019743702813E-3</v>
      </c>
      <c r="N11" t="e">
        <f t="shared" si="8"/>
        <v>#VALUE!</v>
      </c>
      <c r="O11" t="e">
        <f t="shared" si="9"/>
        <v>#VALUE!</v>
      </c>
      <c r="P11">
        <v>1130</v>
      </c>
      <c r="Q11">
        <f t="shared" si="2"/>
        <v>0.56499999999999995</v>
      </c>
      <c r="R11">
        <f t="shared" si="10"/>
        <v>8.8281249999999992E-3</v>
      </c>
      <c r="S11">
        <f t="shared" si="11"/>
        <v>1.1035156249999999E-3</v>
      </c>
      <c r="T11" t="e">
        <f t="shared" si="12"/>
        <v>#VALUE!</v>
      </c>
      <c r="U11">
        <f t="shared" si="3"/>
        <v>0.77230277636955647</v>
      </c>
      <c r="V11" t="e">
        <f t="shared" si="4"/>
        <v>#VALUE!</v>
      </c>
      <c r="W11">
        <f t="shared" si="13"/>
        <v>9.3195559123144551E-3</v>
      </c>
      <c r="X11" t="e">
        <f t="shared" si="14"/>
        <v>#VALUE!</v>
      </c>
      <c r="Y11" t="e">
        <f t="shared" si="15"/>
        <v>#VALUE!</v>
      </c>
      <c r="Z11">
        <v>7.8</v>
      </c>
      <c r="AA11">
        <v>7.8</v>
      </c>
      <c r="AB11" t="s">
        <v>62</v>
      </c>
      <c r="AC11" s="1" t="s">
        <v>61</v>
      </c>
      <c r="AD11" s="1" t="s">
        <v>61</v>
      </c>
      <c r="AE11" s="5">
        <f t="shared" si="16"/>
        <v>0.71875</v>
      </c>
      <c r="AF11" s="6" t="s">
        <v>104</v>
      </c>
      <c r="AH11" t="s">
        <v>65</v>
      </c>
      <c r="AI11" t="s">
        <v>70</v>
      </c>
      <c r="AJ11" t="s">
        <v>67</v>
      </c>
      <c r="AK11" t="s">
        <v>71</v>
      </c>
      <c r="AO11" t="s">
        <v>62</v>
      </c>
      <c r="AP11" t="s">
        <v>62</v>
      </c>
      <c r="AQ11" t="s">
        <v>62</v>
      </c>
      <c r="AR11" t="s">
        <v>62</v>
      </c>
      <c r="AS11" t="s">
        <v>62</v>
      </c>
      <c r="AT11" t="s">
        <v>62</v>
      </c>
      <c r="AU11" t="s">
        <v>62</v>
      </c>
      <c r="AV11" t="s">
        <v>62</v>
      </c>
      <c r="AW11" t="s">
        <v>62</v>
      </c>
      <c r="AZ11" t="e">
        <f t="shared" si="17"/>
        <v>#VALUE!</v>
      </c>
      <c r="BA11">
        <f t="shared" si="18"/>
        <v>5.2770440448847503E-3</v>
      </c>
      <c r="BB11" t="e">
        <f t="shared" si="19"/>
        <v>#VALUE!</v>
      </c>
    </row>
    <row r="12" spans="1:54" x14ac:dyDescent="0.25">
      <c r="A12" t="s">
        <v>86</v>
      </c>
      <c r="B12">
        <v>11</v>
      </c>
      <c r="C12">
        <f t="shared" si="20"/>
        <v>1.5625E-2</v>
      </c>
      <c r="D12">
        <f t="shared" si="21"/>
        <v>0.125</v>
      </c>
      <c r="E12" s="1" t="s">
        <v>29</v>
      </c>
      <c r="F12">
        <f t="shared" si="5"/>
        <v>1.953125E-3</v>
      </c>
      <c r="G12" t="e">
        <f t="shared" si="6"/>
        <v>#VALUE!</v>
      </c>
      <c r="H12">
        <f t="shared" si="22"/>
        <v>2.0345052083333332E-5</v>
      </c>
      <c r="I12">
        <f t="shared" si="22"/>
        <v>2.0345052083333332E-5</v>
      </c>
      <c r="J12">
        <v>0</v>
      </c>
      <c r="K12">
        <f t="shared" si="0"/>
        <v>0.69255247191797531</v>
      </c>
      <c r="L12" t="e">
        <f t="shared" si="1"/>
        <v>#VALUE!</v>
      </c>
      <c r="M12">
        <f t="shared" si="7"/>
        <v>7.4942019743702813E-3</v>
      </c>
      <c r="N12" t="e">
        <f t="shared" si="8"/>
        <v>#VALUE!</v>
      </c>
      <c r="O12" t="e">
        <f t="shared" si="9"/>
        <v>#VALUE!</v>
      </c>
      <c r="P12">
        <v>1130</v>
      </c>
      <c r="Q12">
        <f t="shared" si="2"/>
        <v>0.56499999999999995</v>
      </c>
      <c r="R12">
        <f t="shared" si="10"/>
        <v>8.8281249999999992E-3</v>
      </c>
      <c r="S12">
        <f t="shared" si="11"/>
        <v>1.1035156249999999E-3</v>
      </c>
      <c r="T12" t="e">
        <f t="shared" si="12"/>
        <v>#VALUE!</v>
      </c>
      <c r="U12">
        <f t="shared" si="3"/>
        <v>0.77230277636955647</v>
      </c>
      <c r="V12" t="e">
        <f t="shared" si="4"/>
        <v>#VALUE!</v>
      </c>
      <c r="W12">
        <f t="shared" si="13"/>
        <v>9.3195559123144551E-3</v>
      </c>
      <c r="X12" t="e">
        <f t="shared" si="14"/>
        <v>#VALUE!</v>
      </c>
      <c r="Y12" t="e">
        <f t="shared" si="15"/>
        <v>#VALUE!</v>
      </c>
      <c r="Z12">
        <v>7.8</v>
      </c>
      <c r="AA12">
        <v>7.8</v>
      </c>
      <c r="AB12" t="s">
        <v>62</v>
      </c>
      <c r="AC12" s="1" t="s">
        <v>61</v>
      </c>
      <c r="AD12" s="1" t="s">
        <v>61</v>
      </c>
      <c r="AE12" s="5">
        <f t="shared" si="16"/>
        <v>0.71875</v>
      </c>
      <c r="AF12" s="6" t="s">
        <v>104</v>
      </c>
      <c r="AH12">
        <f>1/16</f>
        <v>6.25E-2</v>
      </c>
      <c r="AI12">
        <v>-3.75</v>
      </c>
      <c r="AJ12" s="5">
        <f>-0.5-SQRT((1/16)^2+(3/180)^2)</f>
        <v>-0.56468406123441672</v>
      </c>
      <c r="AK12">
        <v>-3.75</v>
      </c>
      <c r="AO12" t="s">
        <v>62</v>
      </c>
      <c r="AP12" t="s">
        <v>62</v>
      </c>
      <c r="AQ12" t="s">
        <v>62</v>
      </c>
      <c r="AR12" t="s">
        <v>62</v>
      </c>
      <c r="AS12" t="s">
        <v>62</v>
      </c>
      <c r="AT12" t="s">
        <v>62</v>
      </c>
      <c r="AU12" t="s">
        <v>62</v>
      </c>
      <c r="AV12" t="s">
        <v>62</v>
      </c>
      <c r="AW12" t="s">
        <v>62</v>
      </c>
      <c r="AZ12" t="e">
        <f t="shared" si="17"/>
        <v>#VALUE!</v>
      </c>
      <c r="BA12">
        <f t="shared" si="18"/>
        <v>5.2770440448847503E-3</v>
      </c>
      <c r="BB12" t="e">
        <f t="shared" si="19"/>
        <v>#VALUE!</v>
      </c>
    </row>
    <row r="13" spans="1:54" x14ac:dyDescent="0.25">
      <c r="A13" t="s">
        <v>87</v>
      </c>
      <c r="B13">
        <v>12</v>
      </c>
      <c r="C13">
        <f t="shared" si="20"/>
        <v>1.5625E-2</v>
      </c>
      <c r="D13">
        <f t="shared" si="21"/>
        <v>0.125</v>
      </c>
      <c r="E13" s="1" t="s">
        <v>29</v>
      </c>
      <c r="F13">
        <f t="shared" si="5"/>
        <v>1.953125E-3</v>
      </c>
      <c r="G13" t="e">
        <f t="shared" si="6"/>
        <v>#VALUE!</v>
      </c>
      <c r="H13">
        <f t="shared" si="22"/>
        <v>2.0345052083333332E-5</v>
      </c>
      <c r="I13">
        <f t="shared" si="22"/>
        <v>2.0345052083333332E-5</v>
      </c>
      <c r="J13">
        <v>0</v>
      </c>
      <c r="K13">
        <f t="shared" si="0"/>
        <v>0.69255247191797531</v>
      </c>
      <c r="L13" t="e">
        <f t="shared" si="1"/>
        <v>#VALUE!</v>
      </c>
      <c r="M13">
        <f t="shared" si="7"/>
        <v>7.4942019743702813E-3</v>
      </c>
      <c r="N13" t="e">
        <f t="shared" si="8"/>
        <v>#VALUE!</v>
      </c>
      <c r="O13" t="e">
        <f t="shared" si="9"/>
        <v>#VALUE!</v>
      </c>
      <c r="P13">
        <v>1130</v>
      </c>
      <c r="Q13">
        <f t="shared" si="2"/>
        <v>0.56499999999999995</v>
      </c>
      <c r="R13">
        <f t="shared" si="10"/>
        <v>8.8281249999999992E-3</v>
      </c>
      <c r="S13">
        <f t="shared" si="11"/>
        <v>1.1035156249999999E-3</v>
      </c>
      <c r="T13" t="e">
        <f t="shared" si="12"/>
        <v>#VALUE!</v>
      </c>
      <c r="U13">
        <f t="shared" si="3"/>
        <v>0.77230277636955647</v>
      </c>
      <c r="V13" t="e">
        <f t="shared" si="4"/>
        <v>#VALUE!</v>
      </c>
      <c r="W13">
        <f t="shared" si="13"/>
        <v>9.3195559123144551E-3</v>
      </c>
      <c r="X13" t="e">
        <f t="shared" si="14"/>
        <v>#VALUE!</v>
      </c>
      <c r="Y13" t="e">
        <f t="shared" si="15"/>
        <v>#VALUE!</v>
      </c>
      <c r="Z13">
        <v>7.8</v>
      </c>
      <c r="AA13">
        <v>7.8</v>
      </c>
      <c r="AB13" t="s">
        <v>62</v>
      </c>
      <c r="AC13" s="1" t="s">
        <v>61</v>
      </c>
      <c r="AD13" s="1" t="s">
        <v>61</v>
      </c>
      <c r="AE13" s="5">
        <f t="shared" si="16"/>
        <v>0.71875</v>
      </c>
      <c r="AF13" s="6" t="s">
        <v>104</v>
      </c>
      <c r="AO13" t="s">
        <v>62</v>
      </c>
      <c r="AP13" t="s">
        <v>62</v>
      </c>
      <c r="AQ13" t="s">
        <v>62</v>
      </c>
      <c r="AR13" t="s">
        <v>62</v>
      </c>
      <c r="AS13" t="s">
        <v>62</v>
      </c>
      <c r="AT13" t="s">
        <v>62</v>
      </c>
      <c r="AU13" t="s">
        <v>62</v>
      </c>
      <c r="AV13" t="s">
        <v>62</v>
      </c>
      <c r="AW13" t="s">
        <v>62</v>
      </c>
      <c r="AZ13" t="e">
        <f t="shared" si="17"/>
        <v>#VALUE!</v>
      </c>
      <c r="BA13">
        <f t="shared" si="18"/>
        <v>5.2770440448847503E-3</v>
      </c>
      <c r="BB13" t="e">
        <f t="shared" si="19"/>
        <v>#VALUE!</v>
      </c>
    </row>
    <row r="14" spans="1:54" x14ac:dyDescent="0.25">
      <c r="A14" t="s">
        <v>88</v>
      </c>
      <c r="B14">
        <v>13</v>
      </c>
      <c r="C14">
        <f t="shared" si="20"/>
        <v>1.5625E-2</v>
      </c>
      <c r="D14">
        <f t="shared" si="21"/>
        <v>0.125</v>
      </c>
      <c r="E14" s="1" t="s">
        <v>29</v>
      </c>
      <c r="F14">
        <f t="shared" si="5"/>
        <v>1.953125E-3</v>
      </c>
      <c r="G14" t="e">
        <f t="shared" si="6"/>
        <v>#VALUE!</v>
      </c>
      <c r="H14">
        <f t="shared" si="22"/>
        <v>2.0345052083333332E-5</v>
      </c>
      <c r="I14">
        <f t="shared" si="22"/>
        <v>2.0345052083333332E-5</v>
      </c>
      <c r="J14">
        <v>0</v>
      </c>
      <c r="K14">
        <f t="shared" si="0"/>
        <v>0.69255247191797531</v>
      </c>
      <c r="L14" t="e">
        <f t="shared" si="1"/>
        <v>#VALUE!</v>
      </c>
      <c r="M14">
        <f t="shared" si="7"/>
        <v>7.4942019743702813E-3</v>
      </c>
      <c r="N14" t="e">
        <f t="shared" si="8"/>
        <v>#VALUE!</v>
      </c>
      <c r="O14" t="e">
        <f t="shared" si="9"/>
        <v>#VALUE!</v>
      </c>
      <c r="P14">
        <v>1130</v>
      </c>
      <c r="Q14">
        <f t="shared" si="2"/>
        <v>0.56499999999999995</v>
      </c>
      <c r="R14">
        <f t="shared" si="10"/>
        <v>8.8281249999999992E-3</v>
      </c>
      <c r="S14">
        <f t="shared" si="11"/>
        <v>1.1035156249999999E-3</v>
      </c>
      <c r="T14" t="e">
        <f t="shared" si="12"/>
        <v>#VALUE!</v>
      </c>
      <c r="U14">
        <f t="shared" si="3"/>
        <v>0.77230277636955647</v>
      </c>
      <c r="V14" t="e">
        <f t="shared" si="4"/>
        <v>#VALUE!</v>
      </c>
      <c r="W14">
        <f t="shared" si="13"/>
        <v>9.3195559123144551E-3</v>
      </c>
      <c r="X14" t="e">
        <f t="shared" si="14"/>
        <v>#VALUE!</v>
      </c>
      <c r="Y14" t="e">
        <f t="shared" si="15"/>
        <v>#VALUE!</v>
      </c>
      <c r="Z14">
        <v>7.8</v>
      </c>
      <c r="AA14">
        <v>7.8</v>
      </c>
      <c r="AB14" t="s">
        <v>62</v>
      </c>
      <c r="AC14" s="1" t="s">
        <v>61</v>
      </c>
      <c r="AD14" s="1" t="s">
        <v>61</v>
      </c>
      <c r="AE14" s="5">
        <f t="shared" si="16"/>
        <v>0.71875</v>
      </c>
      <c r="AF14" s="6" t="s">
        <v>104</v>
      </c>
      <c r="AH14" s="5" t="s">
        <v>99</v>
      </c>
      <c r="AI14" s="5" t="s">
        <v>100</v>
      </c>
      <c r="AJ14" s="5" t="s">
        <v>101</v>
      </c>
      <c r="AK14" s="5" t="s">
        <v>102</v>
      </c>
      <c r="AL14" s="5" t="s">
        <v>103</v>
      </c>
      <c r="AO14" t="s">
        <v>62</v>
      </c>
      <c r="AP14" t="s">
        <v>62</v>
      </c>
      <c r="AQ14" t="s">
        <v>62</v>
      </c>
      <c r="AR14" t="s">
        <v>62</v>
      </c>
      <c r="AS14" t="s">
        <v>62</v>
      </c>
      <c r="AT14" t="s">
        <v>62</v>
      </c>
      <c r="AU14" t="s">
        <v>62</v>
      </c>
      <c r="AV14" t="s">
        <v>62</v>
      </c>
      <c r="AW14" t="s">
        <v>62</v>
      </c>
      <c r="AZ14" t="e">
        <f t="shared" si="17"/>
        <v>#VALUE!</v>
      </c>
      <c r="BA14">
        <f t="shared" si="18"/>
        <v>5.2770440448847503E-3</v>
      </c>
      <c r="BB14" t="e">
        <f t="shared" si="19"/>
        <v>#VALUE!</v>
      </c>
    </row>
    <row r="15" spans="1:54" x14ac:dyDescent="0.25">
      <c r="A15" t="s">
        <v>89</v>
      </c>
      <c r="B15">
        <v>14</v>
      </c>
      <c r="C15">
        <f t="shared" si="20"/>
        <v>1.5625E-2</v>
      </c>
      <c r="D15">
        <f t="shared" si="21"/>
        <v>0.125</v>
      </c>
      <c r="E15" s="1" t="s">
        <v>29</v>
      </c>
      <c r="F15">
        <f t="shared" si="5"/>
        <v>1.953125E-3</v>
      </c>
      <c r="G15" t="e">
        <f t="shared" ref="G15:G28" si="23">C15*E15</f>
        <v>#VALUE!</v>
      </c>
      <c r="H15">
        <f t="shared" si="22"/>
        <v>2.0345052083333332E-5</v>
      </c>
      <c r="I15">
        <f t="shared" si="22"/>
        <v>2.0345052083333332E-5</v>
      </c>
      <c r="J15">
        <v>0</v>
      </c>
      <c r="K15">
        <f t="shared" ref="K15:K28" si="24">D15-$AH$3</f>
        <v>0.69255247191797531</v>
      </c>
      <c r="L15" t="e">
        <f t="shared" ref="L15:L28" si="25">E15-$AI$3</f>
        <v>#VALUE!</v>
      </c>
      <c r="M15">
        <f t="shared" ref="M15:M28" si="26">C15*K15^2</f>
        <v>7.4942019743702813E-3</v>
      </c>
      <c r="N15" t="e">
        <f t="shared" ref="N15:N28" si="27">C15*L15^2</f>
        <v>#VALUE!</v>
      </c>
      <c r="O15" t="e">
        <f t="shared" ref="O15:O28" si="28">C15*K15*L15</f>
        <v>#VALUE!</v>
      </c>
      <c r="P15">
        <v>1130</v>
      </c>
      <c r="Q15">
        <f t="shared" ref="Q15:Q28" si="29">P15/$AH$7</f>
        <v>0.56499999999999995</v>
      </c>
      <c r="R15">
        <f t="shared" ref="R15:R28" si="30">Q15*C15</f>
        <v>8.8281249999999992E-3</v>
      </c>
      <c r="S15">
        <f t="shared" ref="S15:S28" si="31">R15*D15</f>
        <v>1.1035156249999999E-3</v>
      </c>
      <c r="T15" t="e">
        <f t="shared" ref="T15:T28" si="32">R15*E15</f>
        <v>#VALUE!</v>
      </c>
      <c r="U15">
        <f t="shared" ref="U15:U28" si="33">D15-$AH$5</f>
        <v>0.77230277636955647</v>
      </c>
      <c r="V15" t="e">
        <f t="shared" ref="V15:V28" si="34">E15-$AI$5</f>
        <v>#VALUE!</v>
      </c>
      <c r="W15">
        <f t="shared" ref="W15:W28" si="35">C15*U15^2</f>
        <v>9.3195559123144551E-3</v>
      </c>
      <c r="X15" t="e">
        <f t="shared" ref="X15:X28" si="36">C15*V15^2</f>
        <v>#VALUE!</v>
      </c>
      <c r="Y15" t="e">
        <f t="shared" ref="Y15:Y28" si="37">C15*U15*V15</f>
        <v>#VALUE!</v>
      </c>
      <c r="Z15">
        <v>7.8</v>
      </c>
      <c r="AA15">
        <v>7.8</v>
      </c>
      <c r="AB15" t="s">
        <v>62</v>
      </c>
      <c r="AC15" s="1" t="s">
        <v>61</v>
      </c>
      <c r="AD15" s="1" t="s">
        <v>61</v>
      </c>
      <c r="AE15" s="5">
        <f t="shared" ref="AE15:AE28" si="38">C15*$AX$2</f>
        <v>0.71875</v>
      </c>
      <c r="AF15" s="6" t="s">
        <v>104</v>
      </c>
      <c r="AH15">
        <f>0.0625</f>
        <v>6.25E-2</v>
      </c>
      <c r="AI15">
        <f>0.125</f>
        <v>0.125</v>
      </c>
      <c r="AJ15">
        <f>0.125</f>
        <v>0.125</v>
      </c>
      <c r="AK15" s="1">
        <f>0</f>
        <v>0</v>
      </c>
      <c r="AL15" s="1">
        <f>0</f>
        <v>0</v>
      </c>
      <c r="AO15" t="s">
        <v>62</v>
      </c>
      <c r="AP15" t="s">
        <v>62</v>
      </c>
      <c r="AQ15" t="s">
        <v>62</v>
      </c>
      <c r="AR15" t="s">
        <v>62</v>
      </c>
      <c r="AS15" t="s">
        <v>62</v>
      </c>
      <c r="AT15" t="s">
        <v>62</v>
      </c>
      <c r="AU15" t="s">
        <v>62</v>
      </c>
      <c r="AV15" t="s">
        <v>62</v>
      </c>
      <c r="AW15" t="s">
        <v>62</v>
      </c>
      <c r="AZ15" t="e">
        <f t="shared" ref="AZ15:AZ28" si="39">(Q15)*(H15+X15)</f>
        <v>#VALUE!</v>
      </c>
      <c r="BA15">
        <f t="shared" ref="BA15:BA28" si="40">(Q15)*(I15+W15)</f>
        <v>5.2770440448847503E-3</v>
      </c>
      <c r="BB15" t="e">
        <f t="shared" ref="BB15:BB28" si="41">(Q15)*(J15+Y15)</f>
        <v>#VALUE!</v>
      </c>
    </row>
    <row r="16" spans="1:54" x14ac:dyDescent="0.25">
      <c r="A16" t="s">
        <v>90</v>
      </c>
      <c r="B16">
        <v>15</v>
      </c>
      <c r="C16">
        <f t="shared" si="20"/>
        <v>1.5625E-2</v>
      </c>
      <c r="D16">
        <f t="shared" si="21"/>
        <v>0.125</v>
      </c>
      <c r="E16" s="1" t="s">
        <v>29</v>
      </c>
      <c r="F16">
        <f t="shared" si="5"/>
        <v>1.953125E-3</v>
      </c>
      <c r="G16" t="e">
        <f t="shared" si="23"/>
        <v>#VALUE!</v>
      </c>
      <c r="H16">
        <f t="shared" si="22"/>
        <v>2.0345052083333332E-5</v>
      </c>
      <c r="I16">
        <f t="shared" si="22"/>
        <v>2.0345052083333332E-5</v>
      </c>
      <c r="J16">
        <v>0</v>
      </c>
      <c r="K16">
        <f t="shared" si="24"/>
        <v>0.69255247191797531</v>
      </c>
      <c r="L16" t="e">
        <f t="shared" si="25"/>
        <v>#VALUE!</v>
      </c>
      <c r="M16">
        <f t="shared" si="26"/>
        <v>7.4942019743702813E-3</v>
      </c>
      <c r="N16" t="e">
        <f t="shared" si="27"/>
        <v>#VALUE!</v>
      </c>
      <c r="O16" t="e">
        <f t="shared" si="28"/>
        <v>#VALUE!</v>
      </c>
      <c r="P16">
        <v>1130</v>
      </c>
      <c r="Q16">
        <f t="shared" si="29"/>
        <v>0.56499999999999995</v>
      </c>
      <c r="R16">
        <f t="shared" si="30"/>
        <v>8.8281249999999992E-3</v>
      </c>
      <c r="S16">
        <f t="shared" si="31"/>
        <v>1.1035156249999999E-3</v>
      </c>
      <c r="T16" t="e">
        <f t="shared" si="32"/>
        <v>#VALUE!</v>
      </c>
      <c r="U16">
        <f t="shared" si="33"/>
        <v>0.77230277636955647</v>
      </c>
      <c r="V16" t="e">
        <f t="shared" si="34"/>
        <v>#VALUE!</v>
      </c>
      <c r="W16">
        <f t="shared" si="35"/>
        <v>9.3195559123144551E-3</v>
      </c>
      <c r="X16" t="e">
        <f t="shared" si="36"/>
        <v>#VALUE!</v>
      </c>
      <c r="Y16" t="e">
        <f t="shared" si="37"/>
        <v>#VALUE!</v>
      </c>
      <c r="Z16">
        <v>7.8</v>
      </c>
      <c r="AA16">
        <v>7.8</v>
      </c>
      <c r="AB16" t="s">
        <v>62</v>
      </c>
      <c r="AC16" s="1" t="s">
        <v>61</v>
      </c>
      <c r="AD16" s="1" t="s">
        <v>61</v>
      </c>
      <c r="AE16" s="5">
        <f t="shared" si="38"/>
        <v>0.71875</v>
      </c>
      <c r="AF16" s="6" t="s">
        <v>104</v>
      </c>
      <c r="AO16" t="s">
        <v>62</v>
      </c>
      <c r="AP16" t="s">
        <v>62</v>
      </c>
      <c r="AQ16" t="s">
        <v>62</v>
      </c>
      <c r="AR16" t="s">
        <v>62</v>
      </c>
      <c r="AS16" t="s">
        <v>62</v>
      </c>
      <c r="AT16" t="s">
        <v>62</v>
      </c>
      <c r="AU16" t="s">
        <v>62</v>
      </c>
      <c r="AV16" t="s">
        <v>62</v>
      </c>
      <c r="AW16" t="s">
        <v>62</v>
      </c>
      <c r="AZ16" t="e">
        <f t="shared" si="39"/>
        <v>#VALUE!</v>
      </c>
      <c r="BA16">
        <f t="shared" si="40"/>
        <v>5.2770440448847503E-3</v>
      </c>
      <c r="BB16" t="e">
        <f t="shared" si="41"/>
        <v>#VALUE!</v>
      </c>
    </row>
    <row r="17" spans="1:54" x14ac:dyDescent="0.25">
      <c r="A17" t="s">
        <v>91</v>
      </c>
      <c r="B17">
        <v>16</v>
      </c>
      <c r="C17">
        <f t="shared" si="20"/>
        <v>1.5625E-2</v>
      </c>
      <c r="D17">
        <f t="shared" si="21"/>
        <v>0.125</v>
      </c>
      <c r="E17" s="1" t="s">
        <v>29</v>
      </c>
      <c r="F17">
        <f t="shared" si="5"/>
        <v>1.953125E-3</v>
      </c>
      <c r="G17" t="e">
        <f t="shared" si="23"/>
        <v>#VALUE!</v>
      </c>
      <c r="H17">
        <f t="shared" si="22"/>
        <v>2.0345052083333332E-5</v>
      </c>
      <c r="I17">
        <f t="shared" si="22"/>
        <v>2.0345052083333332E-5</v>
      </c>
      <c r="J17">
        <v>0</v>
      </c>
      <c r="K17">
        <f t="shared" si="24"/>
        <v>0.69255247191797531</v>
      </c>
      <c r="L17" t="e">
        <f t="shared" si="25"/>
        <v>#VALUE!</v>
      </c>
      <c r="M17">
        <f t="shared" si="26"/>
        <v>7.4942019743702813E-3</v>
      </c>
      <c r="N17" t="e">
        <f t="shared" si="27"/>
        <v>#VALUE!</v>
      </c>
      <c r="O17" t="e">
        <f t="shared" si="28"/>
        <v>#VALUE!</v>
      </c>
      <c r="P17">
        <v>1130</v>
      </c>
      <c r="Q17">
        <f t="shared" si="29"/>
        <v>0.56499999999999995</v>
      </c>
      <c r="R17">
        <f t="shared" si="30"/>
        <v>8.8281249999999992E-3</v>
      </c>
      <c r="S17">
        <f t="shared" si="31"/>
        <v>1.1035156249999999E-3</v>
      </c>
      <c r="T17" t="e">
        <f t="shared" si="32"/>
        <v>#VALUE!</v>
      </c>
      <c r="U17">
        <f t="shared" si="33"/>
        <v>0.77230277636955647</v>
      </c>
      <c r="V17" t="e">
        <f t="shared" si="34"/>
        <v>#VALUE!</v>
      </c>
      <c r="W17">
        <f t="shared" si="35"/>
        <v>9.3195559123144551E-3</v>
      </c>
      <c r="X17" t="e">
        <f t="shared" si="36"/>
        <v>#VALUE!</v>
      </c>
      <c r="Y17" t="e">
        <f t="shared" si="37"/>
        <v>#VALUE!</v>
      </c>
      <c r="Z17">
        <v>7.8</v>
      </c>
      <c r="AA17">
        <v>7.8</v>
      </c>
      <c r="AB17" t="s">
        <v>62</v>
      </c>
      <c r="AC17" s="1" t="s">
        <v>61</v>
      </c>
      <c r="AD17" s="1" t="s">
        <v>61</v>
      </c>
      <c r="AE17" s="5">
        <f t="shared" si="38"/>
        <v>0.71875</v>
      </c>
      <c r="AF17" s="6" t="s">
        <v>104</v>
      </c>
      <c r="AO17" t="s">
        <v>62</v>
      </c>
      <c r="AP17" t="s">
        <v>62</v>
      </c>
      <c r="AQ17" t="s">
        <v>62</v>
      </c>
      <c r="AR17" t="s">
        <v>62</v>
      </c>
      <c r="AS17" t="s">
        <v>62</v>
      </c>
      <c r="AT17" t="s">
        <v>62</v>
      </c>
      <c r="AU17" t="s">
        <v>62</v>
      </c>
      <c r="AV17" t="s">
        <v>62</v>
      </c>
      <c r="AW17" t="s">
        <v>62</v>
      </c>
      <c r="AZ17" t="e">
        <f t="shared" si="39"/>
        <v>#VALUE!</v>
      </c>
      <c r="BA17">
        <f t="shared" si="40"/>
        <v>5.2770440448847503E-3</v>
      </c>
      <c r="BB17" t="e">
        <f t="shared" si="41"/>
        <v>#VALUE!</v>
      </c>
    </row>
    <row r="18" spans="1:54" x14ac:dyDescent="0.25">
      <c r="A18" t="s">
        <v>21</v>
      </c>
      <c r="B18">
        <v>17</v>
      </c>
      <c r="C18">
        <f t="shared" si="20"/>
        <v>1.5625E-2</v>
      </c>
      <c r="D18">
        <f>-1.6046754518</f>
        <v>-1.6046754517999999</v>
      </c>
      <c r="E18">
        <f>-0.092597515</f>
        <v>-9.2597515000000005E-2</v>
      </c>
      <c r="F18">
        <f t="shared" si="5"/>
        <v>-2.5073053934374999E-2</v>
      </c>
      <c r="G18">
        <f t="shared" si="23"/>
        <v>-1.4468361718750001E-3</v>
      </c>
      <c r="H18">
        <f t="shared" si="22"/>
        <v>2.0345052083333332E-5</v>
      </c>
      <c r="I18">
        <f t="shared" si="22"/>
        <v>2.0345052083333332E-5</v>
      </c>
      <c r="J18">
        <v>0</v>
      </c>
      <c r="K18">
        <f t="shared" si="24"/>
        <v>-1.0371229798820245</v>
      </c>
      <c r="L18">
        <f t="shared" si="25"/>
        <v>1.383475582660485</v>
      </c>
      <c r="M18">
        <f t="shared" si="26"/>
        <v>1.680662617811516E-2</v>
      </c>
      <c r="N18">
        <f t="shared" si="27"/>
        <v>2.990632324715263E-2</v>
      </c>
      <c r="O18">
        <f t="shared" si="28"/>
        <v>-2.2419286232544723E-2</v>
      </c>
      <c r="P18">
        <v>1130</v>
      </c>
      <c r="Q18">
        <f t="shared" si="29"/>
        <v>0.56499999999999995</v>
      </c>
      <c r="R18">
        <f t="shared" si="30"/>
        <v>8.8281249999999992E-3</v>
      </c>
      <c r="S18">
        <f t="shared" si="31"/>
        <v>-1.4166275472921873E-2</v>
      </c>
      <c r="T18">
        <f t="shared" si="32"/>
        <v>-8.1746243710937498E-4</v>
      </c>
      <c r="U18">
        <f t="shared" si="33"/>
        <v>-0.95737267543044346</v>
      </c>
      <c r="V18">
        <f t="shared" si="34"/>
        <v>1.1827558551656419</v>
      </c>
      <c r="W18">
        <f t="shared" si="35"/>
        <v>1.4321288119700707E-2</v>
      </c>
      <c r="X18">
        <f t="shared" si="36"/>
        <v>2.1857990827009514E-2</v>
      </c>
      <c r="Y18">
        <f t="shared" si="37"/>
        <v>-1.7692783397514886E-2</v>
      </c>
      <c r="Z18">
        <v>7.8</v>
      </c>
      <c r="AA18">
        <v>7.8</v>
      </c>
      <c r="AB18" t="s">
        <v>62</v>
      </c>
      <c r="AC18" s="1" t="s">
        <v>61</v>
      </c>
      <c r="AD18" s="1" t="s">
        <v>61</v>
      </c>
      <c r="AE18" s="5">
        <f t="shared" si="38"/>
        <v>0.71875</v>
      </c>
      <c r="AF18" s="6" t="s">
        <v>104</v>
      </c>
      <c r="AO18" t="s">
        <v>62</v>
      </c>
      <c r="AP18" t="s">
        <v>62</v>
      </c>
      <c r="AQ18" t="s">
        <v>62</v>
      </c>
      <c r="AR18" t="s">
        <v>62</v>
      </c>
      <c r="AS18" t="s">
        <v>62</v>
      </c>
      <c r="AT18" t="s">
        <v>62</v>
      </c>
      <c r="AU18" t="s">
        <v>62</v>
      </c>
      <c r="AV18" t="s">
        <v>62</v>
      </c>
      <c r="AW18" t="s">
        <v>62</v>
      </c>
      <c r="AZ18">
        <f t="shared" si="39"/>
        <v>1.2361259771687456E-2</v>
      </c>
      <c r="BA18">
        <f t="shared" si="40"/>
        <v>8.1030227420579824E-3</v>
      </c>
      <c r="BB18">
        <f t="shared" si="41"/>
        <v>-9.9964226195959089E-3</v>
      </c>
    </row>
    <row r="19" spans="1:54" x14ac:dyDescent="0.25">
      <c r="A19" t="s">
        <v>22</v>
      </c>
      <c r="B19">
        <v>18</v>
      </c>
      <c r="C19">
        <f t="shared" si="20"/>
        <v>1.5625E-2</v>
      </c>
      <c r="D19" s="5">
        <f>-1.5724676205</f>
        <v>-1.5724676205000001</v>
      </c>
      <c r="E19" s="5">
        <f>-0.2133768825</f>
        <v>-0.2133768825</v>
      </c>
      <c r="F19">
        <f t="shared" si="5"/>
        <v>-2.4569806570312502E-2</v>
      </c>
      <c r="G19">
        <f t="shared" si="23"/>
        <v>-3.3340137890625001E-3</v>
      </c>
      <c r="H19">
        <f t="shared" si="22"/>
        <v>2.0345052083333332E-5</v>
      </c>
      <c r="I19">
        <f t="shared" si="22"/>
        <v>2.0345052083333332E-5</v>
      </c>
      <c r="J19">
        <v>0</v>
      </c>
      <c r="K19">
        <f t="shared" si="24"/>
        <v>-1.0049151485820249</v>
      </c>
      <c r="L19">
        <f t="shared" si="25"/>
        <v>1.262696215160485</v>
      </c>
      <c r="M19">
        <f t="shared" si="26"/>
        <v>1.5778975872650518E-2</v>
      </c>
      <c r="N19">
        <f t="shared" si="27"/>
        <v>2.4912527059072091E-2</v>
      </c>
      <c r="O19">
        <f t="shared" si="28"/>
        <v>-1.9826602416749363E-2</v>
      </c>
      <c r="P19">
        <v>1130</v>
      </c>
      <c r="Q19">
        <f t="shared" si="29"/>
        <v>0.56499999999999995</v>
      </c>
      <c r="R19">
        <f t="shared" si="30"/>
        <v>8.8281249999999992E-3</v>
      </c>
      <c r="S19">
        <f t="shared" si="31"/>
        <v>-1.3881940712226561E-2</v>
      </c>
      <c r="T19">
        <f t="shared" si="32"/>
        <v>-1.8837177908203123E-3</v>
      </c>
      <c r="U19">
        <f t="shared" si="33"/>
        <v>-0.92516484413044364</v>
      </c>
      <c r="V19">
        <f t="shared" si="34"/>
        <v>1.0619764876656419</v>
      </c>
      <c r="W19">
        <f t="shared" si="35"/>
        <v>1.3373906075232939E-2</v>
      </c>
      <c r="X19">
        <f t="shared" si="36"/>
        <v>1.7621782193041457E-2</v>
      </c>
      <c r="Y19">
        <f t="shared" si="37"/>
        <v>-1.5351614245021556E-2</v>
      </c>
      <c r="Z19">
        <v>7.8</v>
      </c>
      <c r="AA19">
        <v>7.8</v>
      </c>
      <c r="AB19" t="s">
        <v>62</v>
      </c>
      <c r="AC19" s="1" t="s">
        <v>61</v>
      </c>
      <c r="AD19" s="1" t="s">
        <v>61</v>
      </c>
      <c r="AE19" s="5">
        <f t="shared" si="38"/>
        <v>0.71875</v>
      </c>
      <c r="AF19" s="6" t="s">
        <v>104</v>
      </c>
      <c r="AO19" t="s">
        <v>62</v>
      </c>
      <c r="AP19" t="s">
        <v>62</v>
      </c>
      <c r="AQ19" t="s">
        <v>62</v>
      </c>
      <c r="AR19" t="s">
        <v>62</v>
      </c>
      <c r="AS19" t="s">
        <v>62</v>
      </c>
      <c r="AT19" t="s">
        <v>62</v>
      </c>
      <c r="AU19" t="s">
        <v>62</v>
      </c>
      <c r="AV19" t="s">
        <v>62</v>
      </c>
      <c r="AW19" t="s">
        <v>62</v>
      </c>
      <c r="AZ19">
        <f t="shared" si="39"/>
        <v>9.9678018934955051E-3</v>
      </c>
      <c r="BA19">
        <f t="shared" si="40"/>
        <v>7.5677518869336933E-3</v>
      </c>
      <c r="BB19">
        <f t="shared" si="41"/>
        <v>-8.6736620484371783E-3</v>
      </c>
    </row>
    <row r="20" spans="1:54" x14ac:dyDescent="0.25">
      <c r="A20" t="s">
        <v>23</v>
      </c>
      <c r="B20">
        <v>19</v>
      </c>
      <c r="C20">
        <f t="shared" si="20"/>
        <v>1.5625E-2</v>
      </c>
      <c r="D20" s="1" t="s">
        <v>29</v>
      </c>
      <c r="E20" s="1" t="s">
        <v>29</v>
      </c>
      <c r="F20" t="e">
        <f t="shared" si="5"/>
        <v>#VALUE!</v>
      </c>
      <c r="G20" t="e">
        <f t="shared" si="23"/>
        <v>#VALUE!</v>
      </c>
      <c r="H20">
        <f t="shared" si="22"/>
        <v>2.0345052083333332E-5</v>
      </c>
      <c r="I20">
        <f t="shared" si="22"/>
        <v>2.0345052083333332E-5</v>
      </c>
      <c r="J20">
        <v>0</v>
      </c>
      <c r="K20" t="e">
        <f t="shared" si="24"/>
        <v>#VALUE!</v>
      </c>
      <c r="L20" t="e">
        <f t="shared" si="25"/>
        <v>#VALUE!</v>
      </c>
      <c r="M20" t="e">
        <f t="shared" si="26"/>
        <v>#VALUE!</v>
      </c>
      <c r="N20" t="e">
        <f t="shared" si="27"/>
        <v>#VALUE!</v>
      </c>
      <c r="O20" t="e">
        <f t="shared" si="28"/>
        <v>#VALUE!</v>
      </c>
      <c r="P20">
        <v>1130</v>
      </c>
      <c r="Q20">
        <f t="shared" si="29"/>
        <v>0.56499999999999995</v>
      </c>
      <c r="R20">
        <f t="shared" si="30"/>
        <v>8.8281249999999992E-3</v>
      </c>
      <c r="S20" t="e">
        <f t="shared" si="31"/>
        <v>#VALUE!</v>
      </c>
      <c r="T20" t="e">
        <f t="shared" si="32"/>
        <v>#VALUE!</v>
      </c>
      <c r="U20" t="e">
        <f t="shared" si="33"/>
        <v>#VALUE!</v>
      </c>
      <c r="V20" t="e">
        <f t="shared" si="34"/>
        <v>#VALUE!</v>
      </c>
      <c r="W20" t="e">
        <f t="shared" si="35"/>
        <v>#VALUE!</v>
      </c>
      <c r="X20" t="e">
        <f t="shared" si="36"/>
        <v>#VALUE!</v>
      </c>
      <c r="Y20" t="e">
        <f t="shared" si="37"/>
        <v>#VALUE!</v>
      </c>
      <c r="Z20">
        <v>7.8</v>
      </c>
      <c r="AA20">
        <v>7.8</v>
      </c>
      <c r="AB20" t="s">
        <v>62</v>
      </c>
      <c r="AC20" s="1" t="s">
        <v>61</v>
      </c>
      <c r="AD20" s="1" t="s">
        <v>61</v>
      </c>
      <c r="AE20" s="5">
        <f t="shared" si="38"/>
        <v>0.71875</v>
      </c>
      <c r="AF20" s="6" t="s">
        <v>104</v>
      </c>
      <c r="AO20" t="s">
        <v>62</v>
      </c>
      <c r="AP20" t="s">
        <v>62</v>
      </c>
      <c r="AQ20" t="s">
        <v>62</v>
      </c>
      <c r="AR20" t="s">
        <v>62</v>
      </c>
      <c r="AS20" t="s">
        <v>62</v>
      </c>
      <c r="AT20" t="s">
        <v>62</v>
      </c>
      <c r="AU20" t="s">
        <v>62</v>
      </c>
      <c r="AV20" t="s">
        <v>62</v>
      </c>
      <c r="AW20" t="s">
        <v>62</v>
      </c>
      <c r="AZ20" t="e">
        <f t="shared" si="39"/>
        <v>#VALUE!</v>
      </c>
      <c r="BA20" t="e">
        <f t="shared" si="40"/>
        <v>#VALUE!</v>
      </c>
      <c r="BB20" t="e">
        <f t="shared" si="41"/>
        <v>#VALUE!</v>
      </c>
    </row>
    <row r="21" spans="1:54" x14ac:dyDescent="0.25">
      <c r="A21" t="s">
        <v>24</v>
      </c>
      <c r="B21">
        <v>20</v>
      </c>
      <c r="C21">
        <f t="shared" si="20"/>
        <v>1.5625E-2</v>
      </c>
      <c r="D21" s="1" t="s">
        <v>29</v>
      </c>
      <c r="E21" s="1" t="s">
        <v>29</v>
      </c>
      <c r="F21" t="e">
        <f t="shared" si="5"/>
        <v>#VALUE!</v>
      </c>
      <c r="G21" t="e">
        <f t="shared" si="23"/>
        <v>#VALUE!</v>
      </c>
      <c r="H21">
        <f t="shared" si="22"/>
        <v>2.0345052083333332E-5</v>
      </c>
      <c r="I21">
        <f t="shared" si="22"/>
        <v>2.0345052083333332E-5</v>
      </c>
      <c r="J21">
        <v>0</v>
      </c>
      <c r="K21" t="e">
        <f t="shared" si="24"/>
        <v>#VALUE!</v>
      </c>
      <c r="L21" t="e">
        <f t="shared" si="25"/>
        <v>#VALUE!</v>
      </c>
      <c r="M21" t="e">
        <f t="shared" si="26"/>
        <v>#VALUE!</v>
      </c>
      <c r="N21" t="e">
        <f t="shared" si="27"/>
        <v>#VALUE!</v>
      </c>
      <c r="O21" t="e">
        <f t="shared" si="28"/>
        <v>#VALUE!</v>
      </c>
      <c r="P21">
        <v>1130</v>
      </c>
      <c r="Q21">
        <f t="shared" si="29"/>
        <v>0.56499999999999995</v>
      </c>
      <c r="R21">
        <f t="shared" si="30"/>
        <v>8.8281249999999992E-3</v>
      </c>
      <c r="S21" t="e">
        <f t="shared" si="31"/>
        <v>#VALUE!</v>
      </c>
      <c r="T21" t="e">
        <f t="shared" si="32"/>
        <v>#VALUE!</v>
      </c>
      <c r="U21" t="e">
        <f t="shared" si="33"/>
        <v>#VALUE!</v>
      </c>
      <c r="V21" t="e">
        <f t="shared" si="34"/>
        <v>#VALUE!</v>
      </c>
      <c r="W21" t="e">
        <f t="shared" si="35"/>
        <v>#VALUE!</v>
      </c>
      <c r="X21" t="e">
        <f t="shared" si="36"/>
        <v>#VALUE!</v>
      </c>
      <c r="Y21" t="e">
        <f t="shared" si="37"/>
        <v>#VALUE!</v>
      </c>
      <c r="Z21">
        <v>7.8</v>
      </c>
      <c r="AA21">
        <v>7.8</v>
      </c>
      <c r="AB21" t="s">
        <v>62</v>
      </c>
      <c r="AC21" s="1" t="s">
        <v>61</v>
      </c>
      <c r="AD21" s="1" t="s">
        <v>61</v>
      </c>
      <c r="AE21" s="5">
        <f t="shared" si="38"/>
        <v>0.71875</v>
      </c>
      <c r="AF21" s="6" t="s">
        <v>104</v>
      </c>
      <c r="AO21" t="s">
        <v>62</v>
      </c>
      <c r="AP21" t="s">
        <v>62</v>
      </c>
      <c r="AQ21" t="s">
        <v>62</v>
      </c>
      <c r="AR21" t="s">
        <v>62</v>
      </c>
      <c r="AS21" t="s">
        <v>62</v>
      </c>
      <c r="AT21" t="s">
        <v>62</v>
      </c>
      <c r="AU21" t="s">
        <v>62</v>
      </c>
      <c r="AV21" t="s">
        <v>62</v>
      </c>
      <c r="AW21" t="s">
        <v>62</v>
      </c>
      <c r="AZ21" t="e">
        <f t="shared" si="39"/>
        <v>#VALUE!</v>
      </c>
      <c r="BA21" t="e">
        <f t="shared" si="40"/>
        <v>#VALUE!</v>
      </c>
      <c r="BB21" t="e">
        <f t="shared" si="41"/>
        <v>#VALUE!</v>
      </c>
    </row>
    <row r="22" spans="1:54" x14ac:dyDescent="0.25">
      <c r="A22" t="s">
        <v>25</v>
      </c>
      <c r="B22">
        <v>21</v>
      </c>
      <c r="C22">
        <f t="shared" si="20"/>
        <v>1.5625E-2</v>
      </c>
      <c r="D22" s="1" t="s">
        <v>29</v>
      </c>
      <c r="E22" s="1" t="s">
        <v>29</v>
      </c>
      <c r="F22" t="e">
        <f t="shared" si="5"/>
        <v>#VALUE!</v>
      </c>
      <c r="G22" t="e">
        <f t="shared" si="23"/>
        <v>#VALUE!</v>
      </c>
      <c r="H22">
        <f t="shared" si="22"/>
        <v>2.0345052083333332E-5</v>
      </c>
      <c r="I22">
        <f t="shared" si="22"/>
        <v>2.0345052083333332E-5</v>
      </c>
      <c r="J22">
        <v>0</v>
      </c>
      <c r="K22" t="e">
        <f t="shared" si="24"/>
        <v>#VALUE!</v>
      </c>
      <c r="L22" t="e">
        <f t="shared" si="25"/>
        <v>#VALUE!</v>
      </c>
      <c r="M22" t="e">
        <f t="shared" si="26"/>
        <v>#VALUE!</v>
      </c>
      <c r="N22" t="e">
        <f t="shared" si="27"/>
        <v>#VALUE!</v>
      </c>
      <c r="O22" t="e">
        <f t="shared" si="28"/>
        <v>#VALUE!</v>
      </c>
      <c r="P22">
        <v>1130</v>
      </c>
      <c r="Q22">
        <f t="shared" si="29"/>
        <v>0.56499999999999995</v>
      </c>
      <c r="R22">
        <f t="shared" si="30"/>
        <v>8.8281249999999992E-3</v>
      </c>
      <c r="S22" t="e">
        <f t="shared" si="31"/>
        <v>#VALUE!</v>
      </c>
      <c r="T22" t="e">
        <f t="shared" si="32"/>
        <v>#VALUE!</v>
      </c>
      <c r="U22" t="e">
        <f t="shared" si="33"/>
        <v>#VALUE!</v>
      </c>
      <c r="V22" t="e">
        <f t="shared" si="34"/>
        <v>#VALUE!</v>
      </c>
      <c r="W22" t="e">
        <f t="shared" si="35"/>
        <v>#VALUE!</v>
      </c>
      <c r="X22" t="e">
        <f t="shared" si="36"/>
        <v>#VALUE!</v>
      </c>
      <c r="Y22" t="e">
        <f t="shared" si="37"/>
        <v>#VALUE!</v>
      </c>
      <c r="Z22">
        <v>7.8</v>
      </c>
      <c r="AA22">
        <v>7.8</v>
      </c>
      <c r="AB22" t="s">
        <v>62</v>
      </c>
      <c r="AC22" s="1" t="s">
        <v>61</v>
      </c>
      <c r="AD22" s="1" t="s">
        <v>61</v>
      </c>
      <c r="AE22" s="5">
        <f t="shared" si="38"/>
        <v>0.71875</v>
      </c>
      <c r="AF22" s="6" t="s">
        <v>104</v>
      </c>
      <c r="AO22" t="s">
        <v>62</v>
      </c>
      <c r="AP22" t="s">
        <v>62</v>
      </c>
      <c r="AQ22" t="s">
        <v>62</v>
      </c>
      <c r="AR22" t="s">
        <v>62</v>
      </c>
      <c r="AS22" t="s">
        <v>62</v>
      </c>
      <c r="AT22" t="s">
        <v>62</v>
      </c>
      <c r="AU22" t="s">
        <v>62</v>
      </c>
      <c r="AV22" t="s">
        <v>62</v>
      </c>
      <c r="AW22" t="s">
        <v>62</v>
      </c>
      <c r="AZ22" t="e">
        <f t="shared" si="39"/>
        <v>#VALUE!</v>
      </c>
      <c r="BA22" t="e">
        <f t="shared" si="40"/>
        <v>#VALUE!</v>
      </c>
      <c r="BB22" t="e">
        <f t="shared" si="41"/>
        <v>#VALUE!</v>
      </c>
    </row>
    <row r="23" spans="1:54" x14ac:dyDescent="0.25">
      <c r="A23" t="s">
        <v>92</v>
      </c>
      <c r="B23">
        <v>22</v>
      </c>
      <c r="C23">
        <f t="shared" si="20"/>
        <v>1.5625E-2</v>
      </c>
      <c r="D23" s="1" t="s">
        <v>29</v>
      </c>
      <c r="E23" s="1" t="s">
        <v>29</v>
      </c>
      <c r="F23" t="e">
        <f t="shared" si="5"/>
        <v>#VALUE!</v>
      </c>
      <c r="G23" t="e">
        <f t="shared" si="23"/>
        <v>#VALUE!</v>
      </c>
      <c r="H23">
        <f t="shared" si="22"/>
        <v>2.0345052083333332E-5</v>
      </c>
      <c r="I23">
        <f t="shared" si="22"/>
        <v>2.0345052083333332E-5</v>
      </c>
      <c r="J23">
        <v>0</v>
      </c>
      <c r="K23" t="e">
        <f t="shared" si="24"/>
        <v>#VALUE!</v>
      </c>
      <c r="L23" t="e">
        <f t="shared" si="25"/>
        <v>#VALUE!</v>
      </c>
      <c r="M23" t="e">
        <f t="shared" si="26"/>
        <v>#VALUE!</v>
      </c>
      <c r="N23" t="e">
        <f t="shared" si="27"/>
        <v>#VALUE!</v>
      </c>
      <c r="O23" t="e">
        <f t="shared" si="28"/>
        <v>#VALUE!</v>
      </c>
      <c r="P23">
        <v>1130</v>
      </c>
      <c r="Q23">
        <f t="shared" si="29"/>
        <v>0.56499999999999995</v>
      </c>
      <c r="R23">
        <f t="shared" si="30"/>
        <v>8.8281249999999992E-3</v>
      </c>
      <c r="S23" t="e">
        <f t="shared" si="31"/>
        <v>#VALUE!</v>
      </c>
      <c r="T23" t="e">
        <f t="shared" si="32"/>
        <v>#VALUE!</v>
      </c>
      <c r="U23" t="e">
        <f t="shared" si="33"/>
        <v>#VALUE!</v>
      </c>
      <c r="V23" t="e">
        <f t="shared" si="34"/>
        <v>#VALUE!</v>
      </c>
      <c r="W23" t="e">
        <f t="shared" si="35"/>
        <v>#VALUE!</v>
      </c>
      <c r="X23" t="e">
        <f t="shared" si="36"/>
        <v>#VALUE!</v>
      </c>
      <c r="Y23" t="e">
        <f t="shared" si="37"/>
        <v>#VALUE!</v>
      </c>
      <c r="Z23">
        <v>7.8</v>
      </c>
      <c r="AA23">
        <v>7.8</v>
      </c>
      <c r="AB23" t="s">
        <v>62</v>
      </c>
      <c r="AC23" s="1" t="s">
        <v>61</v>
      </c>
      <c r="AD23" s="1" t="s">
        <v>61</v>
      </c>
      <c r="AE23" s="5">
        <f t="shared" si="38"/>
        <v>0.71875</v>
      </c>
      <c r="AF23" s="6" t="s">
        <v>104</v>
      </c>
      <c r="AO23" t="s">
        <v>62</v>
      </c>
      <c r="AP23" t="s">
        <v>62</v>
      </c>
      <c r="AQ23" t="s">
        <v>62</v>
      </c>
      <c r="AR23" t="s">
        <v>62</v>
      </c>
      <c r="AS23" t="s">
        <v>62</v>
      </c>
      <c r="AT23" t="s">
        <v>62</v>
      </c>
      <c r="AU23" t="s">
        <v>62</v>
      </c>
      <c r="AV23" t="s">
        <v>62</v>
      </c>
      <c r="AW23" t="s">
        <v>62</v>
      </c>
      <c r="AZ23" t="e">
        <f t="shared" si="39"/>
        <v>#VALUE!</v>
      </c>
      <c r="BA23" t="e">
        <f t="shared" si="40"/>
        <v>#VALUE!</v>
      </c>
      <c r="BB23" t="e">
        <f t="shared" si="41"/>
        <v>#VALUE!</v>
      </c>
    </row>
    <row r="24" spans="1:54" x14ac:dyDescent="0.25">
      <c r="A24" t="s">
        <v>93</v>
      </c>
      <c r="B24">
        <v>23</v>
      </c>
      <c r="C24">
        <f t="shared" si="20"/>
        <v>1.5625E-2</v>
      </c>
      <c r="D24" s="1" t="s">
        <v>29</v>
      </c>
      <c r="E24" s="1" t="s">
        <v>29</v>
      </c>
      <c r="F24" t="e">
        <f t="shared" si="5"/>
        <v>#VALUE!</v>
      </c>
      <c r="G24" t="e">
        <f t="shared" si="23"/>
        <v>#VALUE!</v>
      </c>
      <c r="H24">
        <f t="shared" si="22"/>
        <v>2.0345052083333332E-5</v>
      </c>
      <c r="I24">
        <f t="shared" si="22"/>
        <v>2.0345052083333332E-5</v>
      </c>
      <c r="J24">
        <v>0</v>
      </c>
      <c r="K24" t="e">
        <f t="shared" si="24"/>
        <v>#VALUE!</v>
      </c>
      <c r="L24" t="e">
        <f t="shared" si="25"/>
        <v>#VALUE!</v>
      </c>
      <c r="M24" t="e">
        <f t="shared" si="26"/>
        <v>#VALUE!</v>
      </c>
      <c r="N24" t="e">
        <f t="shared" si="27"/>
        <v>#VALUE!</v>
      </c>
      <c r="O24" t="e">
        <f t="shared" si="28"/>
        <v>#VALUE!</v>
      </c>
      <c r="P24">
        <v>1130</v>
      </c>
      <c r="Q24">
        <f t="shared" si="29"/>
        <v>0.56499999999999995</v>
      </c>
      <c r="R24">
        <f t="shared" si="30"/>
        <v>8.8281249999999992E-3</v>
      </c>
      <c r="S24" t="e">
        <f t="shared" si="31"/>
        <v>#VALUE!</v>
      </c>
      <c r="T24" t="e">
        <f t="shared" si="32"/>
        <v>#VALUE!</v>
      </c>
      <c r="U24" t="e">
        <f t="shared" si="33"/>
        <v>#VALUE!</v>
      </c>
      <c r="V24" t="e">
        <f t="shared" si="34"/>
        <v>#VALUE!</v>
      </c>
      <c r="W24" t="e">
        <f t="shared" si="35"/>
        <v>#VALUE!</v>
      </c>
      <c r="X24" t="e">
        <f t="shared" si="36"/>
        <v>#VALUE!</v>
      </c>
      <c r="Y24" t="e">
        <f t="shared" si="37"/>
        <v>#VALUE!</v>
      </c>
      <c r="Z24">
        <v>7.8</v>
      </c>
      <c r="AA24">
        <v>7.8</v>
      </c>
      <c r="AB24" t="s">
        <v>62</v>
      </c>
      <c r="AC24" s="1" t="s">
        <v>61</v>
      </c>
      <c r="AD24" s="1" t="s">
        <v>61</v>
      </c>
      <c r="AE24" s="5">
        <f t="shared" si="38"/>
        <v>0.71875</v>
      </c>
      <c r="AF24" s="6" t="s">
        <v>104</v>
      </c>
      <c r="AO24" t="s">
        <v>62</v>
      </c>
      <c r="AP24" t="s">
        <v>62</v>
      </c>
      <c r="AQ24" t="s">
        <v>62</v>
      </c>
      <c r="AR24" t="s">
        <v>62</v>
      </c>
      <c r="AS24" t="s">
        <v>62</v>
      </c>
      <c r="AT24" t="s">
        <v>62</v>
      </c>
      <c r="AU24" t="s">
        <v>62</v>
      </c>
      <c r="AV24" t="s">
        <v>62</v>
      </c>
      <c r="AW24" t="s">
        <v>62</v>
      </c>
      <c r="AZ24" t="e">
        <f t="shared" si="39"/>
        <v>#VALUE!</v>
      </c>
      <c r="BA24" t="e">
        <f t="shared" si="40"/>
        <v>#VALUE!</v>
      </c>
      <c r="BB24" t="e">
        <f t="shared" si="41"/>
        <v>#VALUE!</v>
      </c>
    </row>
    <row r="25" spans="1:54" x14ac:dyDescent="0.25">
      <c r="A25" t="s">
        <v>94</v>
      </c>
      <c r="B25">
        <v>24</v>
      </c>
      <c r="C25">
        <f t="shared" si="20"/>
        <v>1.5625E-2</v>
      </c>
      <c r="D25" s="1" t="s">
        <v>29</v>
      </c>
      <c r="E25" s="1" t="s">
        <v>29</v>
      </c>
      <c r="F25" t="e">
        <f t="shared" si="5"/>
        <v>#VALUE!</v>
      </c>
      <c r="G25" t="e">
        <f t="shared" si="23"/>
        <v>#VALUE!</v>
      </c>
      <c r="H25">
        <f t="shared" si="22"/>
        <v>2.0345052083333332E-5</v>
      </c>
      <c r="I25">
        <f t="shared" si="22"/>
        <v>2.0345052083333332E-5</v>
      </c>
      <c r="J25">
        <v>0</v>
      </c>
      <c r="K25" t="e">
        <f t="shared" si="24"/>
        <v>#VALUE!</v>
      </c>
      <c r="L25" t="e">
        <f t="shared" si="25"/>
        <v>#VALUE!</v>
      </c>
      <c r="M25" t="e">
        <f t="shared" si="26"/>
        <v>#VALUE!</v>
      </c>
      <c r="N25" t="e">
        <f t="shared" si="27"/>
        <v>#VALUE!</v>
      </c>
      <c r="O25" t="e">
        <f t="shared" si="28"/>
        <v>#VALUE!</v>
      </c>
      <c r="P25">
        <v>1130</v>
      </c>
      <c r="Q25">
        <f t="shared" si="29"/>
        <v>0.56499999999999995</v>
      </c>
      <c r="R25">
        <f t="shared" si="30"/>
        <v>8.8281249999999992E-3</v>
      </c>
      <c r="S25" t="e">
        <f t="shared" si="31"/>
        <v>#VALUE!</v>
      </c>
      <c r="T25" t="e">
        <f t="shared" si="32"/>
        <v>#VALUE!</v>
      </c>
      <c r="U25" t="e">
        <f t="shared" si="33"/>
        <v>#VALUE!</v>
      </c>
      <c r="V25" t="e">
        <f t="shared" si="34"/>
        <v>#VALUE!</v>
      </c>
      <c r="W25" t="e">
        <f t="shared" si="35"/>
        <v>#VALUE!</v>
      </c>
      <c r="X25" t="e">
        <f t="shared" si="36"/>
        <v>#VALUE!</v>
      </c>
      <c r="Y25" t="e">
        <f t="shared" si="37"/>
        <v>#VALUE!</v>
      </c>
      <c r="Z25">
        <v>7.8</v>
      </c>
      <c r="AA25">
        <v>7.8</v>
      </c>
      <c r="AB25" t="s">
        <v>62</v>
      </c>
      <c r="AC25" s="1" t="s">
        <v>61</v>
      </c>
      <c r="AD25" s="1" t="s">
        <v>61</v>
      </c>
      <c r="AE25" s="5">
        <f t="shared" si="38"/>
        <v>0.71875</v>
      </c>
      <c r="AF25" s="6" t="s">
        <v>104</v>
      </c>
      <c r="AO25" t="s">
        <v>62</v>
      </c>
      <c r="AP25" t="s">
        <v>62</v>
      </c>
      <c r="AQ25" t="s">
        <v>62</v>
      </c>
      <c r="AR25" t="s">
        <v>62</v>
      </c>
      <c r="AS25" t="s">
        <v>62</v>
      </c>
      <c r="AT25" t="s">
        <v>62</v>
      </c>
      <c r="AU25" t="s">
        <v>62</v>
      </c>
      <c r="AV25" t="s">
        <v>62</v>
      </c>
      <c r="AW25" t="s">
        <v>62</v>
      </c>
      <c r="AZ25" t="e">
        <f t="shared" si="39"/>
        <v>#VALUE!</v>
      </c>
      <c r="BA25" t="e">
        <f t="shared" si="40"/>
        <v>#VALUE!</v>
      </c>
      <c r="BB25" t="e">
        <f t="shared" si="41"/>
        <v>#VALUE!</v>
      </c>
    </row>
    <row r="26" spans="1:54" x14ac:dyDescent="0.25">
      <c r="A26" t="s">
        <v>95</v>
      </c>
      <c r="B26">
        <v>25</v>
      </c>
      <c r="C26">
        <f t="shared" si="20"/>
        <v>1.5625E-2</v>
      </c>
      <c r="D26" s="1" t="s">
        <v>29</v>
      </c>
      <c r="E26" s="1" t="s">
        <v>29</v>
      </c>
      <c r="F26" t="e">
        <f t="shared" si="5"/>
        <v>#VALUE!</v>
      </c>
      <c r="G26" t="e">
        <f t="shared" si="23"/>
        <v>#VALUE!</v>
      </c>
      <c r="H26">
        <f t="shared" si="22"/>
        <v>2.0345052083333332E-5</v>
      </c>
      <c r="I26">
        <f t="shared" si="22"/>
        <v>2.0345052083333332E-5</v>
      </c>
      <c r="J26">
        <v>0</v>
      </c>
      <c r="K26" t="e">
        <f t="shared" si="24"/>
        <v>#VALUE!</v>
      </c>
      <c r="L26" t="e">
        <f t="shared" si="25"/>
        <v>#VALUE!</v>
      </c>
      <c r="M26" t="e">
        <f t="shared" si="26"/>
        <v>#VALUE!</v>
      </c>
      <c r="N26" t="e">
        <f t="shared" si="27"/>
        <v>#VALUE!</v>
      </c>
      <c r="O26" t="e">
        <f t="shared" si="28"/>
        <v>#VALUE!</v>
      </c>
      <c r="P26">
        <v>1130</v>
      </c>
      <c r="Q26">
        <f t="shared" si="29"/>
        <v>0.56499999999999995</v>
      </c>
      <c r="R26">
        <f t="shared" si="30"/>
        <v>8.8281249999999992E-3</v>
      </c>
      <c r="S26" t="e">
        <f t="shared" si="31"/>
        <v>#VALUE!</v>
      </c>
      <c r="T26" t="e">
        <f t="shared" si="32"/>
        <v>#VALUE!</v>
      </c>
      <c r="U26" t="e">
        <f t="shared" si="33"/>
        <v>#VALUE!</v>
      </c>
      <c r="V26" t="e">
        <f t="shared" si="34"/>
        <v>#VALUE!</v>
      </c>
      <c r="W26" t="e">
        <f t="shared" si="35"/>
        <v>#VALUE!</v>
      </c>
      <c r="X26" t="e">
        <f t="shared" si="36"/>
        <v>#VALUE!</v>
      </c>
      <c r="Y26" t="e">
        <f t="shared" si="37"/>
        <v>#VALUE!</v>
      </c>
      <c r="Z26">
        <v>7.8</v>
      </c>
      <c r="AA26">
        <v>7.8</v>
      </c>
      <c r="AB26" t="s">
        <v>62</v>
      </c>
      <c r="AC26" s="1" t="s">
        <v>61</v>
      </c>
      <c r="AD26" s="1" t="s">
        <v>61</v>
      </c>
      <c r="AE26" s="5">
        <f t="shared" si="38"/>
        <v>0.71875</v>
      </c>
      <c r="AF26" s="6" t="s">
        <v>104</v>
      </c>
      <c r="AO26" t="s">
        <v>62</v>
      </c>
      <c r="AP26" t="s">
        <v>62</v>
      </c>
      <c r="AQ26" t="s">
        <v>62</v>
      </c>
      <c r="AR26" t="s">
        <v>62</v>
      </c>
      <c r="AS26" t="s">
        <v>62</v>
      </c>
      <c r="AT26" t="s">
        <v>62</v>
      </c>
      <c r="AU26" t="s">
        <v>62</v>
      </c>
      <c r="AV26" t="s">
        <v>62</v>
      </c>
      <c r="AW26" t="s">
        <v>62</v>
      </c>
      <c r="AZ26" t="e">
        <f t="shared" si="39"/>
        <v>#VALUE!</v>
      </c>
      <c r="BA26" t="e">
        <f t="shared" si="40"/>
        <v>#VALUE!</v>
      </c>
      <c r="BB26" t="e">
        <f t="shared" si="41"/>
        <v>#VALUE!</v>
      </c>
    </row>
    <row r="27" spans="1:54" x14ac:dyDescent="0.25">
      <c r="A27" t="s">
        <v>96</v>
      </c>
      <c r="B27">
        <v>26</v>
      </c>
      <c r="C27">
        <f t="shared" si="20"/>
        <v>1.5625E-2</v>
      </c>
      <c r="D27" s="1" t="s">
        <v>29</v>
      </c>
      <c r="E27" s="1" t="s">
        <v>29</v>
      </c>
      <c r="F27" t="e">
        <f t="shared" si="5"/>
        <v>#VALUE!</v>
      </c>
      <c r="G27" t="e">
        <f t="shared" si="23"/>
        <v>#VALUE!</v>
      </c>
      <c r="H27">
        <f t="shared" si="22"/>
        <v>2.0345052083333332E-5</v>
      </c>
      <c r="I27">
        <f t="shared" si="22"/>
        <v>2.0345052083333332E-5</v>
      </c>
      <c r="J27">
        <v>0</v>
      </c>
      <c r="K27" t="e">
        <f t="shared" si="24"/>
        <v>#VALUE!</v>
      </c>
      <c r="L27" t="e">
        <f t="shared" si="25"/>
        <v>#VALUE!</v>
      </c>
      <c r="M27" t="e">
        <f t="shared" si="26"/>
        <v>#VALUE!</v>
      </c>
      <c r="N27" t="e">
        <f t="shared" si="27"/>
        <v>#VALUE!</v>
      </c>
      <c r="O27" t="e">
        <f t="shared" si="28"/>
        <v>#VALUE!</v>
      </c>
      <c r="P27">
        <v>1130</v>
      </c>
      <c r="Q27">
        <f t="shared" si="29"/>
        <v>0.56499999999999995</v>
      </c>
      <c r="R27">
        <f t="shared" si="30"/>
        <v>8.8281249999999992E-3</v>
      </c>
      <c r="S27" t="e">
        <f t="shared" si="31"/>
        <v>#VALUE!</v>
      </c>
      <c r="T27" t="e">
        <f t="shared" si="32"/>
        <v>#VALUE!</v>
      </c>
      <c r="U27" t="e">
        <f t="shared" si="33"/>
        <v>#VALUE!</v>
      </c>
      <c r="V27" t="e">
        <f t="shared" si="34"/>
        <v>#VALUE!</v>
      </c>
      <c r="W27" t="e">
        <f t="shared" si="35"/>
        <v>#VALUE!</v>
      </c>
      <c r="X27" t="e">
        <f t="shared" si="36"/>
        <v>#VALUE!</v>
      </c>
      <c r="Y27" t="e">
        <f t="shared" si="37"/>
        <v>#VALUE!</v>
      </c>
      <c r="Z27">
        <v>7.8</v>
      </c>
      <c r="AA27">
        <v>7.8</v>
      </c>
      <c r="AB27" t="s">
        <v>62</v>
      </c>
      <c r="AC27" s="1" t="s">
        <v>61</v>
      </c>
      <c r="AD27" s="1" t="s">
        <v>61</v>
      </c>
      <c r="AE27" s="5">
        <f t="shared" si="38"/>
        <v>0.71875</v>
      </c>
      <c r="AF27" s="6" t="s">
        <v>104</v>
      </c>
      <c r="AO27" t="s">
        <v>62</v>
      </c>
      <c r="AP27" t="s">
        <v>62</v>
      </c>
      <c r="AQ27" t="s">
        <v>62</v>
      </c>
      <c r="AR27" t="s">
        <v>62</v>
      </c>
      <c r="AS27" t="s">
        <v>62</v>
      </c>
      <c r="AT27" t="s">
        <v>62</v>
      </c>
      <c r="AU27" t="s">
        <v>62</v>
      </c>
      <c r="AV27" t="s">
        <v>62</v>
      </c>
      <c r="AW27" t="s">
        <v>62</v>
      </c>
      <c r="AZ27" t="e">
        <f t="shared" si="39"/>
        <v>#VALUE!</v>
      </c>
      <c r="BA27" t="e">
        <f t="shared" si="40"/>
        <v>#VALUE!</v>
      </c>
      <c r="BB27" t="e">
        <f t="shared" si="41"/>
        <v>#VALUE!</v>
      </c>
    </row>
    <row r="28" spans="1:54" x14ac:dyDescent="0.25">
      <c r="A28" t="s">
        <v>97</v>
      </c>
      <c r="B28">
        <v>27</v>
      </c>
      <c r="C28">
        <f t="shared" si="20"/>
        <v>1.5625E-2</v>
      </c>
      <c r="D28" s="1" t="s">
        <v>29</v>
      </c>
      <c r="E28" s="1" t="s">
        <v>29</v>
      </c>
      <c r="F28" t="e">
        <f t="shared" si="5"/>
        <v>#VALUE!</v>
      </c>
      <c r="G28" t="e">
        <f t="shared" si="23"/>
        <v>#VALUE!</v>
      </c>
      <c r="H28">
        <f t="shared" si="22"/>
        <v>2.0345052083333332E-5</v>
      </c>
      <c r="I28">
        <f t="shared" si="22"/>
        <v>2.0345052083333332E-5</v>
      </c>
      <c r="J28">
        <v>0</v>
      </c>
      <c r="K28" t="e">
        <f t="shared" si="24"/>
        <v>#VALUE!</v>
      </c>
      <c r="L28" t="e">
        <f t="shared" si="25"/>
        <v>#VALUE!</v>
      </c>
      <c r="M28" t="e">
        <f t="shared" si="26"/>
        <v>#VALUE!</v>
      </c>
      <c r="N28" t="e">
        <f t="shared" si="27"/>
        <v>#VALUE!</v>
      </c>
      <c r="O28" t="e">
        <f t="shared" si="28"/>
        <v>#VALUE!</v>
      </c>
      <c r="P28">
        <v>1130</v>
      </c>
      <c r="Q28">
        <f t="shared" si="29"/>
        <v>0.56499999999999995</v>
      </c>
      <c r="R28">
        <f t="shared" si="30"/>
        <v>8.8281249999999992E-3</v>
      </c>
      <c r="S28" t="e">
        <f t="shared" si="31"/>
        <v>#VALUE!</v>
      </c>
      <c r="T28" t="e">
        <f t="shared" si="32"/>
        <v>#VALUE!</v>
      </c>
      <c r="U28" t="e">
        <f t="shared" si="33"/>
        <v>#VALUE!</v>
      </c>
      <c r="V28" t="e">
        <f t="shared" si="34"/>
        <v>#VALUE!</v>
      </c>
      <c r="W28" t="e">
        <f t="shared" si="35"/>
        <v>#VALUE!</v>
      </c>
      <c r="X28" t="e">
        <f t="shared" si="36"/>
        <v>#VALUE!</v>
      </c>
      <c r="Y28" t="e">
        <f t="shared" si="37"/>
        <v>#VALUE!</v>
      </c>
      <c r="Z28">
        <v>7.8</v>
      </c>
      <c r="AA28">
        <v>7.8</v>
      </c>
      <c r="AB28" t="s">
        <v>62</v>
      </c>
      <c r="AC28" s="1" t="s">
        <v>61</v>
      </c>
      <c r="AD28" s="1" t="s">
        <v>61</v>
      </c>
      <c r="AE28" s="5">
        <f t="shared" si="38"/>
        <v>0.71875</v>
      </c>
      <c r="AF28" s="6" t="s">
        <v>104</v>
      </c>
      <c r="AO28" t="s">
        <v>62</v>
      </c>
      <c r="AP28" t="s">
        <v>62</v>
      </c>
      <c r="AQ28" t="s">
        <v>62</v>
      </c>
      <c r="AR28" t="s">
        <v>62</v>
      </c>
      <c r="AS28" t="s">
        <v>62</v>
      </c>
      <c r="AT28" t="s">
        <v>62</v>
      </c>
      <c r="AU28" t="s">
        <v>62</v>
      </c>
      <c r="AV28" t="s">
        <v>62</v>
      </c>
      <c r="AW28" t="s">
        <v>62</v>
      </c>
      <c r="AZ28" t="e">
        <f t="shared" si="39"/>
        <v>#VALUE!</v>
      </c>
      <c r="BA28" t="e">
        <f t="shared" si="40"/>
        <v>#VALUE!</v>
      </c>
      <c r="BB28" t="e">
        <f t="shared" si="41"/>
        <v>#VALUE!</v>
      </c>
    </row>
    <row r="29" spans="1:54" x14ac:dyDescent="0.25">
      <c r="A29" t="s">
        <v>98</v>
      </c>
      <c r="B29">
        <v>28</v>
      </c>
      <c r="C29">
        <f t="shared" si="20"/>
        <v>1.5625E-2</v>
      </c>
      <c r="D29" s="1" t="s">
        <v>29</v>
      </c>
      <c r="E29" s="1" t="s">
        <v>29</v>
      </c>
      <c r="F29" t="e">
        <f t="shared" si="5"/>
        <v>#VALUE!</v>
      </c>
      <c r="G29" t="e">
        <f t="shared" si="6"/>
        <v>#VALUE!</v>
      </c>
      <c r="H29">
        <f t="shared" si="22"/>
        <v>2.0345052083333332E-5</v>
      </c>
      <c r="I29">
        <f t="shared" si="22"/>
        <v>2.0345052083333332E-5</v>
      </c>
      <c r="J29">
        <v>0</v>
      </c>
      <c r="K29" t="e">
        <f t="shared" si="0"/>
        <v>#VALUE!</v>
      </c>
      <c r="L29" t="e">
        <f t="shared" si="1"/>
        <v>#VALUE!</v>
      </c>
      <c r="M29" t="e">
        <f t="shared" si="7"/>
        <v>#VALUE!</v>
      </c>
      <c r="N29" t="e">
        <f t="shared" si="8"/>
        <v>#VALUE!</v>
      </c>
      <c r="O29" t="e">
        <f t="shared" si="9"/>
        <v>#VALUE!</v>
      </c>
      <c r="P29">
        <v>1130</v>
      </c>
      <c r="Q29">
        <f t="shared" si="2"/>
        <v>0.56499999999999995</v>
      </c>
      <c r="R29">
        <f t="shared" si="10"/>
        <v>8.8281249999999992E-3</v>
      </c>
      <c r="S29" t="e">
        <f t="shared" si="11"/>
        <v>#VALUE!</v>
      </c>
      <c r="T29" t="e">
        <f t="shared" si="12"/>
        <v>#VALUE!</v>
      </c>
      <c r="U29" t="e">
        <f t="shared" si="3"/>
        <v>#VALUE!</v>
      </c>
      <c r="V29" t="e">
        <f t="shared" si="4"/>
        <v>#VALUE!</v>
      </c>
      <c r="W29" t="e">
        <f t="shared" si="13"/>
        <v>#VALUE!</v>
      </c>
      <c r="X29" t="e">
        <f t="shared" si="14"/>
        <v>#VALUE!</v>
      </c>
      <c r="Y29" t="e">
        <f t="shared" si="15"/>
        <v>#VALUE!</v>
      </c>
      <c r="Z29">
        <v>7.8</v>
      </c>
      <c r="AA29">
        <v>7.8</v>
      </c>
      <c r="AB29" t="s">
        <v>62</v>
      </c>
      <c r="AC29" s="1" t="s">
        <v>61</v>
      </c>
      <c r="AD29" s="1" t="s">
        <v>61</v>
      </c>
      <c r="AE29" s="5">
        <f t="shared" si="16"/>
        <v>0.71875</v>
      </c>
      <c r="AF29" s="6" t="s">
        <v>104</v>
      </c>
      <c r="AO29" t="s">
        <v>62</v>
      </c>
      <c r="AP29" t="s">
        <v>62</v>
      </c>
      <c r="AQ29" t="s">
        <v>62</v>
      </c>
      <c r="AR29" t="s">
        <v>62</v>
      </c>
      <c r="AS29" t="s">
        <v>62</v>
      </c>
      <c r="AT29" t="s">
        <v>62</v>
      </c>
      <c r="AU29" t="s">
        <v>62</v>
      </c>
      <c r="AV29" t="s">
        <v>62</v>
      </c>
      <c r="AW29" t="s">
        <v>62</v>
      </c>
      <c r="AZ29" t="e">
        <f t="shared" si="17"/>
        <v>#VALUE!</v>
      </c>
      <c r="BA29" t="e">
        <f t="shared" si="18"/>
        <v>#VALUE!</v>
      </c>
      <c r="BB29" t="e">
        <f t="shared" si="19"/>
        <v>#VALUE!</v>
      </c>
    </row>
    <row r="30" spans="1:54" x14ac:dyDescent="0.25">
      <c r="A30" t="s">
        <v>32</v>
      </c>
      <c r="C30" s="2">
        <f>SUM(C2:C6,C18:C19)</f>
        <v>0.77381522962906291</v>
      </c>
      <c r="F30" s="2">
        <f>SUM(F2:F6,F18:F19)</f>
        <v>-0.43918074638375038</v>
      </c>
      <c r="G30" s="2">
        <f t="shared" ref="G30:J30" si="42">SUM(G2:G6,G18:G19)</f>
        <v>-1.1422078430154303</v>
      </c>
      <c r="H30" s="2">
        <f t="shared" si="42"/>
        <v>0.29533224612597947</v>
      </c>
      <c r="I30" s="2">
        <f t="shared" si="42"/>
        <v>0.30913828306649943</v>
      </c>
      <c r="J30" s="2">
        <f t="shared" si="42"/>
        <v>-7.5781976158911218E-2</v>
      </c>
      <c r="M30" s="2">
        <f>SUM(M2:M6,M18:M19)</f>
        <v>0.18202447328503493</v>
      </c>
      <c r="N30" s="2">
        <f t="shared" ref="N30:O30" si="43">SUM(N2:N6,N18:N19)</f>
        <v>0.84225307333668675</v>
      </c>
      <c r="O30" s="2">
        <f t="shared" si="43"/>
        <v>-0.13333747844437799</v>
      </c>
      <c r="R30" s="2">
        <f>SUM(R2:R6,R18:R19)</f>
        <v>0.10666925427770549</v>
      </c>
      <c r="S30" s="2">
        <f t="shared" ref="S30:T30" si="44">SUM(S2:S6,S18:S19)</f>
        <v>-6.9047304447228952E-2</v>
      </c>
      <c r="T30" s="2">
        <f t="shared" si="44"/>
        <v>-0.13604099293612751</v>
      </c>
      <c r="W30" s="2">
        <f>SUM(W2:W6,W18:W19)</f>
        <v>0.18694602408548797</v>
      </c>
      <c r="X30" s="2">
        <f t="shared" ref="X30:Y30" si="45">SUM(X2:X6,X18:X19)</f>
        <v>0.87342885780274782</v>
      </c>
      <c r="Y30" s="2">
        <f t="shared" si="45"/>
        <v>-0.14572429429808684</v>
      </c>
      <c r="AZ30" s="2">
        <f>SUM(AZ2:AZ6,AZ18:AZ19)</f>
        <v>0.14438221307369647</v>
      </c>
      <c r="BA30" s="2">
        <f t="shared" ref="BA30:BB30" si="46">SUM(BA2:BA6,BA18:BA19)</f>
        <v>7.7642270875069766E-2</v>
      </c>
      <c r="BB30" s="2">
        <f t="shared" si="46"/>
        <v>-3.2133248438351511E-2</v>
      </c>
    </row>
    <row r="35" spans="17:22" x14ac:dyDescent="0.25">
      <c r="Q35" s="1"/>
      <c r="R35" s="4" t="s">
        <v>54</v>
      </c>
      <c r="S35" s="4"/>
      <c r="T35" s="4"/>
    </row>
    <row r="36" spans="17:22" x14ac:dyDescent="0.25">
      <c r="Q36" s="2"/>
      <c r="R36" s="3" t="s">
        <v>55</v>
      </c>
    </row>
    <row r="37" spans="17:22" x14ac:dyDescent="0.25">
      <c r="Q37" s="7" t="s">
        <v>36</v>
      </c>
      <c r="R37" s="7"/>
      <c r="S37" s="7"/>
      <c r="T37" s="7"/>
      <c r="U37" s="7"/>
      <c r="V37" s="7"/>
    </row>
    <row r="38" spans="17:22" x14ac:dyDescent="0.25">
      <c r="Q38" s="7"/>
      <c r="R38" s="7"/>
      <c r="S38" s="7"/>
      <c r="T38" s="7"/>
      <c r="U38" s="7"/>
      <c r="V38" s="7"/>
    </row>
    <row r="39" spans="17:22" x14ac:dyDescent="0.25">
      <c r="Q39" s="7"/>
      <c r="R39" s="7"/>
      <c r="S39" s="7"/>
      <c r="T39" s="7"/>
      <c r="U39" s="7"/>
      <c r="V39" s="7"/>
    </row>
  </sheetData>
  <mergeCells count="2">
    <mergeCell ref="Q37:V39"/>
    <mergeCell ref="AG8:AL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 Section 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KMAC_PC</dc:creator>
  <cp:lastModifiedBy>Cropper, Cameron</cp:lastModifiedBy>
  <dcterms:created xsi:type="dcterms:W3CDTF">2021-11-06T13:45:30Z</dcterms:created>
  <dcterms:modified xsi:type="dcterms:W3CDTF">2021-11-23T00:31:03Z</dcterms:modified>
</cp:coreProperties>
</file>