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48"/>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HYPERLINK("https://www.ebi.ac.uk/ols/ontologies/fbbt/terms?iri=http://purl.obolibrary.org/obo/FBbt_00048478","FBbt:00048478")</f>
        <v/>
      </c>
      <c r="B2" t="inlineStr">
        <is>
          <t>proboscis-related feature</t>
        </is>
      </c>
      <c r="C2" t="inlineStr">
        <is>
          <t>None</t>
        </is>
      </c>
      <c r="D2" t="inlineStr">
        <is>
          <t>None</t>
        </is>
      </c>
      <c r="E2" t="inlineStr">
        <is>
          <t>None</t>
        </is>
      </c>
      <c r="F2" t="inlineStr"/>
      <c r="G2" t="inlineStr"/>
      <c r="H2" t="inlineStr"/>
    </row>
    <row r="3">
      <c r="A3">
        <f>HYPERLINK("https://www.ebi.ac.uk/ols/ontologies/fbbt/terms?iri=http://purl.obolibrary.org/obo/FBbt_00100162","FBbt:00100162")</f>
        <v/>
      </c>
      <c r="B3" t="inlineStr">
        <is>
          <t>dorsal row of the cibarium</t>
        </is>
      </c>
      <c r="C3" t="inlineStr">
        <is>
          <t>None</t>
        </is>
      </c>
      <c r="D3" t="inlineStr">
        <is>
          <t>Cibarial bristle row that is dorsal to the ventral cibarial sense organ in the adult pharynx. It consists of six to eight large bristles in the cibarium, each innervated by a single mechanosensory neuron (Stocker and Schorderet, 1981; Nayak and Singh, 1983).</t>
        </is>
      </c>
      <c r="E3" t="inlineStr">
        <is>
          <t>Stocker and Schorderet, 1981, Cell Tissue Res. 216(3): 513--523 (flybase.org/reports/FBrf0035962); Nayak and Singh, 1983, Int. J. Insect Morph. Embryol. 12(5--6): 273--291 (flybase.org/reports/FBrf0074012); Gendre et al., 2004, Development 131(1): 83--92 (flybase.org/reports/FBrf0167539)</t>
        </is>
      </c>
      <c r="F3" t="inlineStr"/>
      <c r="G3" t="inlineStr"/>
      <c r="H3" t="inlineStr"/>
    </row>
    <row r="4">
      <c r="A4">
        <f>HYPERLINK("https://www.ebi.ac.uk/ols/ontologies/fbbt/terms?iri=http://purl.obolibrary.org/obo/FBbt_00100161","FBbt:00100161")</f>
        <v/>
      </c>
      <c r="B4" t="inlineStr">
        <is>
          <t>ventral row of the cibarium</t>
        </is>
      </c>
      <c r="C4" t="inlineStr">
        <is>
          <t>None</t>
        </is>
      </c>
      <c r="D4" t="inlineStr">
        <is>
          <t>Cibarial bristle row that is ventral to the ventral cibarial sense organ in the adult pharynx. It consists of twelve to fifteen small bristles in the cibarium, each innervated by a single mechanoreceptor (Stocker and Schorderet, 1981; Nayak and Singh, 1983).</t>
        </is>
      </c>
      <c r="E4" t="inlineStr">
        <is>
          <t>Stocker and Schorderet, 1981, Cell Tissue Res. 216(3): 513--523 (flybase.org/reports/FBrf0035962); Bate and Martinez Arias, 1991, Development 112(3): 755--761 (flybase.org/reports/FBrf0053815); Nayak and Singh, 1983, Int. J. Insect Morph. Embryol. 12(5--6): 273--291 (flybase.org/reports/FBrf0074012); Gendre et al., 2004, Development 131(1): 83--92 (flybase.org/reports/FBrf0167539)</t>
        </is>
      </c>
      <c r="F4" t="inlineStr"/>
      <c r="G4" t="inlineStr"/>
      <c r="H4" t="inlineStr"/>
    </row>
    <row r="5">
      <c r="A5">
        <f>HYPERLINK("https://www.ebi.ac.uk/ols/ontologies/fbbt/terms?iri=http://purl.obolibrary.org/obo/FBbt_00004522","FBbt:00004522")</f>
        <v/>
      </c>
      <c r="B5" t="inlineStr">
        <is>
          <t>labrum</t>
        </is>
      </c>
      <c r="C5" t="inlineStr">
        <is>
          <t>None</t>
        </is>
      </c>
      <c r="D5" t="inlineStr">
        <is>
          <t>A small, sclerotized, apically pointed flap, distal to the clypeus. It lies in a groove along the median region of the mediproboscis. The oral opening is behind and at the base of this flap.</t>
        </is>
      </c>
      <c r="E5" t="inlineStr">
        <is>
          <t>Ferris, 1950, Demerec, 1950: 368--419 (flybase.org/reports/FBrf0007734)</t>
        </is>
      </c>
      <c r="F5" t="inlineStr"/>
      <c r="G5" t="inlineStr"/>
      <c r="H5" t="inlineStr"/>
    </row>
    <row r="6">
      <c r="A6">
        <f>HYPERLINK("https://www.ebi.ac.uk/ols/ontologies/fbbt/terms?iri=http://purl.obolibrary.org/obo/FBbt_00004521","FBbt:00004521")</f>
        <v/>
      </c>
      <c r="B6" t="inlineStr">
        <is>
          <t>clypeus</t>
        </is>
      </c>
      <c r="C6" t="inlineStr">
        <is>
          <t>None</t>
        </is>
      </c>
      <c r="D6" t="inlineStr">
        <is>
          <t>The anterior part of the head between the frons and the labrum, which occasionally may fuse with either one to form the frontoclypeus and the clypeolabrum. In the context of Drosophila refers to a round structure on the center of the frontal adult external head.</t>
        </is>
      </c>
      <c r="E6" t="inlineStr">
        <is>
          <t>Zombori and Steinmann, 1999, Handbuch der Zoologie IV. Band: Arthropoda, 2. Halfte: Insecta, Teil: 34.: 405pp (flybase.org/reports/FBrf0166419)</t>
        </is>
      </c>
      <c r="F6" t="inlineStr"/>
      <c r="G6" t="inlineStr"/>
      <c r="H6" t="inlineStr"/>
    </row>
    <row r="7">
      <c r="A7">
        <f>HYPERLINK("https://www.ebi.ac.uk/ols/ontologies/fbbt/terms?iri=http://purl.obolibrary.org/obo/FBbt_00004524","FBbt:00004524")</f>
        <v/>
      </c>
      <c r="B7" t="inlineStr">
        <is>
          <t>discal sclerite</t>
        </is>
      </c>
      <c r="C7" t="inlineStr">
        <is>
          <t>horse-shoe sclerite; horseshoe sclerite</t>
        </is>
      </c>
      <c r="D7" t="inlineStr">
        <is>
          <t>Horse-shoe shaped sclerite on the distal end of the labrum, bordering the oral opening.</t>
        </is>
      </c>
      <c r="E7" t="inlineStr">
        <is>
          <t>Kumar et al., 1979, Wilhelm Roux Arch. Dev. Biol. 186(1): 51--64 (flybase.org/reports/FBrf0033866)</t>
        </is>
      </c>
      <c r="F7" t="inlineStr"/>
      <c r="G7" t="inlineStr"/>
      <c r="H7" t="inlineStr"/>
    </row>
    <row r="8">
      <c r="A8">
        <f>HYPERLINK("https://www.ebi.ac.uk/ols/ontologies/fbbt/terms?iri=http://purl.obolibrary.org/obo/FBbt_00004523","FBbt:00004523")</f>
        <v/>
      </c>
      <c r="B8" t="inlineStr">
        <is>
          <t>anterior labial plate</t>
        </is>
      </c>
      <c r="C8" t="inlineStr">
        <is>
          <t>None</t>
        </is>
      </c>
      <c r="D8" t="inlineStr">
        <is>
          <t>Elongated plate of variable sclerotization in the dorsal or anterior surface of the mediproboscis, distal to the labrum.</t>
        </is>
      </c>
      <c r="E8" t="inlineStr">
        <is>
          <t>Ferris, 1950, Demerec, 1950: 368--419 (flybase.org/reports/FBrf0007734)</t>
        </is>
      </c>
      <c r="F8" t="inlineStr"/>
      <c r="G8" t="inlineStr"/>
      <c r="H8" t="inlineStr"/>
    </row>
    <row r="9">
      <c r="A9">
        <f>HYPERLINK("https://www.ebi.ac.uk/ols/ontologies/fbbt/terms?iri=http://purl.obolibrary.org/obo/FBbt_00004526","FBbt:00004526")</f>
        <v/>
      </c>
      <c r="B9" t="inlineStr">
        <is>
          <t>adult cibarium</t>
        </is>
      </c>
      <c r="C9" t="inlineStr">
        <is>
          <t>adult atrium; cibarial pump</t>
        </is>
      </c>
      <c r="D9" t="inlineStr">
        <is>
          <t>The proximal portion of the adult pharynx, which functions as a sucking pump. It consists of two arched sclerotized plates. The posterior plate is fixed in position by its connections with the clypeus. The anterior plate fits against the concave side of the posterior plate and bears a ridge shaped apodeme (apodemal carina) that is attached to large dilator muscles that attach to clypeus. Their contraction pulls the anterior plate forward, enlarging the cibarial lumen and thus producing suction.</t>
        </is>
      </c>
      <c r="E9" t="inlineStr">
        <is>
          <t>Bodenstein, 1950, Demerec, 1950: 275--367 (flybase.org/reports/FBrf0007733)</t>
        </is>
      </c>
      <c r="F9" t="inlineStr"/>
      <c r="G9" t="inlineStr"/>
      <c r="H9" t="inlineStr"/>
    </row>
    <row r="10">
      <c r="A10">
        <f>HYPERLINK("https://www.ebi.ac.uk/ols/ontologies/fbbt/terms?iri=http://purl.obolibrary.org/obo/FBbt_00004525","FBbt:00004525")</f>
        <v/>
      </c>
      <c r="B10" t="inlineStr">
        <is>
          <t>prestomal cavity</t>
        </is>
      </c>
      <c r="C10" t="inlineStr">
        <is>
          <t>prestomal aperture</t>
        </is>
      </c>
      <c r="D10" t="inlineStr">
        <is>
          <t>Oral opening at the distal end of the labrum, which is surrounded by the discal sclerite.</t>
        </is>
      </c>
      <c r="E10" t="inlineStr">
        <is>
          <t>Kumar et al., 1979, Wilhelm Roux Arch. Dev. Biol. 186(1): 51--64 (flybase.org/reports/FBrf0033866)</t>
        </is>
      </c>
      <c r="F10" t="inlineStr"/>
      <c r="G10" t="inlineStr"/>
      <c r="H10" t="inlineStr"/>
    </row>
    <row r="11">
      <c r="A11">
        <f>HYPERLINK("https://www.ebi.ac.uk/ols/ontologies/fbbt/terms?iri=http://purl.obolibrary.org/obo/FBbt_00004527","FBbt:00004527")</f>
        <v/>
      </c>
      <c r="B11" t="inlineStr">
        <is>
          <t>cibarial plate</t>
        </is>
      </c>
      <c r="C11" t="inlineStr">
        <is>
          <t>None</t>
        </is>
      </c>
      <c r="D11" t="inlineStr">
        <is>
          <t>One of the two sclerotized plates of the cibarium.</t>
        </is>
      </c>
      <c r="E11" t="inlineStr"/>
      <c r="F11" t="inlineStr"/>
      <c r="G11" t="inlineStr"/>
      <c r="H11" t="inlineStr"/>
    </row>
    <row r="12">
      <c r="A12">
        <f>HYPERLINK("https://www.ebi.ac.uk/ols/ontologies/fbbt/terms?iri=http://purl.obolibrary.org/obo/FBbt_00110715","FBbt:00110715")</f>
        <v/>
      </c>
      <c r="B12" t="inlineStr">
        <is>
          <t>border hair</t>
        </is>
      </c>
      <c r="C12" t="inlineStr">
        <is>
          <t>edge hair</t>
        </is>
      </c>
      <c r="D12" t="inlineStr">
        <is>
          <t>Slender trichome that is located on the border between the inner and outer surface of the labellum. There is a uniform row of these.</t>
        </is>
      </c>
      <c r="E12" t="inlineStr">
        <is>
          <t>Bryant, 1978, Ashburner, Wright, 1978-1980 c: 230--335 (flybase.org/reports/FBrf0031004); Kumar et al., 1979, Wilhelm Roux Arch. Dev. Biol. 186(1): 51--64 (flybase.org/reports/FBrf0033866)</t>
        </is>
      </c>
      <c r="F12" t="inlineStr"/>
      <c r="G12" t="inlineStr"/>
      <c r="H12" t="inlineStr"/>
    </row>
    <row r="13">
      <c r="A13">
        <f>HYPERLINK("https://www.ebi.ac.uk/ols/ontologies/fbbt/terms?iri=http://purl.obolibrary.org/obo/FBbt_00003271","FBbt:00003271")</f>
        <v/>
      </c>
      <c r="B13" t="inlineStr">
        <is>
          <t>cibarial muscle</t>
        </is>
      </c>
      <c r="C13" t="inlineStr">
        <is>
          <t>None</t>
        </is>
      </c>
      <c r="D13" t="inlineStr">
        <is>
          <t>Muscle involved in the movement of the cibarium.</t>
        </is>
      </c>
      <c r="E13" t="inlineStr">
        <is>
          <t>Miller, 1950, Demerec, 1950: 420--534 (flybase.org/reports/FBrf0007735); Hartenstein, 2006, Sink, 2006: 8--27 (flybase.org/reports/FBrf0193310)</t>
        </is>
      </c>
      <c r="F13" t="inlineStr"/>
      <c r="G13" t="inlineStr"/>
      <c r="H13" t="inlineStr"/>
    </row>
    <row r="14">
      <c r="A14">
        <f>HYPERLINK("https://www.ebi.ac.uk/ols/ontologies/fbbt/terms?iri=http://purl.obolibrary.org/obo/FBbt_00048479","FBbt:00048479")</f>
        <v/>
      </c>
      <c r="B14" t="inlineStr">
        <is>
          <t>maxillary palpus-related feature</t>
        </is>
      </c>
      <c r="C14" t="inlineStr">
        <is>
          <t>None</t>
        </is>
      </c>
      <c r="D14" t="inlineStr">
        <is>
          <t>None</t>
        </is>
      </c>
      <c r="E14" t="inlineStr">
        <is>
          <t>None</t>
        </is>
      </c>
      <c r="F14" t="inlineStr"/>
      <c r="G14" t="inlineStr"/>
      <c r="H14" t="inlineStr"/>
    </row>
    <row r="15">
      <c r="A15">
        <f>HYPERLINK("https://www.ebi.ac.uk/ols/ontologies/fbbt/terms?iri=http://purl.obolibrary.org/obo/FBbt_00004547","FBbt:00004547")</f>
        <v/>
      </c>
      <c r="B15" t="inlineStr">
        <is>
          <t>salivary stylet</t>
        </is>
      </c>
      <c r="C15" t="inlineStr">
        <is>
          <t>None</t>
        </is>
      </c>
      <c r="D15" t="inlineStr">
        <is>
          <t>Papilla located just posterior to the oral opening that bears the opening of the adult salivary duct at its apex.</t>
        </is>
      </c>
      <c r="E15" t="inlineStr">
        <is>
          <t>Ferris, 1950, Demerec, 1950: 368--419 (flybase.org/reports/FBrf0007734)</t>
        </is>
      </c>
      <c r="F15" t="inlineStr"/>
      <c r="G15" t="inlineStr"/>
      <c r="H15" t="inlineStr"/>
    </row>
    <row r="16">
      <c r="A16">
        <f>HYPERLINK("https://www.ebi.ac.uk/ols/ontologies/fbbt/terms?iri=http://purl.obolibrary.org/obo/FBbt_00100101","FBbt:00100101")</f>
        <v/>
      </c>
      <c r="B16" t="inlineStr">
        <is>
          <t>mechanosensory neuron of dorsal row bristle</t>
        </is>
      </c>
      <c r="C16" t="inlineStr">
        <is>
          <t>None</t>
        </is>
      </c>
      <c r="D16" t="inlineStr">
        <is>
          <t>Mechanosensory neuron innervating a dorsal row bristle of the cibarium in the adult pharynx.</t>
        </is>
      </c>
      <c r="E16" t="inlineStr">
        <is>
          <t>Nayak and Singh, 1983, Int. J. Insect Morph. Embryol. 12(5--6): 273--291 (flybase.org/reports/FBrf0074012); Gendre et al., 2004, Development 131(1): 83--92 (flybase.org/reports/FBrf0167539)</t>
        </is>
      </c>
      <c r="F16" t="inlineStr"/>
      <c r="G16" t="inlineStr"/>
      <c r="H16" t="inlineStr"/>
    </row>
    <row r="17">
      <c r="A17">
        <f>HYPERLINK("https://www.ebi.ac.uk/ols/ontologies/fbbt/terms?iri=http://purl.obolibrary.org/obo/FBbt_00004541","FBbt:00004541")</f>
        <v/>
      </c>
      <c r="B17" t="inlineStr">
        <is>
          <t>mediproboscis</t>
        </is>
      </c>
      <c r="C17" t="inlineStr">
        <is>
          <t>haustellum</t>
        </is>
      </c>
      <c r="D17" t="inlineStr">
        <is>
          <t>Cylindrical membranous tube that is the medial part of the proboscis, located between the basiproboscis and distiproboscis. It contains the labrum and prementum, among other structures.</t>
        </is>
      </c>
      <c r="E17" t="inlineStr">
        <is>
          <t>Ferris, 1950, Demerec, 1950: 368--419 (flybase.org/reports/FBrf0007734); Bryant, 1978, Ashburner, Wright, 1978-1980 c: 230--335 (flybase.org/reports/FBrf0031004); Kumar et al., 1979, Wilhelm Roux Arch. Dev. Biol. 186(1): 51--64 (flybase.org/reports/FBrf0033866)</t>
        </is>
      </c>
      <c r="F17" t="inlineStr"/>
      <c r="G17" t="inlineStr"/>
      <c r="H17" t="inlineStr"/>
    </row>
    <row r="18">
      <c r="A18">
        <f>HYPERLINK("https://www.ebi.ac.uk/ols/ontologies/fbbt/terms?iri=http://purl.obolibrary.org/obo/FBbt_00004540","FBbt:00004540")</f>
        <v/>
      </c>
      <c r="B18" t="inlineStr">
        <is>
          <t>basiproboscis</t>
        </is>
      </c>
      <c r="C18" t="inlineStr">
        <is>
          <t>None</t>
        </is>
      </c>
      <c r="D18" t="inlineStr">
        <is>
          <t>The most proximal region of the proboscis, contiguous to the mediproboscis. It contains the cibarial pump and clypeus, among other structures.</t>
        </is>
      </c>
      <c r="E18" t="inlineStr">
        <is>
          <t>Ferris, 1950, Demerec, 1950: 368--419 (flybase.org/reports/FBrf0007734)</t>
        </is>
      </c>
      <c r="F18" t="inlineStr"/>
      <c r="G18" t="inlineStr"/>
      <c r="H18" t="inlineStr"/>
    </row>
    <row r="19">
      <c r="A19">
        <f>HYPERLINK("https://www.ebi.ac.uk/ols/ontologies/fbbt/terms?iri=http://purl.obolibrary.org/obo/FBbt_00100102","FBbt:00100102")</f>
        <v/>
      </c>
      <c r="B19" t="inlineStr">
        <is>
          <t>mechanosensory neuron of ventral row bristle</t>
        </is>
      </c>
      <c r="C19" t="inlineStr">
        <is>
          <t>None</t>
        </is>
      </c>
      <c r="D19" t="inlineStr">
        <is>
          <t>Mechanosensory neuron innervating a ventral row bristle of the cibarium in the adult pharynx.</t>
        </is>
      </c>
      <c r="E19" t="inlineStr">
        <is>
          <t>Nayak and Singh, 1983, Int. J. Insect Morph. Embryol. 12(5--6): 273--291 (flybase.org/reports/FBrf0074012); Gendre et al., 2004, Development 131(1): 83--92 (flybase.org/reports/FBrf0167539)</t>
        </is>
      </c>
      <c r="F19" t="inlineStr"/>
      <c r="G19" t="inlineStr"/>
      <c r="H19" t="inlineStr"/>
    </row>
    <row r="20">
      <c r="A20">
        <f>HYPERLINK("https://www.ebi.ac.uk/ols/ontologies/fbbt/terms?iri=http://purl.obolibrary.org/obo/FBbt_00004543","FBbt:00004543")</f>
        <v/>
      </c>
      <c r="B20" t="inlineStr">
        <is>
          <t>adult maxillary structure</t>
        </is>
      </c>
      <c r="C20" t="inlineStr">
        <is>
          <t>None</t>
        </is>
      </c>
      <c r="D20" t="inlineStr">
        <is>
          <t>Structure of the adult maxillary segment.</t>
        </is>
      </c>
      <c r="E20" t="inlineStr"/>
      <c r="F20" t="inlineStr"/>
      <c r="G20" t="inlineStr"/>
      <c r="H20" t="inlineStr"/>
    </row>
    <row r="21">
      <c r="A21">
        <f>HYPERLINK("https://www.ebi.ac.uk/ols/ontologies/fbbt/terms?iri=http://purl.obolibrary.org/obo/FBbt_00004544","FBbt:00004544")</f>
        <v/>
      </c>
      <c r="B21" t="inlineStr">
        <is>
          <t>mentum</t>
        </is>
      </c>
      <c r="C21" t="inlineStr">
        <is>
          <t>None</t>
        </is>
      </c>
      <c r="D21" t="inlineStr">
        <is>
          <t>The distal part of the labium originally paired, secondarily fused into one broad plate bearing on its apical margin usually a prementum, and the paired appendages of the labial palp, the glossa and the paraglossa. In the context of Drosophila refers to the adult maxillary structures.</t>
        </is>
      </c>
      <c r="E21" t="inlineStr">
        <is>
          <t>Zombori and Steinmann, 1999, Handbuch der Zoologie IV. Band: Arthropoda, 2. Halfte: Insecta, Teil: 34.: 405pp (flybase.org/reports/FBrf0166419)</t>
        </is>
      </c>
      <c r="F21" t="inlineStr"/>
      <c r="G21" t="inlineStr"/>
      <c r="H21" t="inlineStr"/>
    </row>
    <row r="22">
      <c r="A22">
        <f>HYPERLINK("https://www.ebi.ac.uk/ols/ontologies/fbbt/terms?iri=http://purl.obolibrary.org/obo/FBbt_00004542","FBbt:00004542")</f>
        <v/>
      </c>
      <c r="B22" t="inlineStr">
        <is>
          <t>distiproboscis</t>
        </is>
      </c>
      <c r="C22" t="inlineStr">
        <is>
          <t>None</t>
        </is>
      </c>
      <c r="D22" t="inlineStr">
        <is>
          <t>The most distal region of the proboscis, contiguous to the mediproboscis. It contains the labellum.</t>
        </is>
      </c>
      <c r="E22" t="inlineStr">
        <is>
          <t>Ferris, 1950, Demerec, 1950: 368--419 (flybase.org/reports/FBrf0007734)</t>
        </is>
      </c>
      <c r="F22" t="inlineStr"/>
      <c r="G22" t="inlineStr"/>
      <c r="H22" t="inlineStr"/>
    </row>
    <row r="23">
      <c r="A23">
        <f>HYPERLINK("https://www.ebi.ac.uk/ols/ontologies/fbbt/terms?iri=http://purl.obolibrary.org/obo/FBbt_00004546","FBbt:00004546")</f>
        <v/>
      </c>
      <c r="B23" t="inlineStr">
        <is>
          <t>maxillary palpus</t>
        </is>
      </c>
      <c r="C23" t="inlineStr">
        <is>
          <t>palpus</t>
        </is>
      </c>
      <c r="D23" t="inlineStr">
        <is>
          <t>The paired sensory appendage of the adult maxillary segment, located laterally on the proboscis. It is covered with stout hairs, and on the dorsal side with sensilla basiconica similar to those of antennal segment 3. There are four long slender bristles locate distally and about 16 small bristles in a longitudinal band on the posterior surface.</t>
        </is>
      </c>
      <c r="E23" t="inlineStr">
        <is>
          <t>Bryant, 1978, Ashburner, Wright, 1978-1980 c: 230--335 (flybase.org/reports/FBrf0031004); Zombori and Steinmann, 1999, Handbuch der Zoologie IV. Band: Arthropoda, 2. Halfte: Insecta, Teil: 34.: 405pp (flybase.org/reports/FBrf0166419)</t>
        </is>
      </c>
      <c r="F23" t="inlineStr"/>
      <c r="G23" t="inlineStr"/>
      <c r="H23" t="inlineStr"/>
    </row>
    <row r="24">
      <c r="A24">
        <f>HYPERLINK("https://www.ebi.ac.uk/ols/ontologies/fbbt/terms?iri=http://purl.obolibrary.org/obo/FBbt_00004136","FBbt:00004136")</f>
        <v/>
      </c>
      <c r="B24" t="inlineStr">
        <is>
          <t>cibarial fish-trap bristle</t>
        </is>
      </c>
      <c r="C24" t="inlineStr">
        <is>
          <t>posterior cibarial setae; cibarial fishtrap bristle; filter apparatus of McAlpine; satellite bristles; cibarial fish trap bristle</t>
        </is>
      </c>
      <c r="D24" t="inlineStr">
        <is>
          <t>Sensory bristle on the anterior plate of the cibarium of the adult pharynx, near the ventral cibarial sense organ (VCSO). These bristles project upwardly and are arranged in two rows, dorsal and ventral to the VCSO. There are 18 to 23 bristles, each innervated by a mechanosensory neuron.</t>
        </is>
      </c>
      <c r="E24" t="inlineStr">
        <is>
          <t>Bodenstein, 1950, Demerec, 1950: 275--367 (flybase.org/reports/FBrf0007733); Gendre et al., 2004, Development 131(1): 83--92 (flybase.org/reports/FBrf0167539)</t>
        </is>
      </c>
      <c r="F24" t="inlineStr"/>
      <c r="G24" t="inlineStr"/>
      <c r="H24" t="inlineStr"/>
    </row>
    <row r="25">
      <c r="A25">
        <f>HYPERLINK("https://www.ebi.ac.uk/ols/ontologies/fbbt/terms?iri=http://purl.obolibrary.org/obo/FBbt_00004139","FBbt:00004139")</f>
        <v/>
      </c>
      <c r="B25" t="inlineStr">
        <is>
          <t>cibarial sense organ</t>
        </is>
      </c>
      <c r="C25" t="inlineStr">
        <is>
          <t>None</t>
        </is>
      </c>
      <c r="D25" t="inlineStr">
        <is>
          <t>Compound sense organ located in the cibarium of the adult pharynx, near the upper end of the posterior cibarial plate. It comprises two sense organs, dorsal and ventral, that are innervated by gustatory receptor neurons.</t>
        </is>
      </c>
      <c r="E25" t="inlineStr">
        <is>
          <t>Stocker and Schorderet, 1981, Cell Tissue Res. 216(3): 513--523 (flybase.org/reports/FBrf0035962); Gendre et al., 2004, Development 131(1): 83--92 (flybase.org/reports/FBrf0167539)</t>
        </is>
      </c>
      <c r="F25" t="inlineStr"/>
      <c r="G25" t="inlineStr"/>
      <c r="H25" t="inlineStr"/>
    </row>
    <row r="26">
      <c r="A26">
        <f>HYPERLINK("https://www.ebi.ac.uk/ols/ontologies/fbbt/terms?iri=http://purl.obolibrary.org/obo/FBbt_00004534","FBbt:00004534")</f>
        <v/>
      </c>
      <c r="B26" t="inlineStr">
        <is>
          <t>prementum</t>
        </is>
      </c>
      <c r="C26" t="inlineStr">
        <is>
          <t>theca</t>
        </is>
      </c>
      <c r="D26" t="inlineStr">
        <is>
          <t>Rectangular sclerotized plate which is present in the posterior region of the mediproboscis. It contains about 11 large bristles placed in a characteristic pattern.</t>
        </is>
      </c>
      <c r="E26" t="inlineStr">
        <is>
          <t>Bryant, 1978, Ashburner, Wright, 1978-1980 c: 230--335 (flybase.org/reports/FBrf0031004); Kumar et al., 1979, Wilhelm Roux Arch. Dev. Biol. 186(1): 51--64 (flybase.org/reports/FBrf0033866)</t>
        </is>
      </c>
      <c r="F26" t="inlineStr"/>
      <c r="G26" t="inlineStr"/>
      <c r="H26" t="inlineStr"/>
    </row>
    <row r="27">
      <c r="A27">
        <f>HYPERLINK("https://www.ebi.ac.uk/ols/ontologies/fbbt/terms?iri=http://purl.obolibrary.org/obo/FBbt_00004141","FBbt:00004141")</f>
        <v/>
      </c>
      <c r="B27" t="inlineStr">
        <is>
          <t>posterior sensillum of dorsal cibarial sense organ</t>
        </is>
      </c>
      <c r="C27" t="inlineStr">
        <is>
          <t>dorsal cibarial sensillum 1; DCSO1</t>
        </is>
      </c>
      <c r="D27" t="inlineStr">
        <is>
          <t>Most posterior of the two dorsal cibarial sensilla of the adult pharynx (Montell, 2009). It is innervated by three gustatory receptors (Gendre et al., 2004).</t>
        </is>
      </c>
      <c r="E27" t="inlineStr">
        <is>
          <t>Nayak and Singh, 1983, Int. J. Insect Morph. Embryol. 12(5--6): 273--291 (flybase.org/reports/FBrf0074012); Gendre et al., 2004, Development 131(1): 83--92 (flybase.org/reports/FBrf0167539); Montell, 2009, Curr. Opin. Neurobiol. 19(4): 345--353 (flybase.org/reports/FBrf0208984)</t>
        </is>
      </c>
      <c r="F27" t="inlineStr"/>
      <c r="G27" t="inlineStr"/>
      <c r="H27" t="inlineStr"/>
    </row>
    <row r="28">
      <c r="A28">
        <f>HYPERLINK("https://www.ebi.ac.uk/ols/ontologies/fbbt/terms?iri=http://purl.obolibrary.org/obo/FBbt_00004537","FBbt:00004537")</f>
        <v/>
      </c>
      <c r="B28" t="inlineStr">
        <is>
          <t>anterior arm of lacinia</t>
        </is>
      </c>
      <c r="C28" t="inlineStr">
        <is>
          <t>None</t>
        </is>
      </c>
      <c r="D28" t="inlineStr">
        <is>
          <t>Long and slender anterior arm of the sclerotized T-shaped maxillary apodeme.</t>
        </is>
      </c>
      <c r="E28" t="inlineStr">
        <is>
          <t>Grimaldi, 1994, Entomol. Scand. 25(2): 129--136 (flybase.org/reports/FBrf0076448)</t>
        </is>
      </c>
      <c r="F28" t="inlineStr"/>
      <c r="G28" t="inlineStr"/>
      <c r="H28" t="inlineStr"/>
    </row>
    <row r="29">
      <c r="A29">
        <f>HYPERLINK("https://www.ebi.ac.uk/ols/ontologies/fbbt/terms?iri=http://purl.obolibrary.org/obo/FBbt_00110883","FBbt:00110883")</f>
        <v/>
      </c>
      <c r="B29" t="inlineStr">
        <is>
          <t>ventral cibarial sense organ neuron</t>
        </is>
      </c>
      <c r="C29" t="inlineStr">
        <is>
          <t>VCSO GRN</t>
        </is>
      </c>
      <c r="D29" t="inlineStr">
        <is>
          <t>Gustatory receptor neuron that innervates the ventral cibarial sense organ of the adult pharynx.</t>
        </is>
      </c>
      <c r="E29" t="inlineStr">
        <is>
          <t>Nayak and Singh, 1983, Int. J. Insect Morph. Embryol. 12(5--6): 273--291 (flybase.org/reports/FBrf0074012); Gendre et al., 2004, Development 131(1): 83--92 (flybase.org/reports/FBrf0167539); Montell, 2009, Curr. Opin. Neurobiol. 19(4): 345--353 (flybase.org/reports/FBrf0208984)</t>
        </is>
      </c>
      <c r="F29" t="inlineStr"/>
      <c r="G29" t="inlineStr"/>
      <c r="H29" t="inlineStr"/>
    </row>
    <row r="30">
      <c r="A30">
        <f>HYPERLINK("https://www.ebi.ac.uk/ols/ontologies/fbbt/terms?iri=http://purl.obolibrary.org/obo/FBbt_00004536","FBbt:00004536")</f>
        <v/>
      </c>
      <c r="B30" t="inlineStr">
        <is>
          <t>lacinia</t>
        </is>
      </c>
      <c r="C30" t="inlineStr">
        <is>
          <t>maxillary lobe</t>
        </is>
      </c>
      <c r="D30" t="inlineStr">
        <is>
          <t>Paired inner lobate structures with fringed borders, sitting on the apical margin of the basiproboscis, medial to the base of the maxillary palps. It is continuous with the maxillary apodeme (or cardio-stipital element of lacinia) that extends into the head cavity.</t>
        </is>
      </c>
      <c r="E30" t="inlineStr">
        <is>
          <t>FBim0000788; FBim0000834; Ferris, 1950, Demerec, 1950: 368--419 (flybase.org/reports/FBrf0007734); Grimaldi, 1994, Entomol. Scand. 25(2): 129--136 (flybase.org/reports/FBrf0076448); Zombori and Steinmann, 1999, Handbuch der Zoologie IV. Band: Arthropoda, 2. Halfte: Insecta, Teil: 34.: 405pp (flybase.org/reports/FBrf0166419)</t>
        </is>
      </c>
      <c r="F30" t="inlineStr"/>
      <c r="G30" t="inlineStr"/>
      <c r="H30" t="inlineStr"/>
    </row>
    <row r="31">
      <c r="A31">
        <f>HYPERLINK("https://www.ebi.ac.uk/ols/ontologies/fbbt/terms?iri=http://purl.obolibrary.org/obo/FBbt_00004539","FBbt:00004539")</f>
        <v/>
      </c>
      <c r="B31" t="inlineStr">
        <is>
          <t>dorsal arm of lacinia</t>
        </is>
      </c>
      <c r="C31" t="inlineStr">
        <is>
          <t>None</t>
        </is>
      </c>
      <c r="D31" t="inlineStr">
        <is>
          <t>Long and slender dorsal arm of the sclerotized T-shaped maxillary apodeme.</t>
        </is>
      </c>
      <c r="E31" t="inlineStr">
        <is>
          <t>Grimaldi, 1994, Entomol. Scand. 25(2): 129--136 (flybase.org/reports/FBrf0076448)</t>
        </is>
      </c>
      <c r="F31" t="inlineStr"/>
      <c r="G31" t="inlineStr"/>
      <c r="H31" t="inlineStr"/>
    </row>
    <row r="32">
      <c r="A32">
        <f>HYPERLINK("https://www.ebi.ac.uk/ols/ontologies/fbbt/terms?iri=http://purl.obolibrary.org/obo/FBbt_00004538","FBbt:00004538")</f>
        <v/>
      </c>
      <c r="B32" t="inlineStr">
        <is>
          <t>ventral arm of lacinia</t>
        </is>
      </c>
      <c r="C32" t="inlineStr">
        <is>
          <t>None</t>
        </is>
      </c>
      <c r="D32" t="inlineStr">
        <is>
          <t>Long and slender ventral arm of the sclerotized T-shaped maxillary apodeme.</t>
        </is>
      </c>
      <c r="E32" t="inlineStr">
        <is>
          <t>Grimaldi, 1994, Entomol. Scand. 25(2): 129--136 (flybase.org/reports/FBrf0076448)</t>
        </is>
      </c>
      <c r="F32" t="inlineStr"/>
      <c r="G32" t="inlineStr"/>
      <c r="H32" t="inlineStr"/>
    </row>
    <row r="33">
      <c r="A33">
        <f>HYPERLINK("https://www.ebi.ac.uk/ols/ontologies/fbbt/terms?iri=http://purl.obolibrary.org/obo/FBbt_00004142","FBbt:00004142")</f>
        <v/>
      </c>
      <c r="B33" t="inlineStr">
        <is>
          <t>anterior sensillum of dorsal cibarial sense organ</t>
        </is>
      </c>
      <c r="C33" t="inlineStr">
        <is>
          <t>dorsal cibarial sensillum 2; DCSO2</t>
        </is>
      </c>
      <c r="D33" t="inlineStr">
        <is>
          <t>Most anterior of the two dorsal cibarial sensilla of the adult pharynx (Montell, 2009). It is innervated by three gustatory receptors (Gendre et al., 2004).</t>
        </is>
      </c>
      <c r="E33" t="inlineStr">
        <is>
          <t>Nayak and Singh, 1983, Int. J. Insect Morph. Embryol. 12(5--6): 273--291 (flybase.org/reports/FBrf0074012); Gendre et al., 2004, Development 131(1): 83--92 (flybase.org/reports/FBrf0167539); Montell, 2009, Curr. Opin. Neurobiol. 19(4): 345--353 (flybase.org/reports/FBrf0208984)</t>
        </is>
      </c>
      <c r="F33" t="inlineStr"/>
      <c r="G33" t="inlineStr"/>
      <c r="H33" t="inlineStr"/>
    </row>
    <row r="34">
      <c r="A34">
        <f>HYPERLINK("https://www.ebi.ac.uk/ols/ontologies/fbbt/terms?iri=http://purl.obolibrary.org/obo/FBbt_00004533","FBbt:00004533")</f>
        <v/>
      </c>
      <c r="B34" t="inlineStr">
        <is>
          <t>labellar cap</t>
        </is>
      </c>
      <c r="C34" t="inlineStr">
        <is>
          <t>None</t>
        </is>
      </c>
      <c r="D34" t="inlineStr">
        <is>
          <t>Chitinous dorsal half of the labellum which is covered in bristles.</t>
        </is>
      </c>
      <c r="E34" t="inlineStr">
        <is>
          <t>Bryant, 1978, Ashburner, Wright, 1978-1980 c: 230--335 (flybase.org/reports/FBrf0031004); Kumar et al., 1979, Wilhelm Roux Arch. Dev. Biol. 186(1): 51--64 (flybase.org/reports/FBrf0033866)</t>
        </is>
      </c>
      <c r="F34" t="inlineStr"/>
      <c r="G34" t="inlineStr"/>
      <c r="H34" t="inlineStr"/>
    </row>
    <row r="35">
      <c r="A35">
        <f>HYPERLINK("https://www.ebi.ac.uk/ols/ontologies/fbbt/terms?iri=http://purl.obolibrary.org/obo/FBbt_00004531","FBbt:00004531")</f>
        <v/>
      </c>
      <c r="B35" t="inlineStr">
        <is>
          <t>labellum</t>
        </is>
      </c>
      <c r="C35" t="inlineStr">
        <is>
          <t>labium; labial palpus</t>
        </is>
      </c>
      <c r="D35" t="inlineStr">
        <is>
          <t>The broadened, cushion-like, apical part of the rostral mouth parts. It consists of two regions; its lateral surface has a hemispherical, on which there are approximately 33-34 gustatory (chemosensory) and two mechanosensory bristles. The gustatory bristles are arranged into three ill-defined rows of 10-11 bristles: two medial and one located peripherally. The mechanosensory bristles are located in the most dorsolateral area of the labella surface and are shorter than the gustatory sensilla. The inner (medial) surface bears a series of open collecting channels, the pseudotrachea, that converge medially and conduct food to the tip of the labrum. Taste pegs are present in between the pseudotrachea, with 30-40 on each side.</t>
        </is>
      </c>
      <c r="E35" t="inlineStr">
        <is>
          <t>Ferris, 1950, Demerec, 1950: 368--419 (flybase.org/reports/FBrf0007734); Nayak and Singh, 1983, Int. J. Insect Morph. Embryol. 12(5--6): 273--291 (flybase.org/reports/FBrf0074012); Shanbhag et al., 2001, Cell Tissue Res. 304(3): 423--437 (flybase.org/reports/FBrf0137194); Zombori and Steinmann, 1999, Handbuch der Zoologie IV. Band: Arthropoda, 2. Halfte: Insecta, Teil: 34.: 405pp (flybase.org/reports/FBrf0166419); Miyazaki and Ito, 2010, J. Comp. Neurol. 518(20): 4147--4181 (flybase.org/reports/FBrf0211916)</t>
        </is>
      </c>
      <c r="F35" t="inlineStr"/>
      <c r="G35" t="inlineStr"/>
      <c r="H35" t="inlineStr"/>
    </row>
    <row r="36">
      <c r="A36">
        <f>HYPERLINK("https://www.ebi.ac.uk/ols/ontologies/fbbt/terms?iri=http://purl.obolibrary.org/obo/FBbt_00110887","FBbt:00110887")</f>
        <v/>
      </c>
      <c r="B36" t="inlineStr">
        <is>
          <t>gustatory receptor neuron of the labellum</t>
        </is>
      </c>
      <c r="C36" t="inlineStr">
        <is>
          <t>None</t>
        </is>
      </c>
      <c r="D36" t="inlineStr">
        <is>
          <t>Gustatory receptor neuron that innervates the adult labellum. It projects to distinct regions in the subesophageal zone, which include the anterior maxillary, posterior maxillary and labellar sensory centers, via specific terminal branches.</t>
        </is>
      </c>
      <c r="E36" t="inlineStr">
        <is>
          <t>Shanbhag et al., 2001, Cell Tissue Res. 304(3): 423--437 (flybase.org/reports/FBrf0137194); Hiroi et al., 2002, Zool. Sci., Tokyo 19(9): 1009--1018 (flybase.org/reports/FBrf0152351); Wang et al., 2004, Cell 117(7): 981--991 (flybase.org/reports/FBrf0179508); Miyazaki and Ito, 2010, J. Comp. Neurol. 518(20): 4147--4181 (flybase.org/reports/FBrf0211916); Weiss et al., 2011, Neuron 69(2): 258--272 (flybase.org/reports/FBrf0212834)</t>
        </is>
      </c>
      <c r="F36" t="inlineStr"/>
      <c r="G36" t="inlineStr"/>
      <c r="H36" t="inlineStr"/>
    </row>
    <row r="37">
      <c r="A37">
        <f>HYPERLINK("https://www.ebi.ac.uk/ols/ontologies/fbbt/terms?iri=http://purl.obolibrary.org/obo/FBbt_00048029","FBbt:00048029")</f>
        <v/>
      </c>
      <c r="B37" t="inlineStr">
        <is>
          <t>labellar taste bristle sensory neuron</t>
        </is>
      </c>
      <c r="C37" t="inlineStr">
        <is>
          <t>None</t>
        </is>
      </c>
      <c r="D37" t="inlineStr">
        <is>
          <t>Sensory neuron that innervates a labellar taste bristle.</t>
        </is>
      </c>
      <c r="E37" t="inlineStr"/>
      <c r="F37" t="inlineStr"/>
      <c r="G37" t="inlineStr"/>
      <c r="H37" t="inlineStr"/>
    </row>
    <row r="38">
      <c r="A38">
        <f>HYPERLINK("https://www.ebi.ac.uk/ols/ontologies/fbbt/terms?iri=http://purl.obolibrary.org/obo/FBbt_00048027","FBbt:00048027")</f>
        <v/>
      </c>
      <c r="B38" t="inlineStr">
        <is>
          <t>labellar taste peg mechanosensory neuron</t>
        </is>
      </c>
      <c r="C38" t="inlineStr">
        <is>
          <t>None</t>
        </is>
      </c>
      <c r="D38" t="inlineStr">
        <is>
          <t>Mechanosensory neuron that innervates a labial taste peg. There is one of these per taste peg, paired with one chemosensory neuron (Shanbhag et al., 2001).</t>
        </is>
      </c>
      <c r="E38" t="inlineStr">
        <is>
          <t>Shanbhag et al., 2001, Cell Tissue Res. 304(3): 423--437 (flybase.org/reports/FBrf0137194)</t>
        </is>
      </c>
      <c r="F38" t="inlineStr"/>
      <c r="G38" t="inlineStr"/>
      <c r="H38" t="inlineStr"/>
    </row>
    <row r="39">
      <c r="A39">
        <f>HYPERLINK("https://www.ebi.ac.uk/ols/ontologies/fbbt/terms?iri=http://purl.obolibrary.org/obo/FBbt_00004164","FBbt:00004164")</f>
        <v/>
      </c>
      <c r="B39" t="inlineStr">
        <is>
          <t>pseudotrachea</t>
        </is>
      </c>
      <c r="C39" t="inlineStr">
        <is>
          <t>pseudotracheal ridge; pseudotracheal row</t>
        </is>
      </c>
      <c r="D39" t="inlineStr">
        <is>
          <t>Open channel that extends from the dorsal medial region of the labellum, pointing slightly around the outside of each half of the labellum. The pseudotrachea is kept open by narrow, somewhat variably shaped, transverse, sclerotised bands, the ends of which are free from the derm. There are 6 of these per palpus, conducting food to the tip of the labrum.</t>
        </is>
      </c>
      <c r="E39" t="inlineStr">
        <is>
          <t>Ferris, 1950, Demerec, 1950: 368--419 (flybase.org/reports/FBrf0007734); Kumar et al., 1979, Wilhelm Roux Arch. Dev. Biol. 186(1): 51--64 (flybase.org/reports/FBrf0033866)</t>
        </is>
      </c>
      <c r="F39" t="inlineStr"/>
      <c r="G39" t="inlineStr"/>
      <c r="H39" t="inlineStr"/>
    </row>
    <row r="40">
      <c r="A40">
        <f>HYPERLINK("https://www.ebi.ac.uk/ols/ontologies/fbbt/terms?iri=http://purl.obolibrary.org/obo/FBbt_00004022","FBbt:00004022")</f>
        <v/>
      </c>
      <c r="B40" t="inlineStr">
        <is>
          <t>dorsal cibarial sense organ neuron</t>
        </is>
      </c>
      <c r="C40" t="inlineStr">
        <is>
          <t>DCSO GRN</t>
        </is>
      </c>
      <c r="D40" t="inlineStr">
        <is>
          <t>Gustatory receptor neuron that innervates the dorsal cibarial sense organ of the adult pharynx.</t>
        </is>
      </c>
      <c r="E40" t="inlineStr">
        <is>
          <t>Nayak and Singh, 1983, Int. J. Insect Morph. Embryol. 12(5--6): 273--291 (flybase.org/reports/FBrf0074012); Montell, 2009, Curr. Opin. Neurobiol. 19(4): 345--353 (flybase.org/reports/FBrf0208984)</t>
        </is>
      </c>
      <c r="F40" t="inlineStr"/>
      <c r="G40" t="inlineStr"/>
      <c r="H40" t="inlineStr"/>
    </row>
    <row r="41">
      <c r="A41">
        <f>HYPERLINK("https://www.ebi.ac.uk/ols/ontologies/fbbt/terms?iri=http://purl.obolibrary.org/obo/FBbt_00004161","FBbt:00004161")</f>
        <v/>
      </c>
      <c r="B41" t="inlineStr">
        <is>
          <t>labellum sensillum</t>
        </is>
      </c>
      <c r="C41" t="inlineStr">
        <is>
          <t>None</t>
        </is>
      </c>
      <c r="D41" t="inlineStr">
        <is>
          <t>Any sensillum (FBbt:00007152) that is part of some labellum (FBbt:00004531).</t>
        </is>
      </c>
      <c r="E41" t="inlineStr">
        <is>
          <t>Stocker, 1994, Cell Tissue Res. 275(1): 3--26 (flybase.org/reports/FBrf0068700)</t>
        </is>
      </c>
      <c r="F41" t="inlineStr"/>
      <c r="G41" t="inlineStr"/>
      <c r="H41" t="inlineStr"/>
    </row>
    <row r="42">
      <c r="A42">
        <f>HYPERLINK("https://www.ebi.ac.uk/ols/ontologies/fbbt/terms?iri=http://purl.obolibrary.org/obo/FBbt_00003267","FBbt:00003267")</f>
        <v/>
      </c>
      <c r="B42" t="inlineStr">
        <is>
          <t>haustellum muscle</t>
        </is>
      </c>
      <c r="C42" t="inlineStr">
        <is>
          <t>None</t>
        </is>
      </c>
      <c r="D42" t="inlineStr">
        <is>
          <t>Muscle of the haustellum, which function to extend or spread the adult labellum (labial palps).</t>
        </is>
      </c>
      <c r="E42" t="inlineStr">
        <is>
          <t>Miller, 1950, Demerec, 1950: 420--534 (flybase.org/reports/FBrf0007735)</t>
        </is>
      </c>
      <c r="F42" t="inlineStr"/>
      <c r="G42" t="inlineStr"/>
      <c r="H42" t="inlineStr"/>
    </row>
    <row r="43">
      <c r="A43">
        <f>HYPERLINK("https://www.ebi.ac.uk/ols/ontologies/fbbt/terms?iri=http://purl.obolibrary.org/obo/FBbt_00003517","FBbt:00003517")</f>
        <v/>
      </c>
      <c r="B43" t="inlineStr">
        <is>
          <t>maxillary apodeme</t>
        </is>
      </c>
      <c r="C43" t="inlineStr">
        <is>
          <t>cardio-stipital element of lacinia</t>
        </is>
      </c>
      <c r="D43" t="inlineStr">
        <is>
          <t>Very small and sclerotized apodeme of the basiproboscis, in the adult maxillary segment. It is T-shaped, and extends into the head cavity like the handle of a dagger, being continuous with the external lacinia (or maxillary lobe). Distinct anterior, dorsal and ventral arms can be recognized. The muscles that move the maxilla are inserted into this apodeme, including the maxillary muscle 4.</t>
        </is>
      </c>
      <c r="E43" t="inlineStr">
        <is>
          <t>Ferris, 1950, Demerec, 1950: 368--419 (flybase.org/reports/FBrf0007734); Grimaldi, 1994, Entomol. Scand. 25(2): 129--136 (flybase.org/reports/FBrf0076448)</t>
        </is>
      </c>
      <c r="F43" t="inlineStr"/>
      <c r="G43" t="inlineStr"/>
      <c r="H43" t="inlineStr"/>
    </row>
    <row r="44">
      <c r="A44">
        <f>HYPERLINK("https://www.ebi.ac.uk/ols/ontologies/fbbt/terms?iri=http://purl.obolibrary.org/obo/FBbt_00003124","FBbt:00003124")</f>
        <v/>
      </c>
      <c r="B44" t="inlineStr">
        <is>
          <t>labellar gland</t>
        </is>
      </c>
      <c r="C44" t="inlineStr">
        <is>
          <t>None</t>
        </is>
      </c>
      <c r="D44" t="inlineStr">
        <is>
          <t>Pyriform group of cells, consisting of about seven large epithelial cells. It surrounds an irregular lumen that opens medially, through a short small-celled duct, in close proximity to the tip of the labrum. A thin basement membrane surrounds the gland externally and a thin intima lines the lumen. There are two of these, one on each side of the labellum lobes.</t>
        </is>
      </c>
      <c r="E44" t="inlineStr">
        <is>
          <t>Miller, 1950, Demerec, 1950: 468--481 (flybase.org/reports/FBrf0186027)</t>
        </is>
      </c>
      <c r="F44" t="inlineStr"/>
      <c r="G44" t="inlineStr"/>
      <c r="H44" t="inlineStr"/>
    </row>
    <row r="45">
      <c r="A45">
        <f>HYPERLINK("https://www.ebi.ac.uk/ols/ontologies/fbbt/terms?iri=http://purl.obolibrary.org/obo/FBbt_00100158","FBbt:00100158")</f>
        <v/>
      </c>
      <c r="B45" t="inlineStr">
        <is>
          <t>middle sensillum of ventral cibarial sense organ</t>
        </is>
      </c>
      <c r="C45" t="inlineStr">
        <is>
          <t>VCSO2; 2nd VCSO; ventral cibarial sensillum 2</t>
        </is>
      </c>
      <c r="D45" t="inlineStr">
        <is>
          <t>Middle-most sensillum of the ventral cibarial sense organ of the adult pharynx. It is innervated by 2 gustatory receptor neurons (Gendre et al., 2003).</t>
        </is>
      </c>
      <c r="E45" t="inlineStr">
        <is>
          <t>Stocker and Schorderet, 1981, Cell Tissue Res. 216(3): 513--523 (flybase.org/reports/FBrf0035962); Stocker, 1994, Cell Tissue Res. 275(1): 3--26 (flybase.org/reports/FBrf0068700); Nayak and Singh, 1983, Int. J. Insect Morph. Embryol. 12(5--6): 273--291 (flybase.org/reports/FBrf0074012); Demerec, 1994, Biology of Drosophila. [Facsimile edition.] (flybase.org/reports/FBrf0075527); Gendre et al., 2004, Development 131(1): 83--92 (flybase.org/reports/FBrf0167539)</t>
        </is>
      </c>
      <c r="F45" t="inlineStr"/>
      <c r="G45" t="inlineStr"/>
      <c r="H45" t="inlineStr"/>
    </row>
    <row r="46">
      <c r="A46">
        <f>HYPERLINK("https://www.ebi.ac.uk/ols/ontologies/fbbt/terms?iri=http://purl.obolibrary.org/obo/FBbt_00100156","FBbt:00100156")</f>
        <v/>
      </c>
      <c r="B46" t="inlineStr">
        <is>
          <t>proximal sensillum of ventral cibarial sense organ</t>
        </is>
      </c>
      <c r="C46" t="inlineStr">
        <is>
          <t>3rd VCSO; ventral cibarial sensillum 3; VCSO3</t>
        </is>
      </c>
      <c r="D46" t="inlineStr">
        <is>
          <t>Most proximal sensillum of the ventral cibarial sense organ of the adult pharynx. It is innervated by two gustatory receptor neurons (Gendre et al., 2003).</t>
        </is>
      </c>
      <c r="E46" t="inlineStr">
        <is>
          <t>Stocker and Schorderet, 1981, Cell Tissue Res. 216(3): 513--523 (flybase.org/reports/FBrf0035962); Stocker, 1994, Cell Tissue Res. 275(1): 3--26 (flybase.org/reports/FBrf0068700); Nayak and Singh, 1983, Int. J. Insect Morph. Embryol. 12(5--6): 273--291 (flybase.org/reports/FBrf0074012); Demerec, 1994, Biology of Drosophila. [Facsimile edition.] (flybase.org/reports/FBrf0075527); Gendre et al., 2004, Development 131(1): 83--92 (flybase.org/reports/FBrf0167539)</t>
        </is>
      </c>
      <c r="F46" t="inlineStr"/>
      <c r="G46" t="inlineStr"/>
      <c r="H46" t="inlineStr"/>
    </row>
    <row r="47">
      <c r="A47">
        <f>HYPERLINK("https://www.ebi.ac.uk/ols/ontologies/fbbt/terms?iri=http://purl.obolibrary.org/obo/FBbt_00100157","FBbt:00100157")</f>
        <v/>
      </c>
      <c r="B47" t="inlineStr">
        <is>
          <t>distal sensillum of ventral cibarial sense organ</t>
        </is>
      </c>
      <c r="C47" t="inlineStr">
        <is>
          <t>ventral cibarial sensillum 1; VCSO1; 1st VCSO</t>
        </is>
      </c>
      <c r="D47" t="inlineStr">
        <is>
          <t>Distal-most sensillum of the ventral cibarial sense organ of the adult pharynx. It is innervated by four gustatory receptor neurons (Gendre et al., 2003).</t>
        </is>
      </c>
      <c r="E47" t="inlineStr">
        <is>
          <t>Stocker and Schorderet, 1981, Cell Tissue Res. 216(3): 513--523 (flybase.org/reports/FBrf0035962); Stocker, 1994, Cell Tissue Res. 275(1): 3--26 (flybase.org/reports/FBrf0068700); Nayak and Singh, 1983, Int. J. Insect Morph. Embryol. 12(5--6): 273--291 (flybase.org/reports/FBrf0074012); Demerec, 1994, Biology of Drosophila. [Facsimile edition.] (flybase.org/reports/FBrf0075527); Gendre et al., 2004, Development 131(1): 83--92 (flybase.org/reports/FBrf0167539)</t>
        </is>
      </c>
      <c r="F47" t="inlineStr"/>
      <c r="G47" t="inlineStr"/>
      <c r="H47" t="inlineStr"/>
    </row>
    <row r="48">
      <c r="A48">
        <f>HYPERLINK("https://www.ebi.ac.uk/ols/ontologies/fbbt/terms?iri=http://purl.obolibrary.org/obo/FBbt_00007353","FBbt:00007353")</f>
        <v/>
      </c>
      <c r="B48" t="inlineStr">
        <is>
          <t>maxillary palp olfactory receptor neuron</t>
        </is>
      </c>
      <c r="C48" t="inlineStr">
        <is>
          <t>maxillary palp ORN</t>
        </is>
      </c>
      <c r="D48" t="inlineStr">
        <is>
          <t>Odorant receptor neuron (ORN) whose dendrite transduces signals from some maxillary palp basiconic sensillum. The axons of these neurons fasciculate in the labial nerve and the antenno-subesophageal tract (AST) and innervate the antennal lobe.</t>
        </is>
      </c>
      <c r="E48" t="inlineStr">
        <is>
          <t>Stocker et al., 1990, Cell Tissue Res. 262(1): 9--34 (flybase.org/reports/FBrf0051437)</t>
        </is>
      </c>
      <c r="F48" t="inlineStr"/>
      <c r="G48" t="inlineStr"/>
      <c r="H48" t="inlineStr"/>
    </row>
    <row r="49">
      <c r="A49">
        <f>HYPERLINK("https://www.ebi.ac.uk/ols/ontologies/fbbt/terms?iri=http://purl.obolibrary.org/obo/FBbt_00110885","FBbt:00110885")</f>
        <v/>
      </c>
      <c r="B49" t="inlineStr">
        <is>
          <t>dorsal cibarial sense organ neuron of anterior sensillum</t>
        </is>
      </c>
      <c r="C49" t="inlineStr">
        <is>
          <t>DCSO GRN</t>
        </is>
      </c>
      <c r="D49" t="inlineStr">
        <is>
          <t>Gustatory receptor neuron that innervates the anterior sensillum of the dorsal cibarial sense organ of the adult pharynx. There are three of these per sensillum.</t>
        </is>
      </c>
      <c r="E49" t="inlineStr">
        <is>
          <t>Gendre et al., 2004, Development 131(1): 83--92 (flybase.org/reports/FBrf0167539)</t>
        </is>
      </c>
      <c r="F49" t="inlineStr"/>
      <c r="G49" t="inlineStr"/>
      <c r="H49" t="inlineStr"/>
    </row>
    <row r="50">
      <c r="A50">
        <f>HYPERLINK("https://www.ebi.ac.uk/ols/ontologies/fbbt/terms?iri=http://purl.obolibrary.org/obo/FBbt_00003268","FBbt:00003268")</f>
        <v/>
      </c>
      <c r="B50" t="inlineStr">
        <is>
          <t>haustellum muscle 6</t>
        </is>
      </c>
      <c r="C50" t="inlineStr">
        <is>
          <t>retractors of paraphyses; palpal muscle</t>
        </is>
      </c>
      <c r="D50" t="inlineStr">
        <is>
          <t>A muscle of the haustellum (mediproboscis) that functions in extension of the labella.</t>
        </is>
      </c>
      <c r="E50" t="inlineStr">
        <is>
          <t>Miller, 1950, Demerec, 1950: 420--534 (flybase.org/reports/FBrf0007735)</t>
        </is>
      </c>
      <c r="F50" t="inlineStr"/>
      <c r="G50" t="inlineStr"/>
      <c r="H50" t="inlineStr"/>
    </row>
    <row r="51">
      <c r="A51">
        <f>HYPERLINK("https://www.ebi.ac.uk/ols/ontologies/fbbt/terms?iri=http://purl.obolibrary.org/obo/FBbt_00003269","FBbt:00003269")</f>
        <v/>
      </c>
      <c r="B51" t="inlineStr">
        <is>
          <t>haustellum muscle 7</t>
        </is>
      </c>
      <c r="C51" t="inlineStr">
        <is>
          <t>palpal muscle retractors of furca</t>
        </is>
      </c>
      <c r="D51" t="inlineStr">
        <is>
          <t>A muscle of the haustellum (mediproboscis) that functions in spreading of the labella.</t>
        </is>
      </c>
      <c r="E51" t="inlineStr">
        <is>
          <t>Miller, 1950, Demerec, 1950: 420--534 (flybase.org/reports/FBrf0007735)</t>
        </is>
      </c>
      <c r="F51" t="inlineStr"/>
      <c r="G51" t="inlineStr"/>
      <c r="H51" t="inlineStr"/>
    </row>
    <row r="52">
      <c r="A52">
        <f>HYPERLINK("https://www.ebi.ac.uk/ols/ontologies/fbbt/terms?iri=http://purl.obolibrary.org/obo/FBbt_00110884","FBbt:00110884")</f>
        <v/>
      </c>
      <c r="B52" t="inlineStr">
        <is>
          <t>dorsal cibarial sense organ neuron of posterior sensillum</t>
        </is>
      </c>
      <c r="C52" t="inlineStr">
        <is>
          <t>DCSO GRN</t>
        </is>
      </c>
      <c r="D52" t="inlineStr">
        <is>
          <t>Gustatory receptor neuron that innervates the posterior sensillum of the dorsal cibarial sense organ of the adult pharynx. There are three of these per sensillum.</t>
        </is>
      </c>
      <c r="E52" t="inlineStr">
        <is>
          <t>Gendre et al., 2004, Development 131(1): 83--92 (flybase.org/reports/FBrf0167539)</t>
        </is>
      </c>
      <c r="F52" t="inlineStr"/>
      <c r="G52" t="inlineStr"/>
      <c r="H52" t="inlineStr"/>
    </row>
    <row r="53">
      <c r="A53">
        <f>HYPERLINK("https://www.ebi.ac.uk/ols/ontologies/fbbt/terms?iri=http://purl.obolibrary.org/obo/FBbt_00100159","FBbt:00100159")</f>
        <v/>
      </c>
      <c r="B53" t="inlineStr">
        <is>
          <t>ventral cibarial sense organ neuron of middle sensillum</t>
        </is>
      </c>
      <c r="C53" t="inlineStr">
        <is>
          <t>VCSO GRN</t>
        </is>
      </c>
      <c r="D53" t="inlineStr">
        <is>
          <t>Gustatory receptor neuron that innervates the middle sensillum of the ventral cibarial sense organ of the adult pharynx. There are two of these per sensillum.</t>
        </is>
      </c>
      <c r="E53" t="inlineStr">
        <is>
          <t>Stocker, 1994, Cell Tissue Res. 275(1): 3--26 (flybase.org/reports/FBrf0068700); Nayak and Singh, 1983, Int. J. Insect Morph. Embryol. 12(5--6): 273--291 (flybase.org/reports/FBrf0074012); Gendre et al., 2004, Development 131(1): 83--92 (flybase.org/reports/FBrf0167539)</t>
        </is>
      </c>
      <c r="F53" t="inlineStr"/>
      <c r="G53" t="inlineStr"/>
      <c r="H53" t="inlineStr"/>
    </row>
    <row r="54">
      <c r="A54">
        <f>HYPERLINK("https://www.ebi.ac.uk/ols/ontologies/fbbt/terms?iri=http://purl.obolibrary.org/obo/FBbt_00004140","FBbt:00004140")</f>
        <v/>
      </c>
      <c r="B54" t="inlineStr">
        <is>
          <t>dorsal cibarial sense organ</t>
        </is>
      </c>
      <c r="C54" t="inlineStr">
        <is>
          <t>CSO; DCSO; fulcral organ; cibarial sense organ</t>
        </is>
      </c>
      <c r="D54" t="inlineStr">
        <is>
          <t>Dorsal-most cibarial sense organ near the upper end of the posterior cibarial plate of the adult pharynx, and innervated by the pharyngeal nerve. It comprises two sensilla (anterior and posterior), each containing three gustatory receptor neurons.</t>
        </is>
      </c>
      <c r="E54" t="inlineStr">
        <is>
          <t>Hertweck, 1931, Z. wiss. Zool. 139: 560--663 (flybase.org/reports/FBrf0002274); Bodenstein, 1950, Demerec, 1950: 275--367 (flybase.org/reports/FBrf0007733); Stocker and Schorderet, 1981, Cell Tissue Res. 216(3): 513--523 (flybase.org/reports/FBrf0035962); Nayak and Singh, 1983, Int. J. Insect Morph. Embryol. 12(5--6): 273--291 (flybase.org/reports/FBrf0074012); Gendre et al., 2004, Development 131(1): 83--92 (flybase.org/reports/FBrf0167539)</t>
        </is>
      </c>
      <c r="F54" t="inlineStr"/>
      <c r="G54" t="inlineStr"/>
      <c r="H54" t="inlineStr"/>
    </row>
    <row r="55">
      <c r="A55">
        <f>HYPERLINK("https://www.ebi.ac.uk/ols/ontologies/fbbt/terms?iri=http://purl.obolibrary.org/obo/FBbt_00100160","FBbt:00100160")</f>
        <v/>
      </c>
      <c r="B55" t="inlineStr">
        <is>
          <t>ventral cibarial sense organ neuron of distal sensillum</t>
        </is>
      </c>
      <c r="C55" t="inlineStr">
        <is>
          <t>VCSO GRN</t>
        </is>
      </c>
      <c r="D55" t="inlineStr">
        <is>
          <t>Gustatory receptor neuron that innervates the distal sensillum of the ventral cibarial sense organ of the adult pharynx. There are four of these per sensillum.</t>
        </is>
      </c>
      <c r="E55" t="inlineStr">
        <is>
          <t>Stocker, 1994, Cell Tissue Res. 275(1): 3--26 (flybase.org/reports/FBrf0068700); Nayak and Singh, 1983, Int. J. Insect Morph. Embryol. 12(5--6): 273--291 (flybase.org/reports/FBrf0074012); Gendre et al., 2004, Development 131(1): 83--92 (flybase.org/reports/FBrf0167539)</t>
        </is>
      </c>
      <c r="F55" t="inlineStr"/>
      <c r="G55" t="inlineStr"/>
      <c r="H55" t="inlineStr"/>
    </row>
    <row r="56">
      <c r="A56">
        <f>HYPERLINK("https://www.ebi.ac.uk/ols/ontologies/fbbt/terms?iri=http://purl.obolibrary.org/obo/FBbt_00004143","FBbt:00004143")</f>
        <v/>
      </c>
      <c r="B56" t="inlineStr">
        <is>
          <t>ventral cibarial sense organ</t>
        </is>
      </c>
      <c r="C56" t="inlineStr">
        <is>
          <t>VCSO</t>
        </is>
      </c>
      <c r="D56" t="inlineStr">
        <is>
          <t>Ventral-most cibarial gustatory sense organ near the upper end of the posterior cibarial plate of the adult pharynx, and innervated by the pharyngeal nerve (Demerec, 1994; Nayak and Singh, 1983). It is flanked distally and proximally by the ventral row bristles and the dorsal row bristles, respectively. It comprises three sensilla (distal, middle and proximal), containing in total about 8 gustatory receptor neurons.</t>
        </is>
      </c>
      <c r="E56" t="inlineStr">
        <is>
          <t>Stocker and Schorderet, 1981, Cell Tissue Res. 216(3): 513--523 (flybase.org/reports/FBrf0035962); Stocker, 1994, Cell Tissue Res. 275(1): 3--26 (flybase.org/reports/FBrf0068700); Nayak and Singh, 1983, Int. J. Insect Morph. Embryol. 12(5--6): 273--291 (flybase.org/reports/FBrf0074012); Demerec, 1994, Biology of Drosophila. [Facsimile edition.] (flybase.org/reports/FBrf0075527); Gendre et al., 2004, Development 131(1): 83--92 (flybase.org/reports/FBrf0167539)</t>
        </is>
      </c>
      <c r="F56" t="inlineStr"/>
      <c r="G56" t="inlineStr"/>
      <c r="H56" t="inlineStr"/>
    </row>
    <row r="57">
      <c r="A57">
        <f>HYPERLINK("https://www.ebi.ac.uk/ols/ontologies/fbbt/terms?iri=http://purl.obolibrary.org/obo/FBbt_00007381","FBbt:00007381")</f>
        <v/>
      </c>
      <c r="B57" t="inlineStr">
        <is>
          <t>spinule of maxillary palpus</t>
        </is>
      </c>
      <c r="C57" t="inlineStr">
        <is>
          <t>None</t>
        </is>
      </c>
      <c r="D57" t="inlineStr">
        <is>
          <t>Small, curved, pointed, non-innervated cuticular process of the maxillary palpus. These spinules are distributed throughout the surface of the palps.</t>
        </is>
      </c>
      <c r="E57" t="inlineStr">
        <is>
          <t>Riesgo-Escovar et al., 1997, J. Comp. Physiol. A, Sens. Neural. Behav. Physiol. 180(2): 143--150 (flybase.org/reports/FBrf0091407)</t>
        </is>
      </c>
      <c r="F57" t="inlineStr"/>
      <c r="G57" t="inlineStr"/>
      <c r="H57" t="inlineStr"/>
    </row>
    <row r="58">
      <c r="A58">
        <f>HYPERLINK("https://www.ebi.ac.uk/ols/ontologies/fbbt/terms?iri=http://purl.obolibrary.org/obo/FBbt_00004158","FBbt:00004158")</f>
        <v/>
      </c>
      <c r="B58" t="inlineStr">
        <is>
          <t>maxillary palp sense organ</t>
        </is>
      </c>
      <c r="C58" t="inlineStr">
        <is>
          <t>None</t>
        </is>
      </c>
      <c r="D58" t="inlineStr">
        <is>
          <t>Any sense organ (FBbt:00005155) that is part of some maxillary palpus (FBbt:00004546).</t>
        </is>
      </c>
      <c r="E58" t="inlineStr">
        <is>
          <t>Singh and Nayak, 1985, Int. J. Insect Morph. Embryol. 14(5): 291--306 (flybase.org/reports/FBrf0042885); Stocker, 1994, Cell Tissue Res. 275(1): 3--26 (flybase.org/reports/FBrf0068700)</t>
        </is>
      </c>
      <c r="F58" t="inlineStr"/>
      <c r="G58" t="inlineStr"/>
      <c r="H58" t="inlineStr"/>
    </row>
    <row r="59">
      <c r="A59">
        <f>HYPERLINK("https://www.ebi.ac.uk/ols/ontologies/fbbt/terms?iri=http://purl.obolibrary.org/obo/FBbt_00004528","FBbt:00004528")</f>
        <v/>
      </c>
      <c r="B59" t="inlineStr">
        <is>
          <t>anterior plate of cibarium</t>
        </is>
      </c>
      <c r="C59" t="inlineStr">
        <is>
          <t>None</t>
        </is>
      </c>
      <c r="D59" t="inlineStr">
        <is>
          <t>Mobile, arched, sclerotized plate on the anterior side of the cibarium. It bears a ridge shaped apodeme (apodemal carina) that is attached to large dilator muscles that attach to clypeus.</t>
        </is>
      </c>
      <c r="E59" t="inlineStr">
        <is>
          <t>Bodenstein, 1950, Demerec, 1950: 275--367 (flybase.org/reports/FBrf0007733)</t>
        </is>
      </c>
      <c r="F59" t="inlineStr"/>
      <c r="G59" t="inlineStr"/>
      <c r="H59" t="inlineStr"/>
    </row>
    <row r="60">
      <c r="A60">
        <f>HYPERLINK("https://www.ebi.ac.uk/ols/ontologies/fbbt/terms?iri=http://purl.obolibrary.org/obo/FBbt_00004529","FBbt:00004529")</f>
        <v/>
      </c>
      <c r="B60" t="inlineStr">
        <is>
          <t>posterior plate of cibarium</t>
        </is>
      </c>
      <c r="C60" t="inlineStr">
        <is>
          <t>None</t>
        </is>
      </c>
      <c r="D60" t="inlineStr">
        <is>
          <t>Fixed, arched, sclerotized plate on the posterior side of the cibarium. It is attached to the clypeus.</t>
        </is>
      </c>
      <c r="E60" t="inlineStr">
        <is>
          <t>Bodenstein, 1950, Demerec, 1950: 275--367 (flybase.org/reports/FBrf0007733)</t>
        </is>
      </c>
      <c r="F60" t="inlineStr"/>
      <c r="G60" t="inlineStr"/>
      <c r="H60" t="inlineStr"/>
    </row>
    <row r="61">
      <c r="A61">
        <f>HYPERLINK("https://www.ebi.ac.uk/ols/ontologies/fbbt/terms?iri=http://purl.obolibrary.org/obo/FBbt_00047485","FBbt:00047485")</f>
        <v/>
      </c>
      <c r="B61" t="inlineStr">
        <is>
          <t>calcium-sensing neuron of the labellum</t>
        </is>
      </c>
      <c r="C61" t="inlineStr">
        <is>
          <t>None</t>
        </is>
      </c>
      <c r="D61" t="inlineStr">
        <is>
          <t>Neuron of the labellum that is sensitive to increases in calcium concentration and is necessary for high calcium avoidance behavior. These have dendrites in S-type sensilla (short labellar taste bristles), including S3, S5, S6, S7, S8 and S10. The response to calcium requires the Ir25a and Ir76b co-receptors.</t>
        </is>
      </c>
      <c r="E61" t="inlineStr">
        <is>
          <t>Lee et al., 2018, Neuron 97(1): 67--74.e4 (flybase.org/reports/FBrf0237619)</t>
        </is>
      </c>
      <c r="F61" t="inlineStr"/>
      <c r="G61" t="inlineStr"/>
      <c r="H61" t="inlineStr"/>
    </row>
    <row r="62">
      <c r="A62">
        <f>HYPERLINK("https://www.ebi.ac.uk/ols/ontologies/fbbt/terms?iri=http://purl.obolibrary.org/obo/FBbt_00004163","FBbt:00004163")</f>
        <v/>
      </c>
      <c r="B62" t="inlineStr">
        <is>
          <t>labellar taste peg</t>
        </is>
      </c>
      <c r="C62" t="inlineStr">
        <is>
          <t>taste peg sensillum; interpseudotracheal organ; taste papilla</t>
        </is>
      </c>
      <c r="D62" t="inlineStr">
        <is>
          <t>Gustatory peg between the cuticular folds of pseudotrachea of the adult labellum. They measure around 4um in length with a distal shaft of about 2.5um arising from a base that is 1-1.5um high. They are innervated by one chemosensory neuron and one mechanosensory neuron.</t>
        </is>
      </c>
      <c r="E62" t="inlineStr">
        <is>
          <t>Shanbhag et al., 2001, Cell Tissue Res. 304(3): 423--437 (flybase.org/reports/FBrf0137194)</t>
        </is>
      </c>
      <c r="F62" t="inlineStr"/>
      <c r="G62" t="inlineStr"/>
      <c r="H62" t="inlineStr"/>
    </row>
    <row r="63">
      <c r="A63">
        <f>HYPERLINK("https://www.ebi.ac.uk/ols/ontologies/fbbt/terms?iri=http://purl.obolibrary.org/obo/FBbt_00004162","FBbt:00004162")</f>
        <v/>
      </c>
      <c r="B63" t="inlineStr">
        <is>
          <t>labellar taste bristle</t>
        </is>
      </c>
      <c r="C63" t="inlineStr">
        <is>
          <t>None</t>
        </is>
      </c>
      <c r="D63" t="inlineStr">
        <is>
          <t>Gustatory bristle on the outer surface of the labellum. Three different types are present: short, intermediate and large bristles. They are innervated by 2 or 4 chemosensory neurons and one mechanosensory neuron.</t>
        </is>
      </c>
      <c r="E63" t="inlineStr">
        <is>
          <t>Shanbhag et al., 2001, Cell Tissue Res. 304(3): 423--437 (flybase.org/reports/FBrf0137194)</t>
        </is>
      </c>
      <c r="F63" t="inlineStr"/>
      <c r="G63" t="inlineStr"/>
      <c r="H63" t="inlineStr"/>
    </row>
    <row r="64">
      <c r="A64">
        <f>HYPERLINK("https://www.ebi.ac.uk/ols/ontologies/fbbt/terms?iri=http://purl.obolibrary.org/obo/FBbt_00047313","FBbt:00047313")</f>
        <v/>
      </c>
      <c r="B64" t="inlineStr">
        <is>
          <t>labellar multidendritic neuron</t>
        </is>
      </c>
      <c r="C64" t="inlineStr">
        <is>
          <t>multidendritic neuron in the labellum; md-L neuron</t>
        </is>
      </c>
      <c r="D64" t="inlineStr">
        <is>
          <t>Mechanosensory multidendritic neuron that innervates the labellum. There is one of these innervating each of the two bilaterally symmetrical labella. This cell expresses the gene Transmembrane channel-like, which is required for its response to the bending of L-type taste bristles. Its cell body is in the proximal part of the labellum and its axons project to the subesophageal zone, innervating a region distinct from that innervated by gustatory receptor neurons, such as those expressing Gr5a.</t>
        </is>
      </c>
      <c r="E64" t="inlineStr">
        <is>
          <t>Zhang et al., 2016, Neuron 91(4): 863--877 (flybase.org/reports/FBrf0233217)</t>
        </is>
      </c>
      <c r="F64" t="inlineStr"/>
      <c r="G64" t="inlineStr"/>
      <c r="H64" t="inlineStr"/>
    </row>
    <row r="65">
      <c r="A65">
        <f>HYPERLINK("https://www.ebi.ac.uk/ols/ontologies/fbbt/terms?iri=http://purl.obolibrary.org/obo/FBbt_00100044","FBbt:00100044")</f>
        <v/>
      </c>
      <c r="B65" t="inlineStr">
        <is>
          <t>L2 GRN</t>
        </is>
      </c>
      <c r="C65" t="inlineStr">
        <is>
          <t>bitter neuron</t>
        </is>
      </c>
      <c r="D65" t="inlineStr">
        <is>
          <t>Gustatory receptor neuron of the short or long sensilla of the labellum that is responsive to high concentrations of salt (Montell, 2009) or bitter compounds (Meunier et al., 2003). The bitter-sensing, Gr66a-expressing L2 GRNs also express Ir25a (Lee et al., 2018).</t>
        </is>
      </c>
      <c r="E65" t="inlineStr">
        <is>
          <t>Meunier et al., 2003, J. Neurobiol. 56(2): 139--152 (flybase.org/reports/FBrf0160792); Wang et al., 2004, Cell 117(7): 981--991 (flybase.org/reports/FBrf0179508); Montell, 2009, Curr. Opin. Neurobiol. 19(4): 345--353 (flybase.org/reports/FBrf0208984); Lee et al., 2018, Neuron 97(1): 67--74.e4 (flybase.org/reports/FBrf0237619)</t>
        </is>
      </c>
      <c r="F65" t="inlineStr"/>
      <c r="G65" t="inlineStr"/>
      <c r="H65" t="inlineStr"/>
    </row>
    <row r="66">
      <c r="A66">
        <f>HYPERLINK("https://www.ebi.ac.uk/ols/ontologies/fbbt/terms?iri=http://purl.obolibrary.org/obo/FBbt_00100043","FBbt:00100043")</f>
        <v/>
      </c>
      <c r="B66" t="inlineStr">
        <is>
          <t>L1 GRN</t>
        </is>
      </c>
      <c r="C66" t="inlineStr">
        <is>
          <t>classical salt neuron</t>
        </is>
      </c>
      <c r="D66" t="inlineStr">
        <is>
          <t>Gustatory receptor neuron of the short or long sensilla of the labellum that is responsive to low concentrations of salt (Montell, 2009).</t>
        </is>
      </c>
      <c r="E66" t="inlineStr">
        <is>
          <t>Montell, 2009, Curr. Opin. Neurobiol. 19(4): 345--353 (flybase.org/reports/FBrf0208984)</t>
        </is>
      </c>
      <c r="F66" t="inlineStr"/>
      <c r="G66" t="inlineStr"/>
      <c r="H66" t="inlineStr"/>
    </row>
    <row r="67">
      <c r="A67">
        <f>HYPERLINK("https://www.ebi.ac.uk/ols/ontologies/fbbt/terms?iri=http://purl.obolibrary.org/obo/FBbt_00003273","FBbt:00003273")</f>
        <v/>
      </c>
      <c r="B67" t="inlineStr">
        <is>
          <t>cibarial muscle 10</t>
        </is>
      </c>
      <c r="C67" t="inlineStr">
        <is>
          <t>median pharyngeal muscle</t>
        </is>
      </c>
      <c r="D67" t="inlineStr">
        <is>
          <t>Muscle of the cibarium that, together with cibarial muscle 9, rotates the pharynx up into the head. It is a shorter muscle than cibarial muscle 9, extending in a dorso-posterior orientation.</t>
        </is>
      </c>
      <c r="E67" t="inlineStr">
        <is>
          <t>Miller, 1950, Demerec, 1950: 420--534 (flybase.org/reports/FBrf0007735); Hartenstein, 2006, Sink, 2006: 8--27 (flybase.org/reports/FBrf0193310)</t>
        </is>
      </c>
      <c r="F67" t="inlineStr"/>
      <c r="G67" t="inlineStr"/>
      <c r="H67" t="inlineStr"/>
    </row>
    <row r="68">
      <c r="A68">
        <f>HYPERLINK("https://www.ebi.ac.uk/ols/ontologies/fbbt/terms?iri=http://purl.obolibrary.org/obo/FBbt_00003274","FBbt:00003274")</f>
        <v/>
      </c>
      <c r="B68" t="inlineStr">
        <is>
          <t>cibarial dilator muscle</t>
        </is>
      </c>
      <c r="C68" t="inlineStr">
        <is>
          <t>None</t>
        </is>
      </c>
      <c r="D68" t="inlineStr">
        <is>
          <t>Muscle involved in the dilation of the adult cibarium.</t>
        </is>
      </c>
      <c r="E68" t="inlineStr">
        <is>
          <t>Miller, 1950, Demerec, 1950: 420--534 (flybase.org/reports/FBrf0007735); Hartenstein, 2006, Sink, 2006: 8--27 (flybase.org/reports/FBrf0193310)</t>
        </is>
      </c>
      <c r="F68" t="inlineStr"/>
      <c r="G68" t="inlineStr"/>
      <c r="H68" t="inlineStr"/>
    </row>
    <row r="69">
      <c r="A69">
        <f>HYPERLINK("https://www.ebi.ac.uk/ols/ontologies/fbbt/terms?iri=http://purl.obolibrary.org/obo/FBbt_00003272","FBbt:00003272")</f>
        <v/>
      </c>
      <c r="B69" t="inlineStr">
        <is>
          <t>cibarial muscle 9</t>
        </is>
      </c>
      <c r="C69" t="inlineStr">
        <is>
          <t>protractor of rostrum; rostral protractor; retractor of fulcrum; lateral pharyngeal muscle</t>
        </is>
      </c>
      <c r="D69" t="inlineStr">
        <is>
          <t>Muscle of the cibarium that, together with cibarial muscle 10, rotates the pharynx up into the head. It is a longer muscle than cibarial muscle 10, and extends in a dorsomedial-anteriolateral orientation, originating on the cranial wall just below and anterior to the eye. It is required for the proboscis extension reflex. It is synapsed by the cibarial pump muscle 9 motor neuron.</t>
        </is>
      </c>
      <c r="E69" t="inlineStr">
        <is>
          <t>Miller, 1950, Demerec, 1950: 420--534 (flybase.org/reports/FBrf0007735); Hartenstein, 2006, Sink, 2006: 8--27 (flybase.org/reports/FBrf0193310); Gordon and Scott, 2009, Neuron 61(3): 373--384 (flybase.org/reports/FBrf0206709)</t>
        </is>
      </c>
      <c r="F69" t="inlineStr"/>
      <c r="G69" t="inlineStr"/>
      <c r="H69" t="inlineStr"/>
    </row>
    <row r="70">
      <c r="A70">
        <f>HYPERLINK("https://www.ebi.ac.uk/ols/ontologies/fbbt/terms?iri=http://purl.obolibrary.org/obo/FBbt_00003270","FBbt:00003270")</f>
        <v/>
      </c>
      <c r="B70" t="inlineStr">
        <is>
          <t>haustellum muscle 8</t>
        </is>
      </c>
      <c r="C70" t="inlineStr">
        <is>
          <t>transverse labial muscle; transverse of haustellum</t>
        </is>
      </c>
      <c r="D70" t="inlineStr">
        <is>
          <t>A transversely oriented muscle located the proximal haustellum (mediproboscis) that assists in the in extension of the labella.</t>
        </is>
      </c>
      <c r="E70" t="inlineStr">
        <is>
          <t>Miller, 1950, Demerec, 1950: 420--534 (flybase.org/reports/FBrf0007735)</t>
        </is>
      </c>
      <c r="F70" t="inlineStr"/>
      <c r="G70" t="inlineStr"/>
      <c r="H70" t="inlineStr"/>
    </row>
    <row r="71">
      <c r="A71">
        <f>HYPERLINK("https://www.ebi.ac.uk/ols/ontologies/fbbt/terms?iri=http://purl.obolibrary.org/obo/FBbt_00100042","FBbt:00100042")</f>
        <v/>
      </c>
      <c r="B71" t="inlineStr">
        <is>
          <t>W cell</t>
        </is>
      </c>
      <c r="C71" t="inlineStr">
        <is>
          <t>water neuron; W GRN</t>
        </is>
      </c>
      <c r="D71" t="inlineStr">
        <is>
          <t>Gustatory receptor neuron of the short or long sensilla of the labellum that is responsive to water (Montell, 2009).</t>
        </is>
      </c>
      <c r="E71" t="inlineStr">
        <is>
          <t>Montell, 2009, Curr. Opin. Neurobiol. 19(4): 345--353 (flybase.org/reports/FBrf0208984)</t>
        </is>
      </c>
      <c r="F71" t="inlineStr"/>
      <c r="G71" t="inlineStr"/>
      <c r="H71" t="inlineStr"/>
    </row>
    <row r="72">
      <c r="A72">
        <f>HYPERLINK("https://www.ebi.ac.uk/ols/ontologies/fbbt/terms?iri=http://purl.obolibrary.org/obo/FBbt_00100041","FBbt:00100041")</f>
        <v/>
      </c>
      <c r="B72" t="inlineStr">
        <is>
          <t>S cell</t>
        </is>
      </c>
      <c r="C72" t="inlineStr">
        <is>
          <t>S GRN; sugar neuron; category IS neuron; Gr5a neuron</t>
        </is>
      </c>
      <c r="D72" t="inlineStr">
        <is>
          <t>Gustatory receptor neuron that innervates a sensillum of the labellum and is responsive to sugars (Montell, 2009), and possibly also amino acids (Dunipace, et al., 2001, Ganguly et al., 2017). There is one of these in each sensillum of the labellum and they all express Gr5a and Gr64f (Weiss et al., 2011). A subset of these also express Ir25a (Lee et al., 2018).</t>
        </is>
      </c>
      <c r="E72" t="inlineStr">
        <is>
          <t>Dunipace et al., 2001, Curr. Biol. 11(11): 822--835 (flybase.org/reports/FBrf0137203); Wang et al., 2004, Cell 117(7): 981--991 (flybase.org/reports/FBrf0179508); Montell, 2009, Curr. Opin. Neurobiol. 19(4): 345--353 (flybase.org/reports/FBrf0208984); Weiss et al., 2011, Neuron 69(2): 258--272 (flybase.org/reports/FBrf0212834); Ganguly et al., 2017, Cell Rep. 18(3): 737--750 (flybase.org/reports/FBrf0234535); Lee et al., 2018, Neuron 97(1): 67--74.e4 (flybase.org/reports/FBrf0237619)</t>
        </is>
      </c>
      <c r="F72" t="inlineStr"/>
      <c r="G72" t="inlineStr"/>
      <c r="H72" t="inlineStr"/>
    </row>
    <row r="73">
      <c r="A73">
        <f>HYPERLINK("https://www.ebi.ac.uk/ols/ontologies/fbbt/terms?iri=http://purl.obolibrary.org/obo/FBbt_00048149","FBbt:00048149")</f>
        <v/>
      </c>
      <c r="B73" t="inlineStr">
        <is>
          <t>ventral cibarial sense organ neuron V6</t>
        </is>
      </c>
      <c r="C73" t="inlineStr">
        <is>
          <t>VCSO V6</t>
        </is>
      </c>
      <c r="D73" t="inlineStr">
        <is>
          <t>Gustatory receptor neuron that innervates the ventral cibarial sense organ of the adult pharynx. There is one of these cells, which is unique among pharyngeal sense organ neurons in expressing Gr9a; it also expresses a range of other Gustatory receptors, as well as Ir11a and Ir25a (Chen and Dahanukar, 2017).</t>
        </is>
      </c>
      <c r="E73" t="inlineStr">
        <is>
          <t>Chen and Dahanukar, 2017, Cell Rep. 21(10): 2978--2991 (flybase.org/reports/FBrf0237413)</t>
        </is>
      </c>
      <c r="F73" t="inlineStr"/>
      <c r="G73" t="inlineStr"/>
      <c r="H73" t="inlineStr"/>
    </row>
    <row r="74">
      <c r="A74">
        <f>HYPERLINK("https://www.ebi.ac.uk/ols/ontologies/fbbt/terms?iri=http://purl.obolibrary.org/obo/FBbt_00048148","FBbt:00048148")</f>
        <v/>
      </c>
      <c r="B74" t="inlineStr">
        <is>
          <t>ventral cibarial sense organ neuron V5</t>
        </is>
      </c>
      <c r="C74" t="inlineStr">
        <is>
          <t>VCSO V5</t>
        </is>
      </c>
      <c r="D74" t="inlineStr">
        <is>
          <t>Gustatory receptor neuron that innervates the ventral cibarial sense organ of the adult pharynx. There is one of these cells, which is unique among pharyngeal sense organ neurons in expressing Gr22d; it also expresses a range of other Gustatory receptors and a few Ionotropic receptors (Chen and Dahanukar, 2017).</t>
        </is>
      </c>
      <c r="E74" t="inlineStr">
        <is>
          <t>Chen and Dahanukar, 2017, Cell Rep. 21(10): 2978--2991 (flybase.org/reports/FBrf0237413)</t>
        </is>
      </c>
      <c r="F74" t="inlineStr"/>
      <c r="G74" t="inlineStr"/>
      <c r="H74" t="inlineStr"/>
    </row>
    <row r="75">
      <c r="A75">
        <f>HYPERLINK("https://www.ebi.ac.uk/ols/ontologies/fbbt/terms?iri=http://purl.obolibrary.org/obo/FBbt_00048147","FBbt:00048147")</f>
        <v/>
      </c>
      <c r="B75" t="inlineStr">
        <is>
          <t>ventral cibarial sense organ neuron V4</t>
        </is>
      </c>
      <c r="C75" t="inlineStr">
        <is>
          <t>VCSO V4</t>
        </is>
      </c>
      <c r="D75" t="inlineStr">
        <is>
          <t>Gustatory receptor neuron that innervates the ventral cibarial sense organ of the adult pharynx. There is one of these cells, which is unique among ventral cibarial sense organ neurons in expressing ppk28; it also expresses Ir20a and Ir25a (Chen and Dahanukar, 2017).</t>
        </is>
      </c>
      <c r="E75" t="inlineStr">
        <is>
          <t>Chen and Dahanukar, 2017, Cell Rep. 21(10): 2978--2991 (flybase.org/reports/FBrf0237413)</t>
        </is>
      </c>
      <c r="F75" t="inlineStr"/>
      <c r="G75" t="inlineStr"/>
      <c r="H75" t="inlineStr"/>
    </row>
    <row r="76">
      <c r="A76">
        <f>HYPERLINK("https://www.ebi.ac.uk/ols/ontologies/fbbt/terms?iri=http://purl.obolibrary.org/obo/FBbt_00048146","FBbt:00048146")</f>
        <v/>
      </c>
      <c r="B76" t="inlineStr">
        <is>
          <t>ventral cibarial sense organ neuron V3</t>
        </is>
      </c>
      <c r="C76" t="inlineStr">
        <is>
          <t>VCSO V3</t>
        </is>
      </c>
      <c r="D76" t="inlineStr">
        <is>
          <t>Gustatory receptor neuron that innervates the ventral cibarial sense organ of the adult pharynx. There is one of these cells, which expresses Ir20a, Ir76b and Ir25a (Chen and Dahanukar, 2017).</t>
        </is>
      </c>
      <c r="E76" t="inlineStr">
        <is>
          <t>Chen and Dahanukar, 2017, Cell Rep. 21(10): 2978--2991 (flybase.org/reports/FBrf0237413)</t>
        </is>
      </c>
      <c r="F76" t="inlineStr"/>
      <c r="G76" t="inlineStr"/>
      <c r="H76" t="inlineStr"/>
    </row>
    <row r="77">
      <c r="A77">
        <f>HYPERLINK("https://www.ebi.ac.uk/ols/ontologies/fbbt/terms?iri=http://purl.obolibrary.org/obo/FBbt_00048145","FBbt:00048145")</f>
        <v/>
      </c>
      <c r="B77" t="inlineStr">
        <is>
          <t>ventral cibarial sense organ neuron V2</t>
        </is>
      </c>
      <c r="C77" t="inlineStr">
        <is>
          <t>VCSO V2</t>
        </is>
      </c>
      <c r="D77" t="inlineStr">
        <is>
          <t>Gustatory receptor neuron that innervates the ventral cibarial sense organ of the adult pharynx. There is one of these cells, which is unique among pharyngeal sense organ neurons in expressing Ir94h; it also expresses Gr43a, Gr64d and Gr64e (Chen and Dahanukar, 2017).</t>
        </is>
      </c>
      <c r="E77" t="inlineStr">
        <is>
          <t>Chen and Dahanukar, 2017, Cell Rep. 21(10): 2978--2991 (flybase.org/reports/FBrf0237413)</t>
        </is>
      </c>
      <c r="F77" t="inlineStr"/>
      <c r="G77" t="inlineStr"/>
      <c r="H77" t="inlineStr"/>
    </row>
    <row r="78">
      <c r="A78">
        <f>HYPERLINK("https://www.ebi.ac.uk/ols/ontologies/fbbt/terms?iri=http://purl.obolibrary.org/obo/FBbt_00048144","FBbt:00048144")</f>
        <v/>
      </c>
      <c r="B78" t="inlineStr">
        <is>
          <t>ventral cibarial sense organ neuron V1</t>
        </is>
      </c>
      <c r="C78" t="inlineStr">
        <is>
          <t>VCSO V1</t>
        </is>
      </c>
      <c r="D78" t="inlineStr">
        <is>
          <t>Gustatory receptor neuron that innervates the ventral cibarial sense organ of the adult pharynx. There is one of these cells, which is unique among pharyngeal sense organ neurons in expressing Gr64c; it also expresses Gr43a, Gr64d and Gr64e (Chen and Dahanukar, 2017).</t>
        </is>
      </c>
      <c r="E78" t="inlineStr">
        <is>
          <t>Chen and Dahanukar, 2017, Cell Rep. 21(10): 2978--2991 (flybase.org/reports/FBrf0237413)</t>
        </is>
      </c>
      <c r="F78" t="inlineStr"/>
      <c r="G78" t="inlineStr"/>
      <c r="H78" t="inlineStr"/>
    </row>
    <row r="79">
      <c r="A79">
        <f>HYPERLINK("https://www.ebi.ac.uk/ols/ontologies/fbbt/terms?iri=http://purl.obolibrary.org/obo/FBbt_00048151","FBbt:00048151")</f>
        <v/>
      </c>
      <c r="B79" t="inlineStr">
        <is>
          <t>ventral cibarial sense organ neuron V8</t>
        </is>
      </c>
      <c r="C79" t="inlineStr">
        <is>
          <t>VCSO V8</t>
        </is>
      </c>
      <c r="D79" t="inlineStr">
        <is>
          <t>Gustatory receptor neuron that innervates the ventral cibarial sense organ of the adult pharynx. There is one of these cells, which expresses Gr93d and Ir25a (Chen and Dahanukar, 2017).</t>
        </is>
      </c>
      <c r="E79" t="inlineStr">
        <is>
          <t>Chen and Dahanukar, 2017, Cell Rep. 21(10): 2978--2991 (flybase.org/reports/FBrf0237413)</t>
        </is>
      </c>
      <c r="F79" t="inlineStr"/>
      <c r="G79" t="inlineStr"/>
      <c r="H79" t="inlineStr"/>
    </row>
    <row r="80">
      <c r="A80">
        <f>HYPERLINK("https://www.ebi.ac.uk/ols/ontologies/fbbt/terms?iri=http://purl.obolibrary.org/obo/FBbt_00048150","FBbt:00048150")</f>
        <v/>
      </c>
      <c r="B80" t="inlineStr">
        <is>
          <t>ventral cibarial sense organ neuron V7</t>
        </is>
      </c>
      <c r="C80" t="inlineStr">
        <is>
          <t>VCSO V7</t>
        </is>
      </c>
      <c r="D80" t="inlineStr">
        <is>
          <t>Gustatory receptor neuron that innervates the ventral cibarial sense organ of the adult pharynx. There is one of these cells, which expresses a range of Gustatory receptors, as well as Ir11a and Ir25a (Chen and Dahanukar, 2017).</t>
        </is>
      </c>
      <c r="E80" t="inlineStr">
        <is>
          <t>Chen and Dahanukar, 2017, Cell Rep. 21(10): 2978--2991 (flybase.org/reports/FBrf0237413)</t>
        </is>
      </c>
      <c r="F80" t="inlineStr"/>
      <c r="G80" t="inlineStr"/>
      <c r="H80" t="inlineStr"/>
    </row>
    <row r="81">
      <c r="A81">
        <f>HYPERLINK("https://www.ebi.ac.uk/ols/ontologies/fbbt/terms?iri=http://purl.obolibrary.org/obo/FBbt_00048028","FBbt:00048028")</f>
        <v/>
      </c>
      <c r="B81" t="inlineStr">
        <is>
          <t>labellar taste peg chemosensory neuron</t>
        </is>
      </c>
      <c r="C81" t="inlineStr">
        <is>
          <t>None</t>
        </is>
      </c>
      <c r="D81" t="inlineStr">
        <is>
          <t>Chemosensory neuron that innervates a labial taste peg. There is one of these per taste peg, paired with one mechanosensory neuron (Shanbhag et al., 2001).</t>
        </is>
      </c>
      <c r="E81" t="inlineStr">
        <is>
          <t>Shanbhag et al., 2001, Cell Tissue Res. 304(3): 423--437 (flybase.org/reports/FBrf0137194)</t>
        </is>
      </c>
      <c r="F81" t="inlineStr"/>
      <c r="G81" t="inlineStr"/>
      <c r="H81" t="inlineStr"/>
    </row>
    <row r="82">
      <c r="A82">
        <f>HYPERLINK("https://www.ebi.ac.uk/ols/ontologies/fbbt/terms?iri=http://purl.obolibrary.org/obo/FBbt_00004138","FBbt:00004138")</f>
        <v/>
      </c>
      <c r="B82" t="inlineStr">
        <is>
          <t>ventral row bristle of the cibarium</t>
        </is>
      </c>
      <c r="C82" t="inlineStr">
        <is>
          <t>ventral row cibarial fish-trap bristle; lower row cibarial fish-trap bristle; lower row cibarial fish trap bristle; lower row cibarial fishtrap bristle; ventral row; VB</t>
        </is>
      </c>
      <c r="D82" t="inlineStr">
        <is>
          <t>One of 12-15 singly innervated small bristles of the ventral row of the cibarial fish-trap bristle, ventral to the ventral cibarial sense organ. They are innervated by mechanosensory neurons.</t>
        </is>
      </c>
      <c r="E82" t="inlineStr">
        <is>
          <t>Stocker and Schorderet, 1981, Cell Tissue Res. 216(3): 513--523 (flybase.org/reports/FBrf0035962); Bate and Martinez Arias, 1991, Development 112(3): 755--761 (flybase.org/reports/FBrf0053815); Nayak and Singh, 1983, Int. J. Insect Morph. Embryol. 12(5--6): 273--291 (flybase.org/reports/FBrf0074012); Gendre et al., 2004, Development 131(1): 83--92 (flybase.org/reports/FBrf0167539)</t>
        </is>
      </c>
      <c r="F82" t="inlineStr"/>
      <c r="G82" t="inlineStr"/>
      <c r="H82" t="inlineStr"/>
    </row>
    <row r="83">
      <c r="A83">
        <f>HYPERLINK("https://www.ebi.ac.uk/ols/ontologies/fbbt/terms?iri=http://purl.obolibrary.org/obo/FBbt_00004137","FBbt:00004137")</f>
        <v/>
      </c>
      <c r="B83" t="inlineStr">
        <is>
          <t>dorsal row bristle of the cibarium</t>
        </is>
      </c>
      <c r="C83" t="inlineStr">
        <is>
          <t>posterior cibarial setae; dorsal row; DB; upper row cibarial fishtrap bristle; upper row cibarial fish-trap bristle; upper row cibarial fish trap bristle; dorsal row cibarial fish-trap bristle</t>
        </is>
      </c>
      <c r="D83" t="inlineStr">
        <is>
          <t>One of 6-8 singly innervated bristles of dorsal row of the cibarial fish-trap bristle, dorsal to the ventral cibarial sense organ. They are innervated by mechanosensory neurons.</t>
        </is>
      </c>
      <c r="E83" t="inlineStr">
        <is>
          <t>Stocker and Schorderet, 1981, Cell Tissue Res. 216(3): 513--523 (flybase.org/reports/FBrf0035962); Bate and Martinez Arias, 1991, Development 112(3): 755--761 (flybase.org/reports/FBrf0053815); Nayak and Singh, 1983, Int. J. Insect Morph. Embryol. 12(5--6): 273--291 (flybase.org/reports/FBrf0074012); Gendre et al., 2004, Development 131(1): 83--92 (flybase.org/reports/FBrf0167539)</t>
        </is>
      </c>
      <c r="F83" t="inlineStr"/>
      <c r="G83" t="inlineStr"/>
      <c r="H83" t="inlineStr"/>
    </row>
    <row r="84">
      <c r="A84">
        <f>HYPERLINK("https://www.ebi.ac.uk/ols/ontologies/fbbt/terms?iri=http://purl.obolibrary.org/obo/FBbt_00004025","FBbt:00004025")</f>
        <v/>
      </c>
      <c r="B84" t="inlineStr">
        <is>
          <t>ventral cibarial sense organ neuron of proximal sensillum</t>
        </is>
      </c>
      <c r="C84" t="inlineStr">
        <is>
          <t>VCSO GRN</t>
        </is>
      </c>
      <c r="D84" t="inlineStr">
        <is>
          <t>Gustatory receptor neuron that innervates the proximal sensillum of the ventral cibarial sense organ of the adult pharynx. There are two of these per sensillum.</t>
        </is>
      </c>
      <c r="E84" t="inlineStr">
        <is>
          <t>Stocker, 1994, Cell Tissue Res. 275(1): 3--26 (flybase.org/reports/FBrf0068700); Nayak and Singh, 1983, Int. J. Insect Morph. Embryol. 12(5--6): 273--291 (flybase.org/reports/FBrf0074012); Gendre et al., 2004, Development 131(1): 83--92 (flybase.org/reports/FBrf0167539)</t>
        </is>
      </c>
      <c r="F84" t="inlineStr"/>
      <c r="G84" t="inlineStr"/>
      <c r="H84" t="inlineStr"/>
    </row>
    <row r="85">
      <c r="A85">
        <f>HYPERLINK("https://www.ebi.ac.uk/ols/ontologies/fbbt/terms?iri=http://purl.obolibrary.org/obo/FBbt_00007413","FBbt:00007413")</f>
        <v/>
      </c>
      <c r="B85" t="inlineStr">
        <is>
          <t>short labellar taste bristle</t>
        </is>
      </c>
      <c r="C85" t="inlineStr">
        <is>
          <t>S-type sensilla; sTB</t>
        </is>
      </c>
      <c r="D85" t="inlineStr">
        <is>
          <t>Shortest subclass of taste bristle of the labellum: each bristle is around 15 micrometres long and is curved in the medial direction. These bristles are located in the most medial and ventral regions of the outside labellum. These taste bristles contain the sensory dendrites of 4 gustatory receptor neurons (Shanbhag et al., 2001) sensitive to: sugars; low concentrations of salt; bitter or high salt concentrations; water or low osmolarity (Meunier et al., 2003; Fujishiro et al., 1984).These taste bristles also contains the sensory dendrite of one mechanosensory neuron (Shanbhag et al., 2001).</t>
        </is>
      </c>
      <c r="E85" t="inlineStr">
        <is>
          <t>Fujishiro et al., 1984, J. Insect Physiol. 30(4): 317--325 (flybase.org/reports/FBrf0041338); Shanbhag et al., 2001, Cell Tissue Res. 304(3): 423--437 (flybase.org/reports/FBrf0137194); Meunier et al., 2003, J. Neurobiol. 56(2): 139--152 (flybase.org/reports/FBrf0160792)</t>
        </is>
      </c>
      <c r="F85" t="inlineStr"/>
      <c r="G85" t="inlineStr"/>
      <c r="H85" t="inlineStr"/>
    </row>
    <row r="86">
      <c r="A86">
        <f>HYPERLINK("https://www.ebi.ac.uk/ols/ontologies/fbbt/terms?iri=http://purl.obolibrary.org/obo/FBbt_00007411","FBbt:00007411")</f>
        <v/>
      </c>
      <c r="B86" t="inlineStr">
        <is>
          <t>large labellar taste bristle</t>
        </is>
      </c>
      <c r="C86" t="inlineStr">
        <is>
          <t>L-type sensilla; long labellar taste bristle; lTB</t>
        </is>
      </c>
      <c r="D86" t="inlineStr">
        <is>
          <t>Largest taste bristle subtype of the outside labellum: each bristle is around 35 micrometres long. These bristles are located in the region between the intermediate bristles on the lobe periphery and the medial-ventrally located short taste bristles. These taste bristles contain 4 gustatory receptor neurons (Shanbhag et al., 2001) sensitive to: sugars, low concentrations of salt, bitter or high salt concentrations and water or low osmolarity (Meunier et al., 2003; Fujishiro et al., 1984) and one mechanosensory neuron (Shanbhag et al., 2001). Large taste bristles do not respond to bitter stimuli and their gustatory receptor neurons do not express the bitter receptor Gr66a (Weiss et al., 2011).</t>
        </is>
      </c>
      <c r="E86" t="inlineStr">
        <is>
          <t>Fujishiro et al., 1984, J. Insect Physiol. 30(4): 317--325 (flybase.org/reports/FBrf0041338); Shanbhag et al., 2001, Cell Tissue Res. 304(3): 423--437 (flybase.org/reports/FBrf0137194); Meunier et al., 2003, J. Neurobiol. 56(2): 139--152 (flybase.org/reports/FBrf0160792); Weiss et al., 2011, Neuron 69(2): 258--272 (flybase.org/reports/FBrf0212834)</t>
        </is>
      </c>
      <c r="F86" t="inlineStr"/>
      <c r="G86" t="inlineStr"/>
      <c r="H86" t="inlineStr"/>
    </row>
    <row r="87">
      <c r="A87">
        <f>HYPERLINK("https://www.ebi.ac.uk/ols/ontologies/fbbt/terms?iri=http://purl.obolibrary.org/obo/FBbt_00007412","FBbt:00007412")</f>
        <v/>
      </c>
      <c r="B87" t="inlineStr">
        <is>
          <t>intermediate labellar taste bristle</t>
        </is>
      </c>
      <c r="C87" t="inlineStr">
        <is>
          <t>I-type sensilla; iTB</t>
        </is>
      </c>
      <c r="D87" t="inlineStr">
        <is>
          <t>Intermediate sized taste bristle of the outside of the labellum: each bristle is around 25 micrometers long. These bristles are located dorsally, on the labellar lobe periphery. These taste bristles house the sensory dendrites of 2 gustatory receptor neurons (Shanbhag et al., 2001): one sensitive to sugars and low concentrations of salt and the other to bitter and high salt concentrations (Hiroi et al., 2004). These taste bristles also contains the sensory dendrite of one mechanosensory neuron (Shanbhag et al., 2001).</t>
        </is>
      </c>
      <c r="E87" t="inlineStr">
        <is>
          <t>Shanbhag et al., 2001, Cell Tissue Res. 304(3): 423--437 (flybase.org/reports/FBrf0137194); Hiroi et al., 2004, J. Neurobiol. 61(3): 333--342 (flybase.org/reports/FBrf0180410)</t>
        </is>
      </c>
      <c r="F87" t="inlineStr"/>
      <c r="G87" t="inlineStr"/>
      <c r="H87" t="inlineStr"/>
    </row>
    <row r="88">
      <c r="A88">
        <f>HYPERLINK("https://www.ebi.ac.uk/ols/ontologies/fbbt/terms?iri=http://purl.obolibrary.org/obo/FBbt_00100076","FBbt:00100076")</f>
        <v/>
      </c>
      <c r="B88" t="inlineStr">
        <is>
          <t>L-type sensillum L8</t>
        </is>
      </c>
      <c r="C88" t="inlineStr">
        <is>
          <t>L-type sensilla L5; L-type sensilla L8</t>
        </is>
      </c>
      <c r="D88" t="inlineStr">
        <is>
          <t>If present, eighth most anterior L-type chemosensillum of the labellum.</t>
        </is>
      </c>
      <c r="E88" t="inlineStr">
        <is>
          <t>Shanbhag et al., 2001, Cell Tissue Res. 304(3): 423--437 (flybase.org/reports/FBrf0137194); Hiroi et al., 2002, Zool. Sci., Tokyo 19(9): 1009--1018 (flybase.org/reports/FBrf0152351); Weiss et al., 2011, Neuron 69(2): 258--272 (flybase.org/reports/FBrf0212834)</t>
        </is>
      </c>
      <c r="F88" t="inlineStr"/>
      <c r="G88" t="inlineStr"/>
      <c r="H88" t="inlineStr"/>
    </row>
    <row r="89">
      <c r="A89">
        <f>HYPERLINK("https://www.ebi.ac.uk/ols/ontologies/fbbt/terms?iri=http://purl.obolibrary.org/obo/FBbt_00100075","FBbt:00100075")</f>
        <v/>
      </c>
      <c r="B89" t="inlineStr">
        <is>
          <t>L-type sensillum L7</t>
        </is>
      </c>
      <c r="C89" t="inlineStr">
        <is>
          <t>L-type sensilla L7; L-type sensilla L9</t>
        </is>
      </c>
      <c r="D89" t="inlineStr">
        <is>
          <t>Seventh most anterior L-type chemosensillum of the labellum.</t>
        </is>
      </c>
      <c r="E89" t="inlineStr">
        <is>
          <t>Shanbhag et al., 2001, Cell Tissue Res. 304(3): 423--437 (flybase.org/reports/FBrf0137194); Hiroi et al., 2002, Zool. Sci., Tokyo 19(9): 1009--1018 (flybase.org/reports/FBrf0152351); Weiss et al., 2011, Neuron 69(2): 258--272 (flybase.org/reports/FBrf0212834)</t>
        </is>
      </c>
      <c r="F89" t="inlineStr"/>
      <c r="G89" t="inlineStr"/>
      <c r="H89" t="inlineStr"/>
    </row>
    <row r="90">
      <c r="A90">
        <f>HYPERLINK("https://www.ebi.ac.uk/ols/ontologies/fbbt/terms?iri=http://purl.obolibrary.org/obo/FBbt_00100074","FBbt:00100074")</f>
        <v/>
      </c>
      <c r="B90" t="inlineStr">
        <is>
          <t>L-type sensillum L6</t>
        </is>
      </c>
      <c r="C90" t="inlineStr">
        <is>
          <t>L-type sensilla L6; L-type sensilla L4</t>
        </is>
      </c>
      <c r="D90" t="inlineStr">
        <is>
          <t>Sixth most anterior L-type chemosensillum of the labellum.</t>
        </is>
      </c>
      <c r="E90" t="inlineStr">
        <is>
          <t>Shanbhag et al., 2001, Cell Tissue Res. 304(3): 423--437 (flybase.org/reports/FBrf0137194); Hiroi et al., 2002, Zool. Sci., Tokyo 19(9): 1009--1018 (flybase.org/reports/FBrf0152351); Weiss et al., 2011, Neuron 69(2): 258--272 (flybase.org/reports/FBrf0212834)</t>
        </is>
      </c>
      <c r="F90" t="inlineStr"/>
      <c r="G90" t="inlineStr"/>
      <c r="H90" t="inlineStr"/>
    </row>
    <row r="91">
      <c r="A91">
        <f>HYPERLINK("https://www.ebi.ac.uk/ols/ontologies/fbbt/terms?iri=http://purl.obolibrary.org/obo/FBbt_00100073","FBbt:00100073")</f>
        <v/>
      </c>
      <c r="B91" t="inlineStr">
        <is>
          <t>L-type sensillum L5</t>
        </is>
      </c>
      <c r="C91" t="inlineStr">
        <is>
          <t>L-type sensilla L5; L-type sensilla L8</t>
        </is>
      </c>
      <c r="D91" t="inlineStr">
        <is>
          <t>Fifth most anterior L-type chemosensillum of the labellum.</t>
        </is>
      </c>
      <c r="E91" t="inlineStr">
        <is>
          <t>Shanbhag et al., 2001, Cell Tissue Res. 304(3): 423--437 (flybase.org/reports/FBrf0137194); Hiroi et al., 2002, Zool. Sci., Tokyo 19(9): 1009--1018 (flybase.org/reports/FBrf0152351); Weiss et al., 2011, Neuron 69(2): 258--272 (flybase.org/reports/FBrf0212834)</t>
        </is>
      </c>
      <c r="F91" t="inlineStr"/>
      <c r="G91" t="inlineStr"/>
      <c r="H91" t="inlineStr"/>
    </row>
    <row r="92">
      <c r="A92">
        <f>HYPERLINK("https://www.ebi.ac.uk/ols/ontologies/fbbt/terms?iri=http://purl.obolibrary.org/obo/FBbt_00048014","FBbt:00048014")</f>
        <v/>
      </c>
      <c r="B92" t="inlineStr">
        <is>
          <t>adult Ir56d neuron of labellar taste peg</t>
        </is>
      </c>
      <c r="C92" t="inlineStr">
        <is>
          <t>E409 neuron</t>
        </is>
      </c>
      <c r="D92" t="inlineStr">
        <is>
          <t>Adult Ir56d-expressing neuron that innervates labellar taste pegs. It responds to carbonated solutions and projects to anterior maxillary sensory zone 1 (AMS1) of the subesophageal zone (Sanchez-Alcaniz et al., 2018).</t>
        </is>
      </c>
      <c r="E92" t="inlineStr">
        <is>
          <t>Sánchez-Alcañiz et al., 2018, Nat. Commun. 9(1): 4252 (flybase.org/reports/FBrf0240321)</t>
        </is>
      </c>
      <c r="F92" t="inlineStr"/>
      <c r="G92" t="inlineStr"/>
      <c r="H92" t="inlineStr"/>
    </row>
    <row r="93">
      <c r="A93">
        <f>HYPERLINK("https://www.ebi.ac.uk/ols/ontologies/fbbt/terms?iri=http://purl.obolibrary.org/obo/FBbt_00100072","FBbt:00100072")</f>
        <v/>
      </c>
      <c r="B93" t="inlineStr">
        <is>
          <t>L-type sensillum L4</t>
        </is>
      </c>
      <c r="C93" t="inlineStr">
        <is>
          <t>L-type sensilla L4; L-type sensilla L3</t>
        </is>
      </c>
      <c r="D93" t="inlineStr">
        <is>
          <t>Fourth most anterior L-type chemosensillum of the labellum.</t>
        </is>
      </c>
      <c r="E93" t="inlineStr">
        <is>
          <t>Shanbhag et al., 2001, Cell Tissue Res. 304(3): 423--437 (flybase.org/reports/FBrf0137194); Hiroi et al., 2002, Zool. Sci., Tokyo 19(9): 1009--1018 (flybase.org/reports/FBrf0152351); Weiss et al., 2011, Neuron 69(2): 258--272 (flybase.org/reports/FBrf0212834)</t>
        </is>
      </c>
      <c r="F93" t="inlineStr"/>
      <c r="G93" t="inlineStr"/>
      <c r="H93" t="inlineStr"/>
    </row>
    <row r="94">
      <c r="A94">
        <f>HYPERLINK("https://www.ebi.ac.uk/ols/ontologies/fbbt/terms?iri=http://purl.obolibrary.org/obo/FBbt_00100071","FBbt:00100071")</f>
        <v/>
      </c>
      <c r="B94" t="inlineStr">
        <is>
          <t>L-type sensillum L3</t>
        </is>
      </c>
      <c r="C94" t="inlineStr">
        <is>
          <t>L-type sensilla L7; L-type sensilla L3</t>
        </is>
      </c>
      <c r="D94" t="inlineStr">
        <is>
          <t>Third most anterior L-type chemosensillum of the labellum.</t>
        </is>
      </c>
      <c r="E94" t="inlineStr">
        <is>
          <t>Shanbhag et al., 2001, Cell Tissue Res. 304(3): 423--437 (flybase.org/reports/FBrf0137194); Hiroi et al., 2002, Zool. Sci., Tokyo 19(9): 1009--1018 (flybase.org/reports/FBrf0152351); Weiss et al., 2011, Neuron 69(2): 258--272 (flybase.org/reports/FBrf0212834)</t>
        </is>
      </c>
      <c r="F94" t="inlineStr"/>
      <c r="G94" t="inlineStr"/>
      <c r="H94" t="inlineStr"/>
    </row>
    <row r="95">
      <c r="A95">
        <f>HYPERLINK("https://www.ebi.ac.uk/ols/ontologies/fbbt/terms?iri=http://purl.obolibrary.org/obo/FBbt_00100070","FBbt:00100070")</f>
        <v/>
      </c>
      <c r="B95" t="inlineStr">
        <is>
          <t>L-type sensillum L2</t>
        </is>
      </c>
      <c r="C95" t="inlineStr">
        <is>
          <t>L-type sensilla L2</t>
        </is>
      </c>
      <c r="D95" t="inlineStr">
        <is>
          <t>Second most anterior L-type chemosensillum of the labellum.</t>
        </is>
      </c>
      <c r="E95" t="inlineStr">
        <is>
          <t>Shanbhag et al., 2001, Cell Tissue Res. 304(3): 423--437 (flybase.org/reports/FBrf0137194); Hiroi et al., 2002, Zool. Sci., Tokyo 19(9): 1009--1018 (flybase.org/reports/FBrf0152351)</t>
        </is>
      </c>
      <c r="F95" t="inlineStr"/>
      <c r="G95" t="inlineStr"/>
      <c r="H95" t="inlineStr"/>
    </row>
    <row r="96">
      <c r="A96">
        <f>HYPERLINK("https://www.ebi.ac.uk/ols/ontologies/fbbt/terms?iri=http://purl.obolibrary.org/obo/FBbt_00067036","FBbt:00067036")</f>
        <v/>
      </c>
      <c r="B96" t="inlineStr">
        <is>
          <t>adult olfactory receptor neuron Or33c/85e</t>
        </is>
      </c>
      <c r="C96" t="inlineStr">
        <is>
          <t>odorant receptor neuron Or33c; adult ORN Or33c/85e; adult ORN Or85e; odorant receptor neuron VC1; adult ORN Or33c; ORN (Or33c/85e); ORN pb2A; odorant receptor neuron Or85e</t>
        </is>
      </c>
      <c r="D96" t="inlineStr">
        <is>
          <t>Bilateral olfactory receptor neuron (ORN) that expresses Or33c (FBgn0026390) and Or85e (FBgn0026399). Its axon branches, with one branch innervating the ipsilateral antennal lobe glomerulus VC1 and the other fasciculating with the antennal commissure and innervating the contralateral antennal lobe glomerulus VC1. Its dendrite transduces signals from maxillary palp basiconic sensillum pb2.</t>
        </is>
      </c>
      <c r="E96" t="inlineStr">
        <is>
          <t>http://neuro.uni-konstanz.de/DoOR/content/receptor.php?OR=pb2A; Goldman et al., 2005, Neuron 45(5): 661--666 (flybase.org/reports/FBrf0184216); Couto et al., 2005, Curr. Biol. 15(17): 1535--1547 (flybase.org/reports/FBrf0187305)</t>
        </is>
      </c>
      <c r="F96" t="inlineStr"/>
      <c r="G96" t="inlineStr"/>
      <c r="H96" t="inlineStr"/>
    </row>
    <row r="97">
      <c r="A97">
        <f>HYPERLINK("https://www.ebi.ac.uk/ols/ontologies/fbbt/terms?iri=http://purl.obolibrary.org/obo/FBbt_00004159","FBbt:00004159")</f>
        <v/>
      </c>
      <c r="B97" t="inlineStr">
        <is>
          <t>maxillary palp sensillum basiconicum</t>
        </is>
      </c>
      <c r="C97" t="inlineStr">
        <is>
          <t>pb; maxillary palp basiconic sensillum</t>
        </is>
      </c>
      <c r="D97" t="inlineStr">
        <is>
          <t>Olfactory basiconic sensillum of the maxillary palp. The surface of the sensillum is perforated by numerous pores, arranged along a complicated pattern of branched lines, connecting to a lymph space innervated by branched dendrites from two ORNs. These sensilla are located predominantly on the distal half of the dorsal surface and the lateral edge of each maxillary palp.</t>
        </is>
      </c>
      <c r="E97" t="inlineStr">
        <is>
          <t>Riesgo-Escovar et al., 1997, J. Comp. Physiol. A, Sens. Neural. Behav. Physiol. 180(2): 143--150 (flybase.org/reports/FBrf0091407); Shanbhag et al., 1999, Int. J. Insect Morph. Embryol. 28(4): 377--397 (flybase.org/reports/FBrf0128642)</t>
        </is>
      </c>
      <c r="F97" t="inlineStr"/>
      <c r="G97" t="inlineStr"/>
      <c r="H97" t="inlineStr"/>
    </row>
    <row r="98">
      <c r="A98">
        <f>HYPERLINK("https://www.ebi.ac.uk/ols/ontologies/fbbt/terms?iri=http://purl.obolibrary.org/obo/FBbt_00100069","FBbt:00100069")</f>
        <v/>
      </c>
      <c r="B98" t="inlineStr">
        <is>
          <t>L-type sensillum L1</t>
        </is>
      </c>
      <c r="C98" t="inlineStr">
        <is>
          <t>L-type sensilla L1</t>
        </is>
      </c>
      <c r="D98" t="inlineStr">
        <is>
          <t>Most anterior L-type chemosensillum of the labellum.</t>
        </is>
      </c>
      <c r="E98" t="inlineStr">
        <is>
          <t>Shanbhag et al., 2001, Cell Tissue Res. 304(3): 423--437 (flybase.org/reports/FBrf0137194); Hiroi et al., 2002, Zool. Sci., Tokyo 19(9): 1009--1018 (flybase.org/reports/FBrf0152351)</t>
        </is>
      </c>
      <c r="F98" t="inlineStr"/>
      <c r="G98" t="inlineStr"/>
      <c r="H98" t="inlineStr"/>
    </row>
    <row r="99">
      <c r="A99">
        <f>HYPERLINK("https://www.ebi.ac.uk/ols/ontologies/fbbt/terms?iri=http://purl.obolibrary.org/obo/FBbt_00100068","FBbt:00100068")</f>
        <v/>
      </c>
      <c r="B99" t="inlineStr">
        <is>
          <t>I-type sensillum I10</t>
        </is>
      </c>
      <c r="C99" t="inlineStr">
        <is>
          <t>I-type sensilla I10; I-type sensilla I9</t>
        </is>
      </c>
      <c r="D99" t="inlineStr">
        <is>
          <t>Tenth most anterior I-type chemosensillum of the labellum. It can respond to a narrow range of bitter stimuli (Weiss et al., 2011).</t>
        </is>
      </c>
      <c r="E99" t="inlineStr">
        <is>
          <t>Shanbhag et al., 2001, Cell Tissue Res. 304(3): 423--437 (flybase.org/reports/FBrf0137194); Hiroi et al., 2002, Zool. Sci., Tokyo 19(9): 1009--1018 (flybase.org/reports/FBrf0152351); Weiss et al., 2011, Neuron 69(2): 258--272 (flybase.org/reports/FBrf0212834)</t>
        </is>
      </c>
      <c r="F99" t="inlineStr"/>
      <c r="G99" t="inlineStr"/>
      <c r="H99" t="inlineStr"/>
    </row>
    <row r="100">
      <c r="A100">
        <f>HYPERLINK("https://www.ebi.ac.uk/ols/ontologies/fbbt/terms?iri=http://purl.obolibrary.org/obo/FBbt_00100067","FBbt:00100067")</f>
        <v/>
      </c>
      <c r="B100" t="inlineStr">
        <is>
          <t>I-type sensillum I9</t>
        </is>
      </c>
      <c r="C100" t="inlineStr">
        <is>
          <t>I-type sensilla I8; I-type sensilla I9</t>
        </is>
      </c>
      <c r="D100" t="inlineStr">
        <is>
          <t>Ninth most anterior I-type chemosensillum of the labellum. It can respond to a narrow range of bitter stimuli (Weiss et al., 2011).</t>
        </is>
      </c>
      <c r="E100" t="inlineStr">
        <is>
          <t>Shanbhag et al., 2001, Cell Tissue Res. 304(3): 423--437 (flybase.org/reports/FBrf0137194); Hiroi et al., 2002, Zool. Sci., Tokyo 19(9): 1009--1018 (flybase.org/reports/FBrf0152351); Weiss et al., 2011, Neuron 69(2): 258--272 (flybase.org/reports/FBrf0212834)</t>
        </is>
      </c>
      <c r="F100" t="inlineStr"/>
      <c r="G100" t="inlineStr"/>
      <c r="H100" t="inlineStr"/>
    </row>
    <row r="101">
      <c r="A101">
        <f>HYPERLINK("https://www.ebi.ac.uk/ols/ontologies/fbbt/terms?iri=http://purl.obolibrary.org/obo/FBbt_00100066","FBbt:00100066")</f>
        <v/>
      </c>
      <c r="B101" t="inlineStr">
        <is>
          <t>I-type sensillum I8</t>
        </is>
      </c>
      <c r="C101" t="inlineStr">
        <is>
          <t>I-type sensilla I7; I-type sensilla I8</t>
        </is>
      </c>
      <c r="D101" t="inlineStr">
        <is>
          <t>Eight most anterior I-type chemosensillum of the labellum. It can respond to bitter stimuli (Weiss et al., 2011).</t>
        </is>
      </c>
      <c r="E101" t="inlineStr">
        <is>
          <t>Shanbhag et al., 2001, Cell Tissue Res. 304(3): 423--437 (flybase.org/reports/FBrf0137194); Hiroi et al., 2002, Zool. Sci., Tokyo 19(9): 1009--1018 (flybase.org/reports/FBrf0152351); Weiss et al., 2011, Neuron 69(2): 258--272 (flybase.org/reports/FBrf0212834)</t>
        </is>
      </c>
      <c r="F101" t="inlineStr"/>
      <c r="G101" t="inlineStr"/>
      <c r="H101" t="inlineStr"/>
    </row>
    <row r="102">
      <c r="A102">
        <f>HYPERLINK("https://www.ebi.ac.uk/ols/ontologies/fbbt/terms?iri=http://purl.obolibrary.org/obo/FBbt_00100065","FBbt:00100065")</f>
        <v/>
      </c>
      <c r="B102" t="inlineStr">
        <is>
          <t>I-type sensillum I7</t>
        </is>
      </c>
      <c r="C102" t="inlineStr">
        <is>
          <t>I-type sensilla I7; I-type sensilla I5</t>
        </is>
      </c>
      <c r="D102" t="inlineStr">
        <is>
          <t>Seventh most anterior I-type chemosensillum of the labellum. It can respond to a narrow range of bitter stimuli (Weiss et al., 2011).</t>
        </is>
      </c>
      <c r="E102" t="inlineStr">
        <is>
          <t>Shanbhag et al., 2001, Cell Tissue Res. 304(3): 423--437 (flybase.org/reports/FBrf0137194); Hiroi et al., 2002, Zool. Sci., Tokyo 19(9): 1009--1018 (flybase.org/reports/FBrf0152351); Weiss et al., 2011, Neuron 69(2): 258--272 (flybase.org/reports/FBrf0212834)</t>
        </is>
      </c>
      <c r="F102" t="inlineStr"/>
      <c r="G102" t="inlineStr"/>
      <c r="H102" t="inlineStr"/>
    </row>
    <row r="103">
      <c r="A103">
        <f>HYPERLINK("https://www.ebi.ac.uk/ols/ontologies/fbbt/terms?iri=http://purl.obolibrary.org/obo/FBbt_00100064","FBbt:00100064")</f>
        <v/>
      </c>
      <c r="B103" t="inlineStr">
        <is>
          <t>I-type sensillum I6</t>
        </is>
      </c>
      <c r="C103" t="inlineStr">
        <is>
          <t>I-type sensilla I6; I-type sensilla I4</t>
        </is>
      </c>
      <c r="D103" t="inlineStr">
        <is>
          <t>Sixth most anterior I-type chemosensillum of the labellum. It can respond to a narrow range of bitter stimuli (Weiss et al., 2011).</t>
        </is>
      </c>
      <c r="E103" t="inlineStr">
        <is>
          <t>Shanbhag et al., 2001, Cell Tissue Res. 304(3): 423--437 (flybase.org/reports/FBrf0137194); Hiroi et al., 2002, Zool. Sci., Tokyo 19(9): 1009--1018 (flybase.org/reports/FBrf0152351); Weiss et al., 2011, Neuron 69(2): 258--272 (flybase.org/reports/FBrf0212834)</t>
        </is>
      </c>
      <c r="F103" t="inlineStr"/>
      <c r="G103" t="inlineStr"/>
      <c r="H103" t="inlineStr"/>
    </row>
    <row r="104">
      <c r="A104">
        <f>HYPERLINK("https://www.ebi.ac.uk/ols/ontologies/fbbt/terms?iri=http://purl.obolibrary.org/obo/FBbt_00100063","FBbt:00100063")</f>
        <v/>
      </c>
      <c r="B104" t="inlineStr">
        <is>
          <t>I-type sensillum I5</t>
        </is>
      </c>
      <c r="C104" t="inlineStr">
        <is>
          <t>I-type sensilla I5; I-type sensilla I3</t>
        </is>
      </c>
      <c r="D104" t="inlineStr">
        <is>
          <t>Fifth most anterior I-type chemosensillum of the labellum. It can respond to a narrow range of bitter stimuli (Weiss et al., 2011).</t>
        </is>
      </c>
      <c r="E104" t="inlineStr">
        <is>
          <t>Shanbhag et al., 2001, Cell Tissue Res. 304(3): 423--437 (flybase.org/reports/FBrf0137194); Hiroi et al., 2002, Zool. Sci., Tokyo 19(9): 1009--1018 (flybase.org/reports/FBrf0152351); Weiss et al., 2011, Neuron 69(2): 258--272 (flybase.org/reports/FBrf0212834)</t>
        </is>
      </c>
      <c r="F104" t="inlineStr"/>
      <c r="G104" t="inlineStr"/>
      <c r="H104" t="inlineStr"/>
    </row>
    <row r="105">
      <c r="A105">
        <f>HYPERLINK("https://www.ebi.ac.uk/ols/ontologies/fbbt/terms?iri=http://purl.obolibrary.org/obo/FBbt_00100062","FBbt:00100062")</f>
        <v/>
      </c>
      <c r="B105" t="inlineStr">
        <is>
          <t>I-type sensillum I4</t>
        </is>
      </c>
      <c r="C105" t="inlineStr">
        <is>
          <t>I-type sensilla I2; I-type sensilla I4</t>
        </is>
      </c>
      <c r="D105" t="inlineStr">
        <is>
          <t>Fourth most anterior I-type chemosensillum of the labellum. It can respond to a narrow range of bitter stimuli (Weiss et al., 2011).</t>
        </is>
      </c>
      <c r="E105" t="inlineStr">
        <is>
          <t>Shanbhag et al., 2001, Cell Tissue Res. 304(3): 423--437 (flybase.org/reports/FBrf0137194); Hiroi et al., 2002, Zool. Sci., Tokyo 19(9): 1009--1018 (flybase.org/reports/FBrf0152351); Weiss et al., 2011, Neuron 69(2): 258--272 (flybase.org/reports/FBrf0212834)</t>
        </is>
      </c>
      <c r="F105" t="inlineStr"/>
      <c r="G105" t="inlineStr"/>
      <c r="H105" t="inlineStr"/>
    </row>
    <row r="106">
      <c r="A106">
        <f>HYPERLINK("https://www.ebi.ac.uk/ols/ontologies/fbbt/terms?iri=http://purl.obolibrary.org/obo/FBbt_00100061","FBbt:00100061")</f>
        <v/>
      </c>
      <c r="B106" t="inlineStr">
        <is>
          <t>I-type sensillum I3</t>
        </is>
      </c>
      <c r="C106" t="inlineStr">
        <is>
          <t>I-type sensilla I1; I-type sensilla I3</t>
        </is>
      </c>
      <c r="D106" t="inlineStr">
        <is>
          <t>Third most anterior I-type chemosensillum of the labellum. It can respond to a narrow range of bitter stimuli (Weiss et al., 2011).</t>
        </is>
      </c>
      <c r="E106" t="inlineStr">
        <is>
          <t>Shanbhag et al., 2001, Cell Tissue Res. 304(3): 423--437 (flybase.org/reports/FBrf0137194); Hiroi et al., 2002, Zool. Sci., Tokyo 19(9): 1009--1018 (flybase.org/reports/FBrf0152351); Weiss et al., 2011, Neuron 69(2): 258--272 (flybase.org/reports/FBrf0212834)</t>
        </is>
      </c>
      <c r="F106" t="inlineStr"/>
      <c r="G106" t="inlineStr"/>
      <c r="H106" t="inlineStr"/>
    </row>
    <row r="107">
      <c r="A107">
        <f>HYPERLINK("https://www.ebi.ac.uk/ols/ontologies/fbbt/terms?iri=http://purl.obolibrary.org/obo/FBbt_00100060","FBbt:00100060")</f>
        <v/>
      </c>
      <c r="B107" t="inlineStr">
        <is>
          <t>I-type sensillum I2</t>
        </is>
      </c>
      <c r="C107" t="inlineStr">
        <is>
          <t>I-type sensilla I2</t>
        </is>
      </c>
      <c r="D107" t="inlineStr">
        <is>
          <t>Second most anterior I-type chemosensillum of the labellum.</t>
        </is>
      </c>
      <c r="E107" t="inlineStr">
        <is>
          <t>Shanbhag et al., 2001, Cell Tissue Res. 304(3): 423--437 (flybase.org/reports/FBrf0137194); Hiroi et al., 2002, Zool. Sci., Tokyo 19(9): 1009--1018 (flybase.org/reports/FBrf0152351); Weiss et al., 2011, Neuron 69(2): 258--272 (flybase.org/reports/FBrf0212834)</t>
        </is>
      </c>
      <c r="F107" t="inlineStr"/>
      <c r="G107" t="inlineStr"/>
      <c r="H107" t="inlineStr"/>
    </row>
    <row r="108">
      <c r="A108">
        <f>HYPERLINK("https://www.ebi.ac.uk/ols/ontologies/fbbt/terms?iri=http://purl.obolibrary.org/obo/FBbt_00100059","FBbt:00100059")</f>
        <v/>
      </c>
      <c r="B108" t="inlineStr">
        <is>
          <t>I-type sensillum I1</t>
        </is>
      </c>
      <c r="C108" t="inlineStr">
        <is>
          <t>I-type sensilla I1; I-type sensilla I0</t>
        </is>
      </c>
      <c r="D108" t="inlineStr">
        <is>
          <t>Most anterior I-type chemosensillum of the labellum. It can respond to a narrow range of bitter stimuli (Weiss et al., 2011).</t>
        </is>
      </c>
      <c r="E108" t="inlineStr">
        <is>
          <t>Shanbhag et al., 2001, Cell Tissue Res. 304(3): 423--437 (flybase.org/reports/FBrf0137194); Hiroi et al., 2002, Zool. Sci., Tokyo 19(9): 1009--1018 (flybase.org/reports/FBrf0152351); Weiss et al., 2011, Neuron 69(2): 258--272 (flybase.org/reports/FBrf0212834)</t>
        </is>
      </c>
      <c r="F108" t="inlineStr"/>
      <c r="G108" t="inlineStr"/>
      <c r="H108" t="inlineStr"/>
    </row>
    <row r="109">
      <c r="A109">
        <f>HYPERLINK("https://www.ebi.ac.uk/ols/ontologies/fbbt/terms?iri=http://purl.obolibrary.org/obo/FBbt_00100057","FBbt:00100057")</f>
        <v/>
      </c>
      <c r="B109" t="inlineStr">
        <is>
          <t>S-type sensillum S12</t>
        </is>
      </c>
      <c r="C109" t="inlineStr">
        <is>
          <t>S-type sensilla S12; I-type sensilla I10</t>
        </is>
      </c>
      <c r="D109" t="inlineStr">
        <is>
          <t>If present, twelfth most anterior S-type chemosensillum of the labellum. It can respond to a narrow range of bitter stimuli (Weiss et al., 2011).</t>
        </is>
      </c>
      <c r="E109" t="inlineStr">
        <is>
          <t>Shanbhag et al., 2001, Cell Tissue Res. 304(3): 423--437 (flybase.org/reports/FBrf0137194); Hiroi et al., 2002, Zool. Sci., Tokyo 19(9): 1009--1018 (flybase.org/reports/FBrf0152351); Weiss et al., 2011, Neuron 69(2): 258--272 (flybase.org/reports/FBrf0212834)</t>
        </is>
      </c>
      <c r="F109" t="inlineStr"/>
      <c r="G109" t="inlineStr"/>
      <c r="H109" t="inlineStr"/>
    </row>
    <row r="110">
      <c r="A110">
        <f>HYPERLINK("https://www.ebi.ac.uk/ols/ontologies/fbbt/terms?iri=http://purl.obolibrary.org/obo/FBbt_00100056","FBbt:00100056")</f>
        <v/>
      </c>
      <c r="B110" t="inlineStr">
        <is>
          <t>S-type sensillum S11</t>
        </is>
      </c>
      <c r="C110" t="inlineStr">
        <is>
          <t>S-type sensilla S11; S-type sensilla S10</t>
        </is>
      </c>
      <c r="D110" t="inlineStr">
        <is>
          <t>If present, eleventh most anterior S-type chemosensillum of the labellum. It can respond to a broad range of bitter stimuli (Weiss et al., 2011).</t>
        </is>
      </c>
      <c r="E110" t="inlineStr">
        <is>
          <t>Shanbhag et al., 2001, Cell Tissue Res. 304(3): 423--437 (flybase.org/reports/FBrf0137194); Hiroi et al., 2002, Zool. Sci., Tokyo 19(9): 1009--1018 (flybase.org/reports/FBrf0152351); Weiss et al., 2011, Neuron 69(2): 258--272 (flybase.org/reports/FBrf0212834)</t>
        </is>
      </c>
      <c r="F110" t="inlineStr"/>
      <c r="G110" t="inlineStr"/>
      <c r="H110" t="inlineStr"/>
    </row>
    <row r="111">
      <c r="A111">
        <f>HYPERLINK("https://www.ebi.ac.uk/ols/ontologies/fbbt/terms?iri=http://purl.obolibrary.org/obo/FBbt_00100055","FBbt:00100055")</f>
        <v/>
      </c>
      <c r="B111" t="inlineStr">
        <is>
          <t>S-type sensillum S10</t>
        </is>
      </c>
      <c r="C111" t="inlineStr">
        <is>
          <t>S-type sensilla S9; S-type sensilla S10</t>
        </is>
      </c>
      <c r="D111" t="inlineStr">
        <is>
          <t>Tenth most anterior S-type chemosensillum of the labellum. It can respond to a broad range of bitter stimuli (Weiss et al., 2011).</t>
        </is>
      </c>
      <c r="E111" t="inlineStr">
        <is>
          <t>Shanbhag et al., 2001, Cell Tissue Res. 304(3): 423--437 (flybase.org/reports/FBrf0137194); Hiroi et al., 2002, Zool. Sci., Tokyo 19(9): 1009--1018 (flybase.org/reports/FBrf0152351); Weiss et al., 2011, Neuron 69(2): 258--272 (flybase.org/reports/FBrf0212834)</t>
        </is>
      </c>
      <c r="F111" t="inlineStr"/>
      <c r="G111" t="inlineStr"/>
      <c r="H111" t="inlineStr"/>
    </row>
    <row r="112">
      <c r="A112">
        <f>HYPERLINK("https://www.ebi.ac.uk/ols/ontologies/fbbt/terms?iri=http://purl.obolibrary.org/obo/FBbt_00100054","FBbt:00100054")</f>
        <v/>
      </c>
      <c r="B112" t="inlineStr">
        <is>
          <t>S-type sensillum S9</t>
        </is>
      </c>
      <c r="C112" t="inlineStr">
        <is>
          <t>S-type sensilla S9</t>
        </is>
      </c>
      <c r="D112" t="inlineStr">
        <is>
          <t>Ninth most anterior S-type chemosensillum of the labellum, located slightly more dorsally than S-type sensillum S8.</t>
        </is>
      </c>
      <c r="E112" t="inlineStr">
        <is>
          <t>Shanbhag et al., 2001, Cell Tissue Res. 304(3): 423--437 (flybase.org/reports/FBrf0137194); Hiroi et al., 2002, Zool. Sci., Tokyo 19(9): 1009--1018 (flybase.org/reports/FBrf0152351); Weiss et al., 2011, Neuron 69(2): 258--272 (flybase.org/reports/FBrf0212834)</t>
        </is>
      </c>
      <c r="F112" t="inlineStr"/>
      <c r="G112" t="inlineStr"/>
      <c r="H112" t="inlineStr"/>
    </row>
    <row r="113">
      <c r="A113">
        <f>HYPERLINK("https://www.ebi.ac.uk/ols/ontologies/fbbt/terms?iri=http://purl.obolibrary.org/obo/FBbt_00100053","FBbt:00100053")</f>
        <v/>
      </c>
      <c r="B113" t="inlineStr">
        <is>
          <t>S-type sensillum S8</t>
        </is>
      </c>
      <c r="C113" t="inlineStr">
        <is>
          <t>S-type sensilla S8</t>
        </is>
      </c>
      <c r="D113" t="inlineStr">
        <is>
          <t>Eighth most anterior S-type chemosensillum of the labellum.</t>
        </is>
      </c>
      <c r="E113" t="inlineStr">
        <is>
          <t>Shanbhag et al., 2001, Cell Tissue Res. 304(3): 423--437 (flybase.org/reports/FBrf0137194); Hiroi et al., 2002, Zool. Sci., Tokyo 19(9): 1009--1018 (flybase.org/reports/FBrf0152351); Weiss et al., 2011, Neuron 69(2): 258--272 (flybase.org/reports/FBrf0212834)</t>
        </is>
      </c>
      <c r="F113" t="inlineStr"/>
      <c r="G113" t="inlineStr"/>
      <c r="H113" t="inlineStr"/>
    </row>
    <row r="114">
      <c r="A114">
        <f>HYPERLINK("https://www.ebi.ac.uk/ols/ontologies/fbbt/terms?iri=http://purl.obolibrary.org/obo/FBbt_00100052","FBbt:00100052")</f>
        <v/>
      </c>
      <c r="B114" t="inlineStr">
        <is>
          <t>S-type sensillum S7</t>
        </is>
      </c>
      <c r="C114" t="inlineStr">
        <is>
          <t>S-type sensilla S7</t>
        </is>
      </c>
      <c r="D114" t="inlineStr">
        <is>
          <t>Seventh most anterior S-type chemosensillum of the labellum. It can respond to a broad range of bitter stimuli (Weiss et al., 2011).</t>
        </is>
      </c>
      <c r="E114" t="inlineStr">
        <is>
          <t>Shanbhag et al., 2001, Cell Tissue Res. 304(3): 423--437 (flybase.org/reports/FBrf0137194); Hiroi et al., 2002, Zool. Sci., Tokyo 19(9): 1009--1018 (flybase.org/reports/FBrf0152351); Weiss et al., 2011, Neuron 69(2): 258--272 (flybase.org/reports/FBrf0212834)</t>
        </is>
      </c>
      <c r="F114" t="inlineStr"/>
      <c r="G114" t="inlineStr"/>
      <c r="H114" t="inlineStr"/>
    </row>
    <row r="115">
      <c r="A115">
        <f>HYPERLINK("https://www.ebi.ac.uk/ols/ontologies/fbbt/terms?iri=http://purl.obolibrary.org/obo/FBbt_00100051","FBbt:00100051")</f>
        <v/>
      </c>
      <c r="B115" t="inlineStr">
        <is>
          <t>S-type sensillum S6</t>
        </is>
      </c>
      <c r="C115" t="inlineStr">
        <is>
          <t>S-type sensilla S6</t>
        </is>
      </c>
      <c r="D115" t="inlineStr">
        <is>
          <t>Sixth most anterior S-type chemosensillum of the labellum, located slightly more dorsally than S-type sensillum S5. It can respond to a broad range of bitter stimuli (Weiss et al., 2011).</t>
        </is>
      </c>
      <c r="E115" t="inlineStr">
        <is>
          <t>Shanbhag et al., 2001, Cell Tissue Res. 304(3): 423--437 (flybase.org/reports/FBrf0137194); Hiroi et al., 2002, Zool. Sci., Tokyo 19(9): 1009--1018 (flybase.org/reports/FBrf0152351); Weiss et al., 2011, Neuron 69(2): 258--272 (flybase.org/reports/FBrf0212834)</t>
        </is>
      </c>
      <c r="F115" t="inlineStr"/>
      <c r="G115" t="inlineStr"/>
      <c r="H115" t="inlineStr"/>
    </row>
    <row r="116">
      <c r="A116">
        <f>HYPERLINK("https://www.ebi.ac.uk/ols/ontologies/fbbt/terms?iri=http://purl.obolibrary.org/obo/FBbt_00100050","FBbt:00100050")</f>
        <v/>
      </c>
      <c r="B116" t="inlineStr">
        <is>
          <t>S-type sensillum S5</t>
        </is>
      </c>
      <c r="C116" t="inlineStr">
        <is>
          <t>S-type sensilla S5</t>
        </is>
      </c>
      <c r="D116" t="inlineStr">
        <is>
          <t>Fifth most anterior S-type chemosensillum of the labellum. It can respond to a broad range of bitter stimuli (Weiss et al., 2011).</t>
        </is>
      </c>
      <c r="E116" t="inlineStr">
        <is>
          <t>Shanbhag et al., 2001, Cell Tissue Res. 304(3): 423--437 (flybase.org/reports/FBrf0137194); Hiroi et al., 2002, Zool. Sci., Tokyo 19(9): 1009--1018 (flybase.org/reports/FBrf0152351); Weiss et al., 2011, Neuron 69(2): 258--272 (flybase.org/reports/FBrf0212834)</t>
        </is>
      </c>
      <c r="F116" t="inlineStr"/>
      <c r="G116" t="inlineStr"/>
      <c r="H116" t="inlineStr"/>
    </row>
    <row r="117">
      <c r="A117">
        <f>HYPERLINK("https://www.ebi.ac.uk/ols/ontologies/fbbt/terms?iri=http://purl.obolibrary.org/obo/FBbt_00067052","FBbt:00067052")</f>
        <v/>
      </c>
      <c r="B117" t="inlineStr">
        <is>
          <t>adult olfactory receptor neuron Or46a</t>
        </is>
      </c>
      <c r="C117" t="inlineStr">
        <is>
          <t>ORN pb2B; adult ORN Or46a; odorant receptor neuron VA7l; ORN (Or46aA); odorant receptor neuron Or46a</t>
        </is>
      </c>
      <c r="D117" t="inlineStr">
        <is>
          <t>Bilateral olfactory receptor neuron (ORN) that expresses Or46a (FBgn0026388). Its axon branches, with one branch innervating the ipsilateral antennal lobe glomerulus VA7l and the other fasciculating with the antennal commissure and innervating the contralateral antennal lobe glomerulus VA7 lateral compartment. Its dendrite transduces signals from maxillary palp basiconic sensillum pb2.</t>
        </is>
      </c>
      <c r="E117" t="inlineStr">
        <is>
          <t>http://neuro.uni-konstanz.de/DoOR/content/receptor.php?OR=Or46a; Goldman et al., 2005, Neuron 45(5): 661--666 (flybase.org/reports/FBrf0184216); Couto et al., 2005, Curr. Biol. 15(17): 1535--1547 (flybase.org/reports/FBrf0187305)</t>
        </is>
      </c>
      <c r="F117" t="inlineStr"/>
      <c r="G117" t="inlineStr"/>
      <c r="H117" t="inlineStr"/>
    </row>
    <row r="118">
      <c r="A118">
        <f>HYPERLINK("https://www.ebi.ac.uk/ols/ontologies/fbbt/terms?iri=http://purl.obolibrary.org/obo/FBbt_00067051","FBbt:00067051")</f>
        <v/>
      </c>
      <c r="B118" t="inlineStr">
        <is>
          <t>adult olfactory receptor neuron Or85d</t>
        </is>
      </c>
      <c r="C118" t="inlineStr">
        <is>
          <t>ORN pb3B; ORN (Or85d); odorant receptor neuron VA4; odorant receptor neuron Or85d; adult ORN Or85d</t>
        </is>
      </c>
      <c r="D118" t="inlineStr">
        <is>
          <t>Bilateral olfactory receptor neuron (ORN) that expresses Or85d (FBgn0037594). Its axon branches, with one branch innervating the ipsilateral antennal lobe glomerulus VA4 and the other fasciculating with the antennal commissure and innervating the contralateral antennal lobe glomerulus VA4. Its dendrite transduces signals from maxillary palp basiconic sensillum pb3.</t>
        </is>
      </c>
      <c r="E118" t="inlineStr">
        <is>
          <t>http://neuro.uni-konstanz.de/DoOR/content/receptor.php?OR=Or85d; Goldman et al., 2005, Neuron 45(5): 661--666 (flybase.org/reports/FBrf0184216); Couto et al., 2005, Curr. Biol. 15(17): 1535--1547 (flybase.org/reports/FBrf0187305)</t>
        </is>
      </c>
      <c r="F118" t="inlineStr"/>
      <c r="G118" t="inlineStr"/>
      <c r="H118" t="inlineStr"/>
    </row>
    <row r="119">
      <c r="A119">
        <f>HYPERLINK("https://www.ebi.ac.uk/ols/ontologies/fbbt/terms?iri=http://purl.obolibrary.org/obo/FBbt_00110690","FBbt:00110690")</f>
        <v/>
      </c>
      <c r="B119" t="inlineStr">
        <is>
          <t>pseudotracheal terminal taste peg</t>
        </is>
      </c>
      <c r="C119" t="inlineStr">
        <is>
          <t>Ter sensillum</t>
        </is>
      </c>
      <c r="D119" t="inlineStr">
        <is>
          <t>Taste peg at the distal end of the pseudotrachea in the adult labellum.</t>
        </is>
      </c>
      <c r="E119" t="inlineStr">
        <is>
          <t>Yasunaga et al., 2006, Mech. Dev. 123(12): 893--906 (flybase.org/reports/FBrf0194566)</t>
        </is>
      </c>
      <c r="F119" t="inlineStr"/>
      <c r="G119" t="inlineStr"/>
      <c r="H119" t="inlineStr"/>
    </row>
    <row r="120">
      <c r="A120">
        <f>HYPERLINK("https://www.ebi.ac.uk/ols/ontologies/fbbt/terms?iri=http://purl.obolibrary.org/obo/FBbt_00067042","FBbt:00067042")</f>
        <v/>
      </c>
      <c r="B120" t="inlineStr">
        <is>
          <t>adult olfactory receptor neuron Or42a</t>
        </is>
      </c>
      <c r="C120" t="inlineStr">
        <is>
          <t>ORN (Or42a); odorant receptor neuron VM7; odorant receptor neuron Or42a; adult ORN Or42a; ORN pb1A</t>
        </is>
      </c>
      <c r="D120" t="inlineStr">
        <is>
          <t>Bilateral olfactory receptor neuron (ORN) that expresses Or42a (FBgn0033041). Its axon branches, with one branch innervating the ipsilateral antennal lobe glomerulus VM7 dorsal compartment and the other fasciculating with the antennal commissure and innervating the contralateral antennal lobe glomerulus VM7 dorsal compartment. Its dendrite transduces signals from maxillary palp basiconic sensillum pb1 (Couto et al., 2005; Endo et al., 2007).</t>
        </is>
      </c>
      <c r="E120" t="inlineStr">
        <is>
          <t>http://neuro.uni-konstanz.de/DoOR/content/receptor.php?OR=Or42a; Goldman et al., 2005, Neuron 45(5): 661--666 (flybase.org/reports/FBrf0184216); Couto et al., 2005, Curr. Biol. 15(17): 1535--1547 (flybase.org/reports/FBrf0187305); Endo et al., 2007, Nat. Neurosci. 10(2): 153--160 (flybase.org/reports/FBrf0192533)</t>
        </is>
      </c>
      <c r="F120" t="inlineStr"/>
      <c r="G120" t="inlineStr"/>
      <c r="H120" t="inlineStr"/>
    </row>
    <row r="121">
      <c r="A121">
        <f>HYPERLINK("https://www.ebi.ac.uk/ols/ontologies/fbbt/terms?iri=http://purl.obolibrary.org/obo/FBbt_00067041","FBbt:00067041")</f>
        <v/>
      </c>
      <c r="B121" t="inlineStr">
        <is>
          <t>adult olfactory receptor neuron Or71a</t>
        </is>
      </c>
      <c r="C121" t="inlineStr">
        <is>
          <t>odorant receptor neuron Or71a; ORN pb1B; odorant receptor neuron VC2; adult ORN Or71a; ORN (Or71a)</t>
        </is>
      </c>
      <c r="D121" t="inlineStr">
        <is>
          <t>Bilateral olfactory receptor neuron (ORN) that expresses Or71a (FBgn0036474). Its axon branches, with one branch innervating the ipsilateral antennal lobe glomerulus VC2 and the other fasciculating with the antennal commissure and innervating the contralateral antennal lobe glomerulus VC2. Its dendrite transduces signals from maxillary palp basiconic sensillum pb1.</t>
        </is>
      </c>
      <c r="E121" t="inlineStr">
        <is>
          <t>http://neuro.uni-konstanz.de/DoOR/content/receptor.php?OR=Or71a; Goldman et al., 2005, Neuron 45(5): 661--666 (flybase.org/reports/FBrf0184216); Couto et al., 2005, Curr. Biol. 15(17): 1535--1547 (flybase.org/reports/FBrf0187305)</t>
        </is>
      </c>
      <c r="F121" t="inlineStr"/>
      <c r="G121" t="inlineStr"/>
      <c r="H121" t="inlineStr"/>
    </row>
    <row r="122">
      <c r="A122">
        <f>HYPERLINK("https://www.ebi.ac.uk/ols/ontologies/fbbt/terms?iri=http://purl.obolibrary.org/obo/FBbt_00004160","FBbt:00004160")</f>
        <v/>
      </c>
      <c r="B122" t="inlineStr">
        <is>
          <t>maxillary palp bristle</t>
        </is>
      </c>
      <c r="C122" t="inlineStr">
        <is>
          <t>sensillum trichodeum of maxillary palpus</t>
        </is>
      </c>
      <c r="D122" t="inlineStr">
        <is>
          <t>Trichoid sensillum of the maxillary palp with an external sensory structure that is anchored in a socket and consists of a small bundle of closely apposed fibers, each of which has grooves running longitudinally. No obvious pores are present.</t>
        </is>
      </c>
      <c r="E122" t="inlineStr">
        <is>
          <t>Riesgo-Escovar et al., 1997, J. Comp. Physiol. A, Sens. Neural. Behav. Physiol. 180(2): 143--150 (flybase.org/reports/FBrf0091407)</t>
        </is>
      </c>
      <c r="F122" t="inlineStr"/>
      <c r="G122" t="inlineStr"/>
      <c r="H122" t="inlineStr"/>
    </row>
    <row r="123">
      <c r="A123">
        <f>HYPERLINK("https://www.ebi.ac.uk/ols/ontologies/fbbt/terms?iri=http://purl.obolibrary.org/obo/FBbt_00003275","FBbt:00003275")</f>
        <v/>
      </c>
      <c r="B123" t="inlineStr">
        <is>
          <t>cibarial dilator muscle 11</t>
        </is>
      </c>
      <c r="C123" t="inlineStr">
        <is>
          <t>pharyngeal dilator muscle 11; dilator of pharynx; pharyngeal muscle</t>
        </is>
      </c>
      <c r="D123" t="inlineStr">
        <is>
          <t>Cibarial dilator muscle that originates in the clypeus and connects to the median apodemal carina at the upper portion of the anterior cibarial plate (Miller, 1950). It is located more posteriorly than cibarial dilator muscle 12. It functions together with cibarial muscle 12 to execute the pumping behavior. Contraction of muscle 11 leads to fluid ingestion downstream of pumping, allowing the fluid to exit the cibarium to the esophagus.</t>
        </is>
      </c>
      <c r="E123" t="inlineStr">
        <is>
          <t>Ferris, 1950, Demerec, 1950: 368--419 (flybase.org/reports/FBrf0007734); Miller, 1950, Demerec, 1950: 420--534 (flybase.org/reports/FBrf0007735); Hartenstein, 2006, Sink, 2006: 8--27 (flybase.org/reports/FBrf0193310); Manzo et al., 2012, Proc. Natl. Acad. Sci. U.S.A. 109(16): 6307--6312 (flybase.org/reports/FBrf0218050)</t>
        </is>
      </c>
      <c r="F123" t="inlineStr"/>
      <c r="G123" t="inlineStr"/>
      <c r="H123" t="inlineStr"/>
    </row>
    <row r="124">
      <c r="A124">
        <f>HYPERLINK("https://www.ebi.ac.uk/ols/ontologies/fbbt/terms?iri=http://purl.obolibrary.org/obo/FBbt_00003276","FBbt:00003276")</f>
        <v/>
      </c>
      <c r="B124" t="inlineStr">
        <is>
          <t>cibarial dilator muscle 12</t>
        </is>
      </c>
      <c r="C124" t="inlineStr">
        <is>
          <t>cibarial muscle; dilator of pharynx</t>
        </is>
      </c>
      <c r="D124" t="inlineStr">
        <is>
          <t>Cibarial dilator muscle that originates in the clypeus and connects to the expanded ventral portion of the anterior cibarial plate (roof of the cibarium) (Miller, 1950). It functions together with cibarial muscle 11 to execute the pumping behavior. Contraction of muscle 12 leads to cibarial expansion.</t>
        </is>
      </c>
      <c r="E124" t="inlineStr">
        <is>
          <t>Ferris, 1950, Demerec, 1950: 368--419 (flybase.org/reports/FBrf0007734); Miller, 1950, Demerec, 1950: 420--534 (flybase.org/reports/FBrf0007735); Hartenstein, 2006, Sink, 2006: 8--27 (flybase.org/reports/FBrf0193310); Gordon and Scott, 2009, Neuron 61(3): 373--384 (flybase.org/reports/FBrf0206709)</t>
        </is>
      </c>
      <c r="F124" t="inlineStr"/>
      <c r="G124" t="inlineStr"/>
      <c r="H124" t="inlineStr"/>
    </row>
    <row r="125">
      <c r="A125">
        <f>HYPERLINK("https://www.ebi.ac.uk/ols/ontologies/fbbt/terms?iri=http://purl.obolibrary.org/obo/FBbt_00004165","FBbt:00004165")</f>
        <v/>
      </c>
      <c r="B125" t="inlineStr">
        <is>
          <t>pseudotracheal taste peg</t>
        </is>
      </c>
      <c r="C125" t="inlineStr">
        <is>
          <t>None</t>
        </is>
      </c>
      <c r="D125" t="inlineStr">
        <is>
          <t>Taste peg located in rows between and on the lateral sides of the 6 pseudotracheal rows of the adult labellum. Each peg sensillum contains one putative chemosensory and one mechanosensory neuron. The lateral rows contain 1-5 taste pegs per row, whereas the remaining rows contain 7-9 pegs.</t>
        </is>
      </c>
      <c r="E125" t="inlineStr">
        <is>
          <t>Kumar et al., 1979, Wilhelm Roux Arch. Dev. Biol. 186(1): 51--64 (flybase.org/reports/FBrf0033866); Shanbhag et al., 2001, Cell Tissue Res. 304(3): 423--437 (flybase.org/reports/FBrf0137194)</t>
        </is>
      </c>
      <c r="F125" t="inlineStr"/>
      <c r="G125" t="inlineStr"/>
      <c r="H125" t="inlineStr"/>
    </row>
    <row r="126">
      <c r="A126">
        <f>HYPERLINK("https://www.ebi.ac.uk/ols/ontologies/fbbt/terms?iri=http://purl.obolibrary.org/obo/FBbt_00048160","FBbt:00048160")</f>
        <v/>
      </c>
      <c r="B126" t="inlineStr">
        <is>
          <t>bitter-sensitive labellar taste bristle</t>
        </is>
      </c>
      <c r="C126" t="inlineStr">
        <is>
          <t>bitter-sensitive sensillum</t>
        </is>
      </c>
      <c r="D126" t="inlineStr">
        <is>
          <t>Labellar taste bristle that is innervated by a neuron that expresses bitter receptors and responds to bitter stimuli (Weiss et al., 2011).</t>
        </is>
      </c>
      <c r="E126" t="inlineStr">
        <is>
          <t>Weiss et al., 2011, Neuron 69(2): 258--272 (flybase.org/reports/FBrf0212834)</t>
        </is>
      </c>
      <c r="F126" t="inlineStr"/>
      <c r="G126" t="inlineStr"/>
      <c r="H126" t="inlineStr"/>
    </row>
    <row r="127">
      <c r="A127">
        <f>HYPERLINK("https://www.ebi.ac.uk/ols/ontologies/fbbt/terms?iri=http://purl.obolibrary.org/obo/FBbt_00100077","FBbt:00100077")</f>
        <v/>
      </c>
      <c r="B127" t="inlineStr">
        <is>
          <t>L-type sensillum L9</t>
        </is>
      </c>
      <c r="C127" t="inlineStr">
        <is>
          <t>L-type sensilla L6; L-type sensilla L9</t>
        </is>
      </c>
      <c r="D127" t="inlineStr">
        <is>
          <t>If present, ninth most anterior L-type chemosensillum of the labellum.</t>
        </is>
      </c>
      <c r="E127" t="inlineStr">
        <is>
          <t>Shanbhag et al., 2001, Cell Tissue Res. 304(3): 423--437 (flybase.org/reports/FBrf0137194); Hiroi et al., 2002, Zool. Sci., Tokyo 19(9): 1009--1018 (flybase.org/reports/FBrf0152351); Weiss et al., 2011, Neuron 69(2): 258--272 (flybase.org/reports/FBrf0212834)</t>
        </is>
      </c>
      <c r="F127" t="inlineStr"/>
      <c r="G127" t="inlineStr"/>
      <c r="H127" t="inlineStr"/>
    </row>
    <row r="128">
      <c r="A128">
        <f>HYPERLINK("https://www.ebi.ac.uk/ols/ontologies/fbbt/terms?iri=http://purl.obolibrary.org/obo/FBbt_00110103","FBbt:00110103")</f>
        <v/>
      </c>
      <c r="B128" t="inlineStr">
        <is>
          <t>S-type sensillum S0</t>
        </is>
      </c>
      <c r="C128" t="inlineStr">
        <is>
          <t>S-type sensilla S0</t>
        </is>
      </c>
      <c r="D128" t="inlineStr">
        <is>
          <t>Most anterior S-type chemosensillum of the labellum.</t>
        </is>
      </c>
      <c r="E128" t="inlineStr">
        <is>
          <t>Shanbhag et al., 2001, Cell Tissue Res. 304(3): 423--437 (flybase.org/reports/FBrf0137194); Hiroi et al., 2002, Zool. Sci., Tokyo 19(9): 1009--1018 (flybase.org/reports/FBrf0152351); Weiss et al., 2011, Neuron 69(2): 258--272 (flybase.org/reports/FBrf0212834)</t>
        </is>
      </c>
      <c r="F128" t="inlineStr"/>
      <c r="G128" t="inlineStr"/>
      <c r="H128" t="inlineStr"/>
    </row>
    <row r="129">
      <c r="A129">
        <f>HYPERLINK("https://www.ebi.ac.uk/ols/ontologies/fbbt/terms?iri=http://purl.obolibrary.org/obo/FBbt_00048015","FBbt:00048015")</f>
        <v/>
      </c>
      <c r="B129" t="inlineStr">
        <is>
          <t>adult Ir56d neuron of labellar taste bristle</t>
        </is>
      </c>
      <c r="C129" t="inlineStr">
        <is>
          <t>None</t>
        </is>
      </c>
      <c r="D129" t="inlineStr">
        <is>
          <t>Adult Ir56d-expressing neuron that innervates labellar taste bristles. It responds to sugars in solution and projects to posterior maxillary sensory zone 4 (PMS4) of the subesophageal zone (Sanchez-Alcaniz et al., 2018).</t>
        </is>
      </c>
      <c r="E129" t="inlineStr">
        <is>
          <t>Sánchez-Alcañiz et al., 2018, Nat. Commun. 9(1): 4252 (flybase.org/reports/FBrf0240321)</t>
        </is>
      </c>
      <c r="F129" t="inlineStr"/>
      <c r="G129" t="inlineStr"/>
      <c r="H129" t="inlineStr"/>
    </row>
    <row r="130">
      <c r="A130">
        <f>HYPERLINK("https://www.ebi.ac.uk/ols/ontologies/fbbt/terms?iri=http://purl.obolibrary.org/obo/FBbt_00048152","FBbt:00048152")</f>
        <v/>
      </c>
      <c r="B130" t="inlineStr">
        <is>
          <t>bitter-sensing neuron of the labellum</t>
        </is>
      </c>
      <c r="C130" t="inlineStr">
        <is>
          <t>Gr66a neuron of the labellum</t>
        </is>
      </c>
      <c r="D130" t="inlineStr">
        <is>
          <t>Gustatory receptor neuron of the labellum that responds to bitter stimuli and innervates a bitter-sensitive sensillum. All of these cells express Gr66a, usually in combination with Gr32a, Gr33a and Gr89a (Weiss et al., 2011).</t>
        </is>
      </c>
      <c r="E130" t="inlineStr">
        <is>
          <t>Weiss et al., 2011, Neuron 69(2): 258--272 (flybase.org/reports/FBrf0212834)</t>
        </is>
      </c>
      <c r="F130" t="inlineStr"/>
      <c r="G130" t="inlineStr"/>
      <c r="H130" t="inlineStr"/>
    </row>
    <row r="131">
      <c r="A131">
        <f>HYPERLINK("https://www.ebi.ac.uk/ols/ontologies/fbbt/terms?iri=http://purl.obolibrary.org/obo/FBbt_00048232","FBbt:00048232")</f>
        <v/>
      </c>
      <c r="B131" t="inlineStr">
        <is>
          <t>sugar-sensing neuron of large labellar taste bristle</t>
        </is>
      </c>
      <c r="C131" t="inlineStr">
        <is>
          <t>None</t>
        </is>
      </c>
      <c r="D131" t="inlineStr">
        <is>
          <t>Sugar-sensing gustatory receptor neuron of the labellum that innervates a large sensillum of the labellum. They express Gr61a and Gr64e, as well as the core gustatory receptors (Gr5a and Gr64f) expressed in S cells (sugar-sensing neurons of the labellum) (Weiss et al., 2011).</t>
        </is>
      </c>
      <c r="E131" t="inlineStr">
        <is>
          <t>Weiss et al., 2011, Neuron 69(2): 258--272 (flybase.org/reports/FBrf0212834)</t>
        </is>
      </c>
      <c r="F131" t="inlineStr"/>
      <c r="G131" t="inlineStr"/>
      <c r="H131" t="inlineStr"/>
    </row>
    <row r="132">
      <c r="A132">
        <f>HYPERLINK("https://www.ebi.ac.uk/ols/ontologies/fbbt/terms?iri=http://purl.obolibrary.org/obo/FBbt_00048233","FBbt:00048233")</f>
        <v/>
      </c>
      <c r="B132" t="inlineStr">
        <is>
          <t>sugar-sensing neuron of bitter-sensitive labellar taste bristle</t>
        </is>
      </c>
      <c r="C132" t="inlineStr">
        <is>
          <t>None</t>
        </is>
      </c>
      <c r="D132" t="inlineStr">
        <is>
          <t>Sugar-sensing gustatory receptor neuron of the labellum that innervates a bitter-sensitive sensillum of the labellum. They express Gr64e, as well as the core gustatory receptors (Gr5a and Gr64f) expressed in S cells (sugar-sensing neurons of the labellum) (Weiss et al., 2011).</t>
        </is>
      </c>
      <c r="E132" t="inlineStr">
        <is>
          <t>Weiss et al., 2011, Neuron 69(2): 258--272 (flybase.org/reports/FBrf0212834)</t>
        </is>
      </c>
      <c r="F132" t="inlineStr"/>
      <c r="G132" t="inlineStr"/>
      <c r="H132" t="inlineStr"/>
    </row>
    <row r="133">
      <c r="A133">
        <f>HYPERLINK("https://www.ebi.ac.uk/ols/ontologies/fbbt/terms?iri=http://purl.obolibrary.org/obo/FBbt_00067007","FBbt:00067007")</f>
        <v/>
      </c>
      <c r="B133" t="inlineStr">
        <is>
          <t>adult olfactory receptor neuron Or59c</t>
        </is>
      </c>
      <c r="C133" t="inlineStr">
        <is>
          <t>olfactory receptor neuron Or59c; olfactory receptor neuron 1; ORN pb3A; ORN (Or59c); adult ORN Or59c</t>
        </is>
      </c>
      <c r="D133" t="inlineStr">
        <is>
          <t>Bilateral olfactory receptor neuron (ORN) that expresses Or59c (FBgn0034866). Its axon branches, with one branch innervating the ipsilateral `antennal lobe glomerulus VM7v` (FBbt:00007092) and the other fasciculating with the antennal commissure and innervating the contralateral `antennal lobe glomerulus VM7v` (FBbt:00007092). Its dendrite transduces signals from `maxillary palp basiconic sensillum pb3` (FBbt:00067006).</t>
        </is>
      </c>
      <c r="E133" t="inlineStr">
        <is>
          <t>http://neuro.uni-konstanz.de/DoOR/content/receptor.php?OR=Or59c; Goldman et al., 2005, Neuron 45(5): 661--666 (flybase.org/reports/FBrf0184216); Couto et al., 2005, Curr. Biol. 15(17): 1535--1547 (flybase.org/reports/FBrf0187305)</t>
        </is>
      </c>
      <c r="F133" t="inlineStr"/>
      <c r="G133" t="inlineStr"/>
      <c r="H133" t="inlineStr"/>
    </row>
    <row r="134">
      <c r="A134">
        <f>HYPERLINK("https://www.ebi.ac.uk/ols/ontologies/fbbt/terms?iri=http://purl.obolibrary.org/obo/FBbt_00100049","FBbt:00100049")</f>
        <v/>
      </c>
      <c r="B134" t="inlineStr">
        <is>
          <t>S-type sensillum S4</t>
        </is>
      </c>
      <c r="C134" t="inlineStr">
        <is>
          <t>S-type sensilla S4; S-type sensilla S3</t>
        </is>
      </c>
      <c r="D134" t="inlineStr">
        <is>
          <t>Fourth most anterior S-type chemosensillum of the labellum. It can respond to a broad range of bitter stimuli (Weiss et al., 2011).</t>
        </is>
      </c>
      <c r="E134" t="inlineStr">
        <is>
          <t>Shanbhag et al., 2001, Cell Tissue Res. 304(3): 423--437 (flybase.org/reports/FBrf0137194); Hiroi et al., 2002, Zool. Sci., Tokyo 19(9): 1009--1018 (flybase.org/reports/FBrf0152351); Weiss et al., 2011, Neuron 69(2): 258--272 (flybase.org/reports/FBrf0212834)</t>
        </is>
      </c>
      <c r="F134" t="inlineStr"/>
      <c r="G134" t="inlineStr"/>
      <c r="H134" t="inlineStr"/>
    </row>
    <row r="135">
      <c r="A135">
        <f>HYPERLINK("https://www.ebi.ac.uk/ols/ontologies/fbbt/terms?iri=http://purl.obolibrary.org/obo/FBbt_00100048","FBbt:00100048")</f>
        <v/>
      </c>
      <c r="B135" t="inlineStr">
        <is>
          <t>S-type sensillum S3</t>
        </is>
      </c>
      <c r="C135" t="inlineStr">
        <is>
          <t>S-type sensilla S3; S-type sensilla S2</t>
        </is>
      </c>
      <c r="D135" t="inlineStr">
        <is>
          <t>Anterior S-type chemosensillum of the labellum. Less dorsally located than S-type sensillum S2. It can respond to a broad range of bitter stimuli (Weiss et al., 2011).</t>
        </is>
      </c>
      <c r="E135" t="inlineStr">
        <is>
          <t>Shanbhag et al., 2001, Cell Tissue Res. 304(3): 423--437 (flybase.org/reports/FBrf0137194); Hiroi et al., 2002, Zool. Sci., Tokyo 19(9): 1009--1018 (flybase.org/reports/FBrf0152351); Weiss et al., 2011, Neuron 69(2): 258--272 (flybase.org/reports/FBrf0212834)</t>
        </is>
      </c>
      <c r="F135" t="inlineStr"/>
      <c r="G135" t="inlineStr"/>
      <c r="H135" t="inlineStr"/>
    </row>
    <row r="136">
      <c r="A136">
        <f>HYPERLINK("https://www.ebi.ac.uk/ols/ontologies/fbbt/terms?iri=http://purl.obolibrary.org/obo/FBbt_00100047","FBbt:00100047")</f>
        <v/>
      </c>
      <c r="B136" t="inlineStr">
        <is>
          <t>S-type sensillum S2</t>
        </is>
      </c>
      <c r="C136" t="inlineStr">
        <is>
          <t>S-type sensilla S2; I-type sensilla I6</t>
        </is>
      </c>
      <c r="D136" t="inlineStr">
        <is>
          <t>S-type chemosensillum of the labellum, located posterodorsal to S-type sensillum S1, and more dorsally than S-type sensillum S3. It can respond to a narrow range of bitter stimuli (Weiss et al., 2011).</t>
        </is>
      </c>
      <c r="E136" t="inlineStr">
        <is>
          <t>Shanbhag et al., 2001, Cell Tissue Res. 304(3): 423--437 (flybase.org/reports/FBrf0137194); Hiroi et al., 2002, Zool. Sci., Tokyo 19(9): 1009--1018 (flybase.org/reports/FBrf0152351); Weiss et al., 2011, Neuron 69(2): 258--272 (flybase.org/reports/FBrf0212834)</t>
        </is>
      </c>
      <c r="F136" t="inlineStr"/>
      <c r="G136" t="inlineStr"/>
      <c r="H136" t="inlineStr"/>
    </row>
    <row r="137">
      <c r="A137">
        <f>HYPERLINK("https://www.ebi.ac.uk/ols/ontologies/fbbt/terms?iri=http://purl.obolibrary.org/obo/FBbt_00100046","FBbt:00100046")</f>
        <v/>
      </c>
      <c r="B137" t="inlineStr">
        <is>
          <t>S-type sensillum S1</t>
        </is>
      </c>
      <c r="C137" t="inlineStr">
        <is>
          <t>S-type sensilla S1</t>
        </is>
      </c>
      <c r="D137" t="inlineStr">
        <is>
          <t>Second most anterior S-type chemosensillum of the labellum. It can respond to a broad range of bitter stimuli (Weiss et al., 2011).</t>
        </is>
      </c>
      <c r="E137" t="inlineStr">
        <is>
          <t>Shanbhag et al., 2001, Cell Tissue Res. 304(3): 423--437 (flybase.org/reports/FBrf0137194); Hiroi et al., 2002, Zool. Sci., Tokyo 19(9): 1009--1018 (flybase.org/reports/FBrf0152351); Weiss et al., 2011, Neuron 69(2): 258--272 (flybase.org/reports/FBrf0212834)</t>
        </is>
      </c>
      <c r="F137" t="inlineStr"/>
      <c r="G137" t="inlineStr"/>
      <c r="H137" t="inlineStr"/>
    </row>
    <row r="138">
      <c r="A138">
        <f>HYPERLINK("https://www.ebi.ac.uk/ols/ontologies/fbbt/terms?iri=http://purl.obolibrary.org/obo/FBbt_00048159","FBbt:00048159")</f>
        <v/>
      </c>
      <c r="B138" t="inlineStr">
        <is>
          <t>narrow bitter-sensing neuron of the labellum I-b</t>
        </is>
      </c>
      <c r="C138" t="inlineStr">
        <is>
          <t>None</t>
        </is>
      </c>
      <c r="D138" t="inlineStr">
        <is>
          <t>Bitter-sensing gustatory receptor neuron of the labellum that innervates a narrowly-tuned bitter sensillum of the labellum belonging to group I-a. These cells are unique among the bitter-sensitive neurons of the labellum in expressing Gr47a, they additionally express Gr28a and Gr22b (Wang et al., 2004).</t>
        </is>
      </c>
      <c r="E138" t="inlineStr">
        <is>
          <t>Weiss et al., 2011, Neuron 69(2): 258--272 (flybase.org/reports/FBrf0212834)</t>
        </is>
      </c>
      <c r="F138" t="inlineStr"/>
      <c r="G138" t="inlineStr"/>
      <c r="H138" t="inlineStr"/>
    </row>
    <row r="139">
      <c r="A139">
        <f>HYPERLINK("https://www.ebi.ac.uk/ols/ontologies/fbbt/terms?iri=http://purl.obolibrary.org/obo/FBbt_00048158","FBbt:00048158")</f>
        <v/>
      </c>
      <c r="B139" t="inlineStr">
        <is>
          <t>narrow bitter-sensing neuron of the labellum I-a</t>
        </is>
      </c>
      <c r="C139" t="inlineStr">
        <is>
          <t>None</t>
        </is>
      </c>
      <c r="D139" t="inlineStr">
        <is>
          <t>Bitter-sensing gustatory receptor neuron of the labellum that innervates a narrowly-tuned bitter sensillum of the labellum belonging to group I-a. They express Gr59c, but not Gr28a (Weiss et al., 2011).</t>
        </is>
      </c>
      <c r="E139" t="inlineStr">
        <is>
          <t>Weiss et al., 2011, Neuron 69(2): 258--272 (flybase.org/reports/FBrf0212834)</t>
        </is>
      </c>
      <c r="F139" t="inlineStr"/>
      <c r="G139" t="inlineStr"/>
      <c r="H139" t="inlineStr"/>
    </row>
    <row r="140">
      <c r="A140">
        <f>HYPERLINK("https://www.ebi.ac.uk/ols/ontologies/fbbt/terms?iri=http://purl.obolibrary.org/obo/FBbt_00048154","FBbt:00048154")</f>
        <v/>
      </c>
      <c r="B140" t="inlineStr">
        <is>
          <t>broad bitter-sensing neuron of the labellum S-a</t>
        </is>
      </c>
      <c r="C140" t="inlineStr">
        <is>
          <t>None</t>
        </is>
      </c>
      <c r="D140" t="inlineStr">
        <is>
          <t>Bitter-sensing gustatory receptor neuron of the labellum that innervates a broadly-tuned bitter sensillum of the labellum belonging to group S-a. They express the widest range of Gustatory receptors, including Gr22b, Gr36b and Gr58b, which are generally not expressed in other classes of bitter-sensing neurons of the labellum (Weiss et al., 2011).</t>
        </is>
      </c>
      <c r="E140" t="inlineStr">
        <is>
          <t>Weiss et al., 2011, Neuron 69(2): 258--272 (flybase.org/reports/FBrf0212834)</t>
        </is>
      </c>
      <c r="F140" t="inlineStr"/>
      <c r="G140" t="inlineStr"/>
      <c r="H140" t="inlineStr"/>
    </row>
    <row r="141">
      <c r="A141">
        <f>HYPERLINK("https://www.ebi.ac.uk/ols/ontologies/fbbt/terms?iri=http://purl.obolibrary.org/obo/FBbt_00048153","FBbt:00048153")</f>
        <v/>
      </c>
      <c r="B141" t="inlineStr">
        <is>
          <t>broad bitter-sensing neuron of the labellum S-b</t>
        </is>
      </c>
      <c r="C141" t="inlineStr">
        <is>
          <t>category IIS neuron</t>
        </is>
      </c>
      <c r="D141" t="inlineStr">
        <is>
          <t>Bitter-sensing gustatory receptor neuron of the labellum that innervates a broadly-tuned bitter sensillum of the labellum belonging to group S-b. They express Gr22f and Gr36a, which are not expressed in other classes of bitter-sensing neurons of the labellum (Weiss et al., 2011).</t>
        </is>
      </c>
      <c r="E141" t="inlineStr">
        <is>
          <t>Weiss et al., 2011, Neuron 69(2): 258--272 (flybase.org/reports/FBrf0212834)</t>
        </is>
      </c>
      <c r="F141" t="inlineStr"/>
      <c r="G141" t="inlineStr"/>
      <c r="H141" t="inlineStr"/>
    </row>
    <row r="142">
      <c r="A142">
        <f>HYPERLINK("https://www.ebi.ac.uk/ols/ontologies/fbbt/terms?iri=http://purl.obolibrary.org/obo/FBbt_00067006","FBbt:00067006")</f>
        <v/>
      </c>
      <c r="B142" t="inlineStr">
        <is>
          <t>maxillary palp basiconic sensillum pb3</t>
        </is>
      </c>
      <c r="C142" t="inlineStr">
        <is>
          <t>None</t>
        </is>
      </c>
      <c r="D142" t="inlineStr">
        <is>
          <t>Basiconic olfactory sensillum of maxillary palp that is innervated by the dendrites of two ORNs. It is distinguishable from pb1 and pb2 by its odor response profile (Goldman et al., 2005) and the identity of the ORNs that innervate it (59c and 85d; Couto et al., 2005; Goldman et al., 2005).</t>
        </is>
      </c>
      <c r="E142" t="inlineStr">
        <is>
          <t>de Bruyne et al., 1999, J. Neurosci. 19(11): 4520--4532 (flybase.org/reports/FBrf0108493); Couto et al., 2005, Curr. Biol. 15(17): 1535--1547 (flybase.org/reports/FBrf0187305)</t>
        </is>
      </c>
      <c r="F142" t="inlineStr"/>
      <c r="G142" t="inlineStr"/>
      <c r="H142" t="inlineStr"/>
    </row>
    <row r="143">
      <c r="A143">
        <f>HYPERLINK("https://www.ebi.ac.uk/ols/ontologies/fbbt/terms?iri=http://purl.obolibrary.org/obo/FBbt_00048164","FBbt:00048164")</f>
        <v/>
      </c>
      <c r="B143" t="inlineStr">
        <is>
          <t>narrow bitter-sensitive labellar taste bristle I-a</t>
        </is>
      </c>
      <c r="C143" t="inlineStr">
        <is>
          <t>I-a sensillum</t>
        </is>
      </c>
      <c r="D143" t="inlineStr">
        <is>
          <t>Bitter-sensitive labellar taste bristle that detects a narrow range of bitter stimuli, with greater responses to denatonium benzoate, berberine chloride, lobeline hydrochloride, sparteine sulfate salt and escin (Weiss et al., 2011).</t>
        </is>
      </c>
      <c r="E143" t="inlineStr">
        <is>
          <t>Weiss et al., 2011, Neuron 69(2): 258--272 (flybase.org/reports/FBrf0212834)</t>
        </is>
      </c>
      <c r="F143" t="inlineStr"/>
      <c r="G143" t="inlineStr"/>
      <c r="H143" t="inlineStr"/>
    </row>
    <row r="144">
      <c r="A144">
        <f>HYPERLINK("https://www.ebi.ac.uk/ols/ontologies/fbbt/terms?iri=http://purl.obolibrary.org/obo/FBbt_00048163","FBbt:00048163")</f>
        <v/>
      </c>
      <c r="B144" t="inlineStr">
        <is>
          <t>narrow bitter-sensitive labellar taste bristle I-b</t>
        </is>
      </c>
      <c r="C144" t="inlineStr">
        <is>
          <t>I-b sensillum</t>
        </is>
      </c>
      <c r="D144" t="inlineStr">
        <is>
          <t>Bitter-sensitive labellar taste bristle that detects a narrow range of bitter stimuli, with greater responses to caffeine, umbelliferone and theophylline (Weiss et al., 2011).</t>
        </is>
      </c>
      <c r="E144" t="inlineStr">
        <is>
          <t>Weiss et al., 2011, Neuron 69(2): 258--272 (flybase.org/reports/FBrf0212834)</t>
        </is>
      </c>
      <c r="F144" t="inlineStr"/>
      <c r="G144" t="inlineStr"/>
      <c r="H144" t="inlineStr"/>
    </row>
    <row r="145">
      <c r="A145">
        <f>HYPERLINK("https://www.ebi.ac.uk/ols/ontologies/fbbt/terms?iri=http://purl.obolibrary.org/obo/FBbt_00048162","FBbt:00048162")</f>
        <v/>
      </c>
      <c r="B145" t="inlineStr">
        <is>
          <t>broad bitter-sensitive labellar taste bristle S-b</t>
        </is>
      </c>
      <c r="C145" t="inlineStr">
        <is>
          <t>S-b sensillum</t>
        </is>
      </c>
      <c r="D145" t="inlineStr">
        <is>
          <t>Bitter-sensitive labellar taste bristle that detects a wide range of bitter stimuli, with a greater response to most stimuli than the S-a group (Weiss et al., 2011).</t>
        </is>
      </c>
      <c r="E145" t="inlineStr">
        <is>
          <t>Weiss et al., 2011, Neuron 69(2): 258--272 (flybase.org/reports/FBrf0212834)</t>
        </is>
      </c>
      <c r="F145" t="inlineStr"/>
      <c r="G145" t="inlineStr"/>
      <c r="H145" t="inlineStr"/>
    </row>
    <row r="146">
      <c r="A146">
        <f>HYPERLINK("https://www.ebi.ac.uk/ols/ontologies/fbbt/terms?iri=http://purl.obolibrary.org/obo/FBbt_00048161","FBbt:00048161")</f>
        <v/>
      </c>
      <c r="B146" t="inlineStr">
        <is>
          <t>broad bitter-sensitive labellar taste bristle S-a</t>
        </is>
      </c>
      <c r="C146" t="inlineStr">
        <is>
          <t>S-a sensillum</t>
        </is>
      </c>
      <c r="D146" t="inlineStr">
        <is>
          <t>Bitter-sensitive labellar taste bristle that detects a wide range of bitter stimuli, with a smaller response to most stimuli than the S-b group (Weiss et al., 2011).</t>
        </is>
      </c>
      <c r="E146" t="inlineStr">
        <is>
          <t>Weiss et al., 2011, Neuron 69(2): 258--272 (flybase.org/reports/FBrf0212834)</t>
        </is>
      </c>
      <c r="F146" t="inlineStr"/>
      <c r="G146" t="inlineStr"/>
      <c r="H146" t="inlineStr"/>
    </row>
    <row r="147">
      <c r="A147">
        <f>HYPERLINK("https://www.ebi.ac.uk/ols/ontologies/fbbt/terms?iri=http://purl.obolibrary.org/obo/FBbt_00067035","FBbt:00067035")</f>
        <v/>
      </c>
      <c r="B147" t="inlineStr">
        <is>
          <t>maxillary palp basiconic sensillum pb2</t>
        </is>
      </c>
      <c r="C147" t="inlineStr">
        <is>
          <t>None</t>
        </is>
      </c>
      <c r="D147" t="inlineStr">
        <is>
          <t>Basiconic olfactory sensillum of maxillary palp that is innervated by the dendrites of two ORNs. It is distinguishable from pb1 and pb3 by its odor response profile (Goldman et al., 2005) and the identity of the ORNs that innervate it (85e/33c and 46a; Couto et al., 2005; Goldman et al., 2005).</t>
        </is>
      </c>
      <c r="E147" t="inlineStr">
        <is>
          <t>de Bruyne et al., 1999, J. Neurosci. 19(11): 4520--4532 (flybase.org/reports/FBrf0108493); Couto et al., 2005, Curr. Biol. 15(17): 1535--1547 (flybase.org/reports/FBrf0187305)</t>
        </is>
      </c>
      <c r="F147" t="inlineStr"/>
      <c r="G147" t="inlineStr"/>
      <c r="H147" t="inlineStr"/>
    </row>
    <row r="148">
      <c r="A148">
        <f>HYPERLINK("https://www.ebi.ac.uk/ols/ontologies/fbbt/terms?iri=http://purl.obolibrary.org/obo/FBbt_00067040","FBbt:00067040")</f>
        <v/>
      </c>
      <c r="B148" t="inlineStr">
        <is>
          <t>maxillary palp basiconic sensillum pb1</t>
        </is>
      </c>
      <c r="C148" t="inlineStr">
        <is>
          <t>None</t>
        </is>
      </c>
      <c r="D148" t="inlineStr">
        <is>
          <t>Basiconic olfactory sensillum of maxillary palp that is innervated by the dendrites of two ORNs. It is distinguishable from pb2 and pb3 by its odor response profile (Goldman et al., 2005) and the identity of the ORNs that innervate it (42a and 71a; Couto et al., 2005; Goldman et al., 2005).</t>
        </is>
      </c>
      <c r="E148" t="inlineStr">
        <is>
          <t>de Bruyne et al., 1999, J. Neurosci. 19(11): 4520--4532 (flybase.org/reports/FBrf0108493); Couto et al., 2005, Curr. Biol. 15(17): 1535--1547 (flybase.org/reports/FBrf0187305)</t>
        </is>
      </c>
      <c r="F148" t="inlineStr"/>
      <c r="G148" t="inlineStr"/>
      <c r="H148"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2019-11-05T12:50:52Z</dcterms:created>
  <dcterms:modified xsi:type="dcterms:W3CDTF">2019-11-05T12:50:52Z</dcterms:modified>
</cp:coreProperties>
</file>