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8A298807-92CF-214D-8D03-290DC122767F}"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98" i="1" l="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<sst xmlns="http://schemas.openxmlformats.org/spreadsheetml/2006/main" count="2794" uniqueCount="1898">
  <si>
    <t>FBbt_ID</t>
  </si>
  <si>
    <t>Name</t>
  </si>
  <si>
    <t>Synonyms</t>
  </si>
  <si>
    <t>Definition</t>
  </si>
  <si>
    <t>References</t>
  </si>
  <si>
    <t>Review_notes</t>
  </si>
  <si>
    <t>Suggested_markers</t>
  </si>
  <si>
    <t>Abundance</t>
  </si>
  <si>
    <t>None</t>
  </si>
  <si>
    <t>larval DH44 neuron of ventral nerve cord</t>
  </si>
  <si>
    <t>DH44-expressing neuron with a cell body located in the larval ventral nerve cord. These neurons are more abundant in the larva and pupa than the adult.</t>
  </si>
  <si>
    <t>Cabrero et al., 2002, J. Exp. Biol. 205(24): 3799--3807 (flybase.org/reports/FBrf0152168); Cannell et al., 2016, Peptides 80: 96--107 (flybase.org/reports/FBrf0232426)</t>
  </si>
  <si>
    <t>Va neuron</t>
  </si>
  <si>
    <t>abdominal neuroendocrine cell</t>
  </si>
  <si>
    <t>Larval neurosecretory abdominal neuron whose cell body is located near the ventrolateral tract of the midline. It projects its axon dorsomedially through the neuropil passing below the central intermediate and dorsal median tracts. The axon reaches the midline near the transverse projection 3 where it joins with the axon of the contralateral Va neuron. The two axons project dorsally together a short distance before diverging and forming a loop inside the neuropil and dorsal cortex. The loop closes just before the neurites leave the ventral ganglion and innervate the abdominal neurohemal organ. There are 3 bilateral pairs of Va neurons, one bilateral pair in each of the first 3 abdominal neuromeres, and they all express Capability (Santos et al., 2007).</t>
  </si>
  <si>
    <t>Santos et al., 2007, PLoS ONE 2(8): e695 (flybase.org/reports/FBrf0201188)</t>
  </si>
  <si>
    <t>VA3 motor neuron</t>
  </si>
  <si>
    <t>CoR; MN-VA3</t>
  </si>
  <si>
    <t>Motor neuron that innervates the external ventral acute muscle 3 (muscle 29). Muscles referred to as VA3 exist in segments A1 to A7 (Bate, 1993). The neuron exits the ventral nerve cord via the segmental nerve root, fasciculating with the SNc nerve branch.</t>
  </si>
  <si>
    <t>Bate, 1993, Bate, Martinez Arias, 1993: 1013--1090 (flybase.org/reports/FBrf0064793); Landgraf et al., 1997, J. Neurosci. 17(24): 9642--9655 (flybase.org/reports/FBrf0099344)</t>
  </si>
  <si>
    <t>VA2 motor neuron</t>
  </si>
  <si>
    <t>CoR; MN-VA2</t>
  </si>
  <si>
    <t>Motor neuron that innervates the external ventral acute muscle 2 (muscle 27). Muscles referred to as VA2 exist in segments A1 to A7 (Bate, 1993). The neuron exits the ventral nerve cord via the segmental nerve root, fasciculating with the SNc nerve branch.</t>
  </si>
  <si>
    <t>A1-7 VA1 motor neuron</t>
  </si>
  <si>
    <t>CoR; A1-7 MN26-Ib; MN-VA1</t>
  </si>
  <si>
    <t>Motor neuron that innervates the external ventral acute muscle 1 of larval abdominal segments A1 to A7. It exits the ventral nerve cord via the segmental nerve root, fasciculating with the SNc nerve branch. These neurons (at least in A1 to A4) die during metamorphosis (Banerjee et al., 2016).</t>
  </si>
  <si>
    <t>Landgraf et al., 1997, J. Neurosci. 17(24): 9642--9655 (flybase.org/reports/FBrf0099344); Banerjee et al., 2016, Dev. Neurobiol. 76(12): 1387--1416 (flybase.org/reports/FBrf0234013)</t>
  </si>
  <si>
    <t>larval A29b neuron</t>
  </si>
  <si>
    <t>Neuron of the larval abdominal neuromere that is part of lineage 29. Its primary neurite extends anterior and posteriorly close to the midline. The dendritic terminals are located more anteriorly and the axonal terminals more posteriorly. It receives input from the Basin-1 neuron and the eight abdominal chordotonal neurons (lch1, lch5, vch1, vch2).</t>
  </si>
  <si>
    <t>Ohyama et al., 2015, Nature 520(7549): 633--639 (flybase.org/reports/FBrf0228257)</t>
  </si>
  <si>
    <t>A1-7 LT1 motor neuron</t>
  </si>
  <si>
    <t>MN21/22-Ib; 2-2M of abdomen; MN-LT1; 2-2M; MSI1,2</t>
  </si>
  <si>
    <t>Motor neuron developing from neuroblast NB2-2 lineage that innervates the external lateral transverse muscle 1. It exits the ventral nerve cord via the segmental nerve root, fasciculating with the SNa nerve branch and innervates the LT1 muscle with type Ib boutons.</t>
  </si>
  <si>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</si>
  <si>
    <t>larval A02n neuron</t>
  </si>
  <si>
    <t>Neuron of the larval abdominal neuromere that is part of lineage 2. There are two of these cells per hemineuromere and they are morphologically indistinguishable (Gerhard et al., 2017). Its soma is located in the ventral cortex region close to the medial abdominal neuromere. It is a small neuron, receiving input from the Basin-2, the chordotonal abdominal lch1 neuron and the abdominal dorsal multidendritic neuron ddaC. Its soma is more ventrally-located than that of the A02m neuron.</t>
  </si>
  <si>
    <t>Ohyama et al., 2015, Nature 520(7549): 633--639 (flybase.org/reports/FBrf0228257); Gerhard et al., 2017, eLife 6: e29089 (flybase.org/reports/FBrf0237057)</t>
  </si>
  <si>
    <t>larval Pdf neuron of abdominal neuromere</t>
  </si>
  <si>
    <t>PDFAb neuron</t>
  </si>
  <si>
    <t>Pdf-expressing neuron whose cell body is located in a ventral cluster in the eighth larval abdominal neuromere of the ventral ganglion. There are 8 of these per cluster - each projecting though the paired eighth abdominal nerve to the posterior end of the larva (Helfrich-Forster, 1997). They are glutamatergic motor neurons that arborize over the posterior end of the hindgut, with refined branches and abundant bouton structures (Zhang et al., 2014).</t>
  </si>
  <si>
    <t>Helfrich-Forster, 1997, J. Comp. Neurol. 380(3): 335--354 (flybase.org/reports/FBrf0093121); Zhang et al., 2014, eLife 3: e03293 (flybase.org/reports/FBrf0226857)</t>
  </si>
  <si>
    <t>larval A08d neuron</t>
  </si>
  <si>
    <t>Neuron of the larval abdominal neuromere that is part of lineage 8. Its primary neurite extends mediodorsally to terminate close to or crossing the midline. It receives input from the 4 Basin neurons.</t>
  </si>
  <si>
    <t>larval A12q neuron</t>
  </si>
  <si>
    <t>Neuron of the larval abdominal neuromere that is part of lineage 12. Its primary neurite extends anterior and posteriorly close to or crossing the midline, for most of the length of the ventral nerve cord. The dendritic terminals are located more anteriorly and the axonal terminals more posteriorly. It receives input from the Basin-2 neuron.</t>
  </si>
  <si>
    <t>larval Goro neuron</t>
  </si>
  <si>
    <t>gorogoro</t>
  </si>
  <si>
    <t>Neuron of the larval ventral nerve cord, whose soma is located at the level of the mesothoracic segment. Its dendrites are located ipsilaterally, lateral to the midline. It receives input from the descending Contragoro, Ipsigoro neurons and from the abdominal A23g and A05q neurons as well as the Goro-like neuron of the prothoracic neuromere. Its axon extends posteriorly in the dorsal region, close to the midline, in the motor domain of the ventral nerve cord. It is a downstream neuron of the pathway involved in the rolling behaviour.</t>
  </si>
  <si>
    <t>EG neuron</t>
  </si>
  <si>
    <t>eg-expressing neuron</t>
  </si>
  <si>
    <t>Interneuron that is part of a cluster of 10-12 eagle (FBgn0000560) expressing neurons deriving from multiple neuroblasts. Axons extend across the midline via the anterior commissure.</t>
  </si>
  <si>
    <t>Higashijima et al., 1996, Development 122(2): 527--536 (flybase.org/reports/FBrf0086454); Garbe et al., 2007, Development 134(24): 4325--4334 (flybase.org/reports/FBrf0200520)</t>
  </si>
  <si>
    <t>larval VNC neuropil glial cell</t>
  </si>
  <si>
    <t>longitudinal glia</t>
  </si>
  <si>
    <t>Any glial cell (FBbt:00005144) that is part of some ventral nerve cord (FBbt:00001102) and is part of some neuropil glial sheath (FBbt:00007117).</t>
  </si>
  <si>
    <t>Omoto et al., 2015, Dev. Biol. 404(2): 2--20 (flybase.org/reports/FBrf0229106)</t>
  </si>
  <si>
    <t>period-positive median segmental interneuron</t>
  </si>
  <si>
    <t>PMSI neuron; looper neuron</t>
  </si>
  <si>
    <t>Interneuron of the larval ventral nerve cord whose soma is located near the ventral midline of each segment. Its axon projects dorsally toward the dorsal midline, turns laterally and extends toward the lateral edge of the neuropil. It then makes a loop around the DL fascicle and projects back medially to terminate in the dorsal neuropil region of that same segment, where it synapses onto motor neurons. From the main axon, several collaterals extend to different neuropils. It is a glutamatergic neuron. There are around 20 of these interneurons in each segment.</t>
  </si>
  <si>
    <t>Kohsaka et al., 2014, Curr. Biol. 24(22): 2632--2642 (flybase.org/reports/FBrf0226895)</t>
  </si>
  <si>
    <t>larval A01c neuron</t>
  </si>
  <si>
    <t>Premotor neuron of the larval abdominal neuromere that is part of lineage 1 (Burgos et al., 2018).</t>
  </si>
  <si>
    <t>Burgos et al., 2018, eLife 7: e26016 (flybase.org/reports/FBrf0238464)</t>
  </si>
  <si>
    <t>larval A07c4 neuron</t>
  </si>
  <si>
    <t>Premotor neuron of the larval abdominal neuromere that is part of lineage 7 (Burgos et al., 2018).</t>
  </si>
  <si>
    <t>larval A03g neuron</t>
  </si>
  <si>
    <t>Premotor neuron of the larval abdominal neuromere that is part of lineage 3 (Burgos et al., 2018).</t>
  </si>
  <si>
    <t>SP1 neuron</t>
  </si>
  <si>
    <t>Bilaterally paired neuron of the embryo/larva. Each (?) abdominal segment contains a pair of SP1 neurons with an axon that crosses the ventral midline as part of the anterior commissure, wraps around the cell body of its contralateral partner and then extends anteriorly as part of the longitudinal connective. During development, these axons pioneer the anterior commissure and longitudinal connectives.</t>
  </si>
  <si>
    <t>Grenningloh et al., 1991, Cell 67: 45--57 (flybase.org/reports/FBrf0053374); Goodman and Doe, 1993, Bate, Martinez Arias, 1993: 1131--1206 (flybase.org/reports/FBrf0064795); Mellerick and Modica, 2002, J. Neurobiol. 50(2): 118--136 (flybase.org/reports/FBrf0144965)</t>
  </si>
  <si>
    <t>ventral intersegmental neuron</t>
  </si>
  <si>
    <t>.</t>
  </si>
  <si>
    <t>Lai et al., 1991, Mech. Dev. 34: 123--134 (flybase.org/reports/FBrf0054608)</t>
  </si>
  <si>
    <t>lateral ipsisegmental neuron</t>
  </si>
  <si>
    <t>A1-7 LT3 motor neuron</t>
  </si>
  <si>
    <t>MN23/24-Ib; MN-LT3; MN22/23-Ib</t>
  </si>
  <si>
    <t>Motor neuron developing from neuroblast NB3-2 lineage that innervates the external lateral transverse muscle 3. It exits the ventral nerve cord via the segmental nerve root nerve fasciculating with the SNa nerve branch and innervates the LT3 muscle with type Ib boutons.</t>
  </si>
  <si>
    <t>A1-7 LT2 motor neuron</t>
  </si>
  <si>
    <t>MSI1,2; MN22/23-Ib; MN21/22-Ib; MN-LT2; 2-2M of abdomen; 2-2M</t>
  </si>
  <si>
    <t>Motor neuron developing from neuroblast NB2-2 lineage that innervates the external lateral transverse muscle 2. It exits the ventral nerve cord via the segmental nerve root nerve fasciculating with the SNa nerve branch and innervates the LT2 muscle with type Ib boutons.</t>
  </si>
  <si>
    <t>larval T19r neuron</t>
  </si>
  <si>
    <t>Neuron that is involved in turning followed by forwards motion of the larva, believed to be for the purpose of avoidance.</t>
  </si>
  <si>
    <t>Vogelstein et al., 2014, Science 344(6182): 386--392 (flybase.org/reports/FBrf0224808)</t>
  </si>
  <si>
    <t>larval TMN neuron</t>
  </si>
  <si>
    <t>Motor neuron that is involved in turning motion of the larva. Its projections occupy the same motor region of the ventral nerve cord as the TINa neuron.</t>
  </si>
  <si>
    <t>larval TINa neuron</t>
  </si>
  <si>
    <t>Interneuron that is involved in turning motion of the larva. Its projections occupy the same motor region of the ventral nerve cord as the TMN neuron.</t>
  </si>
  <si>
    <t>larval Wave neuron</t>
  </si>
  <si>
    <t>larval A02o neuron</t>
  </si>
  <si>
    <t>Segmentally-repeated interneuron that is part of lineage 2 and has a cell body in a larval abdominal neuromere (Ohyama et al., 2015). They are cholinergic and glutamatergic, but not GABAergic. Anterior Wave neurons project anteriorly, while posterior Wave neurons project within the same neuromere as their cell body and to adjacent neuromeres. Presynaptic and postsynaptic sites are segregated to dorsal and ventral neurites, respectively. They receive sensory information, predominantly from class IV dendritic arborizing neurons, in a segment-specific manner. Activation of Wave neurons in anterior segments (A1-3) induces backward locomotion, activation in posterior segments (A4-6) induces forward locomotion, and activation of all simultaneously induces bending. Wave neurons are required for normal locomotory responses to mechanical stimuli.</t>
  </si>
  <si>
    <t>Ohyama et al., 2015, Nature 520(7549): 633--639 (flybase.org/reports/FBrf0228257); Takagi et al., 2017, Neuron 96(6): 1373--1387.e6 (flybase.org/reports/FBrf0237618)</t>
  </si>
  <si>
    <t>larval dopaminergic TM3 neuron</t>
  </si>
  <si>
    <t>M; TM3 neuron; thoracic 3 dopaminergic medial neuron; Th</t>
  </si>
  <si>
    <t>Dopaminergic neuron whose cell body is located along the midline in the larval thoracic segment T3.</t>
  </si>
  <si>
    <t>Lundell and Hirsh, 1994, Dev. Biol. 165(2): 385--396 (flybase.org/reports/FBrf0076116); Lundell and Hirsh, 1998, Development 125(3): 463--472 (flybase.org/reports/FBrf0100717)</t>
  </si>
  <si>
    <t>larval A08y neuron</t>
  </si>
  <si>
    <t>Ascending neuron of the larval abdominal neuromere that is part of lineage 8. Its primary neurite extends dorsomedially arborizing close to and across the midline. It then projects anteriorly to terminate in the brain. It receives input from the Basin-1 and -2 neurons.</t>
  </si>
  <si>
    <t>A1-7 SBM motor neuron</t>
  </si>
  <si>
    <t>MN-SBM; NAD; MN8-Ib</t>
  </si>
  <si>
    <t>Motor neuron developing from the neuroblast NB2-4 lineage that innervates the external segment border muscle of abdominal segments 1 to 7. The motor neuron exits the ventral nerve cord via the segmental nerve root nerve fasciculating with the SNa nerve branch and innervates the SBM muscle with type Ib boutons.</t>
  </si>
  <si>
    <t>larval A19c neuron</t>
  </si>
  <si>
    <t>Neuron of the larval abdominal neuromere that is part of lineage 19. Its primary neurite extends dorsomedially arborizing across the midline. It receives input from the Basin-2 and -4 neurons.</t>
  </si>
  <si>
    <t>larval dopaminergic AL neuron</t>
  </si>
  <si>
    <t>AbL; dl; dopaminergic dorso-lateral neuron; AL neuron</t>
  </si>
  <si>
    <t>Dopaminergic neuron whose cell body is dorsolaterally located in each hemisegment of abdominal segments A1-A7.</t>
  </si>
  <si>
    <t>A1-7 LO1 motor neuron</t>
  </si>
  <si>
    <t>MN-LO1; MN5-Ib; JTM</t>
  </si>
  <si>
    <t>Motor neuron developing from neuroblast NB3-3 lineage that innervates the external lateral oblique muscle 1 of abdominal segments 1 to 7. The motor neuron exits the ventral nerve cord via the segmental nerve root nerve fasciculating with the SNa nerve branch and innervates the LO1 muscle with type Ib boutons.</t>
  </si>
  <si>
    <t>larval dopaminergic TM2 neuron</t>
  </si>
  <si>
    <t>TM2 neuron; thoracic 2 dopaminergic medial neuron; M; Th</t>
  </si>
  <si>
    <t>Dopaminergic neuron whose cell body is located along the midline in the larval thoracic segment T2.</t>
  </si>
  <si>
    <t>larval A08x neuron</t>
  </si>
  <si>
    <t>Ascending neuron of the larval abdominal neuromere that is part of lineage 8. Its primary neurite extends dorsomedially arborizing close to and across the midline. It then extends anteriorly to terminate in the brain. It receives input from the Basin-2 and -4 neurons.</t>
  </si>
  <si>
    <t>larval dopaminergic TM1 neuron</t>
  </si>
  <si>
    <t>thoracic 1 dopaminergic medial neuron; M; TM1 neuron; Th</t>
  </si>
  <si>
    <t>Dopaminergic neuron whose cell body is located along the midline in the ventromedial larval thoracic segment T1. It is found as a triplet group. It arborizes in the subesophageal ganglion and in the ventral nerve cord.</t>
  </si>
  <si>
    <t>Lundell and Hirsh, 1994, Dev. Biol. 165(2): 385--396 (flybase.org/reports/FBrf0076116); Lundell and Hirsh, 1998, Development 125(3): 463--472 (flybase.org/reports/FBrf0100717); Selcho et al., 2009, PLoS ONE 4(6): e5897 (flybase.org/reports/FBrf0208252)</t>
  </si>
  <si>
    <t>larval A10l neuron</t>
  </si>
  <si>
    <t>Neuron of the larval abdominal neuromere that is part of lineage 10. It is a small neuron that arborizes close to or across the midline. It receives input from the Basin-1 and -3 neurons.</t>
  </si>
  <si>
    <t>A1-7 LT4 motor neuron</t>
  </si>
  <si>
    <t>MN-LT4; MN23/24-Ib</t>
  </si>
  <si>
    <t>Motor neuron developing from neuroblast NB3-2 lineage that innervates the external lateral transverse muscle 4. It exits the ventral nerve cord via the segmental nerve root nerve fasciculating with the SNa nerve branch and innervates the LT4 muscle with type Ib boutons.</t>
  </si>
  <si>
    <t>larval A12m neuron</t>
  </si>
  <si>
    <t>Neuron of the larval abdominal neuromere that is part of lineage 12. Its primary neurite extends dorsomedially arborizing across the midline, with both dendritic and axonal domains extending anteroposteriorly. It receives input from the Basin-1 and -2 neurons.</t>
  </si>
  <si>
    <t>larval A10a neuron</t>
  </si>
  <si>
    <t>Neuron of the larval abdominal neuromere that is part of lineage 10. Its primary neurite extends dorsomedially arborizing across the midline. It receives input from Basin-2, Basin-4 and the class IV dendritic arborizing neurons.</t>
  </si>
  <si>
    <t>larval A10f neuron</t>
  </si>
  <si>
    <t>Neuron of the larval abdominal neuromere that is part of lineage 10. Its primary neurite extends dorsomedially arborizing across the midline, with both dendritic and axonal domains extending anteroposteriorly. It receives input from the Basin-1, -2, and -3 neurons. This is a nociceptive integrator neuron, i.e. it is a node of convergence for multiple nociceptive neuron types (Burgos et al., 2018).</t>
  </si>
  <si>
    <t>Ohyama et al., 2015, Nature 520(7549): 633--639 (flybase.org/reports/FBrf0228257); Burgos et al., 2018, eLife 7: e26016 (flybase.org/reports/FBrf0238464)</t>
  </si>
  <si>
    <t>larval iag neuron</t>
  </si>
  <si>
    <t>larval abdominal hindgut-innervating ITP-ir neuron</t>
  </si>
  <si>
    <t>Ion transport peptide (ITP)-expressing neuron with its cell body in the eighth larval abdominal neuromere (Dircksen et al., 2008). There is one dorsal lateral pair and two or three, more posterior, ventral pairs of these neurons, which extend axons medially, then exit via the eighth abdominal nerve to the hindgut (Dircksen et al., 2008).</t>
  </si>
  <si>
    <t>Dircksen et al., 2008, J. Comp. Neurol. 509(1): 23--41 (flybase.org/reports/FBrf0204742)</t>
  </si>
  <si>
    <t>larval A05e neuron</t>
  </si>
  <si>
    <t>Neuron of the larval abdominal neuromere that is part of lineage 5. Its primary neurite arborizes close to the midline and projects laterally. It receives input from the Basin-3 neuron.</t>
  </si>
  <si>
    <t>larval A08m neuron</t>
  </si>
  <si>
    <t>Neuron of the larval abdominal neuromere that is part of lineage 8. Its primary neurite extends anteriorly and arborizes close to, or crossing the midline. It receives input from the Basin-1, -3 and -4, and the eight abdominal chordotonal neurons (lch1, lch5, vch1, vch2).</t>
  </si>
  <si>
    <t>larval down and back neuron</t>
  </si>
  <si>
    <t>A09l; DnB neuron</t>
  </si>
  <si>
    <t>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 These neurons are cholinergic.</t>
  </si>
  <si>
    <t>larval A03o neuron</t>
  </si>
  <si>
    <t>Neuron of the larval abdominal neuromere that is part of lineage 3. Its primary neurite arborizes close to the midline. It receives input from the Basin-1 and the eight abdominal chordotonal neurons (lch1, lch5, vch1, vch2).</t>
  </si>
  <si>
    <t>larval Drunken-2 neuron</t>
  </si>
  <si>
    <t>Segmentally repeated interneuron of the larval ventral nerve cord that is GABA-positive (Jovanic at al., 2016).</t>
  </si>
  <si>
    <t>Jovanic et al., 2016, Cell 167(3): 858--870.e19 (flybase.org/reports/FBrf0233796)</t>
  </si>
  <si>
    <t>A-subperineurial glial cell</t>
  </si>
  <si>
    <t>A-SPG; A subperineurial glial cell</t>
  </si>
  <si>
    <t>A large subperineural glial cell of the embryo or larva that lies anterior to the anterior segment border and anterior commissure and medial to the longitudinal connective in each abdominal and thoracic neuromere, (Klambt and Goodman, 1991; Ito et al., 1995). It sends a process to the dorsoventral channel (Ito et al., 1995).</t>
  </si>
  <si>
    <t>Klambt and Goodman, 1991, Glia 4: 205--213 (flybase.org/reports/FBrf0054242); Hartenstein and Jan, 1992, Rouxs Arch. Dev. Biol. 201(4): 194--220 (flybase.org/reports/FBrf0057603); Ito et al., 1995, Rouxs Arch. Dev. Biol. 204(5): 284--307 (flybase.org/reports/FBrf0082171)</t>
  </si>
  <si>
    <t>channel glial cell</t>
  </si>
  <si>
    <t>CG; CNS channel glial cell</t>
  </si>
  <si>
    <t>Surface associated glial cell that lies along the dorsoventral channels of the ventral nerve cord. The cell bodies lie close to and send processes along the channel surface. The nuclei of these glial cells are smaller and more spherical compared to the flattened nuclei of the subperineurial glia.</t>
  </si>
  <si>
    <t>Ito et al., 1995, Rouxs Arch. Dev. Biol. 204(5): 284--307 (flybase.org/reports/FBrf0082171)</t>
  </si>
  <si>
    <t>midline neuron</t>
  </si>
  <si>
    <t>Neuron of the embryonic or larval midline.</t>
  </si>
  <si>
    <t>1-1I</t>
  </si>
  <si>
    <t>Ipsilaterally projecting interneuron developing from neuroblast NB1-1 segment specific lineages.</t>
  </si>
  <si>
    <t>Bossing et al., 1996, Dev. Biol. 179(1): 41--64 (flybase.org/reports/FBrf0090460)</t>
  </si>
  <si>
    <t>RP neuron</t>
  </si>
  <si>
    <t>Neuron of the embryonic/larval CNS. The RP neurons are mainly motor neurons. An RP motor neuron innervates each of muscles 2, 3, 6, 7, 11, 12, 13, 14, 19, 20, 28 and 30. RP2sib is the only RP neuron not to be a motor neuron.</t>
  </si>
  <si>
    <t>Zinn et al., 1988, Cell 53: 577--587 (flybase.org/reports/FBrf0047653); Goodman and Doe, 1993, Bate, Martinez Arias, 1993: 1131--1206 (flybase.org/reports/FBrf0064795); Schmid et al., 1999, Development 126(21): 4653--4689 (flybase.org/reports/FBrf0112030)</t>
  </si>
  <si>
    <t>A1-7 DT1 motor neuron</t>
  </si>
  <si>
    <t>HK 5,6; MN18-Ib; MN-DT1</t>
  </si>
  <si>
    <t>Motor neuron developing from neuroblast NB3-2 lineage that innervates the dorsal transverse muscle 1 of abdominal segments 1 to 7. It exits the ventral nerve cord via the anterior intersegmental nerve root nerve fasciculating with the intersegmental nerve and innervates the DT1 muscle with type Ib boutons.</t>
  </si>
  <si>
    <t>VO4-6 motor neuron</t>
  </si>
  <si>
    <t>MN15/16/17-Ib; U7,8 neuron; MN-VO4-6 neuron</t>
  </si>
  <si>
    <t>Motor neuron that develops from the neuroblast NB7-1 lineage. It innervates the internal ventral oblique muscles 4, 5 and 6, which are found in larval abdominal segments A1 to A7 (for VO6, only A2 to A7). Its dendritic arborization occupies the medial domain of the ventral nerve cord neuropil. It exits the ventral nerve cord via the anterior root of the intersegmental nerve, fasciculating with the ISNd nerve branch and innervates the VO4, VO5 and VO6 muscles via type Ib boutons.</t>
  </si>
  <si>
    <t>Goodman and Doe, 1993, Bate, Martinez Arias, 1993: 1131--1206 (flybase.org/reports/FBrf0064795); 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</si>
  <si>
    <t>larval serotonergic VNC neuron</t>
  </si>
  <si>
    <t>ventral lateral serotonin neuron; larval ventral nerve cord serotonergic neuron; ventro-lateral serotonin neuron; larval ventral ganglion serotonergic neuron; ventro-lateral serotonergic neuron; ventrolateral serotonin neuron; ventrolateral serotonergic neuron</t>
  </si>
  <si>
    <t>Serotonergic neuron located ventrolaterally in each segment of the larval ventral nerve cord. There is a pair of these neurons (one medial, one lateral) on either side of the midline in T2 to A7, with three in T1 and one in A8.</t>
  </si>
  <si>
    <t>larval A00c neuron</t>
  </si>
  <si>
    <t>Ascending neuron of the larval ventral nerve cord that is part of lineage 0. These are found in multiple segments and receive input from different Basin neurons in each segment. They synapse onto third-order projection neurons in the brain that then synapse onto the Contragoro descending neuron, which synapses onto the Goro neurons to effect rolling motion.</t>
  </si>
  <si>
    <t>larval Ladder neuron</t>
  </si>
  <si>
    <t>Unpaired larval interneuron with a cell body on the midline of the ventral nerve cord. The neuron projects dorsally, then branches in either direction laterally, before branching further to send dendrites anteriorly and posteriorly.</t>
  </si>
  <si>
    <t>A1-7 VO3 motor neuron</t>
  </si>
  <si>
    <t>MN-VO3 neuron; MN28-Ib</t>
  </si>
  <si>
    <t>Motor neuron that develops from the neuroblast NB4-2 lineage. It innervates the internal ventral oblique muscle 3 of larval abdominal segments A1 to A7. Its dendritic arborization occupies the medial domain of the ventral nerve cord neuropil. It exits the ventral nerve cord via the anterior root of the intersegmental nerve, fasciculating with the ISNb nerve branch and innervates the VO3 muscle with type Ib boutons. These neurons (at least in A1 to A4) die during metamorphosis (Banerjee et al., 2016).</t>
  </si>
  <si>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Banerjee et al., 2016, Dev. Neurobiol. 76(12): 1387--1416 (flybase.org/reports/FBrf0234013)</t>
  </si>
  <si>
    <t>larval A08n neuron</t>
  </si>
  <si>
    <t>Ascending projection neuron of the larval ventral nerve cord that may receive synaptic input from nociceptive neurons. Like these nociceptive neurons, A08n is involved in escape behavior (fast turning and fast crawling).</t>
  </si>
  <si>
    <t>Vogelstein et al., 2014, Science 344(6182): 386--392 (flybase.org/reports/FBrf0224808); Gerhard et al., 2017, eLife 6: e29089 (flybase.org/reports/FBrf0237057)</t>
  </si>
  <si>
    <t>VO4/5 motor neuron</t>
  </si>
  <si>
    <t>U7,8 neuron; MN15/16-I; MN-VO4/5 neuron</t>
  </si>
  <si>
    <t>Motor neuron that develops from the neuroblast NB7-1 lineage. It innervates the internal ventral oblique muscles 4 and 5, which are found in larval abdominal segments A1 to A7. Its dendritic arborization occupies the medial domain of the ventral nerve cord neuropil. It exits the ventral nerve cord via the anterior root of the intersegmental nerve, fasciculating with the ISNd nerve branch and it innervates the VO4 and VO5 muscles via intermediate-sized type I boutons (Hoang and Chiba, 2001; Banerjee et al., 2016). These neurons (at least in A1 to A4) die during metamorphosis (Banerjee et al., 2016).</t>
  </si>
  <si>
    <t>Goodman and Doe, 1993, Bate, Martinez Arias, 1993: 1131--1206 (flybase.org/reports/FBrf0064795); 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Banerjee et al., 2016, Dev. Neurobiol. 76(12): 1387--1416 (flybase.org/reports/FBrf0234013)</t>
  </si>
  <si>
    <t>A2-7 VT1 motor neuron</t>
  </si>
  <si>
    <t>SM; MN-VT1</t>
  </si>
  <si>
    <t>Motor neuron developing from neuroblast NB4-1 lineage that innervates the ventral transverse muscle 1 of abdominal segments 2 to 7. It exits the ventral nerve cord via the transverse nerve root fasciculating with the transverse nerve.</t>
  </si>
  <si>
    <t>larval dopaminergic DM1b neuron</t>
  </si>
  <si>
    <t>DM1b neuron</t>
  </si>
  <si>
    <t>Subtype of the dopaminergic neuron of the DM cluster of the larval brain. Its arborizations are restricted to the ipsilateral side. The primary neurite extends ventrally and bifurcates in the basolateral protocerebrum. One small axon innervates the basomedial protocerebrum. It densely innervates the mushroom body spur, with one single fiber extending into the lateral appendix. One axon projects further ventrally and branches in the subesophageal ganglion and dorsal thoracic ganglion. There are 3 of these neurons per hemisphere.</t>
  </si>
  <si>
    <t>Selcho et al., 2009, PLoS ONE 4(6): e5897 (flybase.org/reports/FBrf0208252); Blanco et al., 2011, Neural Dev. 6: 34 (flybase.org/reports/FBrf0216686)</t>
  </si>
  <si>
    <t>6-4I</t>
  </si>
  <si>
    <t>Interneuron that develops from the neuroblast NB6-4 lineage in the embryonic thorax. There are 4 to 6 neurons.</t>
  </si>
  <si>
    <t>Schmidt et al., 1997, Dev. Biol. 189(2): 186--204 (flybase.org/reports/FBrf0098344)</t>
  </si>
  <si>
    <t>larval subesophageal capability neuron</t>
  </si>
  <si>
    <t>Larval capability-releasing neuron with a cell body in the subesophageal ganglion. There is one cell per hemisphere, with a large cell body. Its axon leaves the brain via the nervus corporis cardiaci, reaching the retrocerebral complex (Kean et al., 2002).</t>
  </si>
  <si>
    <t>Kean et al., 2002, Am. J. Physiol. R., Regul. Integr. Comp. Physiol. 282(5): R1297--R1307 (flybase.org/reports/FBrf0146873)</t>
  </si>
  <si>
    <t>larval Jaam3 neuron</t>
  </si>
  <si>
    <t>Interneuron of the larval abdominal neuromere. In each abdominal segment, the primary neurite extends into the neuromere forming one arbor that extends anteriorly. One neurite crosses the midline and forms a broad arbor that extends anteriolaterally. The latter overlaps with the dendrites of the A08e1 local neuron. It synapses onto Jaam1. It receives input from the ipsilateral proprioceptor dorsal bipolar neuron dbp and contralateral proprioceptor neurons ddaD, ddaE and dda1 neurons. It outputs to the contralateral A08e1 neuron. There is one neuron per segment.</t>
  </si>
  <si>
    <t>Heckscher et al., 2015, Neuron 88(2): 314--329 (flybase.org/reports/FBrf0229965)</t>
  </si>
  <si>
    <t>larval T08x neuron</t>
  </si>
  <si>
    <t>Ascending neuron of the larval thoracic neuromere that is part of lineage 8. Its primary neurite extends dorsomedially arborizing close to and across the midline. It then projects anterior and posteriorly to terminate in the brain and ventral nerve cord. It receives input from the Basin-2, -3 and -4 neurons.</t>
  </si>
  <si>
    <t>larval Jaam2 neuron</t>
  </si>
  <si>
    <t>Interneuron of the larval abdominal neuromere. In each abdominal segment, the primary neurite extends into the neuromere forming one arbor that bifurcates and extends anterior- and posteriorly. From the anterior arbor, one neurite extends laterally. One neurite crosses the midline and forms an arbor that extends anteriorly in a circular manner. It synapses onto Jaam1. It receives input from the ipsilateral proprioceptor neurons ddaD, ddaE and dda1, and contralateral ventral bipolar neuron vbp and posterior ventral multidendritic neuron vdap. There is one neuron per segment.</t>
  </si>
  <si>
    <t>larval Saaghi 1 neuron</t>
  </si>
  <si>
    <t>larval SA1 neuron</t>
  </si>
  <si>
    <t>Interneuron of the larval abdominal neuromere. In each abdominal segment, the primary neurite extends into the neuromere forming one arbor that extends anteriorly. One neurite crosses the midline and forms a terminal arbor that extends in a circular manner. The ipsilateral arbor overlaps with the dendrites of the A08e1-3 local neurons. It receives input from the contralateral A08e1-3 local neurons. It outputs to contralateral ventral, lateral and dorsal motorneurons. There is one neuron per segment.</t>
  </si>
  <si>
    <t>larval TePn04 neuron</t>
  </si>
  <si>
    <t>Ascending neuron of the larval abdominal neuromere that is part of lineage 4. Its primary neurite extends anteriorly, arborizing close to and across the midline and terminates in the contralateral brain lobe. It receives input from the Basin-2 neurons.</t>
  </si>
  <si>
    <t>6-2I</t>
  </si>
  <si>
    <t>Interneuron originating from the neuroblast NB6-2 lineage.</t>
  </si>
  <si>
    <t>larval T05t neuron</t>
  </si>
  <si>
    <t>Ascending neuron of the larval thoracic neuromere that is part of lineage 5. Its primary neurite extends dorsomedially arborizing close to and across the midline. It then projects anteriorly to terminate in the brain. It receives input from the Basin-2, -3 and -4 neurons and the eight abdominal chordotonal neurons (lch1, lch5, vch1, vch2).</t>
  </si>
  <si>
    <t>larval Jaam1 neuron</t>
  </si>
  <si>
    <t>Interneuron of the larval abdominal neuromere. In each abdominal segment, the primary neurite extends into the neuromere forming one arbor that extends anteriorly and bifurcates mediolaterally. One neurite crosses the midline and forms a medial arbor that extends anteriorly, and a lateral arbor that extends both anterior- and posteriorly. These three arbors overlap mainly with the dendrites of the A08e2 local neuron. It is synapsed by Jaam2 and Jaam3. It receives input from the ipsilateral proprioceptor dorsal bipolar neuron dbp and contralateral ventral bipolar neuron vbp and posterior ventral multidendritic neuron vdap. It outputs to the contralateral A08e2 neuron. There is one neuron per segment.</t>
  </si>
  <si>
    <t>larval A10j neuron</t>
  </si>
  <si>
    <t>Ascending neuron of the larval abdominal neuromere that is part of lineage 10. Its primary neurite extends dorsomedially, arborizing close to and across the midline. It then extends anteriorly to terminate in the contralateral brain lobe. It receives input from Basin-2 and the abdominal mechanosensory chordotonal neurons (lch1, lch5, vch1 and vch2).</t>
  </si>
  <si>
    <t>6-1I</t>
  </si>
  <si>
    <t>Interneuron originating from neuroblast the NB6-1 lineage.</t>
  </si>
  <si>
    <t>EW neuron</t>
  </si>
  <si>
    <t>Interneuron of embryonic/larval abdominal segments from the 7-3 lineage.</t>
  </si>
  <si>
    <t>Higashijima et al., 1996, Development 122(2): 527--536 (flybase.org/reports/FBrf0086454)</t>
  </si>
  <si>
    <t>Tvb neuron</t>
  </si>
  <si>
    <t>Neuron which is located adjacent to each Tv neuron in each thoracic hemisegment of the larval ventral nerve cord.</t>
  </si>
  <si>
    <t>Baumgardt et al., 2007, PLoS Biol. 5(2): e37 (flybase.org/reports/FBrf0195184)</t>
  </si>
  <si>
    <t>larval A31k neuron</t>
  </si>
  <si>
    <t>Neuron of the larval abdominal neuromere that is part of lineage 31. Its primary neurite extends from the dorsolateral edge of the ventral nerve cord medially, crossing the midline to terminate on the opposite dorsolateral edge. It receives input from the contralateral A02l neuron. It outputs to the contralateral A27j neuron and the A1-7 dorsal motor neuron. It is a GABA-ergic neuron.</t>
  </si>
  <si>
    <t>Schneider-Mizell et al., 2016, eLife 5: e12059 (flybase.org/reports/FBrf0231328)</t>
  </si>
  <si>
    <t>larval Saaghi 3 neuron</t>
  </si>
  <si>
    <t>larval SA3 neuron</t>
  </si>
  <si>
    <t>Interneuron of the larval abdominal neuromere. In each abdominal segment, the primary neurite extends into the neuromere, with one neurite extending from it laterally. Another neurite extends anteriorly. It then crosses the midline and forms two arbors, one medial and one lateral. It receives input from the contralateral A08e1-3 local neurons. It outputs to contralateral ventral, lateral and dorsal motorneurons. There is one neuron per segment.</t>
  </si>
  <si>
    <t>larval CCAP thoracic neuron</t>
  </si>
  <si>
    <t>27/704 neuron</t>
  </si>
  <si>
    <t>Larval neuron that expresses CCAP (Crustacean cardioactive peptide) (FBgn0039007) and whose soma is located around the thoracic neuromeres. There is one neuron located ventrolaterally in the pro- and mesothoracic neuromeres, and two neurons in the metathoracic neuromere. It sends a neurite beneath the transversal projection TP4 ventromedially, where the neurites from both sides join in proximity to the VM fascicle. These neurites from extensive arborizations along the midline between the DM and VM fascicles, more prominently in the metathoracic neuromere.</t>
  </si>
  <si>
    <t>Kim et al., 2006, Curr. Biol. 16(13): 1395--1407 (flybase.org/reports/FBrf0194317); Santos et al., 2007, PLoS ONE 2(8): e695 (flybase.org/reports/FBrf0201188); Zhao et al., 2008, Genetics 178(2): 883--901 (flybase.org/reports/FBrf0204350)</t>
  </si>
  <si>
    <t>larval dopaminergic AM neuron</t>
  </si>
  <si>
    <t>Th; dopamine medial neuron; AbU neuron</t>
  </si>
  <si>
    <t>Dopaminergic neuron whose cell body is located along the midline in each segment of the larval ventral abdominal segments.</t>
  </si>
  <si>
    <t>Lundell and Hirsh, 1998, Development 125(3): 463--472 (flybase.org/reports/FBrf0100717); Selcho et al., 2009, PLoS ONE 4(6): e5897 (flybase.org/reports/FBrf0208252)</t>
  </si>
  <si>
    <t>VPM neuron</t>
  </si>
  <si>
    <t>ventral paired medial neuron; pmTDC2; paramedial TDC2 neuron; ventral paired median neuron</t>
  </si>
  <si>
    <t>Octopaminergic, bilaterally-paired neuron of the larval ventral nerve cord. Their cell bodies are found in the ventral cortex of the three subesophageal neuromeres (Selcho et al., 2014), the three thoracic neuromeres and the first abdominal neuromere, somewhat ventro-lateral to the VM fascicles (Vomel and Wegener, 2008). They form a cluster with the VUM neuron cell bodies of the same neuromere, but unlike the VUM neurons, the VPM neurons are restricted to the CNS. Most VPM neurons project anteriorly and cross the midline to arborize mainly in the contralateral neuropil (Selcho et al., 2012; Selcho et al., 2014).</t>
  </si>
  <si>
    <t>Vömel and Wegener, 2008, PLoS ONE 3(3): e1848 (flybase.org/reports/FBrf0210246); Selcho et al., 2012, J. Comp. Neurol. 520(16): 3764--3785 (flybase.org/reports/FBrf0219406); Selcho et al., 2014, J. Comp. Neurol. 522(15): 3485--3500 (flybase.org/reports/FBrf0225919)</t>
  </si>
  <si>
    <t>abdominal 8 VUM neuron</t>
  </si>
  <si>
    <t>aVM8</t>
  </si>
  <si>
    <t>Octopamine-expressing VUM neuron with a cell body located in abdominal neuromere 8 (a8) of the larval ventral nerve cord. There are two of these cells. Processes arborize in the dorsomedial neuropil of anterior neuromeres and some neurites reach the posterior part of a5. The efferents project via the intersegmental nerve.</t>
  </si>
  <si>
    <t>Vömel and Wegener, 2008, PLoS ONE 3(3): e1848 (flybase.org/reports/FBrf0210246); Selcho et al., 2012, J. Comp. Neurol. 520(16): 3764--3785 (flybase.org/reports/FBrf0219406)</t>
  </si>
  <si>
    <t>abdominal 9 DUM neuron</t>
  </si>
  <si>
    <t>aDUM9; abdominal 9 dorsal unpaired median neuron; abdominal 8 dmTDC2</t>
  </si>
  <si>
    <t>Unpaired median neuron of abdominal neuromere 9 (terminal neuromere) of the larval ventral nerve cord (VNC). Its cell body is on the VNC midline in a dorsal location and it arborizes mostly in the dorsal part of A9, but neurites also branch extensively in the dorsal and medial neuropil of A8 and reach the posterior part of A7. It is tyraminergic and octopaminergic. There are two of these cells.</t>
  </si>
  <si>
    <t>larval SIFamide cell of pars intercerebralis</t>
  </si>
  <si>
    <t>PI 8-9</t>
  </si>
  <si>
    <t>Neuron of the larval pars intercerebralis (PI) that expresses SIFamide (SIFa) as well as dimmed. There are two of these cells per hemisphere. These cells are distinct from the PI neurons that express insulin like peptides, diuretic hormone 44 and dromyosuppressin. The four neurons each have a major axon which projects to the contralateral side and extends into the ventral nerve cord, while a minor one projects to the deutocerebrum and tritocerebrum (Terhzaz et al., 2007).</t>
  </si>
  <si>
    <t>Terhzaz et al., 2007, Biochem. Biophys. Res. Commun. 352(2): 305--310 (flybase.org/reports/FBrf0194483); Park et al., 2008, PLoS ONE 3(3): e1896 (flybase.org/reports/FBrf0210278)</t>
  </si>
  <si>
    <t>larval A03a5 neuron</t>
  </si>
  <si>
    <t>Segmentally-repeated larval cholinergic premotor interneuron that develops from lineage 3. It is downstream of Wave neurons, which receive input from class IV dendritic arborizing neurons and upstream of motor neurons. They activate sequentially along the abdominal neuromeres during forward and backward peristaltic locomotion.</t>
  </si>
  <si>
    <t>Takagi et al., 2017, Neuron 96(6): 1373--1387.e6 (flybase.org/reports/FBrf0237618)</t>
  </si>
  <si>
    <t>fpCC neuron</t>
  </si>
  <si>
    <t>friend of pCC cell; FP cell; fpCC</t>
  </si>
  <si>
    <t>Interneuron that develops from neuroblast NB7-1. It projects anteriorly in a medial fascicle of the ipsilateral connective, then across the anterior commissure and then anteriorly in the contralateral connective. Its cell body is the most medial cell of this lineage clone.</t>
  </si>
  <si>
    <t>Nassif et al., 1998, J. Comp. Neurol. 402(1): 10--31 (flybase.org/reports/FBrf0105282); Schmid et al., 1999, Development 126(21): 4653--4689 (flybase.org/reports/FBrf0112030)</t>
  </si>
  <si>
    <t>larval GPA2/GPB5 neuron of the ventral nerve cord</t>
  </si>
  <si>
    <t>larval Gpa2/Gpb5 neuron</t>
  </si>
  <si>
    <t>A larval neuron that expresses GPA2/GPB5 (FBgn0261386 and FBgn0063368) and that is located in the ventral nerve cord ganglion. There are 4 pairs of bilateral neurons in the first 4 neuromeres. The axons of these neurons leave the neuropil via the segmental nerves and innervate abdominal muscles.</t>
  </si>
  <si>
    <t>Sellami et al., 2011, Gen. Comp. Endocrinol. 170(3): 582--588 (flybase.org/reports/FBrf0212752)</t>
  </si>
  <si>
    <t>pCC neuron</t>
  </si>
  <si>
    <t>posterior corner cell; 1-1a2; sibling of aCC</t>
  </si>
  <si>
    <t>The pCC is an interneuron whose large, round cell body is located just posterior, medial and ventral to the MN-DA1 (aCC) motor neuron (FBbt:00001447). It extends a neurite anteriorly along one of the longitudinal fascicles (Doe et al., 1988).</t>
  </si>
  <si>
    <t>Doe et al., 1988, Nature 333: 376--378 (flybase.org/reports/FBrf0048756); Goodman and Doe, 1993, Bate, Martinez Arias, 1993: 1131--1206 (flybase.org/reports/FBrf0064795)</t>
  </si>
  <si>
    <t>lateral cell body glial cell</t>
  </si>
  <si>
    <t>longitudinal cell body glial cell; L-CBG; lateral cortex-associated glial cell; lateral CBG; lateral cortex glial cell</t>
  </si>
  <si>
    <t>Lateral-most of the cell body glial cells, located in the lateral cell body rind region of the embryonic/larval ventral nerve cord.</t>
  </si>
  <si>
    <t>Ito et al., 1995, Rouxs Arch. Dev. Biol. 204(5): 284--307 (flybase.org/reports/FBrf0082171); Hartenstein, 2011, Glia 59(9): 1237--1252 (flybase.org/reports/FBrf0214261)</t>
  </si>
  <si>
    <t>ventrolateral cell body glial cell</t>
  </si>
  <si>
    <t>ventrolateral cortex-associated glial cell; ventrolateral CBG; VL-CBG; ventrolateral cortex glial cell</t>
  </si>
  <si>
    <t>Ventrolaterally located cell body glial cell of the embryo and larva, located in the lateral cortex more medial to the lateral cell body glial cell. This cell is not present in all animals.</t>
  </si>
  <si>
    <t>aCC neuron</t>
  </si>
  <si>
    <t>MN-DA1; anterior corner cell; 1-1a1; DA1 motor neuron</t>
  </si>
  <si>
    <t>Motor neuron born from the first GMC to bud from neuroblast NB1-1. It has a large round cell body that sits at the dorsal surface of the CNS, in the next anterior segment which it innervates, just posterior to the posterior commissure and longitudinal connective. It innervates dorsal acute muscle 1 (DA1; muscle 1).</t>
  </si>
  <si>
    <t>Goodman and Doe, 1993, Bate, Martinez Arias, 1993: 1131--1206 (flybase.org/reports/FBrf0064795); Landgraf et al., 1997, J. Neurosci. 17(24): 9642--9655 (flybase.org/reports/FBrf0099344)</t>
  </si>
  <si>
    <t>medial cell body glial cell</t>
  </si>
  <si>
    <t>M-CBG; medial CBG; medial cortex glial cell; medial cortex-associated glial cell</t>
  </si>
  <si>
    <t>Cell body glial cell located in the ventral cell body rind of the embryonic/larval ventral nerve cord, lateral to the medial-most cell body glia. Its position varies between 20% and 80% along the mediolateral axis.</t>
  </si>
  <si>
    <t>5-6I</t>
  </si>
  <si>
    <t>Interneuron that is part of the lineage of the neuroblast NB5-6.</t>
  </si>
  <si>
    <t>Schmidt et al., 1997, Dev. Biol. 189(2): 186--204 (flybase.org/reports/FBrf0098344); Schmid et al., 1999, Development 126(21): 4653--4689 (flybase.org/reports/FBrf0112030)</t>
  </si>
  <si>
    <t>5-3I</t>
  </si>
  <si>
    <t>Interneuron originating from the neuroblast NB5-3 lineage.</t>
  </si>
  <si>
    <t>larval A27h neuron</t>
  </si>
  <si>
    <t>Neuron of the larval abdominal neuromere that is part of lineage 27. Its primary neurite extends anteriorly, with the most anterior branch crossing the midline. It outputs to the A27e neuron and ipsi- and contralateral A1-7 DA1 motor neuron. This neuron is cholinergic (Fushiki et al., 2016).</t>
  </si>
  <si>
    <t>Schneider-Mizell et al., 2016, eLife 5: e12059 (flybase.org/reports/FBrf0231328); Fushiki et al., 2016, eLife 5: e13253 (flybase.org/reports/FBrf0231611)</t>
  </si>
  <si>
    <t>larval A27e neuron</t>
  </si>
  <si>
    <t>Neuron of the larval abdominal neuromere that is part of lineage 27. Its primary neurite extends anteriorly and arborizes extensively. It receives input from the A27h and A27j (axo-axonic connection) neurons. It outputs to the A27j neuron and A1-7 dorsal motor neuron.</t>
  </si>
  <si>
    <t>larval A27j neuron</t>
  </si>
  <si>
    <t>Neuron of the larval abdominal neuromere that is part of lineage 27. Its primary neurite extends from the dorsolateral edge of the ventral nerve cord medially, and then follows the midline ventrally. It receives input from the ipsilateral A02a, A27e, contralateral A31k neuron, dorsal multidendritic neuron dda1, ddaD and ddaE. It outputs to the larval A27e (axo-axonic connection) and ipsilateral A1-7 dorsal motor neuron. It is a GABA-ergic neuron (Schneider-Mizell et al., 2016). It may be involved in avoidance behavior (Vogelstein et al., 2014).</t>
  </si>
  <si>
    <t>Vogelstein et al., 2014, Science 344(6182): 386--392 (flybase.org/reports/FBrf0224808); Schneider-Mizell et al., 2016, eLife 5: e12059 (flybase.org/reports/FBrf0231328)</t>
  </si>
  <si>
    <t>larval dopaminergic SM1-1 neuron</t>
  </si>
  <si>
    <t>SM1-1 neuron</t>
  </si>
  <si>
    <t>Subtype of the dopaminergic neuron of the SM1 cluster of the larval brain. Unpaired neuron whose cell body is located on the midline at the anterior part of the subesophageal ganglion. Its primary neurite runs posteriorly along the midline, bifurcates and sends two axons laterally, which bifurcate again in the central region of the subesophageal ganglion. Two axons turn laterally in the most posterior subesophageal ganglion and innervate the lateral subesophageal ganglion margin. It also arborizes in the basomedial protocerebrum posterior to the antennal lobe and it sends small fibers to the thoracic ganglion.</t>
  </si>
  <si>
    <t>Selcho et al., 2009, PLoS ONE 4(6): e5897 (flybase.org/reports/FBrf0208252)</t>
  </si>
  <si>
    <t>larval A03a1 neuron</t>
  </si>
  <si>
    <t>Neuron of the larval abdominal neuromere that is part of lineage 3. Its primary neurite extends from the ventral edge of the ventral nerve cord dorsally to terminate in the most dorsal region. The dendritic branches are located at the midpoint in the dorsal/ventral axis, whereas the axonal ones are in the most dorsal region. It receives input from the ipsilateral dorsal bipolar neuron dbp (axo-axonic connection) and A02b neuron. It outputs to the ipsilateral A1-7 dorsal motor neuron.</t>
  </si>
  <si>
    <t>larval A05k neuron</t>
  </si>
  <si>
    <t>Neuron of the larval abdominal neuromere that is part of lineage 5. In each abdominal segment, the primary neurite enters the neuromere laterally and bifurcates. One branch arborizes ipsilaterally in the dorsal region, with one neurite extending anteriorly. The other branch crosses the midline mode dorsally, and arborizes, with one neurite extending anteriorly. It receives input from the GDL neuron. There is one neuron per segment.</t>
  </si>
  <si>
    <t>Fushiki et al., 2016, eLife 5: e13253 (flybase.org/reports/FBrf0231611)</t>
  </si>
  <si>
    <t>2-5I</t>
  </si>
  <si>
    <t>Interneuron that develops from the neuroblast NB2-5 lineage in the embryonic ventral nerve cord.</t>
  </si>
  <si>
    <t>larval A27a neuron</t>
  </si>
  <si>
    <t>Neuron of the larval abdominal neuromere that is part of lineage 27. In each abdominal segment, the primary neurite bifurcates, with one branch arborizing dorsally and the other ventrally. It receives input from the GDL neuron. There is one neuron per segment.</t>
  </si>
  <si>
    <t>larval labial VUM neuron 3</t>
  </si>
  <si>
    <t>larval sVUM3lb; larval sVUMlb3</t>
  </si>
  <si>
    <t>Larval VUM neuron of the labial cluster that densely innervates the subesophageal ganglion and the posterior basolateral and basomedial protocerebrum. One axon per side extends, close to the midline, to the third thoracic neuromere and then follows a more lateral path to ramify in the third thoracic neuromere and all abdominal neuromeres (Selcho et al., 2014).</t>
  </si>
  <si>
    <t>Selcho et al., 2014, J. Comp. Neurol. 522(15): 3485--3500 (flybase.org/reports/FBrf0225919)</t>
  </si>
  <si>
    <t>larval labial VUM neuron 2</t>
  </si>
  <si>
    <t>larval sVUM2lb; larval sVUMlb2</t>
  </si>
  <si>
    <t>Larval VUM neuron of the labial cluster that innervates the subesophageal ganglion, the basomedial protocerebrum and the medial and lateral areas of the thoracic and abdominal neuromeres (Selcho et al., 2014).</t>
  </si>
  <si>
    <t>2-4I</t>
  </si>
  <si>
    <t>Interneuron that develops from the neuroblast NB2-4 lineage in the embryonic ventral nerve cord.</t>
  </si>
  <si>
    <t>larval labial VUM neuron 1</t>
  </si>
  <si>
    <t>larval sVUM1lb; larval sVUMlb1</t>
  </si>
  <si>
    <t>Larval VUM neuron of the labial cluster that innervates the subesophageal ganglion and thoracic neuromeres, mainly at lateral levels (Selcho et al., 2014).</t>
  </si>
  <si>
    <t>larval GABAergic dorsolateral neuron</t>
  </si>
  <si>
    <t>larval A27j2 neuron; GDL neuron</t>
  </si>
  <si>
    <t>Neuron of the larval abdominal neuromere that is part of lineage 27. In each abdominal segment, the primary neurite extends into the neuromere just lateral to the VL fascicle and projects dorsally to a lateral area of the neuropil under the DL fascicle. Its dendrites arborize in the motor domain. It is a GABAergic neuron required for the propagation of the peristaltic waves during locomotion, forming a modular circuit with the excitatory A27h neuron. It receives input from the proprioceptor neurons vdaA and vdaC from the same segment (axo-axonically). It also receives input from A02j, A03a4, A27h, A27k from the segment posterior to it, and from A02j from two segments posterior to it. It outputs to the ipsilateral premotor neurons A27h, A31d and A05k, and to other premotor neurons A27k and A06l. It also outputs to A31x, A27a, A08e3, contralateral A02d, A27p, A27e, A03ax, A05x, A01b2, A09x. There is one neuron per segment.</t>
  </si>
  <si>
    <t>larval dopaminergic SM2-2 neuron</t>
  </si>
  <si>
    <t>SM2-2 neuron</t>
  </si>
  <si>
    <t>Subtype of the dopaminergic neuron of the SM2 cluster of the larval brain, located laterally to the SM2-1 neuron. Paired neuron whose primary neurite extends laterally along the midline until it reaches the posterior margin of the subesophageal ganglion. It arborizes in the basomedial protocerebrum and the lateromedial subesophageal ganglion, extending to the thoracico-abdominal ganglion.</t>
  </si>
  <si>
    <t>larval abdominal excitatory interneuron eIN</t>
  </si>
  <si>
    <t>eIN</t>
  </si>
  <si>
    <t>Interneuron of the larval abdominal neuromere. It is a cholinergic neuron involved in locomotion, outputting onto a specific subset of longitudinal or transverse motor neuron that innervate body wall muscles. There are six different subtypes.</t>
  </si>
  <si>
    <t>Zwart et al., 2016, Neuron 91(3): 615--628 (flybase.org/reports/FBrf0233076)</t>
  </si>
  <si>
    <t>larval T07u neuron</t>
  </si>
  <si>
    <t>T07u (T2)</t>
  </si>
  <si>
    <t>Larval interneuron of lineage 7 that has a cell body in the mesothoracic neuromere and is downstream of Wave neurons in larval motor circuits (Takagi et al., 2017).</t>
  </si>
  <si>
    <t>larval CCAP abdominal neuron</t>
  </si>
  <si>
    <t>Larval neuron that expresses CCAP (Crustacean cardioactive peptide) (FBgn0039007) and whose soma is located around the abdominal neuromeres. There are two neurons in each hemineuromere, except in A8 and A9 where there are 3. It sends a neurite beneath the transversal projection TP4 ventromedially, where the neurites from both sides join in proximity to the VM fascicle. These neurites from extensive arborizations along the midline between the DM and VM fascicles.</t>
  </si>
  <si>
    <t>A1-7 DA2 motor neuron</t>
  </si>
  <si>
    <t>U2 motor neuron; abdominal A1-7 DA2 motor neuron; MN-DA2 neuron; abdominal U2 neuron; U/CQ neuron; MN2-Ib</t>
  </si>
  <si>
    <t>Motor neuron that develops from the second ganglion mother cell that differentiates from neuroblast NB7-1. It innervates the internal dorsal acute muscle 2 of larval abdominal segments A1 to A7. Its dendritic arborization occupies the lateral and intermediate domains of the ventral nerve cord neuropil. It exits the ventral nerve cord via the anterior root of the intersegmental nerve and innervates the DA2 muscle with type Ib boutons. It receives input from the contralateral larval A08e1-3 local neurons.</t>
  </si>
  <si>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Heckscher et al., 2015, Neuron 88(2): 314--329 (flybase.org/reports/FBrf0229965)</t>
  </si>
  <si>
    <t>3-1I</t>
  </si>
  <si>
    <t>Interneuron deriving from the neuroblast NB3-1 lineage.</t>
  </si>
  <si>
    <t>larval Swallowtail neuron</t>
  </si>
  <si>
    <t>Swallowtail (T2)</t>
  </si>
  <si>
    <t>Larval interneuron that has a cell body in the mesothoracic neuromere and is downstream of Wave neurons in larval motor circuits (Takagi et al., 2017).</t>
  </si>
  <si>
    <t>medial dorsal subperineurial glial cell</t>
  </si>
  <si>
    <t>MD-SPG</t>
  </si>
  <si>
    <t>Surface-associated, subperineurial glial cell located on the ventral surface of the embryonic/larval ventral nerve cord. It lies between the intersegmental nerve roots, at 30-60% along the medio-lateral axis, slightly antero-lateral to the medial intersegmental nerve root glial cell.</t>
  </si>
  <si>
    <t>larval T19v neuron</t>
  </si>
  <si>
    <t>Larval interneuron that has a cell body in the prothoracic neuromere and is downstream of Wave neurons in larval motor circuits (Takagi et al., 2017).</t>
  </si>
  <si>
    <t>larval Goro-like neuron</t>
  </si>
  <si>
    <t>Goro-like (T1)</t>
  </si>
  <si>
    <t>Larval interneuron that has a cell body in the prothoracic neuromere and may be part of a larval motor circuit (Takagi et al., 2017).</t>
  </si>
  <si>
    <t>larval abdominal inhibitory interneuron iIN-1</t>
  </si>
  <si>
    <t>iIN-1</t>
  </si>
  <si>
    <t>Interneuron of the larval abdominal neuromere that develops from NB4-1 and is part of lineage 14. Its cell body is on the lateral rind and the primary neurite enters the neuromere in the laterodorsal region and continues across the neuromere, crossing the midline and terminating close to it. It is a GABAergic neuron, required to maintain the initial contraction asynchrony between the longitudinal and transverse body wall muscles during locomotion. The neuron receives input on the ipsilateral side, and outputs, mostly, on the contralateral one. It outputs contralaterally onto the transverse motor neurons MN-LT1-4, MN-TN and MN-DT1, other transverse motorneurons and a neuron from lineage 2 (A02x).</t>
  </si>
  <si>
    <t>Lacin and Truman, 2016, eLife 5: e13399 (flybase.org/reports/FBrf0231327); Zwart et al., 2016, Neuron 91(3): 615--628 (flybase.org/reports/FBrf0233076)</t>
  </si>
  <si>
    <t>y interneuron</t>
  </si>
  <si>
    <t>Interneuron that develops from an unidentified neuroblast lineage in the embryonic ventral nerve cord.</t>
  </si>
  <si>
    <t>TB neuron</t>
  </si>
  <si>
    <t>Developing from neuroblast NB1-2, the TB neuron is located apart from the other cells of this lineage. Axogenesis begins early, at embryonic stage 13, and has a distinctive 'bent' morphology.</t>
  </si>
  <si>
    <t>lateral ventral subperineurial glial cell</t>
  </si>
  <si>
    <t>LV-SPG</t>
  </si>
  <si>
    <t>Surface-associated, subperineurial glial cell located on the ventral surface of the embryonic/larval ventral nerve cord, and lies antero-lateral to the medial ventral subperineurial glial cell. In the abdominal segments, it lies 0-10% along the antero-posterior axis and 60-90% along the medio-lateral axis.</t>
  </si>
  <si>
    <t>ventral lateral subperineurial glial cell</t>
  </si>
  <si>
    <t>VL-SPG; belt glial cell</t>
  </si>
  <si>
    <t>Surface-associated, subperineurial glial cell located on the lateral surface of the embryonic/larval ventral nerve cord, and is located ventral to the dorsal lateral subperineurial glial cell. It lies at about 30% along the ventro-dorsal axis, and occasionally there are two of these cells per neuromere.</t>
  </si>
  <si>
    <t>Doe et al., 1991, Cell 65: 451--464 (flybase.org/reports/FBrf0053376); Ito et al., 1995, Rouxs Arch. Dev. Biol. 204(5): 284--307 (flybase.org/reports/FBrf0082171)</t>
  </si>
  <si>
    <t>dorsal lateral subperineurial glial cell</t>
  </si>
  <si>
    <t>belt glial cell; DL-SPG</t>
  </si>
  <si>
    <t>Surface-associated, subperineurial glial cell located on the lateral surface of the embryonic/larval ventral nerve cord, and is located dorsal to the ventral lateral subperineurial glial cell. It lies at about 30% along the ventro-dorsal axis, and occasionally there are two of these cells per neuromere.</t>
  </si>
  <si>
    <t>larval A31d neuron</t>
  </si>
  <si>
    <t>Neuron of the larval abdominal neuromere that is part of lineage 31. In each abdominal segment, the primary neurite extends mediodorsally and bifurcates. One neurite arborizes ipsilaterally, in the dorsal region. The other crosses the midline and extends laterally, in the dorsal region. It receives input from the GDL neuron. There is one neuron per segment.</t>
  </si>
  <si>
    <t>lateral dorsal subperineurial glial cell</t>
  </si>
  <si>
    <t>LD-SPG</t>
  </si>
  <si>
    <t>Surface-associated, subperineurial glial cell located on the ventral surface of the embryonic/larval ventral nerve cord. It lies near, but slightly above, the exit point of the peripheral nerve, at 80-90% along the medio-lateral axis.</t>
  </si>
  <si>
    <t>lateral cord glial cell</t>
  </si>
  <si>
    <t>lateral cord glia</t>
  </si>
  <si>
    <t>A1-7 DO1 motor neuron</t>
  </si>
  <si>
    <t>abdominal A1-7 DO1 motor neuron; MN9-Ib; MN-DO1 neuron; U/CQ neuron; U1 motor neuron; abdominal U1 neuron</t>
  </si>
  <si>
    <t>U1 neuron of A1-7.  It innervates dorsal oblique muscle 1 (FBbt:00000609). Its dendritic arborization occupies the lateral domains of the ventral nerve cord neuropil. It exits the ventral nerve cord via the anterior root of the intersegmental nerve and innervates the DO1 muscle of the next posterior segment with type Ib boutons. It receives input from the contralateral larval A08e1 and A08e3 local neurons.</t>
  </si>
  <si>
    <t>1-2I</t>
  </si>
  <si>
    <t>Interneuron that develops from neuroblast NB1-2.</t>
  </si>
  <si>
    <t>lateral cord neuron</t>
  </si>
  <si>
    <t>larval A03a4 neuron</t>
  </si>
  <si>
    <t>Neuron of the larval abdominal neuromere that is part of lineage 3. Its primary neurite enters the neuromere ventrolaterally and extends to the most dorsal region close to the midline. It then turns medially and forms some arborizations. It turns again towards the midline and extends anteriorly. It receives input from A02j. It outputs to the GDL neuron, 1 segment anteriorly.</t>
  </si>
  <si>
    <t>larval A27k neuron</t>
  </si>
  <si>
    <t>Segmentally-repeating premotor neuron of the larval abdominal neuromere that is part of lineage 27 (Burgos et al., 2018). Its primary neurite enters the neuromere dorsally, extends ventrally and arborizes, then extends anteriorly (Fushiki et al., 2016).</t>
  </si>
  <si>
    <t>Fushiki et al., 2016, eLife 5: e13253 (flybase.org/reports/FBrf0231611); Burgos et al., 2018, eLife 7: e26016 (flybase.org/reports/FBrf0238464)</t>
  </si>
  <si>
    <t>larval A31x neuron</t>
  </si>
  <si>
    <t>Neuron of the larval abdominal neuromere that is part of lineage 31. In each abdominal segment, the primary neurite extends dorsally and arborizes. It then extends mediodorsally, crosses the midline and terminates anteriorly. It receives input from the GDL neuron. There is one neuron per segment.</t>
  </si>
  <si>
    <t>2-2I</t>
  </si>
  <si>
    <t>Interneuron deriving from the neuroblast NB2-2 lineage.</t>
  </si>
  <si>
    <t>2-1I</t>
  </si>
  <si>
    <t>Interneuron that develops from the neuroblast NB2-1 lineage.</t>
  </si>
  <si>
    <t>larval A09o neuron</t>
  </si>
  <si>
    <t>Neuron of the larval abdominal neuromere that is part of lineage 9.</t>
  </si>
  <si>
    <t>Gerhard et al., 2017, eLife 6: e29089 (flybase.org/reports/FBrf0237057)</t>
  </si>
  <si>
    <t>7-1I</t>
  </si>
  <si>
    <t>Interneuron originating from the neuroblast NB7-1 lineage.</t>
  </si>
  <si>
    <t>H-cell</t>
  </si>
  <si>
    <t>MP3 interneuron; H cell</t>
  </si>
  <si>
    <t>Dopaminergic midline interneuron of the larval ventral nerve cord whose cell body is dorsal to the VUM and MNB cells.</t>
  </si>
  <si>
    <t>Bossing and Technau, 1994, Development 120(7): 1895--1906 (flybase.org/reports/FBrf0072659); Bossing and Brand, 2006, Development 133(6): 1001--1012 (flybase.org/reports/FBrf0190277); Wheeler et al., 2006, Dev. Biol. 294(2): 509--524 (flybase.org/reports/FBrf0195284)</t>
  </si>
  <si>
    <t>larval A09e neuron</t>
  </si>
  <si>
    <t>Neuron of the larval abdominal neuromere that is part of lineage 9. This is a nociceptive integrator neuron, i.e. it is a node of convergence for multiple nociceptive neuron types (Burgos et al., 2018).</t>
  </si>
  <si>
    <t>Gerhard et al., 2017, eLife 6: e29089 (flybase.org/reports/FBrf0237057); Burgos et al., 2018, eLife 7: e26016 (flybase.org/reports/FBrf0238464)</t>
  </si>
  <si>
    <t>larval T10a neuron</t>
  </si>
  <si>
    <t>Neuron with its cell body in a larval thoracic neuromere that may receive weak input from class IV dendritic arborizing neurons (Gerhard et al., 2017).</t>
  </si>
  <si>
    <t>larval cholinergic lateral interneuron</t>
  </si>
  <si>
    <t>CLI</t>
  </si>
  <si>
    <t>Segmentally-repeated cholinergic premotor interneuron with its soma in a lateral region of the larval ventral nerve cord. There are two of these per hemisegment (CLI1 and CLI2), and they both have ipsilateral dendrites and extend an axon contralaterally via the anterior commissure (Hasegawa et al., 2016).</t>
  </si>
  <si>
    <t>Hasegawa et al., 2016, Sci. Rep. 6: 30806 (flybase.org/reports/FBrf0233009)</t>
  </si>
  <si>
    <t>7-4I</t>
  </si>
  <si>
    <t>Interneuron that develops from the neuroblast NB4-4 lineage in the embryonic ventral nerve cord. There are 8 to 12 neurons.</t>
  </si>
  <si>
    <t>larval lateral Ilp7 neuron</t>
  </si>
  <si>
    <t>larval lateral pair Ilp7 neuron; larval LAT Ilp7 neuron</t>
  </si>
  <si>
    <t>Ilp7-expressing neuron of the larva found laterally in the anterior part of the abdominal neuromere. Ilp7 positive cell bodies can be seen in this position from second instar stage onwards with maximal numbers at third instar stage. There are up to four pairs, one in each of abdominal neuromeres 1-4.</t>
  </si>
  <si>
    <t>Miguel-Aliaga et al., 2008, PLoS Biol. 6(3): e58 (flybase.org/reports/FBrf0204880)</t>
  </si>
  <si>
    <t>B-subperineurial glial cell of abdomen</t>
  </si>
  <si>
    <t>B subperineurial glial cell of abdomen; B glial cell of abdomen; B-SPG</t>
  </si>
  <si>
    <t>Large subperineural glial cell that sits over the posterior commissure just medial to the longitudinal connectives (Klambt and Goodman, 1991; Ito et al., 1995). It sends processes in three directions: medially to the midline, anteriorly and posteriorly (Ito et al., 1995). Unlike the A-subperineural glial cell, the B-subperineural glial cell is only found in abdominal segments of the embryo and larvae, and lies at approximately the center of the segment along the antero-posterior axis (Ito et al., 1995).</t>
  </si>
  <si>
    <t>Klambt and Goodman, 1991, Glia 4: 205--213 (flybase.org/reports/FBrf0054242); Hartenstein and Jan, 1992, Rouxs Arch. Dev. Biol. 201(4): 194--220 (flybase.org/reports/FBrf0057603); Hartenstein, 2011, Glia 59(9): 1237--1252 (flybase.org/reports/FBrf0214261)</t>
  </si>
  <si>
    <t>7-3I</t>
  </si>
  <si>
    <t>Interneuron of the NB7-3 lineage. The projections of these interneurons form a bundle that projects across the anterior border of the posterior commissure.</t>
  </si>
  <si>
    <t>embryonic/larval dorsal Ilp7 neuron</t>
  </si>
  <si>
    <t>embryonic/larval dorsal pair Ilp7 neuron; embryonic/larval DP Ilp7 neuron</t>
  </si>
  <si>
    <t>Ilp7-expressing neuron of the embryo or larva that belongs to the dorsal pair with cell bodies in abdominal neuromere 1.</t>
  </si>
  <si>
    <t>7-2I</t>
  </si>
  <si>
    <t>Interneuron originating from neuroblast the NB7-2 lineage.</t>
  </si>
  <si>
    <t>abdominal 2 VL1 motor neuron</t>
  </si>
  <si>
    <t>A2 MN12-Ib</t>
  </si>
  <si>
    <t>Motor neuron that innervates ventral longitudinal muscle 1 (VL1; muscle 12), in larval abdominal segment A2, via type Ib boutons (Hoang and Chiba, 2001). Its cell body is located contralateral to VL1 and it fasciculates with the ISNb nerve branch (Hoang and Chiba, 2001). During metamorphosis, its target muscle, VL1, develops into a temporary eclosion muscle, with some remodeling of the neuron, and this neuron becomes adult persistent motor neuron 12-Ib A2 (Banerjee et al., 2016).</t>
  </si>
  <si>
    <t>Hoang and Chiba, 2001, Dev. Biol. 229(1): 55--70 (flybase.org/reports/FBrf0132289); Banerjee et al., 2016, Dev. Neurobiol. 76(12): 1387--1416 (flybase.org/reports/FBrf0234013)</t>
  </si>
  <si>
    <t>larval HGN1 neuron of abdominal neuromere</t>
  </si>
  <si>
    <t>Larval neuron whose cell body is located in a cluster in the eighth abdominal neuromere of the ventral nerve cord. It projects along the ventral body wall to the posterior end of the larva. It is a glutamatergic motor neuron that arborizes over the rectal sphincter at the posterior end of the hindgut, with abundant bouton structures (Zhang et al., 2014).</t>
  </si>
  <si>
    <t>Zhang et al., 2014, eLife 3: e03293 (flybase.org/reports/FBrf0226857)</t>
  </si>
  <si>
    <t>ventral group vA neuron</t>
  </si>
  <si>
    <t>vA neuron; VA neuron; ventral-abdominal neuron</t>
  </si>
  <si>
    <t>Peptidergic neuron located at the ventral surface of the larval ventral nerve cord in abdominal segments A2-A4.</t>
  </si>
  <si>
    <t>O'Brien and Taghert, 1998, J. Exp. Biol. 201(2): 193--209 (flybase.org/reports/FBrf0100681); Hewes et al., 2003, Development 130(9): 1771--1781 (flybase.org/reports/FBrf0158877); Suska et al., 2011, Dev. Biol. 353(1): 72--80 (flybase.org/reports/FBrf0214309)</t>
  </si>
  <si>
    <t>larval anus sensory neuron</t>
  </si>
  <si>
    <t>ASN</t>
  </si>
  <si>
    <t>Larval mechanosensory neuron with dendrites forming a thin layer of arbors covering the body wall around the anal slit, with some arborization extending along the rectal sphincter. It is activated when the anus opens and stretches. It projects to the posteriormost part of the ventral nerve cord, and has more intense axonal projections ipsilaterally, forming synapses with the Pdf neurons in this region. There is only one of these cells and its cell body is located stochastically on one side of the midline on the anterior side of the anal slit.</t>
  </si>
  <si>
    <t>abdominal 1 VL1 motor neuron</t>
  </si>
  <si>
    <t>A1 MN12-Ib</t>
  </si>
  <si>
    <t>Motor neuron that innervates ventral longitudinal muscle 1 (VL1; muscle 12), in larval abdominal segment A1, via type Ib boutons (Hoang and Chiba, 2001). Its cell body is located contralateral to VL1 and it fasciculates with the ISNb nerve branch (Hoang and Chiba, 2001). During metamorphosis, its target muscle, VL1, develops into a temporary eclosion muscle, with some remodeling of the neuron, and this neuron becomes adult persistent motor neuron 12-Ib A1 (Banerjee et al., 2016).</t>
  </si>
  <si>
    <t>larval NPF-DL1 cell</t>
  </si>
  <si>
    <t>larval NPF-M cell; larval dNPF-DL1 neuron; larval NPF-DL1 neuron; larval dNPF-DL1 cell</t>
  </si>
  <si>
    <t>Larval NPF-expressing neuron with its cell body situated in the dorsolateral protocerebrum (DLP). A large branch innervates the basolateral protocerebrum (BLP) and, to a smaller extent, the DLP. Here its innervation is mostly postsynaptic and the neuron splits several times. The presynaptic branch of the neuron crosses the midline and projects medially through the contralateral subesophageal ganglion to the ventral nerve cord (VNC). At the end of the VNC the neuron loops back at least one abdominal segment.</t>
  </si>
  <si>
    <t>Rohwedder et al., 2015, J. Comp. Neurol. 523(18): 2637--2664 (flybase.org/reports/FBrf0229899)</t>
  </si>
  <si>
    <t>A1-7 DO3 motor neuron</t>
  </si>
  <si>
    <t>3-2Mar; MN11-Ib; 3-2M; MN-DO3</t>
  </si>
  <si>
    <t>Motor neuron that develops from the neuroblast NB3-2 lineage. It innervates the internal dorsal oblique muscle 3 of larval abdominal segments A1 to A7. Its dendritic arborization occupies the lateral domain of the ventral nerve cord neuropil. It exits the ventral nerve cord via the anterior root of the intersegmental nerve and innervates the DO3 muscle with type Ib boutons. These neurons (at least in A1 to A4) die during metamorphosis (Banerjee et al., 2016).</t>
  </si>
  <si>
    <t>vMP2 neuron</t>
  </si>
  <si>
    <t>MP2v</t>
  </si>
  <si>
    <t>Intersegmental interneuron that is one of two cells differentiating from neuroblast MP2. It projects anteriorly in a medial fascicle of the connective.</t>
  </si>
  <si>
    <t>Schmid et al., 1999, Development 126(21): 4653--4689 (flybase.org/reports/FBrf0112030)</t>
  </si>
  <si>
    <t>dMP2 neuron</t>
  </si>
  <si>
    <t>MP2d</t>
  </si>
  <si>
    <t>Insulinergic intersegmental interneuron that is one of two cells differentiating from neuroblast MP2. It projects posteriorly in a medial fascicle of the connective. Axons from dMP2 neurons innervate the hindgut, forming two fascicles that extend on opposite sides of the hindgut (Miguel-Aliaga et al., 2008). By the adult stage, arbors have formed that innervate the anterior intestines and the rectum. dMP2 neurons perform a pioneer function in embryos then undergo apoptosis in all but segments A1-A9 (Miguel-Aliaga et al., 2008).</t>
  </si>
  <si>
    <t>Schmid et al., 1999, Development 126(21): 4653--4689 (flybase.org/reports/FBrf0112030); Miguel-Aliaga et al., 2008, PLoS Biol. 6(3): e58 (flybase.org/reports/FBrf0204880)</t>
  </si>
  <si>
    <t>A1-7 LL1 motor neuron</t>
  </si>
  <si>
    <t>U5 motor neuron; U neuron; U/CQ neuron; MN-LL1 neuron; MN4-Ib</t>
  </si>
  <si>
    <t>Motor neuron developing from the fifth ganglion mother cell that differentiates from neuroblast NB7-1. It innervates the internal lateral longitudinal muscle 1 of larval abdominal segments A1 to A7. Its dendritic arborization occupies the intermediate domain of the ventral nerve cord neuropil. It exits the ventral nerve cord via the anterior root of the intersegmental nerve and innervates the LL1 muscle with type Ib boutons.</t>
  </si>
  <si>
    <t>5-2I</t>
  </si>
  <si>
    <t>Interneuron originating from the neuroblast NB5-2 lineage.</t>
  </si>
  <si>
    <t>A1-7 DA3 motor neuron</t>
  </si>
  <si>
    <t>U/CQ neuron; MN-DA3 neuron; abdominal U4 neuron; MN3-Ib; U4 motor neuron</t>
  </si>
  <si>
    <t>Motor neuron developing from the fourth ganglion mother cell that differentiates from neuroblast NB7-1. It innervates the internal dorsal acute muscle 3 of larval abdominal segments A1 to A7. Its dendritic arborization occupies the lateral domain of the ventral nerve cord neuropil. It exits the ventral nerve cord via the anterior root of the intersegmental nerve and innervates the DA3 muscle with type Ib boutons.</t>
  </si>
  <si>
    <t>5-1I</t>
  </si>
  <si>
    <t>Interneuron originating from the neuroblast NB5-1 lineage. These neurons form a bundle that projects contralaterally through the posterior commissure.</t>
  </si>
  <si>
    <t>A1-7 DO2 motor neuron</t>
  </si>
  <si>
    <t>U3 motor neuron; MN10-Ib; U neuron; U/CQ neuron; MN-DO2 neuron</t>
  </si>
  <si>
    <t>Motor neuron developing from the third ganglion mother cell that differentiates from neuroblast NB7-1. It innervates the internal dorsal oblique muscle 2 of larval abdominal segments A1 to A7. Its dendritic arborization occupies the lateral domain of the ventral nerve cord neuropil. It exits the ventral nerve cord via the anterior root of the intersegmental nerve and innervates the DO2 muscle with type Ib boutons.</t>
  </si>
  <si>
    <t>embryonic/larval dMP2 Ilp7 neuron</t>
  </si>
  <si>
    <t>embryonic/larval posterior Ilp7 neuron; dMP2 Ilp7 expressing neuron</t>
  </si>
  <si>
    <t>A dMP2 neuron that expresses Ilp7. All dMP2 neurons that survive in the larva (those in A6-9) are of this type. There are two per segment. All project to the hindgut. These projections have Ilp7 positive swellings associated with circular visceral muscle. Their terminals are also sites of Ilp7 localization.</t>
  </si>
  <si>
    <t>larval mCSI neuron</t>
  </si>
  <si>
    <t>larval medial cluster class IV dendritic arborizing second-order interneuron; larval medial cluster C4 da second order interneuron</t>
  </si>
  <si>
    <t>Segmentally-repeated interneuron of the larval abdominal neuromeres that receives input from class IV dendritic arborizing (da) neurons (Yoshino et al., 2017). There is one bilateral pair of these cells per abdominal neuromere with cell bodies in a ventral medial position (Yoshino et al., 2017). They extend dendrites along the axons of class IV da neurons across multiple segments (predominantly ipsilaterally) in the ventral part of the neuropil and their axons reach the dorsal part of the neuropil (Yoshino et al., 2017). They are involved in the induction of rolling behavior in response to the activation of class IV da neurons (Yoshino et al., 2017).</t>
  </si>
  <si>
    <t>Yoshino et al., 2017, Curr. Biol. 27(16): 2499--2504.e3 (flybase.org/reports/FBrf0236440)</t>
  </si>
  <si>
    <t>larval anterior large descending DN Tachykinin neuron</t>
  </si>
  <si>
    <t>larval tachykinin DN neuron; tachykinin descending neuron; anterior large descending neuron DN</t>
  </si>
  <si>
    <t>Larval neuron that expresses Tachykinin (FBgn0037976), whose cell body is located in the anterior protocerebrum and that innervates the ventral nerve cord. At the third instar larval stage, these neurons also form arborizations at two sites near the midline of the protocerebrum and in the subesophageal ganglion. At the level of the ventral nerve cord, this neuron has one main axon and two additional processes, one longer and one shorter than the main axon. There is one neuron per hemisphere (Winther et al., 2003; Siviter et al., 2000).</t>
  </si>
  <si>
    <t>Siviter et al., 2000, J. Biol. Chem. 275(30): 23273--23280 (flybase.org/reports/FBrf0130087); Winther et al., 2003, J. Comp. Neurol. 464(2): 180--196 (flybase.org/reports/FBrf0162212)</t>
  </si>
  <si>
    <t>ventral midline neuroblast</t>
  </si>
  <si>
    <t>Neuroblast of the embryonic and larval ventral midline.</t>
  </si>
  <si>
    <t>pupal large descending DN Tachykinin neuron</t>
  </si>
  <si>
    <t>tachykinin descending neuron; anterior large descending neuron DN; pupal tachykinin DN neuron</t>
  </si>
  <si>
    <t>Pupal neuron that expresses Tachykinin (FBgn0037976), whose cell body is located in the lateral protocerebrum and that innervates the ventral nerve cord (Winther et al., 2003).</t>
  </si>
  <si>
    <t>Winther et al., 2003, J. Comp. Neurol. 464(2): 180--196 (flybase.org/reports/FBrf0162212)</t>
  </si>
  <si>
    <t>larval Tachykinin neuron of the ventral cord</t>
  </si>
  <si>
    <t>abdominal ganglion tachykinin neuron</t>
  </si>
  <si>
    <t>Larval neuron that expresses Tachykinin (FBgn0037976) whose cell body is located in the abdominal neuromere. The number of neurons increases throughout larval development: 1 pair at first instar, two to three at second instar, 4 to 8 pairs at early third instar, 7 to 10 late third instar and 7 to 8 at prepupal stage P1 (Winther et al., 2003).</t>
  </si>
  <si>
    <t>larval Basin neuron</t>
  </si>
  <si>
    <t>Segmentally-repeated interneuron of the larval abdominal neuromere that is part of lineage 9. Its soma is located in the lateral intermediate cell body rind region. Its dendrites span a ventrolateral domain of the ventral nerve cord and overlap with the axon terminals of the eight abdominal chordotonal neurons (lch1, lch5, vch1, vch2), from which it receives input.</t>
  </si>
  <si>
    <t>Ohyama et al., 2015, Nature 520(7549): 633--639 (flybase.org/reports/FBrf0228257); Jovanic et al., 2016, Cell 167(3): 858--870.e19 (flybase.org/reports/FBrf0233796)</t>
  </si>
  <si>
    <t>larval feedback local interneuron</t>
  </si>
  <si>
    <t>fbLN</t>
  </si>
  <si>
    <t>Larval local interneuron that receives input from Basin neurons and synapses onto feedforward interneurons, but not back onto Basin neurons.</t>
  </si>
  <si>
    <t>lateral locomotor LLN interneuron</t>
  </si>
  <si>
    <t>Interneuron located at the dorsolateral region of the anterior segmental border of each ventral nerve cord segment. It can project ipsi- or contralaterally. The latter cross the midline in either the anterior or posterior commissure and project to the adjacent segment. There are 25 of these neurons per hemisegment.</t>
  </si>
  <si>
    <t>Yoshikawa et al., 2016, Mol. Cell. Neurosci. 70: 22--29 (flybase.org/reports/FBrf0230506)</t>
  </si>
  <si>
    <t>larval feedforward local interneuron</t>
  </si>
  <si>
    <t>iLN</t>
  </si>
  <si>
    <t>Larval local interneuron that is presynaptic to Basin projection neurons and postsynaptic to mechanosensory chordotonal neurons.</t>
  </si>
  <si>
    <t>larval TePn05 neuron</t>
  </si>
  <si>
    <t>Ascending neuron of the larval abdominal neuromere with its cell body located ventrolaterally near the posterior end of the ventral nerve cord. It projects anteromedially, then follows the midline anteriorly (Gerhard et al., 2017). This is a nociceptive integrator neuron, i.e. it is a node of convergence for multiple nociceptive neuron types (Burgos et al., 2018).</t>
  </si>
  <si>
    <t>larval TePn19 neuron</t>
  </si>
  <si>
    <t>Ascending neuron of the larval abdominal neuromere with its cell body located ventrolaterally near the posterior end of the ventral nerve cord. It projects anteromedially, then follows the midline anteriorly (Gerhard et al., 2017).</t>
  </si>
  <si>
    <t>larval A09q neuron</t>
  </si>
  <si>
    <t>Ascending neuron of the larval ventral nerve cord. From a laterally-located cell body in abdominal neuromere 7, it projects anteromedially to the midline, then follows the midline both anteriorly and posteriorly (Gerhard et al., 2017).</t>
  </si>
  <si>
    <t>H-cell sib</t>
  </si>
  <si>
    <t>H cell sib; MP3 interneuron</t>
  </si>
  <si>
    <t>Glutamatergic midline interneuron of the ventral nerve cord whose cell body is dorsal to the VUM and MNB cells.</t>
  </si>
  <si>
    <t>4-1I</t>
  </si>
  <si>
    <t>Interneuron that develops from the neuroblast NB4-1 lineage.</t>
  </si>
  <si>
    <t>larval TrpA1 VPP neuron</t>
  </si>
  <si>
    <t>Neuron that expresses TrpA1 and has a cell body in the posterior part of the posterior region of the larval ventral nerve cord.</t>
  </si>
  <si>
    <t>Luo et al., 2017, Nat. Neurosci. 20(1): 34--41 (flybase.org/reports/FBrf0234407)</t>
  </si>
  <si>
    <t>larval TrpA1 VAP neuron</t>
  </si>
  <si>
    <t>Neuron that expresses TrpA1 and has a cell body in the posterior part of the anterior region of the larval ventral nerve cord.</t>
  </si>
  <si>
    <t>3-5I</t>
  </si>
  <si>
    <t>Interneuron that develops from the neuroblast NB3-5 lineage in the embryonic ventral nerve cord.</t>
  </si>
  <si>
    <t>larval TrpA1 VPA neuron</t>
  </si>
  <si>
    <t>Neuron that expresses TrpA1 and has a cell body in the anterior part of the posterior region of the larval ventral nerve cord.</t>
  </si>
  <si>
    <t>larval TrpA1 VAL neuron</t>
  </si>
  <si>
    <t>Neuron that expresses TrpA1 and has a cell body in the lateral part of the anterior region of the larval ventral nerve cord.</t>
  </si>
  <si>
    <t>larval TrpA1 VAC neuron</t>
  </si>
  <si>
    <t>Neuron that expresses TrpA1 and has a cell body in the central part of the anterior region of the larval ventral nerve cord.</t>
  </si>
  <si>
    <t>3-3I</t>
  </si>
  <si>
    <t>Interneuron that develops from the neuroblast NB3-3 lineage in the embryonic ventral nerve cord.</t>
  </si>
  <si>
    <t>3-2I</t>
  </si>
  <si>
    <t>Interneuron derived from the neuroblast NB3-2 lineage. There are only one or two of these per lineage. Their fibers project contralaterally.</t>
  </si>
  <si>
    <t>A1-7 DO4 motor neuron</t>
  </si>
  <si>
    <t>3-2Mar; 3-2M; MN19-Ib; MN-DO4</t>
  </si>
  <si>
    <t>Motor neuron that develops from the neuroblast NB3-2 lineage. It innervates the internal dorsal oblique muscle 4 of larval abdominal segments A1 to A7. Its dendritic arborization occupies the lateral domain of the ventral nerve cord neuropil. It exits the ventral nerve cord via the anterior root of the intersegmental nerve and innervates the DO4 muscle with type Ib boutons. These neurons (at least in A1 to A4) die during metamorphosis (Banerjee et al., 2016).</t>
  </si>
  <si>
    <t>A1-7 DO5 motor neuron</t>
  </si>
  <si>
    <t>3-2M; MN-DO5; 3-2Mar; DO5 motor neuron; MN20-Ib</t>
  </si>
  <si>
    <t>Motor neuron that develops from the neuroblast NB3-2 lineage. It innervates the internal dorsal oblique muscle 5 of larval abdominal segments A1 to A7. Its dendritic arborization occupies the lateral domain of the ventral nerve cord neuropil. It exits the ventral nerve cord via the anterior root of the intersegmental nerve and innervates the DO5 muscle with type Ib boutons. These neurons (at least in A1 to A4) die during metamorphosis (Banerjee et al., 2016).</t>
  </si>
  <si>
    <t>larval A05q neuron</t>
  </si>
  <si>
    <t>Neuron of the larval abdominal neuromere that is part of lineage 5. Its dendrites are located ipsilaterally, and extending anteriorly close to the midline. It receives input from the Basin-2 and SEZ DN neurons. Its axon extends anteriorly, on or crossing the midline. It synapses onto the Goro neuron.</t>
  </si>
  <si>
    <t>larval A23g neuron</t>
  </si>
  <si>
    <t>Neuron of the larval abdominal neuromere that is part of lineage 23. It receives input from the Basin-3 neuron. Its axon is on or crossing the midline. It synapses onto the Goro neuron.</t>
  </si>
  <si>
    <t>larval A18l neuron</t>
  </si>
  <si>
    <t>Premotor neuron of the larval abdominal neuromere that is part of lineage 18 (Burgos et al., 2018).</t>
  </si>
  <si>
    <t>larval subesophageal Leucokinin neuron</t>
  </si>
  <si>
    <t>larval Leucokinin SELK neuron of the subesophageal ganglion; larval SELK neuron; LK-immunoreactive cell</t>
  </si>
  <si>
    <t>Larval neuron that expresses Leucokinin (FBgn0028418) whose cell body is located in the subesophageal ganglion. The axon colaterals in the brain form a complex pattern of thin neurites that project in the subesophageal ganglion and tritocerebrum. The axons extend along the ventral nerve cord innervating the contralateral side and to form a ladder-like structure. The axons connect to the end of the abdominal ganglia in a terminal plexus. The axons that extend along the ventral nerve cord connect to the leucokinin ABLK neurons. There are two to three pairs of neurons (de Haro et al., 2010).</t>
  </si>
  <si>
    <t>Herrero et al., 2003, J. Comp. Neurol. 457(2): 123--132 (flybase.org/reports/FBrf0155902); de Haro et al., 2010, Cell Tissue Res. 339(2): 321--336 (flybase.org/reports/FBrf0209907)</t>
  </si>
  <si>
    <t>medial ventral subperineurial glial cell</t>
  </si>
  <si>
    <t>MV-SPG</t>
  </si>
  <si>
    <t>Surface-associated, subperineurial glial cell located on the ventral surface of the embryonic/larval ventral nerve cord, and lies more medially than the lateral ventral subperineurial glial cell. In the abdominal segments, it lies 50% along the antero-posterior axis and 30-50% along the medio-lateral axis, but it lies slightly more medially in the thoracic segments.</t>
  </si>
  <si>
    <t>4-4I</t>
  </si>
  <si>
    <t>Interneuron that develops from the neuroblast NB4-4 lineage in the embryonic ventral nerve cord and projects contralaterally across the anterior commissure, extending anteriorly more than one segment. There are 8 to 11 neurons.</t>
  </si>
  <si>
    <t>A1-7 V motor neuron</t>
  </si>
  <si>
    <t>AC; MN12-III; V; MN-V</t>
  </si>
  <si>
    <t>Neuromodulatory motor neuron that develops from the neuroblast 5-2 and innervates the ventral longitudinal muscle 1. It fasciculates with the ISNb or ISNd intersegmental nerve branches, innervating VL1 via type III boutons.</t>
  </si>
  <si>
    <t>larval abdominal ganglion Leucokinin neuron</t>
  </si>
  <si>
    <t>LK-immunoreactive cell; larval ABLK neuron; larval Leucokinin ABLK neuron of the abdominal ganglion</t>
  </si>
  <si>
    <t>Larval neuron that expresses Leucokinin (FBgn0028418) whose cell body is located ventrolaterally in each neuromere of the abdominal ganglion. Each neuron produces a pair of axons, one of which projects dorsally and emerges from the ventral ganglia through an anterior segmental nerve of each hemineuromere. The other branch divides centrally into two branches: one send its neurites to the anterior ABLK and the other ventrally to the posterior ABLK. From each segmental nerve one axon emerges that synapses to the adjacent segment border muscle, close to the spiracle (Haro et al., 2010; Landgraf et al., 2003). These synapses lack the typical morphology of motor-neuron synapses (Landgraf et al., 2003) and are not glutamatergic (Haro et al., 2010). There is one pair of neurons in each of seven abdominal neuromeres (de Haro et al., 2010).</t>
  </si>
  <si>
    <t>Herrero et al., 2003, J. Comp. Neurol. 457(2): 123--132 (flybase.org/reports/FBrf0155902); Landgraf et al., 2003, Dev. Biol. 260(1): 207--225 (flybase.org/reports/FBrf0160715); de Haro et al., 2010, Cell Tissue Res. 339(2): 321--336 (flybase.org/reports/FBrf0209907)</t>
  </si>
  <si>
    <t>larval A01d-3 neuron</t>
  </si>
  <si>
    <t>Segmentally-repeated premotor neuron of the larval abdominal neuromere that is part of lineage 1 (Burgos et al., 2018).</t>
  </si>
  <si>
    <t>4-2I</t>
  </si>
  <si>
    <t>Interneuron originating from the neuroblast NB4-2 lineage. These project contralaterally via the anterior commissure.</t>
  </si>
  <si>
    <t>abdominal 7 VL1 motor neuron</t>
  </si>
  <si>
    <t>A7 MN12-Ib</t>
  </si>
  <si>
    <t>Motor neuron that innervates ventral longitudinal muscle 1 (VL1; muscle 12), in larval abdominal segment A7, via type Ib boutons (Hoang and Chiba, 2001). Its cell body is located contralateral to VL1 and it fasciculates with the ISNb nerve branch (Hoang and Chiba, 2001).</t>
  </si>
  <si>
    <t>abdominal 6 VL1 motor neuron</t>
  </si>
  <si>
    <t>A6 MN12-Ib</t>
  </si>
  <si>
    <t>Motor neuron that innervates ventral longitudinal muscle 1 (VL1; muscle 12), in larval abdominal segment A6, via type Ib boutons (Hoang and Chiba, 2001). Its cell body is located contralateral to VL1 and it fasciculates with the ISNb nerve branch (Hoang and Chiba, 2001).</t>
  </si>
  <si>
    <t>abdominal 5 VL1 motor neuron</t>
  </si>
  <si>
    <t>A5 MN12-Ib</t>
  </si>
  <si>
    <t>Motor neuron that innervates ventral longitudinal muscle 1 (VL1; muscle 12), in larval abdominal segment A5, via type Ib boutons (Hoang and Chiba, 2001). Its cell body is located contralateral to VL1 and it fasciculates with the ISNb nerve branch (Hoang and Chiba, 2001). This neuron dies during metamorphosis (Banerjee et al., 2016).</t>
  </si>
  <si>
    <t>medial-most cell body glial cell</t>
  </si>
  <si>
    <t>MM-CBG; medial-most cortex-associated glial cell; medialmost cell body glial cell; VUM-support cell; VUM support cell; medial-most cortex glial cell</t>
  </si>
  <si>
    <t>Cell body glial cell that lies close to the midline of the embryonic/larval ventral nerve cord. It lies between 10-20% along the mediolateral axis, and at approximately 50% along the anterioposterior axis, and flanks the ventral unpaired median (VUM) neuron cluster on the midline. Each thoracic hemineuromere has two medial-most cell body glial cells, whilst each abdominal hemineuromere has one.</t>
  </si>
  <si>
    <t>Klambt and Goodman, 1991, Glia 4: 205--213 (flybase.org/reports/FBrf0054242); Menne and Klambt, 1994, Development 120(1): 123--133 (flybase.org/reports/FBrf0068598); Ito et al., 1995, Rouxs Arch. Dev. Biol. 204(5): 284--307 (flybase.org/reports/FBrf0082171); Hartenstein, 2011, Glia 59(9): 1237--1252 (flybase.org/reports/FBrf0214261)</t>
  </si>
  <si>
    <t>abdominal 3 VL1 motor neuron</t>
  </si>
  <si>
    <t>A3 MN12-Ib</t>
  </si>
  <si>
    <t>Motor neuron that innervates ventral longitudinal muscle 1 (VL1; muscle 12), in larval abdominal segment A3, via type Ib boutons (Hoang and Chiba, 2001). Its cell body is located contralateral to VL1 and it fasciculates with the ISNb nerve branch (Hoang and Chiba, 2001). This neuron dies during metamorphosis (Banerjee et al., 2016).</t>
  </si>
  <si>
    <t>abdominal 4 VL1 motor neuron</t>
  </si>
  <si>
    <t>A4 MN12-Ib</t>
  </si>
  <si>
    <t>Motor neuron that innervates ventral longitudinal muscle 1 (VL1; muscle 12), in larval abdominal segment A4, via type Ib boutons (Hoang and Chiba, 2001). Its cell body is located contralateral to VL1 and it fasciculates with the ISNb nerve branch (Hoang and Chiba, 2001). This neuron dies during metamorphosis (Banerjee et al., 2016).</t>
  </si>
  <si>
    <t>2-5Ic1</t>
  </si>
  <si>
    <t>Interneuron that develops from the neuroblast NB2-5 lineage in the embryonic ventral nerve cord and projects contralaterally across the anterior commissure and anteriorly to the next segment.</t>
  </si>
  <si>
    <t>prothoracic VPM neuron</t>
  </si>
  <si>
    <t>tVPM1</t>
  </si>
  <si>
    <t>Octopaminergic, bilaterally-paired neuron of the prothoracic neuromere of the larval ventral nerve cord. There is one of these neurons per hemisphere. They form a cluster with the VUM neuron cell bodies, but unlike the VUM neurons, the VPM neurons are restricted to the CNS (Selcho et al., 2012).</t>
  </si>
  <si>
    <t>Selcho et al., 2012, J. Comp. Neurol. 520(16): 3764--3785 (flybase.org/reports/FBrf0219406)</t>
  </si>
  <si>
    <t>2-5Ic</t>
  </si>
  <si>
    <t>Interneuron that develops from the neuroblast NB2-5 lineage in the embryonic ventral nerve cord and projects contralaterally across the anterior commissure.</t>
  </si>
  <si>
    <t>2-5Ii</t>
  </si>
  <si>
    <t>Interneuron that develops from the neuroblast NB2-5 lineage in the embryonic ventral nerve cord and projects ipsilaterally and anteriorly to the next segment.</t>
  </si>
  <si>
    <t>larval Basin-3 neuron</t>
  </si>
  <si>
    <t>Neuron of the larval abdominal neuromere that is part of lineage 9. Its soma is located in the lateral intermediate cell body rind region. Its dendrites span a ventrolateral domain of the ventral nerve cord and overlap with the axon terminals of the eight abdominal chordotonal neurons (lch1, lch5, vch1, vch2), from which it receives input. The primary neurite fasciculates with the intersegmental nerve. Its axon is dorsal to the axons of Basin-1 and -2, and extends anteriorly and posteriorly near the midline, on the ipsilateral side. It synapses onto the A00c-a5, A00c-a4 and the A23g neurons.</t>
  </si>
  <si>
    <t>larval Basin-2 neuron</t>
  </si>
  <si>
    <t>larval A09a neuron</t>
  </si>
  <si>
    <t>Neuron of the larval abdominal neuromere that is part of lineage 9. Its soma is located in the lateral intermediate cell body rind region. Its dendrites span ventrolateral and ventromedial domains of the ventral nerve cord. These domains overlap with the axon terminals of the eight abdominal chordotonal neurons (lch1, lch5, vch1, vch2) and class IV dendritic arborizing neurons, respectively, from which it receives input. The primary neurite fasciculates with the intersegmental nerve, with no ventral branch extending from it. Its axon is ventral to the axons of Basin-3 and -4, and extends anteriorly and posteriorly near the midline, on the ipsilateral side. It synapses onto the A00c-a5, A00c-a4 and the A05q neurons.</t>
  </si>
  <si>
    <t>2-4I of abdomen</t>
  </si>
  <si>
    <t>Interneuron that develops from the NB2-4 neuroblast in the embryonic abdomen. It projects ipsi- and contralaterally across the anterior commissure to exit the neuromere through the anterior root of the intersegmental nerve.</t>
  </si>
  <si>
    <t>thoracic medial-most cell body glial cell</t>
  </si>
  <si>
    <t>thoracic medial-most cortex-associated glial cell; thoracic VUM-support cell; thoracic medial most cell body glial cell; thoracic medial-most cortex glial cell; thoracic VUM support cell; thoracic MM-CBG</t>
  </si>
  <si>
    <t>Medial-most cell body glia of the embryonic/larval thoracic hemineuromere. There are two of these per hemineuromere.</t>
  </si>
  <si>
    <t>Hartenstein, 2011, Glia 59(9): 1237--1252 (flybase.org/reports/FBrf0214261)</t>
  </si>
  <si>
    <t>larval Basin-1 neuron</t>
  </si>
  <si>
    <t>Neuron of the larval abdominal neuromere that is part of lineage 9. Its soma is located in the lateral intermediate cell body rind region. Its dendrites span a ventrolateral domain of the ventral nerve cord and overlap with the axon terminals of the eight abdominal chordotonal neurons (lch1, lch5, vch1, vch2), from which it receives input. The primary neurite fasciculates with the intersegmental nerve. Its axon is ventral to the axons of Basin-3 and -4, and extends anteriorly and posteriorly near the midline, on the ipsilateral side. It synapses onto the A00c-a6 neuron.</t>
  </si>
  <si>
    <t>2-4I of thorax</t>
  </si>
  <si>
    <t>Interneuron that develops from the NB2-4 neuroblast in the embryonic thorax. It projects ipsilaterally across.</t>
  </si>
  <si>
    <t>7-1Icp</t>
  </si>
  <si>
    <t>Contralaterally projecting interneuron originating from 7-1I. It projects through the posterior border of the posterior commissure.</t>
  </si>
  <si>
    <t>abdominal medial-most cell body glial cell</t>
  </si>
  <si>
    <t>abdominal MM-CBG; abdominal VUM support cell; abdominal medial-most cortex-associated glial cell; abdominal VUM-support cell; abdominal medial most cell body glial cell; abdominal medial-most cortex glial cell</t>
  </si>
  <si>
    <t>Medial-most cell body glia of the embryonic/larval abdominal hemineuromere. There is only one of these per hemineuromere.</t>
  </si>
  <si>
    <t>7-1Ica</t>
  </si>
  <si>
    <t>Contralaterally projecting interneuron originating from 7-1I. It projects through the middle of the anterior commissure.</t>
  </si>
  <si>
    <t>7-2Ii</t>
  </si>
  <si>
    <t>Ipsilateral posterior projecting interneuron originating from 7-2I.</t>
  </si>
  <si>
    <t>larval dopaminergic TM1-2 neuron</t>
  </si>
  <si>
    <t>TM1-2 neuron</t>
  </si>
  <si>
    <t>Subtype of the dopaminergic TM1 neuron that has ipsilateral arborizations in the subesophageal ganglion and ventral nerve cord. It is a paired neuron that projects dorsally next to the midline and upon reaching the dorsal margin extends laterally sending arbors in the medial and lateromedial subesophageal ganglion, the ventromedial thoracic, anterior ventro-medial abdominal ganglion and basomedial protocerebrum.</t>
  </si>
  <si>
    <t>larval dopaminergic TM1-1 neuron</t>
  </si>
  <si>
    <t>TM1-1 neuron</t>
  </si>
  <si>
    <t>Subtype of the dopaminergic TM1 neuron that has symmetrical arborizations in the subesophageal and thoracic ganglia. It is an unpaired neuron whose primary process splits into four secondary neurites with two of these running along the midline dorsally and the other two projecting laterally. Secondary neurites innervate the first thoracic segment and the basal subesophageal ganglion.</t>
  </si>
  <si>
    <t>larval Basin-4 neuron</t>
  </si>
  <si>
    <t>larval A09c neuron</t>
  </si>
  <si>
    <t>Neuron of the larval abdominal neuromere that is part of lineage 9. Its soma is located in the lateral intermediate cell body rind region. Its dendrites span a ventrolateral and ventromedial domains of the ventral nerve cord. These domains overlap with the axon terminals of the eight abdominal chordotonal neurons (lch1, lch5, vch1, vch2) and the class IV dendritic arborizing neuron, respectively, from which it receives input. The primary neurite fasciculates with the intersegmental nerve, with no ventral branch extending from it. Its axon is ventral to the axons of Basin-3 and -4, and extends anteriorly and posteriorly to or across the midline. It synapses onto the A00c-a5 and A00c-a4 neurons.</t>
  </si>
  <si>
    <t>7-4Ii</t>
  </si>
  <si>
    <t>Interneuron that develops from the neuroblast NB7-4 lineage in the embryonic thorax and projects ipsilaterally.</t>
  </si>
  <si>
    <t>larval abdominal 6 down and back neuron</t>
  </si>
  <si>
    <t>A09l a6; DnB neuron a6</t>
  </si>
  <si>
    <t>Larval down and back neuron of abdominal neuromere 6.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</si>
  <si>
    <t>larval abdominal 5 down and back neuron</t>
  </si>
  <si>
    <t>A09l a5; DnB neuron a5</t>
  </si>
  <si>
    <t>Larval down and back neuron of abdominal neuromere 5.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</si>
  <si>
    <t>larval abdominal 4 down and back neuron</t>
  </si>
  <si>
    <t>A09l a4; DnB neuron a4</t>
  </si>
  <si>
    <t>Larval down and back neuron of abdominal neuromere 4.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</si>
  <si>
    <t>larval Ladder-a neuron</t>
  </si>
  <si>
    <t>Larval Ladder neuron that is presynaptic to Basin-1 and Basin-2 projection neurons and postsynaptic to mechanosensory chordotonal neurons. This neuron is GABAergic (Jovanic et al., 2016).</t>
  </si>
  <si>
    <t>larval metathoracic aCC neuron</t>
  </si>
  <si>
    <t>T3 MN-DA1; metathoracic MN-DA1; T3 MN1-Ib; metathoracic MN1-Ib</t>
  </si>
  <si>
    <t>Any aCC neuron (FBbt:00001447) that synapsed via type Ib bouton to some metathoracic dorsal acute muscle 1 (FBbt:00000555).</t>
  </si>
  <si>
    <t>Burow et al., 2015, Neural Dev. 10(1): 11 (flybase.org/reports/FBrf0228258)</t>
  </si>
  <si>
    <t>7-2Ic</t>
  </si>
  <si>
    <t>Contralaterally projecting interneuron that projects through the posterior commissure.</t>
  </si>
  <si>
    <t>larval Ladder-e neuron</t>
  </si>
  <si>
    <t>Larval Ladder neuron that is presynaptic to Basin-1 and postsynaptic to mechanosensory chordotonal neurons. This neuron is GABAergic (Jovanic et al., 2016).</t>
  </si>
  <si>
    <t>7-4Ic</t>
  </si>
  <si>
    <t>Interneuron that develops from the neuroblast NB7-4 lineage in the embryonic thorax and projects contralaterally across the posterior commissure.</t>
  </si>
  <si>
    <t>intersegmental nerve root glial cell</t>
  </si>
  <si>
    <t>ISNG</t>
  </si>
  <si>
    <t>Nerve root glial cell associated with the intersegmental nerve root. This is a neuropil associated glial cell (Ito et al., 1995) that develops from neuroblast NB1-3 (Hartenstein, 2011).</t>
  </si>
  <si>
    <t>3-1I of abdomen</t>
  </si>
  <si>
    <t>Interneuron that develops from neuroblast NB3-1 of the abdomen 3-1I. The projections of these interneurons form a fascicle that projects through the anterior commissure and bifurcates in an anterior-posterior direction along the contralateral connective.</t>
  </si>
  <si>
    <t>3-1I of thorax</t>
  </si>
  <si>
    <t>Interneuron that develops from neuroblast NB3-1 of the thorax. The projections of these interneurons form a fascicle that projects through the anterior commissure. Unlike the fascicle formed by abdominal 3-1I, it does not show any appreciable bifurcation in the contralateral connective.</t>
  </si>
  <si>
    <t>larval mesothoracic aCC neuron</t>
  </si>
  <si>
    <t>mesothoracic MN-DA1; T2 MN1-Ib; mesothoracic MN1-Ib; T2 MN-DA1</t>
  </si>
  <si>
    <t>Any aCC neuron (FBbt:00001447) that synapsed via type Ib bouton to some mesothoracic dorsal acute muscle 1 (FBbt:00000523).</t>
  </si>
  <si>
    <t>larval A00c-a3 neuron</t>
  </si>
  <si>
    <t>Ascending A00c neuron with its cell body in abdominal neuromere 3, close to the midline. Its axons run along the anterior-posterior axis close to the midline in the ventral nerve cord and it projects to the contralateral brain lobe. It receives input from the Basin-2 neuron (from at least abdominal neuromere 1) and synapses onto the subesophageal zone descending neuron and Ipsiphone neuron in the brain.</t>
  </si>
  <si>
    <t>1-2Ica</t>
  </si>
  <si>
    <t>Interneuron that develops from the neuroblast NB2-1 lineage and that fasciculates with a contralaterally projecting bundle that projects through the anterior commissure of the adjacent neuromere before turning anteriorly.</t>
  </si>
  <si>
    <t>larval A26e neuron</t>
  </si>
  <si>
    <t>Serotonergic interneuron of the larval ventral nerve cord that is part of lineage 26 (Burgos et al., 2018).</t>
  </si>
  <si>
    <t>2-1Ii</t>
  </si>
  <si>
    <t>Interneuron that develops from the neuroblast NB2-1 lineage and that fasciculates with an ipsilaterally projecting bundle.</t>
  </si>
  <si>
    <t>larval A02l neuron</t>
  </si>
  <si>
    <t>Neuron of the larval abdominal neuromere that is part of lineage 2. Its primary neurite extends dorsally, from the ventral region of the ventral nerve cord, close to the midline. It then crosses the midline and follows the dorsal edge of the ventral nerve cord laterally, to terminate in the dorsolateral region. It receives input from the ipsilateral dorsal bipolar neuron dbp and outputs to the contralateral A31k neuron.</t>
  </si>
  <si>
    <t>larval A02b neuron</t>
  </si>
  <si>
    <t>Neuron of the larval abdominal neuromere that is part of lineage 2. Its primary neurite extends dorsally, from the ventral region of the ventral nerve cord, close to the midline, with a few branches crossing it. The main neurite extends dorsolaterally in the ipsilateral side. The dendritic branches are closer to the midline, whereas the axonal ones are in the dorsolateral region. It receives input from the ipsi- and contralateral dorsal multidendritic neuron dda1, ddaD, the ventral bipolar neuron vbp and A02a neuron. It outputs to the ipsilateral A03a1 (axo-axonic connection), A02a neuron and the A1-7 dorsal motor neuron.</t>
  </si>
  <si>
    <t>abdominal 4 dopaminergic AL neuron</t>
  </si>
  <si>
    <t>abdominal 4 dopaminergic dorso-lateral neuron; dl</t>
  </si>
  <si>
    <t>Dopaminergic neuron dorsolaterally located in larval abdominal segment A4.</t>
  </si>
  <si>
    <t>1-1I of abdomen</t>
  </si>
  <si>
    <t>Ipsilaterally projecting interneuron developing from neuroblast NB1-1 of the abdomen.</t>
  </si>
  <si>
    <t>abdominal 5 dopaminergic AL neuron</t>
  </si>
  <si>
    <t>dl; abdominal 5 dopaminergic dorso-lateral neuron</t>
  </si>
  <si>
    <t>Dopaminergic neuron dorsolaterally located in larval abdominal segment A5.</t>
  </si>
  <si>
    <t>Lundell and Hirsh, 1998, Development 125(3): 463--472 (flybase.org/reports/FBrf0100717)</t>
  </si>
  <si>
    <t>1-2Icp</t>
  </si>
  <si>
    <t>Interneuron that develops from the neuroblast NB2-1 lineage and that fasciculates with a contralaterally projecting bundle that projects through the posterior commissure of the neuromere.</t>
  </si>
  <si>
    <t>abdominal 6 dopaminergic AL neuron</t>
  </si>
  <si>
    <t>dl; abdominal 6 dopaminergic dorso-lateral neuron</t>
  </si>
  <si>
    <t>Dopaminergic neuron dorsolaterally located in larval abdominal segment A6.</t>
  </si>
  <si>
    <t>1-2Ii</t>
  </si>
  <si>
    <t>Interneuron originating from neuroblast NB1-2 whose axon fasciculates with an ipsilaterally directed fascicle formed at the end of embryonic stage 16.</t>
  </si>
  <si>
    <t>abdominal segment A4 vA neuron</t>
  </si>
  <si>
    <t>Ventral group vA neuron of larval abdominal segment A4.</t>
  </si>
  <si>
    <t>abdominal 7 dopaminergic AL neuron</t>
  </si>
  <si>
    <t>abdominal 7 dopaminergic dorso-lateral neuron; dl</t>
  </si>
  <si>
    <t>Dopaminergic neuron dorsolaterally located in larval abdominal segment 7.</t>
  </si>
  <si>
    <t>abdominal segment A3 vA neuron</t>
  </si>
  <si>
    <t>Ventral group vA neuron of larval abdominal segment A3.</t>
  </si>
  <si>
    <t>larval abdominal excitatory interneuron eIN-6</t>
  </si>
  <si>
    <t>eIN-6</t>
  </si>
  <si>
    <t>Interneuron of the larval abdominal neuromere. Its cell body is on the ventral rind and the primary neurite enters the neuromere and continues dorsally. It branches with one neurite arborizing in the dorsal region, and the other neurite crosses the midline, and arborizes in the medial neuromere region. It is a cholinergic neuron that outputs contralaterally onto the longitudinal motor neuron MN-LO1.</t>
  </si>
  <si>
    <t>larval abdominal excitatory interneuron eIN-5</t>
  </si>
  <si>
    <t>eIN-5</t>
  </si>
  <si>
    <t>Interneuron of the larval abdominal neuromere. Its cell body is on the ventral rind and the primary neurite enters the neuromere and continues dorsally and anteriorly, arborizing across the neuromere. It is a cholinergic neuron that outputs onto the ipsilateral longitudinal motor neuron MN-LO1.</t>
  </si>
  <si>
    <t>abdominal segment A2 vA neuron</t>
  </si>
  <si>
    <t>Ventral group vA neuron of larval abdominal segment A2.</t>
  </si>
  <si>
    <t>abdominal 1 dopaminergic AL neuron</t>
  </si>
  <si>
    <t>dl; abdominal 1 dopaminergic dorso-lateral neuron</t>
  </si>
  <si>
    <t>Dopaminergic neuron dorsolaterally located in larval abdominal segment A1.</t>
  </si>
  <si>
    <t>6-1Ic</t>
  </si>
  <si>
    <t>Interneuron originating from 6-1I that projects through the posterior commissure.</t>
  </si>
  <si>
    <t>abdominal 2 dopaminergic AL neuron</t>
  </si>
  <si>
    <t>dl; abdominal 2 dopaminergic dorso-lateral neuron</t>
  </si>
  <si>
    <t>Dopaminergic neuron dorsolaterally located in larval abdominal segment A2.</t>
  </si>
  <si>
    <t>larval abdominal excitatory interneuron eIN-3</t>
  </si>
  <si>
    <t>eIN-3</t>
  </si>
  <si>
    <t>Interneuron of the larval abdominal neuromere that develops from neuroblast NB1-2, and is part of lineage 1. Its cell body is on the ventrolateral rind, and the primary neurite enters the neuromere and follows the ventral border crossing the midline. It continues to follow the lateral border dorsally while it branches. It terminates on the lateral area of the neuromere, ventral to eIN-2. It is a cholinergic neuron that outputs onto a specific subset of contralateral transverse motor neurons, including MN-LT1-4.</t>
  </si>
  <si>
    <t>6-1Ii</t>
  </si>
  <si>
    <t>Ipsilateral posterior projecting interneuron originating from 6-1I.</t>
  </si>
  <si>
    <t>abdominal 3 dopaminergic AL neuron</t>
  </si>
  <si>
    <t>dl; abdominal 3 dopaminergic dorso-lateral neuron</t>
  </si>
  <si>
    <t>Dopaminergic neuron dorsolaterally located in larval abdominal segment A3.</t>
  </si>
  <si>
    <t>larval abdominal excitatory interneuron eIN-4</t>
  </si>
  <si>
    <t>eIN-4</t>
  </si>
  <si>
    <t>Interneuron of the larval abdominal neuromere. Its cell body is on the ventral rind and the primary neurite enters the neuromere and continues dorsally and anteriorly, arborizing on the dorsal region. It is a cholinergic neuron that outputs onto the ipsilateral longitudinal motor neuron MN-LO1.</t>
  </si>
  <si>
    <t>2-1Ic</t>
  </si>
  <si>
    <t>Interneuron that develops from the neuroblast NB2-1 lineage and that projects through the anterior commissure.</t>
  </si>
  <si>
    <t>larval A02a neuron</t>
  </si>
  <si>
    <t>Neuron of the larval abdominal neuromere that is part of lineage 2. Its primary neurite extends, from the ventral region of the ventral nerve cord, close to the midline, to the dorsolateral region. It then does a U-turn and extends ventrally. It receives input from the ipsilateral dorsal bipolar neuron dbp, and A02b neuron. It outputs to the ipsilateral A27j and ipsi- and contralateral A02b neurons.</t>
  </si>
  <si>
    <t>larval serotonergic abdominal neuron</t>
  </si>
  <si>
    <t>Larval serotonergic neuron whose cell body is located in a bilaterally-paired cluster in one of the abdominal neuromeres. There is a medial and a lateral neuron in each of abdominal segments A1-A7, and only one neuron in abdominal segment 8.</t>
  </si>
  <si>
    <t>Valles and White, 1988, J. Comp. Neurol. 268(3): 414--428 (flybase.org/reports/FBrf0048551); Chen and Condron, 2008, Dev. Biol. 320(1): 30--38 (flybase.org/reports/FBrf0207378)</t>
  </si>
  <si>
    <t>A1-7 DA1 motor neuron</t>
  </si>
  <si>
    <t>A1-A7 MN-DA1; aCC motor neuron; abdominal aCC neuron; MN1-Ib; A1-7 aCC neuron</t>
  </si>
  <si>
    <t>Motor neuron that innervates the internal dorsal acute muscle 1 of larval abdominal segments A1 to A7. Its dendritic arborization occupies the lateral domain of the ventral nerve cord neuropil. It exits the ventral nerve cord via the anterior root of the intersegmental nerve and innervates the DA1 muscle with type Ib boutons. By embryonic stage 16, it has a short contralaterally projecting neurite extending into the posterior commissure. It receives input from the contra- and ipsilateral larval A27h neuron.</t>
  </si>
  <si>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Schneider-Mizell et al., 2016, eLife 5: e12059 (flybase.org/reports/FBrf0231328)</t>
  </si>
  <si>
    <t>6-4Ic</t>
  </si>
  <si>
    <t>Interneuron that develops from the neuroblast NB6-4 lineage in the embryonic thorax and projects contralaterally across the posterior commissure.</t>
  </si>
  <si>
    <t>larval Handle-A neuron</t>
  </si>
  <si>
    <t>fbLN-Ha; larval A00b2 neuron</t>
  </si>
  <si>
    <t>Unpaired interneuron of the larval abdominal neuromere that is part of lineage 0. Its dendritic and axonal domains are located in the medial ventral nerve cord crossing the midline (Ohyama et al., 2015). It receives input from all four Basin neurons and has a low number of synapses from mechanosensory chordotonal neurons (Jovanic et al., 2016). This neuron feeds back to other local interneurons in the Basin circuit via inhibitory GABAergic connections.</t>
  </si>
  <si>
    <t>Ohyama et al., 2015, Nature 520(7549): 633--639 (flybase.org/reports/FBrf0228257); Jovanic et al., 2016, Cell 167(3): 858--870.e19 (flybase.org/reports/FBrf0233796); Schneider-Mizell, 2018.5.31, Handle neurons. (flybase.org/reports/FBrf0239413)</t>
  </si>
  <si>
    <t>larval Handle-B neuron</t>
  </si>
  <si>
    <t>larval A00b neuron; fbLN-Hb</t>
  </si>
  <si>
    <t>Unpaired interneuron of the larval abdominal neuromere that is part of lineage 0. Its dendritic and axonal domains are located in the medial ventral nerve cord crossing the midline (Ohyama et al., 2015). It receives some input from mechanosensory chordotonal neurons, particularly lch1 and lch5, as well as limited input from the Basin-1, -2 and -4 neurons (Jovanic et al., 2016). This neuron feeds back to other local interneurons in the Basin circuit via inhibitory GABAergic connections (Jovanic et al., 2016).</t>
  </si>
  <si>
    <t>medial channel glial cell</t>
  </si>
  <si>
    <t>M-CG</t>
  </si>
  <si>
    <t>Surface-associated, channel glial cell that lies just beneath the ventral side of the cortex/neuropil interface. There are 3-4 medial channel glial cells and they send their processes to and along the dorsoventral channel.</t>
  </si>
  <si>
    <t>ventral channel glial cell</t>
  </si>
  <si>
    <t>V-CG</t>
  </si>
  <si>
    <t>Surface-associated, channel glial cell that lies at the ventral-end of the channel above the neuropil. There are two of these cells per hemisegment and their processes form, along with processes from the dorsal channel glia, a sheath structure that covers the inner surface of the dorsoventral channel.</t>
  </si>
  <si>
    <t>6-4Ii</t>
  </si>
  <si>
    <t>Interneuron that develops from the neuroblast NB6-4 lineage in the embryonic thorax and projects ipsilaterally.</t>
  </si>
  <si>
    <t>6-2Ii</t>
  </si>
  <si>
    <t>Interneuron originating from the neuroblast NB6-2 lineage whose projections form a small, ipsilaterally projecting bundle that projects anteriorly along the lateral border of the ipsilateral connective.</t>
  </si>
  <si>
    <t>larval abdominal excitatory interneuron eIN-1</t>
  </si>
  <si>
    <t>eIN-1</t>
  </si>
  <si>
    <t>Interneuron of the larval abdominal neuromere that develops from neuroblast NB2-4, and is part of lineage 18. Its cell body is on the dorsal rind, and the primary neurite follows the neuromere border ventrally, branching twice. It then projects medially, and bifurcates: one branch extends dorsally following the midline; the other projects to the most dorsolateral neuromere region where it terminates. It is a cholinergic neuron that outputs onto a specific subset of transverse motor neurons, including MN-DT1 and MN-LT1-4.</t>
  </si>
  <si>
    <t>larval abdominal excitatory interneuron eIN-2</t>
  </si>
  <si>
    <t>eIN-2</t>
  </si>
  <si>
    <t>Interneuron of the larval abdominal neuromere that develops from neuroblast NB1-2, and is part of lineage 1. Its cell body is on the ventrolateral rind, and the primary neurite enters the neuromere and follows the ventral border crossing the midline. It continues to follow the lateral border dorsally while it branches. It terminates on the most dorsal area of the neuromere. It is a cholinergic neuron that outputs onto a specific subset of contralateral transverse motor neurons, including MN-LT1-4 (most strongly), MN-DT1 and a neuron from lineage 2 (A02x).</t>
  </si>
  <si>
    <t>6-2Icp2</t>
  </si>
  <si>
    <t>Contralaterally projecting interneuron originating from 6-2I. It is distinguished from 6-2cp1 by crossing the posterior commissure along the posterior margin then bending posteriorly in the contralateral connective.</t>
  </si>
  <si>
    <t>dorsal channel glial cell</t>
  </si>
  <si>
    <t>D-CG</t>
  </si>
  <si>
    <t>Surface-associated, channel glial cell that lies at the dorsal-end of the channel above the neuropil. The cells send processes ventrally along the channel, while receiving processes from the A-SPG cells. There are two dorsal channel glial cells per hemisegment and their processes form, along with processes from the ventral channel glia, a sheath structure that covers the inner surface of the dorsoventral channel.</t>
  </si>
  <si>
    <t>6-2Icp1</t>
  </si>
  <si>
    <t>Contralaterally projecting interneuron originating from 6-2I. It is distinguished from 6-2cp2 by crossing the posterior commissure along the anterior margin.</t>
  </si>
  <si>
    <t>metathoracic VPM neuron</t>
  </si>
  <si>
    <t>tVPM3</t>
  </si>
  <si>
    <t>Octopaminergic, bilaterally-paired neuron of the metathoracic neuromere of the larval ventral nerve cord. There is one of these neurons per hemisphere. They form a cluster with the VUM neuron cell bodies, but unlike the VUM neurons, the VPM neurons are restricted to the CNS. The metathoracic VPM neuron bifurcates after crossing the midline, with one process running anteriorly to the subesophageal ganglion. The other process innervates the dorsomedial and dorsolateral neuropil of the thoracic neuromeres. The metathoracic VPN neuron also arborizes in the basal protocerebrum (Selcho et al., 2012).</t>
  </si>
  <si>
    <t>mesothoracic VPM neuron</t>
  </si>
  <si>
    <t>tVPM2</t>
  </si>
  <si>
    <t>Octopaminergic, bilaterally-paired neuron of the mesothoracic neuromere of the larval ventral nerve cord. There is one of these neurons per hemisphere. They form a cluster with the VUM neuron cell bodies, but unlike the VUM neurons, the VPM neurons are restricted to the CNS. The mesothoracic VPM neuron arborizes in the contralateral medial neuropil of the prothoracic neuromere and the subesophageal ganglion. A secondary neurite bifurcates in the contralateral prothoracic neuromere to innervate the mediodorsal subesophageal ganglion and the tritocerebrum (Selcho et al., 2012).</t>
  </si>
  <si>
    <t>2-2I of abdomen</t>
  </si>
  <si>
    <t>Interneuron that develops from the NB2-1 of the neuroblast of the abdomen. Projections from these neurons form a fascicle that projects through the anterior commissure and then turns anteriorly after reaching the contralateral connective.</t>
  </si>
  <si>
    <t>2-2I of thorax</t>
  </si>
  <si>
    <t>Interneuron that develops from NB2-1 of the thorax. These neurons form a fascicle of about 10 axons that projects contralaterally through the anterior commissure. Unlike the 2-2I of abdomen, the 2-2I fascicle of thorax does not turn anteriorly after reaching the contralateral connective.</t>
  </si>
  <si>
    <t>larval A02d neuron</t>
  </si>
  <si>
    <t>Neuron of the larval abdominal neuromere that is part of lineage 2. Its primary neurite extends dorsoanteriorly and bifurcates, with each branch extending to one side of the midline, in the dorsal region. It receives input from the contralateral GDL neuron and proprioceptor vdaA neuron.</t>
  </si>
  <si>
    <t>5-2Ica1</t>
  </si>
  <si>
    <t>Interneuron originating from the neuroblast NB5-2 lineage whose projections form a bundle that projects through the anterior commissure, along its anterior border and immediately turns anteriorly upon reaching the contralateral connective.</t>
  </si>
  <si>
    <t>5-2Icp</t>
  </si>
  <si>
    <t>Interneuron derived from the NB5-2 lineage and whose projections form a prominent bundle that runs through the posterior commissure.</t>
  </si>
  <si>
    <t>5-2Ica2</t>
  </si>
  <si>
    <t>Interneuron originating from the neuroblast NB5-2 that projects along the posterior of the border of the anterior commissure.</t>
  </si>
  <si>
    <t>larval abdominal 4 A03a5 neuron</t>
  </si>
  <si>
    <t>Any larval A03a5 neuron (FBbt:00047800) that has soma location some larval abdominal 4 neuromere (FBbt:00111036).</t>
  </si>
  <si>
    <t>abdominal 6 DO1 motor neuron</t>
  </si>
  <si>
    <t>abdominal 6 A1-7 DO1 motor neuron; abdominal 6 U1 neuron</t>
  </si>
  <si>
    <t>Any U1 neuron (FBbt:00001565) that has soma location some larval abdominal segment 6 (FBbt:00001753) and synapsed via type Ib bouton to some abdominal 7 dorsal oblique muscle 1 (FBbt:00000919).</t>
  </si>
  <si>
    <t>[]</t>
  </si>
  <si>
    <t>larval abdominal 3 A03a5 neuron</t>
  </si>
  <si>
    <t>Any larval A03a5 neuron (FBbt:00047800) that has soma location some larval abdominal 3 neuromere (FBbt:00111035).</t>
  </si>
  <si>
    <t>larval abdominal 2 A03a5 neuron</t>
  </si>
  <si>
    <t>Any larval A03a5 neuron (FBbt:00047800) that has soma location some larval abdominal 2 neuromere (FBbt:00111034).</t>
  </si>
  <si>
    <t>larval abdominal 1 A03a5 neuron</t>
  </si>
  <si>
    <t>Any larval A03a5 neuron (FBbt:00047800) that has soma location some larval abdominal 1 neuromere (FBbt:00111033).</t>
  </si>
  <si>
    <t>abdominal 4 DO1 motor neuron</t>
  </si>
  <si>
    <t>abdominal 4 A1-7 DO1 motor neuron; abdominal 4 U1 neuron</t>
  </si>
  <si>
    <t>Any U1 neuron (FBbt:00001565) that has soma location some larval abdominal segment 4 (FBbt:00001751) and synapsed via type Ib bouton to some abdominal 5 dorsal oblique muscle 1 (FBbt:00000829).</t>
  </si>
  <si>
    <t>abdominal 5 DO1 motor neuron</t>
  </si>
  <si>
    <t>abdominal 5 U1 neuron; abdominal 4 A1-7 DO1 motor neuron</t>
  </si>
  <si>
    <t>Any U1 neuron (FBbt:00001565) that has soma location some larval abdominal segment 5 (FBbt:00001752) and synapsed via type Ib bouton to some abdominal 6 dorsal oblique muscle 1 (FBbt:00000874).</t>
  </si>
  <si>
    <t>abdominal 2 DO1 motor neuron</t>
  </si>
  <si>
    <t>abdominal 2 U1 neuron; abdominal 2 A1-7 DO1 motor neuron</t>
  </si>
  <si>
    <t>Any U1 neuron (FBbt:00001565) that has soma location some larval abdominal segment 2 (FBbt:00001749) and synapsed via type Ib bouton to some abdominal 3 dorsal oblique muscle 1 (FBbt:00000739).</t>
  </si>
  <si>
    <t>abdominal 3 DO1 motor neuron</t>
  </si>
  <si>
    <t>abdominal 3 A1-7 DO1 motor neuron; abdominal 3 U1 neuron</t>
  </si>
  <si>
    <t>Any U1 neuron (FBbt:00001565) that has soma location some larval abdominal segment 3 (FBbt:00001750) and synapsed via type Ib bouton to some abdominal 4 dorsal oblique muscle 1 (FBbt:00000784).</t>
  </si>
  <si>
    <t>larval abdominal 1 A27k neuron</t>
  </si>
  <si>
    <t>Larval A27k neuron with its cell body in abdominal neuromere 1. Its primary neurite enters the neuromere dorsally, extends ventrally and arborizes, it then extends anteriorly. It receives input from the nociceptive neurons vdaA and vdaC. It outputs to the GABA-ergic dorsolateral neuron (GDL) of A1 (Fushiki et al., 2016).</t>
  </si>
  <si>
    <t>abdominal 1 DO1 motor neuron</t>
  </si>
  <si>
    <t>abdominal 1 U1 neuron; abdominal 1 A1-7 DO1 motor neuron</t>
  </si>
  <si>
    <t>Any U1 neuron (FBbt:00001565) that has soma location some larval abdominal segment 1 (FBbt:00001748) and synapsed via type Ib bouton to some abdominal 2 dorsal oblique muscle 1 (FBbt:00000694).</t>
  </si>
  <si>
    <t>dMP2 Ilp7 neuron of abdominal segment 6</t>
  </si>
  <si>
    <t>dMP2 neuron located in embryonic/larval abdominal segment 6, and which expresses Ilp7.</t>
  </si>
  <si>
    <t>dMP2 Ilp7 neuron of abdominal segment 7</t>
  </si>
  <si>
    <t>dMP2 neuron located in embryonic/larval abdominal segment 7, and which expresses Ilp7.</t>
  </si>
  <si>
    <t>3-5Ii</t>
  </si>
  <si>
    <t>Interneuron that develops from the neuroblast NB3-5 lineage in the embryonic ventral nerve cord and projects ipsilaterally, extending anteriorly more than one segment.</t>
  </si>
  <si>
    <t>dMP2 Ilp7 neuron of abdominal segment 8</t>
  </si>
  <si>
    <t>dMP2 neuron located in embryonic/larval abdominal segment 8, and which expresses Ilp7.</t>
  </si>
  <si>
    <t>dMP2 Ilp7 neuron of abdominal segment 9</t>
  </si>
  <si>
    <t>dMP2 neuron located in embryonic/larval abdominal segment 9, and which expresses Ilp7.</t>
  </si>
  <si>
    <t>3-3Ii</t>
  </si>
  <si>
    <t>Interneuron that develops from the neuroblast NB3-3 lineage in the embryonic ventral nerve cord and projects ipsilaterally.</t>
  </si>
  <si>
    <t>3-3Ic</t>
  </si>
  <si>
    <t>Interneuron that develops from the neuroblast NB3-3 lineage in the embryonic ventral nerve cord and projects contralaterally across the anterior commissure.</t>
  </si>
  <si>
    <t>segmental nerve root glial cell</t>
  </si>
  <si>
    <t>SNG</t>
  </si>
  <si>
    <t>Glial cell associated with the segmental nerve root. This is a neuropil associated glial cell (Ito et al., 1995) that develops from neuroblast NB1-3 (Hartenstein, 2011).</t>
  </si>
  <si>
    <t>3-5Ic</t>
  </si>
  <si>
    <t>Interneuron that develops from the neuroblast NB3-5 lineage in the embryonic ventral nerve cord and projects contralaterally across the anterior commissure, extending anteriorly more than one segment.</t>
  </si>
  <si>
    <t>yIc</t>
  </si>
  <si>
    <t>Interneuron that develops from an unidentified neuroblast lineage in the embryonic ventral nerve cord and projects contralaterally across the posterior commissure.</t>
  </si>
  <si>
    <t>larval A02j neuron</t>
  </si>
  <si>
    <t>Neuron of the larval abdominal neuromere that is part of lineage 2. Its primary neurite enters the neuromere ventrally and extends to the most dorsal region close to the midline. It then turns laterally and forms some arborizations. It turns again towards the midline and extends anteriorly. It outputs to the GDL neuron, 1 and 2 segments anteriorly, and A02l.</t>
  </si>
  <si>
    <t>larval metathoracic down and back neuron</t>
  </si>
  <si>
    <t>DnB neuron t3; A09l t3</t>
  </si>
  <si>
    <t>Larval down and back neuron of the metathoracic neuromere.</t>
  </si>
  <si>
    <t>yIi</t>
  </si>
  <si>
    <t>Interneuron that develops from an unidentified neuroblast lineage in the embryonic ventral nerve cord and projects ipsilaterally.</t>
  </si>
  <si>
    <t>4-1Icp</t>
  </si>
  <si>
    <t>Interneuron that develops from the neuroblast NB4-1 lineage whose projections form a bundle that projects contralaterally projecting via the posterior commissure. This fascicle develops during mid to late embryonic stage 16.</t>
  </si>
  <si>
    <t>midline glial cell</t>
  </si>
  <si>
    <t>median glial cell; anterior midline glia; MGA; MGM; ventral midline glia; AMG; midline glia; MG</t>
  </si>
  <si>
    <t>Neuropil associated CNS glial cell located along the midline in the ventral nerve cord. There are three to four midline glia per neuromere, in the anterior region, arranged and above (dorsal to) and below (ventral to) the neuropil. These cells originate from a group of 7-8 cells at embryonic stage 13 which are reduced by apoptosis to 3-4 glial cells by embryonic stage 16. These glial cells ensheathe the anterior and posterior axon commissures, with cytoplasmic extensions restricted to the midline, covering the medial part of the commissure neuropil. Fine extensions are also observed within the neuropil.</t>
  </si>
  <si>
    <t>Sonnenfeld and Jacobs, 1995, Development 121(2): 569--578 (flybase.org/reports/FBrf0076141); Dong and Jacobs, 1997, Dev. Biol. 190(2): 165--177 (flybase.org/reports/FBrf0098773); Kearney et al., 2004, Dev. Biol. 275(2): 473--492 (flybase.org/reports/FBrf0180108); Wheeler et al., 2009, Development 136(7): 1147--1157 (flybase.org/reports/FBrf0207445); Hartenstein, 2011, Glia 59(9): 1237--1252 (flybase.org/reports/FBrf0214261)</t>
  </si>
  <si>
    <t>larval abdominal 3 A10j neuron</t>
  </si>
  <si>
    <t>Larval A10j neuron of abdominal neuromere 3. Its primary neurite extends dorsomedially, arborizing close to and across the midline. It then extends anteriorly to terminate in the contralateral brain lobe. It receives input from the contralateral Basin-2 neuron and some contralateral abdominal chordotonal neurons (lch1, lch5, vch1, vch2).</t>
  </si>
  <si>
    <t>small larval Pdf neuron of abdominal neuromere</t>
  </si>
  <si>
    <t>Larval Pdf neuron of the abdominal neuromere with a smaller cell body than the large Pdf neurons that are located more ventral and anteriorly (Helfrich-Forster, 1997).</t>
  </si>
  <si>
    <t>Helfrich-Forster, 1997, J. Comp. Neurol. 380(3): 335--354 (flybase.org/reports/FBrf0093121); Shafer and Taghert, 2009, PLoS ONE 4(12): e8298 (flybase.org/reports/FBrf0209505)</t>
  </si>
  <si>
    <t>larval abdominal 9 TePn04 neuron</t>
  </si>
  <si>
    <t>Larval TePn04 neuron with its cell body located in abdominal neuromere 9. Its primary neurite extends anteriorly, arborizing close to and across the midline and terminates in the contralateral brain lobe. It receives input from Basin-2 neurons, abdominal 4 Basin-2 forms predominantly axo-dendritic synapses with the ipsilateral TePn04, whereas abdominal 1 Basin-2 forms predominantly axo-axonic synapses with the contralateral TePn04.</t>
  </si>
  <si>
    <t>interface glial cell</t>
  </si>
  <si>
    <t>IG; longitudinal glial cell; neuropil cover glia; longitudinal glia</t>
  </si>
  <si>
    <t>Neuropil associated glial cell of the larval ventral nerve cord that lies at the cell body rind/neuropil interface and sends processes along it. There are 7-8 interface glial cells per hemineuromere in the embryo and early larvae. The nuclei are slightly ellipsoidal. In larvae, the cells have flat cytoplasmic extensions perpendicular to the longitudinal axis, forming a cage-like structure that surrounds the neuropile. At embryonic stage 15 all of the interface glia are aligned dorsally in two rows above the longitudinal connectives. At early stage 16 two cells in the lateral row begin to move laterally, and one in the medial row moves ventrally along the medial border of the connectives neuropil, passing by the cluster of midline glial cells. The ventral and lateral interface glia occupy their final positions by early stage 17.</t>
  </si>
  <si>
    <t>large larval Pdf neuron of the abdominal neuromere</t>
  </si>
  <si>
    <t>Larval Pdf neuron of the abdominal neuromere with a larger cell body than the small Pdf neurons that are located more posteriorly (Helfrich-Forster, 1997).</t>
  </si>
  <si>
    <t>4-1Ica</t>
  </si>
  <si>
    <t>Interneuron that develops from the neuroblast NB4-1 lineage whose projections form a bundle that projects contralaterally projecting via the anterior commissure.</t>
  </si>
  <si>
    <t>larval abdominal 3 Wave neuron</t>
  </si>
  <si>
    <t>Larval Wave neuron with its cell body in abdominal neuromere 3. Its primary neurites remain close to the midline, with axons and dendrites projecting anteriorly to thoracic neuromeres 2 and 3, and abdominal neuromeres 1, 2 and 3. It receives input from the ipsilateral abdominal 1 Basin-2 neuron, the contralateral subesophageal zone descending neuron and ipsilateral class IV dendritic neurons, including nociceptive neurons. Activation of this neuron induces backward locomotion.</t>
  </si>
  <si>
    <t>4-1Ii</t>
  </si>
  <si>
    <t>Interneuron that develops from the neuroblast NB4-1 lineage whose projections form a bundle that projects ipsilaterally and anteriorly.</t>
  </si>
  <si>
    <t>abdominal ventral intersegmental neuron</t>
  </si>
  <si>
    <t>Neuron of the embryonic or larval abdominal segment that is located laterally, posteriorly to the segmental nerve root. There are around 14 of these cells.</t>
  </si>
  <si>
    <t>larval abdominal 3 A02n neuron</t>
  </si>
  <si>
    <t>Larval A02n neuron with a cell body located in abdominal neuromere 3. Its soma is located ventrally, close to the medial abdominal neuromere. It receives synaptic input from the class IV dendritic arborizing neuron ddaC (Gerhard et al., 2017).</t>
  </si>
  <si>
    <t>larval abdominal 5 A09e neuron</t>
  </si>
  <si>
    <t>Any larval A09e neuron (FBbt:00047825) that has soma location some larval abdominal 5 neuromere (FBbt:00111037).</t>
  </si>
  <si>
    <t>larval abdominal 4 A09e neuron</t>
  </si>
  <si>
    <t>Any larval A09e neuron (FBbt:00047825) that has soma location some larval abdominal 4 neuromere (FBbt:00111036).</t>
  </si>
  <si>
    <t>larval abdominal 3 A09e neuron</t>
  </si>
  <si>
    <t>Neuron of the larval abdominal neuromere that is part of lineage 9. From a lateral cell body, it projects medially, then follows the midline anteriorly. It receives synaptic input from the class IV dendritic arborizing neurons (Gerhard et al., 2017).</t>
  </si>
  <si>
    <t>larval metathoracic T10a neuron</t>
  </si>
  <si>
    <t>Larval T10a neuron with its soma in the metathoracic neuromere (Gerhard et al., 2017).</t>
  </si>
  <si>
    <t>abdominal 1 dopaminergic AM neuron</t>
  </si>
  <si>
    <t>abdominal 1 dopaminergic medial neuron</t>
  </si>
  <si>
    <t>Dopaminergic medial neuron of larval abdominal segment A1.</t>
  </si>
  <si>
    <t>larval abdominal 1 A03o neuron</t>
  </si>
  <si>
    <t>Any larval A03o neuron (FBbt:00111250) that has soma location some larval abdominal 1 neuromere (FBbt:00111033).</t>
  </si>
  <si>
    <t>larval abdominal 1 A08d neuron</t>
  </si>
  <si>
    <t>Any larval A08d neuron (FBbt:00111244) that has soma location some larval abdominal 1 neuromere (FBbt:00111033).</t>
  </si>
  <si>
    <t>abdominal 4 dopaminergic AM neuron</t>
  </si>
  <si>
    <t>abdominal 4 dopaminergic medial neuron</t>
  </si>
  <si>
    <t>Dopaminergic medial neuron of larval abdominal segment A4.</t>
  </si>
  <si>
    <t>abdominal 5 dopaminergic AM neuron</t>
  </si>
  <si>
    <t>abdominal 5 dopaminergic medial neuron</t>
  </si>
  <si>
    <t>Dopaminergic medial neuron of larval abdominal segment A5.</t>
  </si>
  <si>
    <t>larval CCAP T1 thoracic neuron</t>
  </si>
  <si>
    <t>Larval neuron that expresses CCAP (Crustacean cardioactive peptide) (FBgn0039007) and whose soma is located around the prothoracic neuromere. There is one neuron in each hemineuromere.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</si>
  <si>
    <t>Kim et al., 2006, Curr. Biol. 16(13): 1395--1407 (flybase.org/reports/FBrf0194317); Santos et al., 2007, PLoS ONE 2(8): e695 (flybase.org/reports/FBrf0201188); Karsai et al., 2013, Front. Neural Circuits 7: 127 (flybase.org/reports/FBrf0222256)</t>
  </si>
  <si>
    <t>larval abdominal 1 A05e neuron</t>
  </si>
  <si>
    <t>Any larval A05e neuron (FBbt:00111251) that has soma location some larval abdominal 1 neuromere (FBbt:00111033).</t>
  </si>
  <si>
    <t>larval abdominal 1 A05q neuron</t>
  </si>
  <si>
    <t>Any larval A05q neuron (FBbt:00111231) that has soma location some larval abdominal 1 neuromere (FBbt:00111033).</t>
  </si>
  <si>
    <t>abdominal 6 dopaminergic AM neuron</t>
  </si>
  <si>
    <t>abdominal 6 dopaminergic medial neuron</t>
  </si>
  <si>
    <t>Dopaminergic medial neuron of larval abdominal segment A6.</t>
  </si>
  <si>
    <t>larval CCAP T2 thoracic neuron</t>
  </si>
  <si>
    <t>CCAP/burs T2 neuron; CCAP/bursicon T2 neuron</t>
  </si>
  <si>
    <t>Larval neuron that expresses CCAP (Crustacean cardioactive peptide) (FBgn0039007) and bursicon (FBgn0038901), and whose soma is located around the mesothoracic neuromere. There is one neuron in each hemineuromere.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</si>
  <si>
    <t>Dewey et al., 2004, Curr. Biol. 14(13): 1208--1213 (flybase.org/reports/FBrf0179185); Kim et al., 2006, Curr. Biol. 16(13): 1395--1407 (flybase.org/reports/FBrf0194317); Santos et al., 2007, PLoS ONE 2(8): e695 (flybase.org/reports/FBrf0201188); Karsai et al., 2013, Front. Neural Circuits 7: 127 (flybase.org/reports/FBrf0222256)</t>
  </si>
  <si>
    <t>larval Ladder-f neuron</t>
  </si>
  <si>
    <t>Larval Ladder neuron subtype.</t>
  </si>
  <si>
    <t>larval abdominal 2 A05e neuron</t>
  </si>
  <si>
    <t>Any larval A05e neuron (FBbt:00111251) that has soma location some larval abdominal 2 neuromere (FBbt:00111034).</t>
  </si>
  <si>
    <t>larval abdominal 2 A05q neuron</t>
  </si>
  <si>
    <t>Any larval A05q neuron (FBbt:00111231) that has soma location some larval abdominal 2 neuromere (FBbt:00111034).</t>
  </si>
  <si>
    <t>ventral midline neuron</t>
  </si>
  <si>
    <t>Neuron of the embryonic or larval ventral midline. Two sets of neurons can be distinguished: 3 neurons in the ventral region (UMI, VUM interneuron and VUM motorneuron) and 2 in the medial region (MP1 and MNB).</t>
  </si>
  <si>
    <t>Kearney et al., 2004, Dev. Biol. 275(2): 473--492 (flybase.org/reports/FBrf0180108)</t>
  </si>
  <si>
    <t>abdominal 7 dopaminergic AM neuron</t>
  </si>
  <si>
    <t>abdominal 7 dopaminergic medial neuron</t>
  </si>
  <si>
    <t>Dopaminergic medial neuron of larval abdominal segment A7.</t>
  </si>
  <si>
    <t>A-subperineurial glial cell of thorax</t>
  </si>
  <si>
    <t>A subperineurial glial cell of thorax; A glial cell of thorax; A-SPG</t>
  </si>
  <si>
    <t>A-subperineurial glial cell located in a thoracic segment.</t>
  </si>
  <si>
    <t>larval Ladder-c neuron</t>
  </si>
  <si>
    <t>A-subperineurial glial cell (subesophageal)</t>
  </si>
  <si>
    <t>A subperineurial glial cell (subesophageal)</t>
  </si>
  <si>
    <t>Any A-subperineurial glial cell (FBbt:00001259) that is part of some subperineurial glial sheath (FBbt:00007091) and is part of some embryonic/larval subesophageal ganglion (FBbt:00100138).</t>
  </si>
  <si>
    <t>larval Ladder-b neuron</t>
  </si>
  <si>
    <t>abdominal 2 dopaminergic AM neuron</t>
  </si>
  <si>
    <t>abdominal 2 dopaminergic medial neuron</t>
  </si>
  <si>
    <t>Dopaminergic medial neuron of larval abdominal segment A2.</t>
  </si>
  <si>
    <t>larval Ladder-d neuron</t>
  </si>
  <si>
    <t>Larval Ladder neuron that expresses GABA.</t>
  </si>
  <si>
    <t>larval abdominal 2 A10a neuron</t>
  </si>
  <si>
    <t>Larval A10a neuron that has its cell body in abdominal neuromere 2.</t>
  </si>
  <si>
    <t>abdominal 3 dopaminergic AM neuron</t>
  </si>
  <si>
    <t>abdominal 3 dopaminergic medial neuron</t>
  </si>
  <si>
    <t>Dopaminergic medial neuron of larval abdominal segment A3.</t>
  </si>
  <si>
    <t>larval serotonergic thoracic neuron</t>
  </si>
  <si>
    <t>Larval serotonergic neuron whose cell body is located in a bilaterally-paired cluster in one of the thoracic neuromeres. There is a medial and a lateral neuron in each of abdominal segments T2 and T3 and three neurons in T1.</t>
  </si>
  <si>
    <t>Valles and White, 1988, J. Comp. Neurol. 268(3): 414--428 (flybase.org/reports/FBrf0048551); Giang et al., 2011, J. Neurogenet. 25(1-2): 17--26 (flybase.org/reports/FBrf0213697)</t>
  </si>
  <si>
    <t>larval A02g neuron</t>
  </si>
  <si>
    <t>Segmentally-repeated premotor neuron of the larval abdominal neuromere that is part of lineage 2. It is a period-positive median segmental interneuron (Burgos et al., 2018).</t>
  </si>
  <si>
    <t>A-subperineurial glial cell (supraesophageal)</t>
  </si>
  <si>
    <t>A subperineurial glial cell (supraesophageal)</t>
  </si>
  <si>
    <t>Any A-subperineurial glial cell (FBbt:00001259) that is part of some subperineurial glial sheath (FBbt:00007091) and is part of some embryonic/larval supraesophageal ganglion (FBbt:00110637).</t>
  </si>
  <si>
    <t>abdominal 2 DA2 motor neuron</t>
  </si>
  <si>
    <t>abdominal 2 U2 neuron; abdominal 2 A1-7 DA2 motor neuron</t>
  </si>
  <si>
    <t>Any U2 neuron (FBbt:00001566) that has soma location some larval abdominal segment 2 (FBbt:00001749) and synapsed via type Ib bouton to some abdominal 3 dorsal acute muscle 2 (FBbt:00000731).</t>
  </si>
  <si>
    <t>abdominal 3 DA2 motor neuron</t>
  </si>
  <si>
    <t>abdominal 3 U2 neuron; abdominal 3 A1-7 DA2 motor neuron</t>
  </si>
  <si>
    <t>Any U2 neuron (FBbt:00001566) that has soma location some larval abdominal segment 3 (FBbt:00001750) and synapsed via type Ib bouton to some abdominal 4 dorsal acute muscle 2 (FBbt:00000776).</t>
  </si>
  <si>
    <t>abdominal 1 DA2 motor neuron</t>
  </si>
  <si>
    <t>abdominal 1 A1-7 DA2 motor neuron; abdominal 1 U2 neuron</t>
  </si>
  <si>
    <t>Any U2 neuron (FBbt:00001566) that has soma location some larval abdominal segment 1 (FBbt:00001748) and synapsed via type Ib bouton to some abdominal 2 dorsal acute muscle 2 (FBbt:00000686).</t>
  </si>
  <si>
    <t>abdominal 7 DO1 motor neuron</t>
  </si>
  <si>
    <t>abdominal 7 U1 neuron</t>
  </si>
  <si>
    <t>Any U1 neuron (FBbt:00001565) that has soma location some larval abdominal segment 7 (FBbt:00001754) and synapsed via type Ib bouton to some A1-7 dorsal oblique muscle 1 (FBbt:00000609).</t>
  </si>
  <si>
    <t>larval abdominal 7 mCSI neuron</t>
  </si>
  <si>
    <t>larval abdominal 7 medial cluster C4 da second order interneuron; larval abdominal 7 medial cluster class IV dendritic arborizing second-order interneuron</t>
  </si>
  <si>
    <t>Larval mCSI neuron of the seventh abdominal neuromere (Yoshino et al., 2017).</t>
  </si>
  <si>
    <t>larval abdominal 6 mCSI neuron</t>
  </si>
  <si>
    <t>larval abdominal 6 medial cluster C4 da second order interneuron; larval abdominal 6 medial cluster class IV dendritic arborizing second-order interneuron</t>
  </si>
  <si>
    <t>Larval mCSI neuron of the sixth abdominal neuromere (Yoshino et al., 2017).</t>
  </si>
  <si>
    <t>larval abdominal 5 mCSI neuron</t>
  </si>
  <si>
    <t>larval abdominal 5 medial cluster class IV dendritic arborizing second-order interneuron; larval abdominal 5 medial cluster C4 da second order interneuron</t>
  </si>
  <si>
    <t>Larval mCSI neuron of the fifth abdominal neuromere (Yoshino et al., 2017).</t>
  </si>
  <si>
    <t>larval abdominal 4 mCSI neuron</t>
  </si>
  <si>
    <t>larval abdominal 4 medial cluster class IV dendritic arborizing second-order interneuron; larval abdominal 4 medial cluster C4 da second order interneuron</t>
  </si>
  <si>
    <t>Larval mCSI neuron of the fourth abdominal neuromere (Yoshino et al., 2017).</t>
  </si>
  <si>
    <t>larval abdominal 3 mCSI neuron</t>
  </si>
  <si>
    <t>larval abdominal 3 medial cluster C4 da second order interneuron; larval abdominal 3 medial cluster class IV dendritic arborizing second-order interneuron</t>
  </si>
  <si>
    <t>Larval mCSI neuron of the third abdominal neuromere (Yoshino et al., 2017).</t>
  </si>
  <si>
    <t>larval abdominal 2 mCSI neuron</t>
  </si>
  <si>
    <t>larval abdominal 2 medial cluster C4 da second order interneuron; larval abdominal 2 medial cluster class IV dendritic arborizing second-order interneuron</t>
  </si>
  <si>
    <t>Larval mCSI neuron of the second abdominal neuromere (Yoshino et al., 2017).</t>
  </si>
  <si>
    <t>posterior midline glial cell</t>
  </si>
  <si>
    <t>PMG; MGP</t>
  </si>
  <si>
    <t>Neuropil associated CNS glial cell located along the midline in the ventral nerve cord at embryonic stage 13, in the posterior region of the neuromere. This group of 6 cells degenerates by embryonic stage 16, and does not contribute to the population of mature midline glia.</t>
  </si>
  <si>
    <t>Dong and Jacobs, 1997, Dev. Biol. 190(2): 165--177 (flybase.org/reports/FBrf0098773); Kearney et al., 2004, Dev. Biol. 275(2): 473--492 (flybase.org/reports/FBrf0180108); Wheeler et al., 2009, Development 136(7): 1147--1157 (flybase.org/reports/FBrf0207445)</t>
  </si>
  <si>
    <t>larval abdominal 1 mCSI neuron</t>
  </si>
  <si>
    <t>larval abdominal 1 medial cluster C4 da second order interneuron; larval abdominal 1 medial cluster class IV dendritic arborizing second-order interneuron</t>
  </si>
  <si>
    <t>Larval mCSI neuron of the first abdominal neuromere (Yoshino et al., 2017).</t>
  </si>
  <si>
    <t>abdominal 6 DA2 motor neuron</t>
  </si>
  <si>
    <t>abdominal 6 A1-7 DA2 motor neuron; abdominal 6 U2 neuron</t>
  </si>
  <si>
    <t>Any U2 neuron (FBbt:00001566) that has soma location some larval abdominal segment 6 (FBbt:00001753) and synapsed via type Ib bouton to some abdominal 7 dorsal acute muscle 2 (FBbt:00000911).</t>
  </si>
  <si>
    <t>abdominal 7 DA2 motor neuron</t>
  </si>
  <si>
    <t>abdominal 7 A1-7 DA2 motor neuron; abdominal 7 U2 neuron</t>
  </si>
  <si>
    <t>Any U2 neuron (FBbt:00001566) that has soma location some larval abdominal segment 7 (FBbt:00001754) and synapsed via type Ib bouton to some A1-7 dorsal acute muscle 2 (FBbt:00000592).</t>
  </si>
  <si>
    <t>abdominal 4 DA2 motor neuron</t>
  </si>
  <si>
    <t>abdominal 4 U2 neuron; abdominal 4 A1-7 DA2 motor neuron</t>
  </si>
  <si>
    <t>Any U2 neuron (FBbt:00001566) that has soma location some larval abdominal segment 4 (FBbt:00001751) and synapsed via type Ib bouton to some abdominal 5 dorsal acute muscle 2 (FBbt:00000821).</t>
  </si>
  <si>
    <t>abdominal lateral ipsisegmental neuron</t>
  </si>
  <si>
    <t>Neuron of the embryonic or larval abdominal segment that is located laterally on each segment, anterior and posteriorly to the intersegmental nerve root. There are 5 of these cells: 3 anterior, and 2 posterior to the nerve root.</t>
  </si>
  <si>
    <t>abdominal 5 DA2 motor neuron</t>
  </si>
  <si>
    <t>abdominal 5 A1-7 DA2 motor neuron; abdominal 5 U2 neuron</t>
  </si>
  <si>
    <t>Any U2 neuron (FBbt:00001566) that has soma location some larval abdominal segment 5 (FBbt:00001752) and synapsed via type Ib bouton to some abdominal 6 dorsal acute muscle 2 (FBbt:00000866).</t>
  </si>
  <si>
    <t>larval abdominal 3 A09o neuron</t>
  </si>
  <si>
    <t>Larval A09o neuron that has its cell body in abdominal neuromere 3. From a lateral cell body, it projects medially, then follows the midline anteriorly (Gerhard et al., 2017).</t>
  </si>
  <si>
    <t>larval CCAP T3 thoracic neuron</t>
  </si>
  <si>
    <t>CCAP/bursicon T3 neuron; CCAP/burs T3 neuron</t>
  </si>
  <si>
    <t>Larval neuron that expresses CCAP (Crustacean cardioactive peptide) (FBgn0039007) and Bursicon (FBgn0038901), and whose soma is located ventrally around the metathoracic neuromere, approximately at the height of the VL fascicle. There are two neurons in each hemineuromere, one interneurons and one efferent neuron.</t>
  </si>
  <si>
    <t>larval A00c-a6 neuron</t>
  </si>
  <si>
    <t>Ascending A00c neuron with its cell body in abdominal neuromere 6, close to the midline. Its axons run along the anterior-posterior axis close to the midline in the ventral nerve cord and it projects to the contralateral brain lobe. It receives input from the Basin-1 neuron (from at least abdominal neuromeres 1 and 4) and synapses onto the subesophageal zone descending neuron and Ipsiphone neuron in the brain.</t>
  </si>
  <si>
    <t>larval cholinergic lateral interneuron 2</t>
  </si>
  <si>
    <t>CLI2</t>
  </si>
  <si>
    <t>Segmentally-repeated cholinergic premotor interneuron with its soma in a lateral region of the larval ventral nerve cord. There is one of these per hemisegment with ipsilateral dendrites in the next posterior segment. An axon projects contralaterally via the anterior commissure, innervating a lateral region, mainly within the same segment, but occasionally reaching the next posterior segment (Hasegawa et al., 2016).</t>
  </si>
  <si>
    <t>larval A00c-a4 neuron</t>
  </si>
  <si>
    <t>Ascending A00c neuron with its cell body in abdominal neuromere 4, close to the midline. Its axons run along the anterior-posterior axis close to the midline in the ventral nerve cord and it projects to the contralateral brain lobe. It receives input from the Basin-2, Basin-3 and Basin-4 neurons (from at least abdominal neuromeres 1 and 4) and synapses onto the subesophageal zone descending neuron and Ipsiphone neuron in the brain.</t>
  </si>
  <si>
    <t>larval CCAP A8-A9 abdominal neuron</t>
  </si>
  <si>
    <t>CCAP/MIP A8-A9 neuron; EN a8,a9</t>
  </si>
  <si>
    <t>Larval neuron that expresses CCAP (Crustacean cardioactive peptide) (FBgn0039007) and Myoinhibiting peptide precursor (FBgn0036713), whose soma is located around the abdominal neuromeres A8 to A9. There are two neurons in each hemineuromere, one located more ventrolaterally (in A8) and the other more medially (in A9), near the posterior tip of the abdominal ganglion. The primary neurite crosses the midline and exits the neuropil via the hindgut nerve.</t>
  </si>
  <si>
    <t>larval cholinergic lateral interneuron 1</t>
  </si>
  <si>
    <t>CLI1</t>
  </si>
  <si>
    <t>Segmentally-repeated cholinergic premotor interneuron with its soma in a lateral region of the larval ventral nerve cord. There is one of these per hemisegment with ipsilateral dendrites in the same segment and the next posterior segment. An axon projects contralaterally via the anterior commissure, innervating a medial region of the dorsal neuropile, then further extending anteriorly towards the next segment (Hasegawa et al., 2016).</t>
  </si>
  <si>
    <t>larval A00c-a5 neuron</t>
  </si>
  <si>
    <t>Ascending A00c neuron with its cell body in abdominal neuromere 5, close to the midline. Its axons run along the anterior-posterior axis close to the midline in the ventral nerve cord and it projects to the contralateral brain lobe. It receives input from the Basin-2, Basin-3 and Basin-4 neurons (from at least abdominal neuromeres 1 and 4) and synapses onto the subesophageal zone descending neuron and Ipsiphone neuron in the brain.</t>
  </si>
  <si>
    <t>larval CCAP A1-A4 abdominal neuron</t>
  </si>
  <si>
    <t>CCAP/burs A1-A4 neuron; CCAP/bursicon A1-A4 neuron; CCAP/burs/MIP A1-A4 neuron; CCAP/bursicon/MIP A1-A4 neuron</t>
  </si>
  <si>
    <t>Larval neuron that expresses CCAP (Crustacean cardioactive peptide) (FBgn0039007), Bursicon (FBgn0038901), Partner of Bursicon (FBgn0264810) and Myoinhibiting peptide precursor (FBgn0036713). The soma is located around the abdominal neuromeres A1 to A4, in a varied position from more medial to more dorsal. There are two neurons in each hemineuromere.</t>
  </si>
  <si>
    <t>Dewey et al., 2004, Curr. Biol. 14(13): 1208--1213 (flybase.org/reports/FBrf0179185); Kim et al., 2006, Curr. Biol. 16(13): 1395--1407 (flybase.org/reports/FBrf0194317); Santos et al., 2007, PLoS ONE 2(8): e695 (flybase.org/reports/FBrf0201188); Zhao et al., 2008, Genetics 178(2): 883--901 (flybase.org/reports/FBrf0204350); Karsai et al., 2013, Front. Neural Circuits 7: 127 (flybase.org/reports/FBrf0222256)</t>
  </si>
  <si>
    <t>larval CCAP A5-A7 abdominal neuron</t>
  </si>
  <si>
    <t>IN a5-a7</t>
  </si>
  <si>
    <t>Larval neuron that expresses CCAP (Crustacean cardioactive peptide) (FBgn0039007) and whose soma is located laterally around the abdominal neuromeres A5 to A7, between the height of the VL and DL fascicles.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</si>
  <si>
    <t>Kim et al., 2006, Curr. Biol. 16(13): 1395--1407 (flybase.org/reports/FBrf0194317); Santos et al., 2007, PLoS ONE 2(8): e695 (flybase.org/reports/FBrf0201188); Zhao et al., 2008, Genetics 178(2): 883--901 (flybase.org/reports/FBrf0204350); Karsai et al., 2013, Front. Neural Circuits 7: 127 (flybase.org/reports/FBrf0222256)</t>
  </si>
  <si>
    <t>RP2 motor neuron</t>
  </si>
  <si>
    <t>4-2a1; RP2; RP2 neuron</t>
  </si>
  <si>
    <t>Motor neuron that innervates a range of dorsal muscles via type Is boutons (Landgraf et al., 2003; Kim et al., 2009). It fasciculates with the intersegmental nerve, but unusually, innervates muscles in the same segment as its cell body (Landgraf et al., 1997, Landgraf et al., 2003). Its large soma is located at the extreme dorsal surface of the CNS above the junction of the anterior commissure and the longitudinal connective (Schmid et al., 1999).</t>
  </si>
  <si>
    <t>Landgraf et al., 1997, J. Neurosci. 17(24): 9642--9655 (flybase.org/reports/FBrf0099344); Schmid et al., 1999, Development 126(21): 4653--4689 (flybase.org/reports/FBrf0112030); Landgraf et al., 2003, PLoS Biol. 1(2): e41 (flybase.org/reports/FBrf0167986); Kim et al., 2009, Dev. Biol. 336(2): 213--221 (flybase.org/reports/FBrf0209293)</t>
  </si>
  <si>
    <t>RP1 motor neuron</t>
  </si>
  <si>
    <t>MN30-Ib; MN-VO2; RP1 neuron</t>
  </si>
  <si>
    <t>A motor neuron that develops from neuroblast NB3-1 and whose large cell body is located between the anterior and posterior commissures at the dorsal surface of the CNS. These neurons can be found in thoracic or abdominal segments (Schmid et al., 1999). This neuron innervates the ventral oblique muscle 2 (muscle 30/muscle 14.2) in abdominal segments (Mauss et al., 2009).</t>
  </si>
  <si>
    <t>Zinn et al., 1988, Cell 53: 577--587 (flybase.org/reports/FBrf0047653); Sink and Whitington, 1991, Development 112(1): 307--316 (flybase.org/reports/FBrf0053781); Landgraf et al., 1997, J. Neurosci. 17(24): 9642--9655 (flybase.org/reports/FBrf0099344)</t>
  </si>
  <si>
    <t>EW3 neuron</t>
  </si>
  <si>
    <t>Peptidergic interneuron of embryonic/larval abdominal segment. It differentiates directly from the third GMC in the 7-3 lineage (GMC 7-3c).</t>
  </si>
  <si>
    <t>Lundell and Hirsh, 1998, Development 125(3): 463--472 (flybase.org/reports/FBrf0100717); Isshiki et al., 2001, Cell 106(4): 511--521 (flybase.org/reports/FBrf0138252); Novotny et al., 2002, Development 129(4): 1027--1036 (flybase.org/reports/FBrf0144815)</t>
  </si>
  <si>
    <t>RP3 motor neuron</t>
  </si>
  <si>
    <t>MN-VL3/4; RP3 neuron; MN6/7-Ib</t>
  </si>
  <si>
    <t>RP motor neuron of the 3-1 lineage whose cell body is located ventral and lateral to RP1 and RP4, and which projects an axon contralaterally. These neurons can be found in thoracic or abdominal segments (Schmid et al., 1999). RP3 innervates ventral longitudinal muscles 3 and 4 (muscles 6 and 7) (Schmid et al., 1999, Mauss et al., 2009).</t>
  </si>
  <si>
    <t>Sink and Whitington, 1991, Development 112(1): 307--316 (flybase.org/reports/FBrf0053781); Landgraf et al., 1997, J. Neurosci. 17(24): 9642--9655 (flybase.org/reports/FBrf0099344); Schmid et al., 1999, Development 126(21): 4653--4689 (flybase.org/reports/FBrf0112030)</t>
  </si>
  <si>
    <t>RP2sib neuron</t>
  </si>
  <si>
    <t>4-2a2; sib; RP2/sib</t>
  </si>
  <si>
    <t>Neuron developing from GMC4-2a, the first born ganglion mother cell differentiating from neuroblast NB4-2 (Bhat et al., 1995). Its ultimate fate is unknown, but can be distinguished from its sibling motor neuron, RP2 (FBbt:00001453), by lower expression of markers such as the membrane protein recognized by monoclonal antibody 22C10, eve (FBgn0000606), or ftz (FBgn0001077).</t>
  </si>
  <si>
    <t>Doe, 1992, Development 116(4): 855--863 (flybase.org/reports/FBrf0055900); Bhat et al., 1995, Mol. Cell. Biol. 15(8): 4052--4063 (flybase.org/reports/FBrf0081448)</t>
  </si>
  <si>
    <t>B-subperineurial glial cell of abdominal segment 3</t>
  </si>
  <si>
    <t>B subperineurial glial cell 3; B-subperineurial glial cell 3</t>
  </si>
  <si>
    <t>B-subperineurial glial cell located in abdominal segment 3.</t>
  </si>
  <si>
    <t>larval mushroom body output neuron c2</t>
  </si>
  <si>
    <t>larval MBON-c2</t>
  </si>
  <si>
    <t>Dopaminergic larval neuron that has presynapses in the subesophageal zone and the thoracic neuromeres of the ventral nerve cord. It has postsynapses in the lower pedunculus (spur) of the mushroom body and in the basoposterior lateral compartment (ventrolateral protocerebrum) and basoposterior medial compartment (ventromedial cerebrum). There is one of these cells per hemisphere.</t>
  </si>
  <si>
    <t>Saumweber et al., 2018, Nat. Commun. 9(1): 1104 (flybase.org/reports/FBrf0238440)</t>
  </si>
  <si>
    <t>B-subperineurial glial cell of abdominal segment 2</t>
  </si>
  <si>
    <t>B subperineurial glial cell 2; B-subperineurial glial cell 2</t>
  </si>
  <si>
    <t>B-subperineurial glial cell located in abdominal segment 2.</t>
  </si>
  <si>
    <t>larval abdominal 1 A02n neuron</t>
  </si>
  <si>
    <t>Larval A02n neuron with a cell body located in abdominal neuromere 1. Its soma is located in the ventral cortex region close to the medial abdominal neuromere. It is a small neuron, receiving input from the ipsilateral Basin-2, the contralateral larval subesophageal zone descending neuron, the chordotonal abdominal lch1 neuron and the abdominal dorsal multidendritic neuron ddaC. Its soma is more ventrally-located than that of the A02m neuron.</t>
  </si>
  <si>
    <t>EW2 neuron</t>
  </si>
  <si>
    <t>larval serotonergic abdominal lateral neuron</t>
  </si>
  <si>
    <t>Serotonergic interneuron of embryonic/larval abdominal segments A1-A7. Its contralateral branch forms a complex pattern at the ventral border of the contralateral neuropil that extends along the lateral margins. Its ipsilateral branch seems to fasciculate with the respective neurite of the serotonergic abdominal medial neuron and follows a similar pathway, though extending a contralateral neurite about mid-level in the dorso-ventral and anterior-posterior axis. This neurite extends a short way anterior along a midline tract. It is born from the second-born ganglion mother cell of the 7-3 lineage (GMC 7-3b).</t>
  </si>
  <si>
    <t>Dittrich et al., 1997, Development 124(13): 2515--2525 (flybase.org/reports/FBrf0094581); Lundell and Hirsh, 1998, Development 125(3): 463--472 (flybase.org/reports/FBrf0100717); Isshiki et al., 2001, Cell 106(4): 511--521 (flybase.org/reports/FBrf0138252); Chen and Condron, 2008, Dev. Biol. 320(1): 30--38 (flybase.org/reports/FBrf0207378)</t>
  </si>
  <si>
    <t>MP3 precursor</t>
  </si>
  <si>
    <t>UMI precursor; Midline precursor 3 cell; unpaired median interneuron precursor; MP3 cell</t>
  </si>
  <si>
    <t>Midline precursor neuron of the ventral nerve cord posterior to MP1 precursor. It divides once to give rise to the interneurons H-cell and the H-cell sib.</t>
  </si>
  <si>
    <t>EW1 neuron</t>
  </si>
  <si>
    <t>larval serotonergic abdominal medial neuron</t>
  </si>
  <si>
    <t>Serotonergic interneuron of embryonic/larval abdominal segments A1-A7.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neurite of the serotonergic abdominal lateral neuron and follow a similar pathway, projecting anteriorly to form the majority of its branches in the next anterior segment. In the A7 abdominal segment, this neuron has a single primary neurite that extends centrally and forms extensive varicosities. It is born from the first-born ganglion mother cell of the 7-3 lineage (GMC 7-3a).</t>
  </si>
  <si>
    <t>RP5 motor neuron</t>
  </si>
  <si>
    <t>MNSNb/d-Is; RP5 neuron</t>
  </si>
  <si>
    <t>An RP motor neuron from neuroblast NB3-1 lineage. It is the most anteriorly located of the RP neurons. These neurons can be found in thoracic or abdominal segments (Schmid et al., 1999). RP5 innervates all ventral longitudinal (VL) and ventral oblique (VO) muscles except for VO3 and VO6 (muscles 6, 7, 12-16 and 30) in abdominal segments and all ventral longitudinal muscles (VL1-4; muscles 6, 7 ,12 and 13) in thoracic segments (Schmid et al., 1999, Mauss et al., 2009).</t>
  </si>
  <si>
    <t>larval abdominal 1 A01d-3 neuron</t>
  </si>
  <si>
    <t>Any larval A01d-3 neuron (FBbt:00047846) that has soma location some larval abdominal 1 neuromere (FBbt:00111033).</t>
  </si>
  <si>
    <t>RP4 motor neuron</t>
  </si>
  <si>
    <t>MN-VO1; RP4 neuron; MN14-Ib</t>
  </si>
  <si>
    <t>Motor neuron of the 3-1 lineage with a large cell body located adjacent to that of RP1. These neurons can be found in thoracic or abdominal segments (Schmid et al., 1999). RP4 innervates ventral oblique muscle 1 (muscle 14/14.1) in abdominal segments (Mauss et al., 2009).</t>
  </si>
  <si>
    <t>1-1I of thorax</t>
  </si>
  <si>
    <t>Ipsilaterally projecting interneuron developing from neuroblast NB1-1 of the thorax.</t>
  </si>
  <si>
    <t>larval abdominal 6 Wave neuron</t>
  </si>
  <si>
    <t>Larval Wave neuron with a cell body in abdominal neuromere 6. Its axons and dendrites project to abdominal neuromeres 5 to 7.</t>
  </si>
  <si>
    <t>larval abdominal 5 Wave neuron</t>
  </si>
  <si>
    <t>Larval Wave neuron with a cell body in abdominal neuromere 5. Its axons and dendrites project largely anteriorly to reach abdominal neuromeres 3 to 6.</t>
  </si>
  <si>
    <t>larval abdominal 2 Wave neuron</t>
  </si>
  <si>
    <t>Larval Wave neuron with a cell body in abdominal neuromere 2. Its axons and dendrites project anteriorly to the thoracic neuromeres and abdominal neuromeres 1 and 2.</t>
  </si>
  <si>
    <t>B-subperineurial glial cell of abdominal segment 5</t>
  </si>
  <si>
    <t>B subperineurial glial cell 5; B-subperineurial glial cell 5</t>
  </si>
  <si>
    <t>B-subperineurial glial cell located in abdominal segment 5.</t>
  </si>
  <si>
    <t>larval abdominal 4 Wave neuron</t>
  </si>
  <si>
    <t>Larval Wave neuron with a cell body in abdominal neuromere 4. Its axons and dendrites project largely anteriorly to reach abdominal neuromeres 2 to 5. Activation of this neuron induces forward locomotion.</t>
  </si>
  <si>
    <t>larval abdominal 1 Wave neuron</t>
  </si>
  <si>
    <t>Larval Wave neuron with a cell body in abdominal neuromere 1. Its axons and dendrites project anteriorly to the subesophageal ganglion and the thoracic neuromeres.</t>
  </si>
  <si>
    <t>B-subperineurial glial cell of abdominal segment 4</t>
  </si>
  <si>
    <t>B subperineurial glial cell 4; B-subperineurial glial cell 4</t>
  </si>
  <si>
    <t>B-subperineurial glial cell located in abdominal segment 4.</t>
  </si>
  <si>
    <t>larval metathoracic T08x neuron</t>
  </si>
  <si>
    <t>Any larval T08x neuron (FBbt:00111262) that has soma location some larval metathoracic neuromere (FBbt:00111032).</t>
  </si>
  <si>
    <t>5-3Icp</t>
  </si>
  <si>
    <t>Interneuron of the NB5-3 lineage that whose projections form a bundle that projects through the posterior commissure.</t>
  </si>
  <si>
    <t>5-3Ica</t>
  </si>
  <si>
    <t>Interneuron of the NB5-3 lineage that projects through the anterior commissure.</t>
  </si>
  <si>
    <t>5-6I of thorax</t>
  </si>
  <si>
    <t>Interneuron that is part of the lineage of the neuroblast NB5-6 of thorax.</t>
  </si>
  <si>
    <t>lateral cord subset neuron</t>
  </si>
  <si>
    <t>5-6I of abdomen</t>
  </si>
  <si>
    <t>Interneuron that is part of the lineage of the neuroblast NB5-6 of abdomen.</t>
  </si>
  <si>
    <t>larval abdominal 2 A29b neuron</t>
  </si>
  <si>
    <t>Any larval A29b neuron (FBbt:00111246) that has soma location some larval abdominal 2 neuromere (FBbt:00111034).</t>
  </si>
  <si>
    <t>B-subperineurial glial cell of abdominal segment 7</t>
  </si>
  <si>
    <t>B subperineurial glial cell 7; B-subperineurial glial cell 7</t>
  </si>
  <si>
    <t>B-subperineurial glial cell located in abdominal segment 7.</t>
  </si>
  <si>
    <t>larval mesothoracic T08x neuron</t>
  </si>
  <si>
    <t>Any larval T08x neuron (FBbt:00111262) that has soma location some larval mesothoracic neuromere (FBbt:00111031).</t>
  </si>
  <si>
    <t>B-subperineurial glial cell of abdominal segment 6</t>
  </si>
  <si>
    <t>B subperineurial glial cell 6; B-subperineurial glial cell 6</t>
  </si>
  <si>
    <t>B-subperineurial glial cell located in abdominal segment 6.</t>
  </si>
  <si>
    <t>larval prothoracic T08x neuron</t>
  </si>
  <si>
    <t>Any larval T08x neuron (FBbt:00111262) that has soma location some larval prothoracic neuromere (FBbt:00111030).</t>
  </si>
  <si>
    <t>larval metathoracic T05t neuron</t>
  </si>
  <si>
    <t>Any larval T05t neuron (FBbt:00111261) that has soma location some larval metathoracic neuromere (FBbt:00111032).</t>
  </si>
  <si>
    <t>B-subperineurial glial cell of abdominal segment 8</t>
  </si>
  <si>
    <t>B subperineurial glial cell 8; B-subperineurial glial cell 8</t>
  </si>
  <si>
    <t>B-subperineurial glial cell located in abdominal segment 8.</t>
  </si>
  <si>
    <t>larval A02e neuron</t>
  </si>
  <si>
    <t>EL neuron</t>
  </si>
  <si>
    <t>eve-expressing neuron; eve-lateral neuron; eve-positive lateral interneuron; ELC; EL interneuron; Eve+ lateral neuron</t>
  </si>
  <si>
    <t>Interneuron developing from the neuroblast lineage NB3-3 (Schmidt et al., 1997). It is located in the ventrolateral cortex of the ventral nerve cord. It projects ipsilaterally or contralaterally. In each thoracic segment, there is a cluster of around 5 cells, whereas each abdominal one has around 10.</t>
  </si>
  <si>
    <t>Higashijima et al., 1996, Development 122(2): 527--536 (flybase.org/reports/FBrf0086454); Schmidt et al., 1997, Dev. Biol. 189(2): 186--204 (flybase.org/reports/FBrf0098344)</t>
  </si>
  <si>
    <t>A-subperineurial glial cell of abdomen</t>
  </si>
  <si>
    <t>A-SPG; A subperineurial glial cell of abdomen; A glial cell of abdomen</t>
  </si>
  <si>
    <t>A-subperineurial glial cell located in the abdominal hemineuromeres. It lies at 20-30% along the medio-lateral axis.</t>
  </si>
  <si>
    <t>larval maxillary VPM neuron</t>
  </si>
  <si>
    <t>sVPMmx; OAN-g1</t>
  </si>
  <si>
    <t>Octopaminergic, bilaterally-paired neuron of the maxillary neuromere of the larval subesophageal ganglion. There is one of these neurons per hemisphere. They form a cluster with the VUM neuron cell bodies, but unlike the VUM neurons, the VPM neurons are restricted to the CNS (Selcho et al., 2014). The maxillary VPM neuron has its postsynaptic sites mainly in the subesophageal ganglia of both hemispheres and presynaptic sites in the contralateral mushroom body lower vertical lobe (V1 region), as well as the centroposterior lateral compartment (clamp) and the dorsoanterior and dorsoposterior compartments (superior medial protocerebrum) (Saumweber et al., 2018).</t>
  </si>
  <si>
    <t>Selcho et al., 2014, J. Comp. Neurol. 522(15): 3485--3500 (flybase.org/reports/FBrf0225919); Saumweber et al., 2018, Nat. Commun. 9(1): 1104 (flybase.org/reports/FBrf0238440)</t>
  </si>
  <si>
    <t>larval mandibular VPM neuron</t>
  </si>
  <si>
    <t>sVPMmd</t>
  </si>
  <si>
    <t>Octopaminergic, bilaterally-paired neuron of the mandibular neuromere of the larval subesophageal ganglion. There are two of these neurons per hemisphere. They form a cluster with the VUM neuron cell bodies, but unlike the VUM neurons, the VPM neurons are restricted to the CNS. The mandibular VPM neuron arborizes in the subesophageal ganglion, and also posteriorly into the thoracic and abdominal neuromeres (Selcho et al., 2014).</t>
  </si>
  <si>
    <t>larval labial VPM neuron</t>
  </si>
  <si>
    <t>sVPMlb</t>
  </si>
  <si>
    <t>Octopaminergic, bilaterally-paired neuron of the labial neuromere of the larval subesophageal ganglion. There is one of these neurons per hemisphere. They form a cluster with the VUM neuron cell bodies, but unlike the VUM neurons, the VPM neurons are restricted to the CNS. The labial VPM neuron arborizes in the subesophageal ganglion and various regions of the protocerebrum (Selcho et al., 2014).</t>
  </si>
  <si>
    <t>larval abdominal 1 A08m neuron</t>
  </si>
  <si>
    <t>Any larval A08m neuron (FBbt:00111252) that has soma location some larval abdominal 1 neuromere (FBbt:00111033).</t>
  </si>
  <si>
    <t>larval abdominal 3 down and back neuron</t>
  </si>
  <si>
    <t>A09l a3; DnB neuron a3</t>
  </si>
  <si>
    <t>Larval down and back neuron of abdominal neuromere 3. it is a somatosensory interneuron that arborizes in the nociceptive neuropil and receives input from all three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</si>
  <si>
    <t>larval abdominal 2 A08m neuron</t>
  </si>
  <si>
    <t>Any larval A08m neuron (FBbt:00111252) that has soma location some larval abdominal 2 neuromere (FBbt:00111034).</t>
  </si>
  <si>
    <t>larval abdominal 2 down and back neuron</t>
  </si>
  <si>
    <t>A09l a2; DnB neuron a2</t>
  </si>
  <si>
    <t>Larval down and back neuron of abdominal neuromere 2.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</si>
  <si>
    <t>larval abdominal 1 down and back neuron</t>
  </si>
  <si>
    <t>A09l a1; DnB neuron a1</t>
  </si>
  <si>
    <t>Larval down and back neuron of abdominal neuromere 1. it is a somatosensory interneuron that arborizes in the nociceptive neuropil and receives input from all three class IV dendritic arborizing neurons. The majority of its other input is also from sensory neurons and the majority of its output is to premotor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</si>
  <si>
    <t>MP1 precursor</t>
  </si>
  <si>
    <t>MP1 neurons; midline precursor 1 neuron</t>
  </si>
  <si>
    <t>Unpaired precursor cell that divides to produce two MP1 interneurons.</t>
  </si>
  <si>
    <t>Goodman et al., 1984, Science 225(4668): 1271--1279 (flybase.org/reports/FBrf0041721); Doe et al., 1988, Science 239: 170--175 (flybase.org/reports/FBrf0049007); Bossing and Technau, 1994, Development 120(7): 1895--1906 (flybase.org/reports/FBrf0072659); Bossing and Brand, 2006, Development 133(6): 1001--1012 (flybase.org/reports/FBrf0190277)</t>
  </si>
  <si>
    <t>VUM precursor</t>
  </si>
  <si>
    <t>MP4 cell; Midline precursor 4 cell</t>
  </si>
  <si>
    <t>Midline precursor neuroblast of the ventral nerve cord located posteriorly to MP3 precursor and anteriorly to MNB neuroblast. It gives rise to one motorneuron and one interneuron. There are 3 VUM precursors in each segment (MP4-6).</t>
  </si>
  <si>
    <t>Goodman and Doe, 1993, Bate, Martinez Arias, 1993: 1131--1206 (flybase.org/reports/FBrf0064795); Bossing and Technau, 1994, Development 120(7): 1895--1906 (flybase.org/reports/FBrf0072659); Campos-Ortega and Hartenstein, 1997, The embryonic development of Drosophila melanogaster. 2nd ed. (flybase.org/reports/FBrf0089570); Wheeler et al., 2006, Dev. Biol. 294(2): 509--524 (flybase.org/reports/FBrf0195284)</t>
  </si>
  <si>
    <t>larval feedforward local interneuron b</t>
  </si>
  <si>
    <t>iLNb</t>
  </si>
  <si>
    <t>Larval local interneuron that is presynaptic to Basin projection neurons and postsynaptic to mechanosensory chordotonal neurons. The 'b' subgroup either preferentially synapse with Basin-1 rather than Basin-2 neurons, or synapse with both equally.</t>
  </si>
  <si>
    <t>larval abdominal 2 A10l neuron</t>
  </si>
  <si>
    <t>Any larval A10l neuron (FBbt:00111255) that has soma location some larval abdominal 2 neuromere (FBbt:00111034).</t>
  </si>
  <si>
    <t>larval feedforward local interneuron a</t>
  </si>
  <si>
    <t>iLNa</t>
  </si>
  <si>
    <t>Larval local interneuron that is presynaptic to Basin projection neurons and postsynaptic to mechanosensory chordotonal neurons. The 'a' subgroup preferentially synapse with Basin-2 rather than Basin-1.</t>
  </si>
  <si>
    <t>larval A02m neuron</t>
  </si>
  <si>
    <t>larval pseudolooper-3 neuron</t>
  </si>
  <si>
    <t>Neuron of the larval abdominal neuromere that is part of lineage 2. Its soma is located in the ventral cortex region close to the medial abdominal neuromere. It is a small neuron, receiving input from the Basin-2, the chordotonal abdominal lch1 neuron and the abdominal dorsal multidendritic neuron ddaC. Its soma is more dorsally-located than that of the A02n neuron (Ohyama et al., 2015). This is a looper (PMSI) neuron (MacNamee et al., 2016).</t>
  </si>
  <si>
    <t>Ohyama et al., 2015, Nature 520(7549): 633--639 (flybase.org/reports/FBrf0228257); MacNamee et al., 2016, J. Comp. Neurol. 524(10): 1979--1998 (flybase.org/reports/FBrf0232247)</t>
  </si>
  <si>
    <t>larval abdominal 2 A10f neuron</t>
  </si>
  <si>
    <t>Any larval A10f neuron (FBbt:00111254) that has soma location some larval abdominal 2 neuromere (FBbt:00111034).</t>
  </si>
  <si>
    <t>larval abdominal 3 A10a neuron</t>
  </si>
  <si>
    <t>Larval A10a neuron that has its cell body in abdominal neuromere 3. It receives synaptic input from the class IV dendritic arborizing neurons vdaB and ddaC (Gerhard et al., 2017).</t>
  </si>
  <si>
    <t>larval abdominal 1 A08y neuron</t>
  </si>
  <si>
    <t>Any larval A08y neuron (FBbt:00111259) that has soma location some larval abdominal 1 neuromere (FBbt:00111033).</t>
  </si>
  <si>
    <t>larval abdominal 1 A10a neuron</t>
  </si>
  <si>
    <t>Larval A10a neuron that has its cell body in abdominal neuromere 1. It receives synaptic input from all three class IV dendritic arborizing neurons (Gerhard et al., 2017).</t>
  </si>
  <si>
    <t>lateral cord surface glial cell</t>
  </si>
  <si>
    <t>lateral cord surface glia</t>
  </si>
  <si>
    <t>lateral cord subset glial cell</t>
  </si>
  <si>
    <t>lateral cord subset glia</t>
  </si>
  <si>
    <t>larval abdominal 1 A19c neuron</t>
  </si>
  <si>
    <t>Any larval A19c neuron (FBbt:00111257) that has soma location some larval abdominal 1 neuromere (FBbt:00111033).</t>
  </si>
  <si>
    <t>larval abdominal 1 A23g neuron</t>
  </si>
  <si>
    <t>Any larval A23g neuron (FBbt:00111232) that has soma location some larval abdominal 1 neuromere (FBbt:00111033).</t>
  </si>
  <si>
    <t>larval abdominal 1 A12q neuron</t>
  </si>
  <si>
    <t>Any larval A12q neuron (FBbt:00111245) that has soma location some larval abdominal 1 neuromere (FBbt:00111033).</t>
  </si>
  <si>
    <t>larval abdominal 1 A12m neuron</t>
  </si>
  <si>
    <t>Any larval A12m neuron (FBbt:00111256) that has soma location some larval abdominal 1 neuromere (FBbt:00111033).</t>
  </si>
  <si>
    <t>B-subperineurial glial cell of abdominal segment 1</t>
  </si>
  <si>
    <t>B subperineurial glial cell 1; B-subperineurial glial cell 1</t>
  </si>
  <si>
    <t>B-subperineurial glial cell located in abdominal segment 1.</t>
  </si>
  <si>
    <t>larval abdominal 1 A08x neuron</t>
  </si>
  <si>
    <t>Any larval A08x neuron (FBbt:00111258) that has soma location some larval abdominal 1 neuromere (FBbt:00111033).</t>
  </si>
  <si>
    <t>larval serotonergic A2 neuron</t>
  </si>
  <si>
    <t>abdominal 2 ventro-lateral cluster neuron; vl; abdominal 2 ventro-lateral serotonergic neuron</t>
  </si>
  <si>
    <t>Paired ventrolateral serotonergic neuron of abdominal segment A2.</t>
  </si>
  <si>
    <t>A1-7 VO2 motor neuron</t>
  </si>
  <si>
    <t>RP1 motor neuron; MN30-Ib; abdominal RP1 neuron</t>
  </si>
  <si>
    <t>RP1 motor neuron of A1-7. Its dendritic arborization occupies the lateral domain of the ventral nerve cord neuropil. It exits the ventral nerve cord via the anterior root of the intersegmental nerve and innervates the VO2 muscle (Mauss et al., 2009) via type Ib boutons. Its cell body is located in the segment anterior to the muscle it innervates (Landgraf et al., 1997).</t>
  </si>
  <si>
    <t>Goodman and Doe, 1993, Bate, Martinez Arias, 1993: 1131--1206 (flybase.org/reports/FBrf0064795); Landgraf et al., 1997, J. Neurosci. 17(24): 9642--9655 (flybase.org/reports/FBrf0099344); Mauss et al., 2009, PLoS Biol. 7(9): e1000200 (flybase.org/reports/FBrf0208790)</t>
  </si>
  <si>
    <t>larval abdominal 7 aCC neuron</t>
  </si>
  <si>
    <t>abdominal 7 MN-DA1; abdominal 7 MN1-Ib</t>
  </si>
  <si>
    <t>Any aCC neuron (FBbt:00001447) that synapsed via type Ib bouton to some abdominal 7 dorsal acute muscle 1 (FBbt:00000910).</t>
  </si>
  <si>
    <t>larval abdominal 6 aCC neuron</t>
  </si>
  <si>
    <t>abdominal 6 MN1-Ib; abdominal 6 MN-DA1</t>
  </si>
  <si>
    <t>Any aCC neuron (FBbt:00001447) that synapsed via type Ib bouton to some abdominal 6 dorsal acute muscle 1 (FBbt:00000865).</t>
  </si>
  <si>
    <t>larval serotonergic T1 neuron</t>
  </si>
  <si>
    <t>Larval serotonergic thoracic neuron whose cell body is located close to the ventral midline in the first thoracic segment.</t>
  </si>
  <si>
    <t>Valles and White, 1988, J. Comp. Neurol. 268(3): 414--428 (flybase.org/reports/FBrf0048551); Huser et al., 2012, PLoS ONE 7(10): e47518 (flybase.org/reports/FBrf0219731)</t>
  </si>
  <si>
    <t>larval serotonergic T2 neuron</t>
  </si>
  <si>
    <t>larval serotonergic T2-1 and T2-2</t>
  </si>
  <si>
    <t>Larval serotonergic thoracic neuron whose cell body is located close to the ventral midline in the second thoracic segment.</t>
  </si>
  <si>
    <t>larval serotonergic T3 neuron</t>
  </si>
  <si>
    <t>larval serotonergic T3-1 and T3-2</t>
  </si>
  <si>
    <t>Larval serotonergic thoracic neuron whose cell body is located close to the ventral midline in the third thoracic segment.</t>
  </si>
  <si>
    <t>larval serotonergic A7 neuron</t>
  </si>
  <si>
    <t>abdominal 7 ventro-lateral serotonergic neuron; abdominal 7 ventro-lateral cluster neuron</t>
  </si>
  <si>
    <t>Paired ventrolateral serotonergic neuron of abdominal segment A7.</t>
  </si>
  <si>
    <t>medial neuron of the ventral midline</t>
  </si>
  <si>
    <t>Neuron of the medial region of the embryonic or larval ventral midline. Two neuron types can be distinguished: MP1 and MNB.</t>
  </si>
  <si>
    <t>ventral neuron of the ventral midline</t>
  </si>
  <si>
    <t>Neuron of the ventral region of the embryonic or larval ventral midline. Three neuron types can be distinguished: UMI, VUM interneuron and VUM motorneuron.</t>
  </si>
  <si>
    <t>medial channel glial cell 1</t>
  </si>
  <si>
    <t>M-CG1</t>
  </si>
  <si>
    <t>Anterior-most of the two medial channel glial cells.</t>
  </si>
  <si>
    <t>medial channel glial cell 2</t>
  </si>
  <si>
    <t>M-CG2</t>
  </si>
  <si>
    <t>Posterior-most of the two medial channel glial cells.</t>
  </si>
  <si>
    <t>larval abdominal 1 Handle-A neuron</t>
  </si>
  <si>
    <t>Handle-A interneuron of the ventral nerve cord with a cell body in larval abdominal 1 neuromere.</t>
  </si>
  <si>
    <t>larval abdominal 7 Basin-4 neuron</t>
  </si>
  <si>
    <t>Basin-4 interneuron of the ventral nerve cord with a cell body in larval abdominal 7 neuromere.</t>
  </si>
  <si>
    <t>larval abdominal 6 Basin-4 neuron</t>
  </si>
  <si>
    <t>Basin-4 interneuron of the ventral nerve cord with a cell body in larval abdominal 6 neuromere.</t>
  </si>
  <si>
    <t>larval abdominal 2 Handle-A neuron</t>
  </si>
  <si>
    <t>Handle-A interneuron of the ventral nerve cord with a cell body in larval abdominal 2 neuromere.</t>
  </si>
  <si>
    <t>larval serotonergic A8 neuron</t>
  </si>
  <si>
    <t>abdominal 8 ventro-lateral serotonergic neuron</t>
  </si>
  <si>
    <t>Ventrolateral serotonergic neuron of abdominal segment A8. There is one cell body per hemineuromere. The primary neuron bifurcates next to the cell body to send out a small ipsilateral primary branch, which innervates the A7 neuromere.</t>
  </si>
  <si>
    <t>Lundell and Hirsh, 1994, Dev. Biol. 165(2): 385--396 (flybase.org/reports/FBrf0076116); Lundell and Hirsh, 1998, Development 125(3): 463--472 (flybase.org/reports/FBrf0100717); Chen and Condron, 2008, Dev. Biol. 320(1): 30--38 (flybase.org/reports/FBrf0207378); Giang et al., 2011, J. Neurogenet. 25(1-2): 17--26 (flybase.org/reports/FBrf0213697)</t>
  </si>
  <si>
    <t>larval abdominal 2 Handle-B neuron</t>
  </si>
  <si>
    <t>Handle-B interneuron of the ventral nerve cord with a cell body in larval abdominal 2 neuromere.</t>
  </si>
  <si>
    <t>larval abdominal 1 Handle-B neuron</t>
  </si>
  <si>
    <t>Handle-B interneuron of the ventral nerve cord with a cell body in larval abdominal 1 neuromere.</t>
  </si>
  <si>
    <t>larval abdominal 4 Handle-A neuron</t>
  </si>
  <si>
    <t>Handle-A interneuron of the ventral nerve cord with a cell body in larval abdominal 4 neuromere.</t>
  </si>
  <si>
    <t>larval serotonergic A1 neuron</t>
  </si>
  <si>
    <t>abdominal 1 ventro-lateral serotonergic neuron</t>
  </si>
  <si>
    <t>Paired ventrolateral serotonergic neuron of abdominal segment A1.</t>
  </si>
  <si>
    <t>larval abdominal 3 Handle-A neuron</t>
  </si>
  <si>
    <t>Handle-A interneuron of the ventral nerve cord with a cell body in larval abdominal 3 neuromere.</t>
  </si>
  <si>
    <t>larval abdominal 4 Handle-B neuron</t>
  </si>
  <si>
    <t>Handle-B interneuron of the ventral nerve cord with a cell body in larval abdominal 4 neuromere.</t>
  </si>
  <si>
    <t>larval abdominal 3 Handle-B neuron</t>
  </si>
  <si>
    <t>Handle-B interneuron of the ventral nerve cord with a cell body in larval abdominal 3 neuromere.</t>
  </si>
  <si>
    <t>larval abdominal 2 ladder-f neuron</t>
  </si>
  <si>
    <t>Ladder-f interneuron of the ventral nerve cord with a cell body in larval abdominal 2 neuromere.</t>
  </si>
  <si>
    <t>larval abdominal 1 ladder-f neuron</t>
  </si>
  <si>
    <t>Ladder-f interneuron of the ventral nerve cord with a cell body in larval abdominal 1 neuromere.</t>
  </si>
  <si>
    <t>larval abdominal 5 ladder-d neuron</t>
  </si>
  <si>
    <t>Ladder-d interneuron of the ventral nerve cord with a cell body in larval abdominal 5 neuromere.</t>
  </si>
  <si>
    <t>apterous-expressing neuron of the lateral cluster of the thorax</t>
  </si>
  <si>
    <t>ap cluster; Ap cluster neuron; Ap cluster</t>
  </si>
  <si>
    <t>Interneuron of the lineage of the neuroblast NB5-6 of the thorax that is part of a cluster of four neurons. It is only found in the thoracic hemisegments and expresses apterous (FBgn0000099). There are four different neuron types: Ap1, Ap2, Ap3 and Ap4. These neurons are born at the end of the lineage of NB5-6T, with Ap1 generated at stage 13, followed by Ap2, Ap3 and Ap4. The 4 neurons are generated directly from the neuroblast, without a ganglion mother cell intermediate.</t>
  </si>
  <si>
    <t>Lundgren et al., 1995, Development 121(6): 1769--1773 (flybase.org/reports/FBrf0078940); Baumgardt et al., 2007, PLoS Biol. 5(2): e37 (flybase.org/reports/FBrf0195184); Baumgardt et al., 2009, Cell 139(5): 969--982 (flybase.org/reports/FBrf0209429)</t>
  </si>
  <si>
    <t>medial segmental nerve root glial cell</t>
  </si>
  <si>
    <t>Segmental nerve root glial cell located along the longitudinal axis of the segmental nerve. There are two cells in this class that lie in tandem covering several branches of the nerve root and, unlike the medial intersegmental nerve glial cells, are slightly detached from the neuropil proper.</t>
  </si>
  <si>
    <t>thoracic medial-most cell body glial cell 1</t>
  </si>
  <si>
    <t>thoracic medial-most cortex-associated glial cell 1; thoracic medial-most cortex glial cell 1; thoracic medial most cell body glial cell; thoracic VUM-support cell; thoracic VUM support cell; thoracic MM-CBG</t>
  </si>
  <si>
    <t>Anterior-most of the two thoracic medial-most cell body glial cells.</t>
  </si>
  <si>
    <t>larval abdominal 1 Basin-4 neuron</t>
  </si>
  <si>
    <t>Basin-4 interneuron of the ventral nerve cord with a cell body in larval abdominal 1 neuromere. It receives input from the class IV dendritic arborizing neurons vdaa and vdaB (Gerhard et al., 2017).</t>
  </si>
  <si>
    <t>Ohyama et al., 2015, Nature 520(7549): 633--639 (flybase.org/reports/FBrf0228257); Jovanic et al., 2016, Cell 167(3): 858--870.e19 (flybase.org/reports/FBrf0233796); Gerhard et al., 2017, eLife 6: e29089 (flybase.org/reports/FBrf0237057)</t>
  </si>
  <si>
    <t>larval abdominal 4 Basin-3 neuron</t>
  </si>
  <si>
    <t>Basin-3 interneuron of the ventral nerve cord with a cell body in larval abdominal 4 neuromere.</t>
  </si>
  <si>
    <t>thoracic medial-most cell body glial cell 2</t>
  </si>
  <si>
    <t>thoracic medial-most cortex glial cell 2; thoracic MM-CBG; thoracic VUM-support cell; thoracic medial-most cortex-associated glial cell 2; thoracic VUM support cell; thoracic medial most cell body glial cell</t>
  </si>
  <si>
    <t>Posterior-most of the two thoracic medial-most cell body glial cells.</t>
  </si>
  <si>
    <t>abdominal 6 ventral intersegmental neuron</t>
  </si>
  <si>
    <t>Any abdominal ventral intersegmental neuron (FBbt:00002295) that is part of some larval abdominal segment 6 (FBbt:00001753).</t>
  </si>
  <si>
    <t>larval abdominal 5 Basin-4 neuron</t>
  </si>
  <si>
    <t>Basin-4 interneuron of the ventral nerve cord with a cell body in larval abdominal 5 neuromere.</t>
  </si>
  <si>
    <t>abdominal 7 ventral intersegmental neuron</t>
  </si>
  <si>
    <t>Any abdominal ventral intersegmental neuron (FBbt:00002295) that is part of some larval abdominal segment 7 (FBbt:00001754).</t>
  </si>
  <si>
    <t>larval abdominal 4 Basin-4 neuron</t>
  </si>
  <si>
    <t>Basin-4 interneuron of the ventral nerve cord with a cell body in larval abdominal 4 neuromere.</t>
  </si>
  <si>
    <t>larval abdominal 3 Basin-4 neuron</t>
  </si>
  <si>
    <t>Basin-4 interneuron of the ventral nerve cord with a cell body in larval abdominal 3 neuromere. It receives input from the class IV dendritic arborizing neurons vdaa and vdaB (Gerhard et al., 2017).</t>
  </si>
  <si>
    <t>abdominal 5 ventral intersegmental neuron</t>
  </si>
  <si>
    <t>Any abdominal ventral intersegmental neuron (FBbt:00002295) that is part of some larval abdominal segment 5 (FBbt:00001752).</t>
  </si>
  <si>
    <t>larval abdominal 2 Basin-4 neuron</t>
  </si>
  <si>
    <t>Basin-4 interneuron of the ventral nerve cord with a cell body in larval abdominal 2 neuromere.</t>
  </si>
  <si>
    <t>larval abdominal 1 ladder-e neuron</t>
  </si>
  <si>
    <t>Ladder-e interneuron of the ventral nerve cord with a cell body in larval abdominal 1 neuromere.</t>
  </si>
  <si>
    <t>larval abdominal 3 ladder-d neuron</t>
  </si>
  <si>
    <t>Ladder-d interneuron of the ventral nerve cord with a cell body in larval abdominal 3 neuromere.</t>
  </si>
  <si>
    <t>larval abdominal 4 ladder-d neuron</t>
  </si>
  <si>
    <t>Ladder-d interneuron of the ventral nerve cord with a cell body in larval abdominal 4 neuromere.</t>
  </si>
  <si>
    <t>larval abdominal 2 ladder-d neuron</t>
  </si>
  <si>
    <t>Ladder-d interneuron of the ventral nerve cord with a cell body in larval abdominal 2 neuromere.</t>
  </si>
  <si>
    <t>larval abdominal 1 ladder-d neuron</t>
  </si>
  <si>
    <t>Ladder-d interneuron of the ventral nerve cord with a cell body in larval abdominal 1 neuromere.</t>
  </si>
  <si>
    <t>anterior VUM precursor</t>
  </si>
  <si>
    <t>MP6 cell</t>
  </si>
  <si>
    <t>The most anterior of the three VUM precursors, located posteriorly to the MP3 precursor.</t>
  </si>
  <si>
    <t>Campos-Ortega and Hartenstein, 1997, The embryonic development of Drosophila melanogaster. 2nd ed. (flybase.org/reports/FBrf0089570)</t>
  </si>
  <si>
    <t>mid VUM precursor</t>
  </si>
  <si>
    <t>MP5 cell</t>
  </si>
  <si>
    <t>The middle of the three VUM precursors, located in between the anterior and posterior VUM precursors.</t>
  </si>
  <si>
    <t>lateral intersegmental nerve root glial cell</t>
  </si>
  <si>
    <t>intersegmental glial cell 2; ISG2; L-ISNG</t>
  </si>
  <si>
    <t>Intersegmental nerve root glia that is located near the exit point of the nerve root.</t>
  </si>
  <si>
    <t>Klambt and Goodman, 1991, Glia 4: 205--213 (flybase.org/reports/FBrf0054242); Ito et al., 1995, Rouxs Arch. Dev. Biol. 204(5): 284--307 (flybase.org/reports/FBrf0082171); Hartenstein, 2011, Glia 59(9): 1237--1252 (flybase.org/reports/FBrf0214261)</t>
  </si>
  <si>
    <t>medial intersegmental nerve root glial cell</t>
  </si>
  <si>
    <t>M-ISNG; segment boundary cell; intersegmental glial cell 1; SBC; ISG1</t>
  </si>
  <si>
    <t>Intersegmental nerve glial cell that is located at the medial end of the anterior branch of the intersegmental nerve root, above the lateral neuropil. It contacts both the perineurium and the cortex/neuropil interface and its position is slightly lateral to the B-SPG. It sends a process laterally along the nerve root, showing a characteristic triangular morphology.</t>
  </si>
  <si>
    <t>Klambt and Goodman, 1991, Glia 4: 205--213 (flybase.org/reports/FBrf0054242); Goodman and Doe, 1993, Bate, Martinez Arias, 1993: 1131--1206 (flybase.org/reports/FBrf0064795); Ito et al., 1995, Rouxs Arch. Dev. Biol. 204(5): 284--307 (flybase.org/reports/FBrf0082171); Hartenstein, 2011, Glia 59(9): 1237--1252 (flybase.org/reports/FBrf0214261)</t>
  </si>
  <si>
    <t>larval abdominal 3 A02m neuron</t>
  </si>
  <si>
    <t>A02m a2</t>
  </si>
  <si>
    <t>Any larval A02m neuron (FBbt:00111248) that has soma location some larval abdominal 3 neuromere (FBbt:00111035).</t>
  </si>
  <si>
    <t>larval abdominal 1 A02m neuron</t>
  </si>
  <si>
    <t>A02m a1</t>
  </si>
  <si>
    <t>Any larval A02m neuron (FBbt:00111248) that has soma location some larval abdominal 1 neuromere (FBbt:00111033).</t>
  </si>
  <si>
    <t>larval serotonergic A3 neuron</t>
  </si>
  <si>
    <t>abdominal 3 ventro-lateral serotonergic neuron; abdominal 3 ventro-lateral cluster neuron</t>
  </si>
  <si>
    <t>Paired ventrolateral serotonin neuron of abdominal segment A3.</t>
  </si>
  <si>
    <t>larval abdominal 1 Basin-1 neuron</t>
  </si>
  <si>
    <t>Basin-1 interneuron of the ventral nerve cord with a cell body in larval abdominal 1 neuromere.</t>
  </si>
  <si>
    <t>larval serotonergic A4 neuron</t>
  </si>
  <si>
    <t>abdominal 4 ventro-lateral cluster neuron; abdominal 4 ventro-lateral serotonergic neuron</t>
  </si>
  <si>
    <t>Paired ventrolateral serotonergic neuron of abdominal segment A4.</t>
  </si>
  <si>
    <t>larval serotonergic A5 neuron</t>
  </si>
  <si>
    <t>abdominal 5 ventro-lateral serotonergic neuron; abdominal 5 ventro-lateral cluster neuron</t>
  </si>
  <si>
    <t>Paired ventrolateral serotonergic neuron of abdominal segment A5.</t>
  </si>
  <si>
    <t>larval serotonergic A6 neuron</t>
  </si>
  <si>
    <t>abdominal 6 ventro-lateral cluster neuron; abdominal 6 ventro-lateral serotonergic neuron</t>
  </si>
  <si>
    <t>Paired ventrolateral serotonergic neuron of abdominal segment A6.</t>
  </si>
  <si>
    <t>A-subperineurial glial cell of optic lobe</t>
  </si>
  <si>
    <t>A subperineurial glial cell of optic lobe</t>
  </si>
  <si>
    <t>A-subperineurial glial cell of optic lobe of the larva.</t>
  </si>
  <si>
    <t>A-subperineurial glial cell of thoracic segment 2</t>
  </si>
  <si>
    <t>A subperineurial glial cell of thoracic segment 2</t>
  </si>
  <si>
    <t>A-subperineurial glial cell located in thoracic segment 2.</t>
  </si>
  <si>
    <t>A-subperineurial glial cell of thoracic segment 1</t>
  </si>
  <si>
    <t>A subperineurial glial cell of thoracic segment 1</t>
  </si>
  <si>
    <t>A-subperineurial glial cell located in thoracic segment 1.</t>
  </si>
  <si>
    <t>abdominal 1 lateral ipsisegmental neuron</t>
  </si>
  <si>
    <t>Any abdominal lateral ipsisegmental neuron (FBbt:00002287) that is part of some larval abdominal segment 1 (FBbt:00001748).</t>
  </si>
  <si>
    <t>abdominal 2 lateral ipsisegmental neuron</t>
  </si>
  <si>
    <t>Any abdominal lateral ipsisegmental neuron (FBbt:00002287) that is part of some larval abdominal segment 2 (FBbt:00001749).</t>
  </si>
  <si>
    <t>A1-7 VO1 motor neuron</t>
  </si>
  <si>
    <t>RP4 motor neuron; abdominal RP4 neuron; MN14-Ib</t>
  </si>
  <si>
    <t>RP4 neuron that innervates the internal ventral oblique muscle 1 (muscle 14) of segments A1-7. Its dendritic arborization occupies the intermediate domain of the ventral nerve cord neuropil. It exits the ventral nerve cord via the anterior root of the intersegmental nerve fasciculating with the ISNb nerve branch. Its soma is located in the segment anterior to the muscle it innervates (Landgraf et al., 1997).</t>
  </si>
  <si>
    <t>Sink and Whitington, 1991, Development 112(1): 307--316 (flybase.org/reports/FBrf0053781); Goodman and Doe, 1993, Bate, Martinez Arias, 1993: 1131--1206 (flybase.org/reports/FBrf0064795); Landgraf et al., 1997, J. Neurosci. 17(24): 9642--9655 (flybase.org/reports/FBrf0099344)</t>
  </si>
  <si>
    <t>5-6Icp of abdomen</t>
  </si>
  <si>
    <t>Contralateral interneuron of the lineage of the neuroblast NB5-6 of the thorax that projects through the posterior commissure.</t>
  </si>
  <si>
    <t>5-6Ica of abdomen</t>
  </si>
  <si>
    <t>Contralateral interneuron of the lineage of the neuroblast NB5-6 of the abdomen that projects through the anterior commissure.</t>
  </si>
  <si>
    <t>5-6Ii of thorax</t>
  </si>
  <si>
    <t>Ipsilateral interneuron of the lineage of the neuroblast NB5-6 of the thorax.</t>
  </si>
  <si>
    <t>5-6Icp of thorax</t>
  </si>
  <si>
    <t>A1-7 dorsal motor neuron</t>
  </si>
  <si>
    <t>RP2 motor neuron; abdominal RP2 neuron; MNISN-Is</t>
  </si>
  <si>
    <t>Motor neuron that innervates the internal dorsal acute, dorsal oblique and LL1 muscles of larval abdominal segments A1 to A7 (Landgraf et al., 2003). It exits the ventral nerve cord via the posterior root of the intersegmental nerve. It is one of the common exciters of the A1-7 muscles, innervating the dorsal and LL1 muscles via type Is boutons (Mauss et al., 2009). It receives input from the ipsilateral larval A02b, A27j, A03a1 and A27e and contralateral larval A08e1-3 local neurons and A31k neuron.</t>
  </si>
  <si>
    <t>Goodman and Doe, 1993, Bate, Martinez Arias, 1993: 1131--1206 (flybase.org/reports/FBrf0064795); Landgraf et al., 2003, Dev. Biol. 260(1): 207--225 (flybase.org/reports/FBrf0160715); Mauss et al., 2009, PLoS Biol. 7(9): e1000200 (flybase.org/reports/FBrf0208790); Heckscher et al., 2015, Neuron 88(2): 314--329 (flybase.org/reports/FBrf0229965); Schneider-Mizell et al., 2016, eLife 5: e12059 (flybase.org/reports/FBrf0231328)</t>
  </si>
  <si>
    <t>5-6Ii of abdomen</t>
  </si>
  <si>
    <t>Ipsilateral interneuron of the lineage of the neuroblast NB5-6 of the abdomen.</t>
  </si>
  <si>
    <t>larval abdominal 1 Ladder-a neuron</t>
  </si>
  <si>
    <t>Ladder-a interneuron of the ventral nerve cord with a cell body in larval abdominal 1 neuromere.</t>
  </si>
  <si>
    <t>longitudinal glial cell</t>
  </si>
  <si>
    <t>LG</t>
  </si>
  <si>
    <t>Interface glial cell that is derived from a longitudinal glioblast. At early stages it is found above a longitudinal connective. At stage 14, 5 or 6 of the 7 or 8 interface glia (IG) cells above the longitudinal connectives (per hemineuromere) are longitudinal glia. At late embryonic stage 16 (close to the end of the migration of the lateral and ventral IG) and first instar, longitudinal glia comprises the two lateral, the one ventral and 2 to 3 of the 5 dorsal IG cells.</t>
  </si>
  <si>
    <t>Klambt and Goodman, 1991, Glia 4: 205--213 (flybase.org/reports/FBrf0054242); Menne and Klambt, 1994, Development 120(1): 123--133 (flybase.org/reports/FBrf0068598); Ito et al., 1995, Rouxs Arch. Dev. Biol. 204(5): 284--307 (flybase.org/reports/FBrf0082171)</t>
  </si>
  <si>
    <t>larval abdominal 1 cholinergic lateral interneuron 2</t>
  </si>
  <si>
    <t>Any larval cholinergic lateral interneuron 2 (FBbt:00048412) that has soma location some larval abdominal 1 neuromere (FBbt:00111033).</t>
  </si>
  <si>
    <t>posterior VUM precursor</t>
  </si>
  <si>
    <t>The most posterior of the three VUM precursors, located anteriorly to the MNB neuroblast.</t>
  </si>
  <si>
    <t>larval abdominal 6 cholinergic lateral interneuron 1</t>
  </si>
  <si>
    <t>Any larval cholinergic lateral interneuron 1 (FBbt:00048411) that has soma location some larval abdominal 6 neuromere (FBbt:00111038).</t>
  </si>
  <si>
    <t>larval abdominal 5 cholinergic lateral interneuron 1</t>
  </si>
  <si>
    <t>Any larval cholinergic lateral interneuron 1 (FBbt:00048411) that has soma location some larval abdominal 5 neuromere (FBbt:00111037).</t>
  </si>
  <si>
    <t>larval abdominal 4 cholinergic lateral interneuron 1</t>
  </si>
  <si>
    <t>Any larval cholinergic lateral interneuron 1 (FBbt:00048411) that has soma location some larval abdominal 4 neuromere (FBbt:00111036).</t>
  </si>
  <si>
    <t>larval abdominal 3 cholinergic lateral interneuron 1</t>
  </si>
  <si>
    <t>Any larval cholinergic lateral interneuron 1 (FBbt:00048411) that has soma location some larval abdominal 3 neuromere (FBbt:00111035).</t>
  </si>
  <si>
    <t>larval abdominal 2 cholinergic lateral interneuron 1</t>
  </si>
  <si>
    <t>Any larval cholinergic lateral interneuron 1 (FBbt:00048411) that has soma location some larval abdominal 2 neuromere (FBbt:00111034).</t>
  </si>
  <si>
    <t>larval abdominal 1 cholinergic lateral interneuron 1</t>
  </si>
  <si>
    <t>Any larval cholinergic lateral interneuron 1 (FBbt:00048411) that has soma location some larval abdominal 1 neuromere (FBbt:00111033).</t>
  </si>
  <si>
    <t>A1-7 VL3/4 motor neuron</t>
  </si>
  <si>
    <t>abdominal RP3 neuron; RP3 motor neuron; MN-VL3/4; MN6/7-Ib</t>
  </si>
  <si>
    <t>RP3 motor neuron that innervates the internal ventral longitudinal muscles 3 and 4 of A1-7. Its dendritic arborization occupies the intermediate domain of the ventral nerve cord neuropil. It exits the ventral nerve cord via the anterior root of the intersegmental nerve fasciculating with the ISNb nerve branch. Its soma is located in the segment anterior to the muscle it innervates (Landgraf et al., 1997).</t>
  </si>
  <si>
    <t>5-6Ica of thorax</t>
  </si>
  <si>
    <t>Contralateral interneuron of the lineage of the neuroblast NB5-6 of the thorax that projects through the anterior commissure.</t>
  </si>
  <si>
    <t>larval CCAP A1-A4 EN abdominal neuron</t>
  </si>
  <si>
    <t>EN a1-a4</t>
  </si>
  <si>
    <t>Larval neuron that expresses CCAP (Crustacean cardioactive peptide) (FBgn0039007), Bursicon (FBgn0038901), Partner of Bursicon (FBgn0264810) and Myoinhibiting peptide precursor (FBgn0036713) of the abdominal neuromere. The primary neurite extends to the midline and arborizes dorsally between the DM and VM fascicles, up to the segment borders. It then projects mediodorsally and dorsolaterally until it leaves the central neuropil. It then diverges in the dorsal cortex, projects via the segmental nerve to the periphery and forms type III terminals on body wall ventral longitudinal muscles 1 and 2.</t>
  </si>
  <si>
    <t>larval CCAP A1-A4 IN abdominal neuron</t>
  </si>
  <si>
    <t>IN a1-a4</t>
  </si>
  <si>
    <t>Larval neuron that expresses CCAP (Crustacean cardioactive peptide) (FBgn0039007), Bursicon (FBgn0038901), Partner of Bursicon (FBgn0264810) and Myoinhibiting peptide precursor (FBgn0036713) of the abdominal 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</si>
  <si>
    <t>Karsai et al., 2013, Front. Neural Circuits 7: 127 (flybase.org/reports/FBrf0222256)</t>
  </si>
  <si>
    <t>larval abdominal 3 Basin-3 neuron</t>
  </si>
  <si>
    <t>Basin-3 interneuron of the ventral nerve cord with a cell body in larval abdominal 3 neuromere.</t>
  </si>
  <si>
    <t>larval abdominal 2 Basin-3 neuron</t>
  </si>
  <si>
    <t>Basin-3 interneuron of the ventral nerve cord with a cell body in larval abdominal 2 neuromere.</t>
  </si>
  <si>
    <t>larval abdominal 1 Basin-3 neuron</t>
  </si>
  <si>
    <t>Basin-3 interneuron of the ventral nerve cord with a cell body in larval abdominal 1 neuromere.</t>
  </si>
  <si>
    <t>larval abdominal 1 Ladder-c neuron</t>
  </si>
  <si>
    <t>Ladder-c interneuron of the ventral nerve cord with a cell body in larval abdominal 1 neuromere.</t>
  </si>
  <si>
    <t>larval CCAP T3 EN thoracic neuron</t>
  </si>
  <si>
    <t>EN T3</t>
  </si>
  <si>
    <t>Larval neuron that expresses CCAP (Crustacean cardioactive peptide) (FBgn0039007) and Bursicon (FBgn0038901) of the metathoracic neuromere. The primary neurite extends to the midline and arborizes dorsally between the DM and VM fascicles, up to the segment borders. It then projects mediodorsally and dorsolaterally until it leaves the central neuropil. It then diverges in the dorsal cortex, projects via the segmental nerve to the periphery and forms type III terminals on body wall ventral longitudinal muscles 1 and 2.</t>
  </si>
  <si>
    <t>larval abdominal 1 Ladder-b neuron</t>
  </si>
  <si>
    <t>Ladder-b interneuron of the ventral nerve cord with a cell body in larval abdominal 1 neuromere.</t>
  </si>
  <si>
    <t>larval serotonergic A4 neuron 1</t>
  </si>
  <si>
    <t>larval serotonergic A4 EW1 neuron; larval serotonergic A4-1 neuron; larval serotonergic medial A4 neuron</t>
  </si>
  <si>
    <t>Larval serotonergic A4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A4-2 neuron, projecting anteriorly to form the majority of its branches in the next anterior segment (A3).</t>
  </si>
  <si>
    <t>Chen and Condron, 2008, Dev. Biol. 320(1): 30--38 (flybase.org/reports/FBrf0207378); Huser et al., 2012, PLoS ONE 7(10): e47518 (flybase.org/reports/FBrf0219731)</t>
  </si>
  <si>
    <t>larval serotonergic A3 neuron 2</t>
  </si>
  <si>
    <t>larval serotonergic A3 EW2 neuron; larval serotonergic lateral A3 neuron; larval serotonergic A3-2 neuron</t>
  </si>
  <si>
    <t>Larval serotonergic A3 neuron with its cell body located more laterally. Its contralateral branch forms a complex pattern at the ventral border of the contralateral neuropil that extends along the lateral margins. Its ipsilateral branch seems to fasciculate with the respective neurite of A3-1, though extending a contralateral neurite about mid-level in the dorso-ventral and anterior-posterior axis. This neurite extends a short way anterior along a midline tract.</t>
  </si>
  <si>
    <t>larval serotonergic A5 neuron 2</t>
  </si>
  <si>
    <t>larval serotonergic A5 EW2 neuron; larval serotonergic A5-2 neuron; larval serotonergic lateral A5 neuron</t>
  </si>
  <si>
    <t>Larval serotonergic A5 neuron with its cell body located more laterally. Its contralateral branch forms a complex pattern at the ventral border of the contralateral neuropil that extends along the lateral margins. Its ipsilateral branch seems to fasciculate with the respective neurite of A5-1, though extending a contralateral neurite about mid-level in the dorso-ventral and anterior-posterior axis. This neurite extends a short way anterior along a midline tract.</t>
  </si>
  <si>
    <t>larval serotonergic A4 neuron 2</t>
  </si>
  <si>
    <t>larval serotonergic A4-2 neuron; larval serotonergic lateral A4 neuron; larval serotonergic A4 EW2 neuron</t>
  </si>
  <si>
    <t>Larval serotonergic A4 neuron with its cell body located more laterally. Its contralateral branch forms a complex pattern at the ventral border of the contralateral neuropil that extends along the lateral margins. Its ipsilateral branch seems to fasciculate with the respective neurite of A4-1, though extending a contralateral neurite about mid-level in the dorso-ventral and anterior-posterior axis. This neurite extends a short way anterior along a midline tract.</t>
  </si>
  <si>
    <t>larval serotonergic A1 neuron 2</t>
  </si>
  <si>
    <t>larval serotonergic A1-2 neuron; larval serotonergic A1 EW2 neuron; larval serotonergic lateral A1 neuron</t>
  </si>
  <si>
    <t>Larval serotonergic A1 neuron with its cell body located more laterally. Its contralateral branch forms a complex pattern at the ventral border of the contralateral neuropil that extends along the lateral margins. Its ipsilateral branch seems to fasciculate with the respective neurite of A1-1, though extending a contralateral neurite about mid-level in the dorso-ventral and anterior-posterior axis. This neurite extends a short way anterior along a midline tract.</t>
  </si>
  <si>
    <t>larval abdominal 5 aCC neuron</t>
  </si>
  <si>
    <t>abdominal 5 MN-DA1; abdominal 5 MN1-Ib</t>
  </si>
  <si>
    <t>Any aCC neuron (FBbt:00001447) that synapsed via type Ib bouton to some abdominal 5 dorsal acute muscle 1 (FBbt:00000820).</t>
  </si>
  <si>
    <t>larval serotonergic A1 neuron 1</t>
  </si>
  <si>
    <t>larval serotonergic A1-1 neuron; larval serotonergic medial A1 neuron; larval serotonergic A1 EW1 neuron</t>
  </si>
  <si>
    <t>Larval serotonergic A1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A1-2 neuron, projecting anteriorly to form the majority of its branches in the next anterior segment (T3).</t>
  </si>
  <si>
    <t>larval abdominal 4 aCC neuron</t>
  </si>
  <si>
    <t>abdominal 4 MN1-Ib; abdominal 4 MN-DA1</t>
  </si>
  <si>
    <t>Any aCC neuron (FBbt:00001447) that synapsed via type Ib bouton to some abdominal 4 dorsal acute muscle 1 (FBbt:00000775).</t>
  </si>
  <si>
    <t>larval abdominal 2 aCC neuron</t>
  </si>
  <si>
    <t>abdominal 2 MN1-Ib; abdominal 2 MN-DA1</t>
  </si>
  <si>
    <t>Any aCC neuron (FBbt:00001447) that synapsed via type Ib bouton to some abdominal 2 dorsal acute muscle 1 (FBbt:00000685).</t>
  </si>
  <si>
    <t>larval serotonergic A3 neuron 1</t>
  </si>
  <si>
    <t>larval serotonergic A3-1 neuron; larval serotonergic medial A3 neuron; larval serotonergic A3 EW1 neuron</t>
  </si>
  <si>
    <t>Larval serotonergic A3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A3-2 neuron, projecting anteriorly to form the majority of its branches in the next anterior segment (A2).</t>
  </si>
  <si>
    <t>larval abdominal 3 aCC neuron</t>
  </si>
  <si>
    <t>abdominal 3 MN-DA1; abdominal 3 MN1-Ib</t>
  </si>
  <si>
    <t>Any aCC neuron (FBbt:00001447) that synapsed via type Ib bouton to some abdominal 3 dorsal acute muscle 1 (FBbt:00000730).</t>
  </si>
  <si>
    <t>larval abdominal 1 aCC neuron</t>
  </si>
  <si>
    <t>abdominal 1 MN1-Ib; abdominal 1 MN-DA1</t>
  </si>
  <si>
    <t>Any aCC neuron (FBbt:00001447) that synapsed via type Ib bouton to some abdominal 1 dorsal acute muscle 1 (FBbt:00000640).</t>
  </si>
  <si>
    <t>larval serotonergic A2 neuron 2</t>
  </si>
  <si>
    <t>larval serotonergic lateral A2 neuron; larval serotonergic A2-2 neuron; larval serotonergic A2 EW2 neuron</t>
  </si>
  <si>
    <t>Larval serotonergic A2 neuron with its cell body located more laterally. Its contralateral branch forms a complex pattern at the ventral border of the contralateral neuropil that extends along the lateral margins. Its ipsilateral branch seems to fasciculate with the respective neurite of A2-1, though extending a contralateral neurite about mid-level in the dorso-ventral and anterior-posterior axis. This neurite extends a short way anterior along a midline tract.</t>
  </si>
  <si>
    <t>larval serotonergic A2 neuron 1</t>
  </si>
  <si>
    <t>larval serotonergic medial A2 neuron; larval serotonergic A2 EW1 neuron; larval serotonergic A2-1 neuron</t>
  </si>
  <si>
    <t>Larval serotonergic A2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A2-2 neuron, projecting anteriorly to form the majority of its branches in the next anterior segment (A1).</t>
  </si>
  <si>
    <t>larval abdominal 6 cholinergic lateral interneuron 2</t>
  </si>
  <si>
    <t>Any larval cholinergic lateral interneuron 2 (FBbt:00048412) that has soma location some larval abdominal 6 neuromere (FBbt:00111038).</t>
  </si>
  <si>
    <t>larval abdominal 5 cholinergic lateral interneuron 2</t>
  </si>
  <si>
    <t>Any larval cholinergic lateral interneuron 2 (FBbt:00048412) that has soma location some larval abdominal 5 neuromere (FBbt:00111037).</t>
  </si>
  <si>
    <t>larval CCAP T3 IN thoracic neuron</t>
  </si>
  <si>
    <t>IN T3</t>
  </si>
  <si>
    <t>Larval neuron that expresses CCAP (Crustacean cardioactive peptide) (FBgn0039007) and Bursicon (FBgn0038901) of the metathoracic 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</si>
  <si>
    <t>larval abdominal 4 cholinergic lateral interneuron 2</t>
  </si>
  <si>
    <t>Any larval cholinergic lateral interneuron 2 (FBbt:00048412) that has soma location some larval abdominal 4 neuromere (FBbt:00111036).</t>
  </si>
  <si>
    <t>larval abdominal 3 cholinergic lateral interneuron 2</t>
  </si>
  <si>
    <t>Any larval cholinergic lateral interneuron 2 (FBbt:00048412) that has soma location some larval abdominal 3 neuromere (FBbt:00111035).</t>
  </si>
  <si>
    <t>larval abdominal 2 cholinergic lateral interneuron 2</t>
  </si>
  <si>
    <t>Any larval cholinergic lateral interneuron 2 (FBbt:00048412) that has soma location some larval abdominal 2 neuromere (FBbt:00111034).</t>
  </si>
  <si>
    <t>larval A08e3 local neuron</t>
  </si>
  <si>
    <t>Even-skipped lateral neuron of the larval abdominal neuromere that is part of lineage 8. In each abdominal segment, the primary neurite extends into the neuromere crossing the VL fascicle and projecting dorsally across the CI fascicle. It forms one arbor that bifurcates and extends in a circular manner. One neurite crosses the midline in between the DM and VM fascicles, extends dorsally, to just dorsal to the CI fascicle, and forms an arbor that extends anteriorly in a circular manner. It is synapsed by and synapses onto the contralateral A08e3 and A08e1. It receives input from the ipsilateral proprioceptor neurons vbd and lesA, and the GDL neuron. It outputs to the contralateral RP2, U1, U2, and dorsal motorneurons, A06l neuron, and contralateral SA1 and SA3 interneurons. There is one neuron per segment.</t>
  </si>
  <si>
    <t>Heckscher et al., 2015, Neuron 88(2): 314--329 (flybase.org/reports/FBrf0229965); Fushiki et al., 2016, eLife 5: e13253 (flybase.org/reports/FBrf0231611)</t>
  </si>
  <si>
    <t>lateral segmental nerve root glial cell</t>
  </si>
  <si>
    <t>L-SNG; SG3; segmental glial cell 3</t>
  </si>
  <si>
    <t>Segmental nerve root glial cell that lies at the point where the intersegmental and segmental nerve roots meet to form a single peripheral nerve.</t>
  </si>
  <si>
    <t>larval A08s projection neuron</t>
  </si>
  <si>
    <t>Even-skipped lateral neuron of the larval lateral abdominal neuromere that is part of lineage 8. In each abdominal segment, the primary neurite extends into the dorsal part of the neuromere, and forms 2 short ipsilateral arbors that project anteriorly, one more medial than the other. One neurite crosses the midline and projects anteriorly to innervate the brain. There is one neuron per segment.</t>
  </si>
  <si>
    <t>A-subperineurial glial cell of thoracic segment 3</t>
  </si>
  <si>
    <t>A subperineurial glial cell of thoracic segment 3</t>
  </si>
  <si>
    <t>A-subperineurial glial cell located in thoracic segment 3.</t>
  </si>
  <si>
    <t>larval A08c projection neuron</t>
  </si>
  <si>
    <t>Even-skipped lateral neuron of the larval lateral abdominal neuromere that is part of lineage 8. In the abdominal segment 1, the primary neurite extends into the dorsal part of the neuromere, and forms 2 ipsilateral arbors: one short projecting anteriorly, and a long one, projecting posteriorly. One neurite crosses the midline and projects anteriorly to innervate the brain. The ipsilateral branch that projects posteriorly in A1, projects both anterior- and posteriorly in mid-abdominal segments, and anteriorly in A7. There is one neuron per segment.</t>
  </si>
  <si>
    <t>A-subperineurial glial cell of abdominal segment 2</t>
  </si>
  <si>
    <t>A subperineurial glial cell of abdominal segment 2</t>
  </si>
  <si>
    <t>A-subperineurial glial cell located in abdominal segment 2.</t>
  </si>
  <si>
    <t>larval A08e2 local neuron</t>
  </si>
  <si>
    <t>Even-skipped lateral neuron of the larval abdominal neuromere that is part of lineage 8. In each abdominal segment, the primary neurite extends into the neuromere crossing the VL fascicle and projecting dorsally across the CI fascicle. It forms two arbors that extend anteriorly. One neurite crosses the midline in between the DM and VM fascicles, extends dorsally, to just dorsal to the CI fascicle, and bifurcates to project a short distance anterior- and posteriorly. It receives input from the ipsilateral proprioceptor neuron dbd, and contralateral Jaam1. It outputs to the contralateral RP2, U1, U2, and dorsal motorneurons, and contralateral SA1 and SA3 interneurons. There is one neuron per segment.</t>
  </si>
  <si>
    <t>A-subperineurial glial cell of abdominal segment 1</t>
  </si>
  <si>
    <t>A subperineurial glial cell of abdominal segment 1</t>
  </si>
  <si>
    <t>A-subperineurial glial cell located in abdominal segment 1.</t>
  </si>
  <si>
    <t>larval A08e1 local neuron</t>
  </si>
  <si>
    <t>Even-skipped lateral neuron of the larval abdominal neuromere that is part of lineage 8. In each abdominal segment, the primary neurite extends into the neuromere crossing the VL fascicle and projects dorsally across the CI fascicle. One neurite crosses the midline in between the DM and VM fascicles, extends dorsally, to just dorsal to the CI fascicle, and bifurcates to project anterior- and posteriorly. Both its ipsilateral and contralateral projections extend more anteriorly and posteriorly, respectively, than the ones from A08e2 and A08e3 neurons. It is synapsed by and synapses onto A08e3. It receives input from the ipsilateral proprioceptor neuron dbd, and contralateral Jaam3. It outputs to the contralateral RP2, U2 and dorsal motorneurons and contralateral SA1 and SA3 interneurons. There is one neuron per segment.</t>
  </si>
  <si>
    <t>midline dorsal glial cell</t>
  </si>
  <si>
    <t>dorsal midline glial cell; D-MG</t>
  </si>
  <si>
    <t>Midline glial cell located dorsal to the ventral nerve cord neuropil.</t>
  </si>
  <si>
    <t>larval abdominal 5 Basin-1 neuron</t>
  </si>
  <si>
    <t>Basin-1 interneuron of the ventral nerve cord with a cell body in larval abdominal 5 neuromere.</t>
  </si>
  <si>
    <t>larval abdominal 4 Basin-1 neuron</t>
  </si>
  <si>
    <t>Basin-1 interneuron of the ventral nerve cord with a cell body in larval abdominal 4 neuromere.</t>
  </si>
  <si>
    <t>larval abdominal 3 Basin-1 neuron</t>
  </si>
  <si>
    <t>Basin-1 interneuron of the ventral nerve cord with a cell body in larval abdominal 3 neuromere.</t>
  </si>
  <si>
    <t>midline ventral glial cell</t>
  </si>
  <si>
    <t>V-MG; ventral midline glial cell</t>
  </si>
  <si>
    <t>Midline glial cell located ventral to the ventral nerve cord neuropil.</t>
  </si>
  <si>
    <t>larval abdominal 2 Basin-1 neuron</t>
  </si>
  <si>
    <t>Basin-1 interneuron of the ventral nerve cord with a cell body in larval abdominal 2 neuromere.</t>
  </si>
  <si>
    <t>larval Griddle-2 neuron</t>
  </si>
  <si>
    <t>Larval feedforward interneuron a that does not connect back to mechanosensory chordotonal neurons. The cell body is at the lateral edge of the ventral nerve cord, and the neuron projects medially, crossing the midline. One set of arborization occurs prior to this crossing and a less extensive arborization occurs at a similar location on the opposite site of the midline. This neuron is GABAergic (Jovanic et al., 2016).</t>
  </si>
  <si>
    <t>dorsal interface glial cell</t>
  </si>
  <si>
    <t>dorsal IG; D-IG</t>
  </si>
  <si>
    <t>Interface glial cell located on the dorsal interface of the hemineuromere. There are up to five of these cells per hemineuromere, three or four lying in the medial-most area of the dorsal interface which separate the neuropil from the pair of rows of large neural cell bodies. Another one or two dorsal interface glia lie at a more lateral region of the dorsal interface, which is beneath the thinnest part of the dorsal cortex.</t>
  </si>
  <si>
    <t>larval Drunken-1 neuron</t>
  </si>
  <si>
    <t>Larval feedforward interneuron a that additionally connects back to two mechanosensory chordotonal neurons. The cell body is found near the lateral edge of the ventral nerve cord. The neuron projects medially, then branches dorsomedially and ventromedially. At the midline, the dorsomedial branch changes direction to head ventrally towards the ventromedial branch. Further branching occurs, sending dendrites in anterior and posterior directions. This neuron is GABAergic (Jovanic et al., 2016).</t>
  </si>
  <si>
    <t>larval Griddle-1 neuron</t>
  </si>
  <si>
    <t>Larval feedforward interneuron a that does not connect back to mechanosensory chordotonal neurons. The cell body is at the lateral edge of the ventral nerve cord, and the neuron projects medially, crossing the midline. One set of branching occurs prior to this crossing, with arborization occurring in an anterior direction. Another set of branching occurs at a similar location on the opposite side of the midline, with arborization in anterior and posterior directions. This neuron is GABAergic (Jovanic et al., 2016).</t>
  </si>
  <si>
    <t>ventral interface glial cell</t>
  </si>
  <si>
    <t>ventral IG; V-IG</t>
  </si>
  <si>
    <t>Interface glial cell located at the ventral-most region of the ventral nerve cord interface near the center of the segment lateral to the ventral midline glial cells. The ventral interface glial cell sends processes both laterally and medially. The medial process runs towards the midline glial cells, but apparently does not contact them. It runs along the inner surface of the neuropil between the anterior and posterior commissures and seems to contact the medial dorsal intersegmental glial cells. At embryonic stage 15, all of the interface glia are aligned dorsally in two rows above the longitudinal connectives. At early stage 16, one cell in the medial row begins to move ventrally and occupies its final position by early stage 17, leaving processes behind and maintaining a connection with the dorsal interface glia.</t>
  </si>
  <si>
    <t>larval abdominal 7 Basin-1 neuron</t>
  </si>
  <si>
    <t>Basin-1 interneuron of the ventral nerve cord with a cell body in larval abdominal 7 neuromere.</t>
  </si>
  <si>
    <t>lateral interface glial cell</t>
  </si>
  <si>
    <t>lateral IG; L-IG</t>
  </si>
  <si>
    <t>Interface glial cell located in the lateral interface of the ventral nerve cord. There are 2 lateral interface glial cells per hemineuromere forming two parallel flat processes dorso-ventrally along the lateral interface. At embryonic stage 15 all of the interface glia are aligned dorsally in two rows above the longitudinal connectives. At early stage 16, two cells in the lateral row begin to move laterally and occupy their final lateral positions by early stage 17, leaving processes behind and maintaining a connection with the dorsal interface glia.</t>
  </si>
  <si>
    <t>larval abdominal 6 Basin-1 neuron</t>
  </si>
  <si>
    <t>Basin-1 interneuron of the ventral nerve cord with a cell body in larval abdominal 6 neuromere.</t>
  </si>
  <si>
    <t>larval abdominal 2 Basin-2 neuron</t>
  </si>
  <si>
    <t>Basin-2 interneuron of the ventral nerve cord with a cell body in larval abdominal 2 neuromere.</t>
  </si>
  <si>
    <t>abdominal 1 ventral intersegmental neuron</t>
  </si>
  <si>
    <t>Any abdominal ventral intersegmental neuron (FBbt:00002295) that is part of some larval abdominal segment 1 (FBbt:00001748).</t>
  </si>
  <si>
    <t>larval abdominal 1 Basin-2 neuron</t>
  </si>
  <si>
    <t>Basin-2 interneuron of the ventral nerve cord with a cell body in larval abdominal 1 neuromere. It is synapsed by the class IV dendritic arborizing neuron vdaa (Gerhard et al., 2017).</t>
  </si>
  <si>
    <t>A1-7 ventral motor neuron</t>
  </si>
  <si>
    <t>RP5 motor neuron; abdominal RP5 neuron; A1-A7 ventral motor neuron; MNSNb/d-Is</t>
  </si>
  <si>
    <t>Motor neuron that innervates the internal ventral oblique (except VO3 and VO6) and longitudinal muscles of larval abdominal segments A1 to A7. It exits the ventral nerve cord via the anterior root of the intersegmental nerve fasciculating with the ISNb nerve branch. It is one of the common exciters of the A1-7 muscles, innervating the VL and VO muscles via type Is boutons (Mauss et al., 2009).</t>
  </si>
  <si>
    <t>Sink and Whitington, 1991, Development 112(1): 307--316 (flybase.org/reports/FBrf0053781); Goodman and Doe, 1993, Bate, Martinez Arias, 1993: 1131--1206 (flybase.org/reports/FBrf0064795); Mauss et al., 2009, PLoS Biol. 7(9): e1000200 (flybase.org/reports/FBrf0208790)</t>
  </si>
  <si>
    <t>abdominal 7 lateral ipsisegmental neuron</t>
  </si>
  <si>
    <t>Any abdominal lateral ipsisegmental neuron (FBbt:00002287) that is part of some larval abdominal segment 7 (FBbt:00001754).</t>
  </si>
  <si>
    <t>larval abdominal 8 Basin-1 neuron</t>
  </si>
  <si>
    <t>Basin-1 interneuron of the ventral nerve cord with a cell body in larval abdominal 8 neuromere.</t>
  </si>
  <si>
    <t>abdominal 5 lateral ipsisegmental neuron</t>
  </si>
  <si>
    <t>Any abdominal lateral ipsisegmental neuron (FBbt:00002287) that is part of some larval abdominal segment 5 (FBbt:00001752).</t>
  </si>
  <si>
    <t>larval abdominal 6 Basin-2 neuron</t>
  </si>
  <si>
    <t>Basin-2 interneuron of the ventral nerve cord with a cell body in larval abdominal 6 neuromere.</t>
  </si>
  <si>
    <t>abdominal 6 lateral ipsisegmental neuron</t>
  </si>
  <si>
    <t>Any abdominal lateral ipsisegmental neuron (FBbt:00002287) that is part of some larval abdominal segment 6 (FBbt:00001753).</t>
  </si>
  <si>
    <t>larval abdominal 5 Basin-2 neuron</t>
  </si>
  <si>
    <t>Basin-2 interneuron of the ventral nerve cord with a cell body in larval abdominal 5 neuromere.</t>
  </si>
  <si>
    <t>larval abdominal 4 Basin-2 neuron</t>
  </si>
  <si>
    <t>Basin-2 interneuron of the ventral nerve cord with a cell body in larval abdominal 4 neuromere.</t>
  </si>
  <si>
    <t>abdominal 3 lateral ipsisegmental neuron</t>
  </si>
  <si>
    <t>Any abdominal lateral ipsisegmental neuron (FBbt:00002287) that is part of some larval abdominal segment 3 (FBbt:00001750).</t>
  </si>
  <si>
    <t>larval abdominal 3 Basin-2 neuron</t>
  </si>
  <si>
    <t>Basin-2 interneuron of the ventral nerve cord with a cell body in larval abdominal 3 neuromere. It receives input from the class IV dendritic arborizing neurons ddaC and vdaa (Gerhard et al., 2017).</t>
  </si>
  <si>
    <t>abdominal 4 lateral ipsisegmental neuron</t>
  </si>
  <si>
    <t>Any abdominal lateral ipsisegmental neuron (FBbt:00002287) that is part of some larval abdominal segment 4 (FBbt:00001751).</t>
  </si>
  <si>
    <t>A-subperineurial glial cell of abdominal segment 8</t>
  </si>
  <si>
    <t>A subperineurial glial cell of abdominal segment 8</t>
  </si>
  <si>
    <t>A-subperineurial glial cell located in abdominal segment 8.</t>
  </si>
  <si>
    <t>larval serotonergic A7 neuron 2</t>
  </si>
  <si>
    <t>larval serotonergic lateral A7 neuron; larval serotonergic A7-2 neuron; larval serotonergic A7 EW2 neuron</t>
  </si>
  <si>
    <t>Larval serotonergic A7 neuron with its cell body located more laterally.</t>
  </si>
  <si>
    <t>A-subperineurial glial cell of abdominal segment 7</t>
  </si>
  <si>
    <t>A subperineurial glial cell of abdominal segment 7</t>
  </si>
  <si>
    <t>A-subperineurial glial cell located in abdominal segment 7.</t>
  </si>
  <si>
    <t>larval serotonergic A6 neuron 2</t>
  </si>
  <si>
    <t>larval serotonergic A6 EW2 neuron; larval serotonergic A6-2 neuron; larval serotonergic lateral A6 neuron</t>
  </si>
  <si>
    <t>Larval serotonergic A6 neuron with its cell body located more laterally. Its contralateral branch forms a complex pattern at the ventral border of the contralateral neuropil that extends along the lateral margins. Its ipsilateral branch seems to fasciculate with the respective neurite of A6-1, though extending a contralateral neurite about mid-level in the dorso-ventral and anterior-posterior axis. This neurite extends a short way anterior along a midline tract.</t>
  </si>
  <si>
    <t>A-subperineurial glial cell of abdominal segment 4</t>
  </si>
  <si>
    <t>A subperineurial glial cell of abdominal segment 4</t>
  </si>
  <si>
    <t>A-subperineurial glial cell located in abdominal segment 4.</t>
  </si>
  <si>
    <t>larval serotonergic A5 neuron 1</t>
  </si>
  <si>
    <t>larval serotonergic A5 EW1 neuron; larval serotonergic A5-1 neuron; larval serotonergic medial A5 neuron</t>
  </si>
  <si>
    <t>Larval serotonergic A5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A5-2 neuron, projecting anteriorly to form the majority of its branches in the next anterior segment (A4).</t>
  </si>
  <si>
    <t>A-subperineurial glial cell of abdominal segment 3</t>
  </si>
  <si>
    <t>A subperineurial glial cell of abdominal segment 3</t>
  </si>
  <si>
    <t>A-subperineurial glial cell located in abdominal segment 3.</t>
  </si>
  <si>
    <t>abdominal 2 ventral intersegmental neuron</t>
  </si>
  <si>
    <t>Any abdominal ventral intersegmental neuron (FBbt:00002295) that is part of some larval abdominal segment 2 (FBbt:00001749).</t>
  </si>
  <si>
    <t>larval serotonergic A7 neuron 1</t>
  </si>
  <si>
    <t>larval serotonergic A7 EW1 neuron; larval serotonergic A7-1 neuron; larval serotonergic medial A7 neuron</t>
  </si>
  <si>
    <t>Larval serotonergic A7 neuron with its cell body located more medially. This cell extends a single primary branch that extends centrally and disperses into a dense cloud of varicosities.</t>
  </si>
  <si>
    <t>abdominal 3 ventral intersegmental neuron</t>
  </si>
  <si>
    <t>Any abdominal ventral intersegmental neuron (FBbt:00002295) that is part of some larval abdominal segment 3 (FBbt:00001750).</t>
  </si>
  <si>
    <t>A-subperineurial glial cell of abdominal segment 6</t>
  </si>
  <si>
    <t>A subperineurial glial cell of abdominal segment 6</t>
  </si>
  <si>
    <t>A-subperineurial glial cell located in abdominal segment 6.</t>
  </si>
  <si>
    <t>larval serotonergic A6 neuron 1</t>
  </si>
  <si>
    <t>larval serotonergic A6-1 neuron; larval serotonergic medial A6 neuron; larval serotonergic A6 EW1 neuron</t>
  </si>
  <si>
    <t>Larval serotonergic A6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A6-2 neuron, projecting anteriorly to form the majority of its branches in the next anterior segment (A5).</t>
  </si>
  <si>
    <t>abdominal 4 ventral intersegmental neuron</t>
  </si>
  <si>
    <t>Any abdominal ventral intersegmental neuron (FBbt:00002295) that is part of some larval abdominal segment 4 (FBbt:00001751).</t>
  </si>
  <si>
    <t>A-subperineurial glial cell of abdominal segment 5</t>
  </si>
  <si>
    <t>A subperineurial glial cell of abdominal segment 5</t>
  </si>
  <si>
    <t>A-subperineurial glial cell located in abdominal segment 5.</t>
  </si>
  <si>
    <t>abdominal 7 ventral motor neuron</t>
  </si>
  <si>
    <t>abdominal 7 RP5 neuron</t>
  </si>
  <si>
    <t>Any A1-7 ventral motor neuron (FBbt:00002231) that is part of some larval abdominal segment 7 (FBbt:00001754).</t>
  </si>
  <si>
    <t>Sink and Whitington, 1991, Development 112(1): 307--316 (flybase.org/reports/FBrf0053781); Goodman and Doe, 1993, Bate, Martinez Arias, 1993: 1131--1206 (flybase.org/reports/FBrf0064795)</t>
  </si>
  <si>
    <t>abdominal 5 ventral motor neuron</t>
  </si>
  <si>
    <t>abdominal 5 RP5 neuron</t>
  </si>
  <si>
    <t>Any A1-7 ventral motor neuron (FBbt:00002231) that is part of some larval abdominal segment 5 (FBbt:00001752).</t>
  </si>
  <si>
    <t>abdominal 6 ventral motor neuron</t>
  </si>
  <si>
    <t>abdominal 6 RP5 neuron</t>
  </si>
  <si>
    <t>Any A1-7 ventral motor neuron (FBbt:00002231) that is part of some larval abdominal segment 6 (FBbt:00001753).</t>
  </si>
  <si>
    <t>abdominal 3 ventral motor neuron</t>
  </si>
  <si>
    <t>abdominal 3 RP5 neuron</t>
  </si>
  <si>
    <t>Any A1-7 ventral motor neuron (FBbt:00002231) that is part of some larval abdominal segment 3 (FBbt:00001750).</t>
  </si>
  <si>
    <t>abdominal 4 ventral motor neuron</t>
  </si>
  <si>
    <t>abdominal 4 RP5 neuron</t>
  </si>
  <si>
    <t>Any A1-7 ventral motor neuron (FBbt:00002231) that is part of some larval abdominal segment 4 (FBbt:00001751).</t>
  </si>
  <si>
    <t>abdominal 5 VO1 motor neuron</t>
  </si>
  <si>
    <t>MN14-Ib A5; abdominal 5 RP4 neuron</t>
  </si>
  <si>
    <t>Any RP4 motor neuron (FBbt:00001456) that synapsed via type Ib bouton to some abdominal 5 ventral oblique muscle 1 (FBbt:00000837).</t>
  </si>
  <si>
    <t>abdominal 6 VO1 motor neuron</t>
  </si>
  <si>
    <t>MN14-Ib A6; abdominal 6 RP4 neuron</t>
  </si>
  <si>
    <t>Any RP4 motor neuron (FBbt:00001456) that synapsed via type Ib bouton to some abdominal 6 ventral oblique muscle 1 (FBbt:00000882).</t>
  </si>
  <si>
    <t>abdominal 3 VO1 motor neuron</t>
  </si>
  <si>
    <t>abdominal 3 MN14-Ib neuron; MN14-Ib A3; abdominal 3 RP4 neuron</t>
  </si>
  <si>
    <t>Larval VO1 motor neuron of A3. It innervates the internal ventral oblique muscle 1 (muscle 14) of abdominal segment 3 via type Ib boutons. This neuron dies during metamorphosis (Banerjee et al., 2016).</t>
  </si>
  <si>
    <t>Sink and Whitington, 1991, Development 112(1): 307--316 (flybase.org/reports/FBrf0053781); Goodman and Doe, 1993, Bate, Martinez Arias, 1993: 1131--1206 (flybase.org/reports/FBrf0064795); Hoang and Chiba, 2001, Dev. Biol. 229(1): 55--70 (flybase.org/reports/FBrf0132289)</t>
  </si>
  <si>
    <t>abdominal 4 VO1 motor neuron</t>
  </si>
  <si>
    <t>abdominal 4 RP4 neuron; MN14-Ib A4; abdominal 4 MN14-Ib neuron</t>
  </si>
  <si>
    <t>Larval VO1 motor neuron of A4. It innervates the internal ventral oblique muscle 1 (muscle 14) of abdominal segment 4 via type Ib boutons. This neuron dies during metamorphosis (Banerjee et al., 2016).</t>
  </si>
  <si>
    <t>abdominal 1 VO1 motor neuron</t>
  </si>
  <si>
    <t>MN14-Ib A1; abdominal 1 RP4 neuron</t>
  </si>
  <si>
    <t>Larval VO1 motor neuron of A1. It innervates the internal ventral oblique muscle 1 (muscle 14) of abdominal segment 1 via type Ib boutons. During metamorphosis, this neuron is re-targeted to innervate temporary eclosion muscle VL2 and become adult persistent motor neuron 14-Ib A1 (Banerjee et al., 2016).</t>
  </si>
  <si>
    <t>abdominal 2 VO1 motor neuron</t>
  </si>
  <si>
    <t>abdominal 2 RP4 neuron; MN14-Ib A2</t>
  </si>
  <si>
    <t>Larval VO1 motor neuron of A2. It innervates the internal ventral oblique muscle 1 (muscle 14) of abdominal segment 2 via type Ib boutons. During metamorphosis, this neuron is re-targeted to innervate temporary eclosion muscle VL2 and become adult persistent motor neuron 14-Ib A2 (Banerjee et al., 2016).</t>
  </si>
  <si>
    <t>abdominal 7 VL3/4 motor neuron</t>
  </si>
  <si>
    <t>abdominal 7 RP3 neuron</t>
  </si>
  <si>
    <t>Any RP3 motor neuron (FBbt:00001455) that synapsed via type Ib bouton to some abdominal 7 ventral longitudinal muscle 3 (FBbt:00000939) and synapsed via type Ib bouton to some abdominal 7 ventral longitudinal muscle 4 (FBbt:00000940).</t>
  </si>
  <si>
    <t>larval serotonergic T1 neuron 1</t>
  </si>
  <si>
    <t>larval serotonergic T1-1 neuron</t>
  </si>
  <si>
    <t>Larval serotonergic T1 neuron whose cell body is located close to the ventral midline in the first thoracic segment. It branches next to the cell body, with the contralateral branch densely innervating the ventral and lateral regions of the prothoracic neuromere. The ipsilateral branch splits again, with one branch extending to the dorsal border and the other to the midline, sparsely innervating the contralateral side.</t>
  </si>
  <si>
    <t>larval serotonergic T1 neuron 2</t>
  </si>
  <si>
    <t>larval serotonergic T1-2 neuron</t>
  </si>
  <si>
    <t>Larval serotonergic T1 neuron whose cell body is located close to the ventral midline in the first thoracic segment. It bifurcates into an ipsi- and contralateral branch. The former splits again and innervates the ipsilateral hemineuromere completely from ventral to dorsal. The contralateral branch arborizes less extensively in the ventromedial region.</t>
  </si>
  <si>
    <t>abdominal 1 ventral motor neuron</t>
  </si>
  <si>
    <t>abdominal 1 RP5 neuron</t>
  </si>
  <si>
    <t>Any A1-7 ventral motor neuron (FBbt:00002231) that is part of some larval abdominal segment 1 (FBbt:00001748).</t>
  </si>
  <si>
    <t>abdominal 2 ventral motor neuron</t>
  </si>
  <si>
    <t>abdominal 2 RP5 neuron</t>
  </si>
  <si>
    <t>Any A1-7 ventral motor neuron (FBbt:00002231) that is part of some larval abdominal segment 2 (FBbt:00001749).</t>
  </si>
  <si>
    <t>abdominal 7 VO1 motor neuron</t>
  </si>
  <si>
    <t>abdominal 7 RP4 neuron; MN14-Ib A7</t>
  </si>
  <si>
    <t>Any RP4 motor neuron (FBbt:00001456) that synapsed via type Ib bouton to some abdominal 7 ventral oblique muscle 1 (FBbt:00000927).</t>
  </si>
  <si>
    <t>median neuroblast MNB interneuron</t>
  </si>
  <si>
    <t>MNB progeny</t>
  </si>
  <si>
    <t>Interneuron located at the midline at the anterior segmental border of each ventral nerve cord segment that is the progeny of the neuroblast MNB. There is a cluster of 5-8 cells.</t>
  </si>
  <si>
    <t>Bossing and Technau, 1994, Development 120(7): 1895--1906 (flybase.org/reports/FBrf0072659); Yoshikawa et al., 2016, Mol. Cell. Neurosci. 70: 22--29 (flybase.org/reports/FBrf0230506)</t>
  </si>
  <si>
    <t>UMI interneuron</t>
  </si>
  <si>
    <t>MP3 neuron; unpaired median interneuron; MP3 cell</t>
  </si>
  <si>
    <t>Bilaterally projecting interneuron located along the midline in the ventral nerve cord. There are two of these per segment.</t>
  </si>
  <si>
    <t>Bossing and Technau, 1994, Development 120(7): 1895--1906 (flybase.org/reports/FBrf0072659)</t>
  </si>
  <si>
    <t>VUM motor neuron</t>
  </si>
  <si>
    <t>VUM motorneuron; VUM; mVUM; Vm; vumTDC2; ventral unpaired motorneuron</t>
  </si>
  <si>
    <t>Motor neuron that is part of the median neuroblast lineage that innervates the larval body wall muscles. There are three of these cells per segment from T1 to A7. They are modulatory motor neurons; in A1-7, one VUM motor neuron innervates the dorsal muscles, one innervates the ventral muscles, and one innervates the lateral muscles.</t>
  </si>
  <si>
    <t>Bossing and Technau, 1994, Development 120(7): 1895--1906 (flybase.org/reports/FBrf0072659); Schmid et al., 1999, Development 126(21): 4653--4689 (flybase.org/reports/FBrf0112030); Kearney et al., 2004, Dev. Biol. 275(2): 473--492 (flybase.org/reports/FBrf0180108); Mauss et al., 2009, PLoS Biol. 7(9): e1000200 (flybase.org/reports/FBrf0208790)</t>
  </si>
  <si>
    <t>larval abdominal 4 Drunken-1 neuron</t>
  </si>
  <si>
    <t>Drunken-1 interneuron of the ventral nerve cord with a cell body in larval abdominal 4 neuromere.</t>
  </si>
  <si>
    <t>VUM interneuron</t>
  </si>
  <si>
    <t>iVUM; Vi; ventral unpaired median interneuron</t>
  </si>
  <si>
    <t>Ventral unpaired interneuron that is located ventrally in the embryonic/larval ventral nerve cord midline, ventral to the VUM motorneurons. It is a GABAergic neuron. There are three of these cells per segment.</t>
  </si>
  <si>
    <t>Bossing and Technau, 1994, Development 120(7): 1895--1906 (flybase.org/reports/FBrf0072659); Kearney et al., 2004, Dev. Biol. 275(2): 473--492 (flybase.org/reports/FBrf0180108); Wheeler et al., 2006, Dev. Biol. 294(2): 509--524 (flybase.org/reports/FBrf0195284)</t>
  </si>
  <si>
    <t>larval abdominal 3 Drunken-1 neuron</t>
  </si>
  <si>
    <t>Drunken-1 interneuron of the ventral nerve cord with a cell body in larval abdominal 3 neuromere.</t>
  </si>
  <si>
    <t>larval abdominal 2 Drunken-1 neuron</t>
  </si>
  <si>
    <t>Drunken-1 interneuron of the ventral nerve cord with a cell body in larval abdominal 2 neuromere.</t>
  </si>
  <si>
    <t>larval abdominal 1 Drunken-1 neuron</t>
  </si>
  <si>
    <t>Drunken-1 interneuron of the ventral nerve cord with a cell body in larval abdominal 1 neuromere.</t>
  </si>
  <si>
    <t>larval serotonergic T1 neuron 3</t>
  </si>
  <si>
    <t>larval serotonergic T1-3 neuron</t>
  </si>
  <si>
    <t>Larval serotonergic T1 neuron with weaker expression of serotonin biosynthetic enzymes.</t>
  </si>
  <si>
    <t>Huser et al., 2012, PLoS ONE 7(10): e47518 (flybase.org/reports/FBrf0219731)</t>
  </si>
  <si>
    <t>apterous-expressing neuron of the lateral cluster of the thorax Ap1</t>
  </si>
  <si>
    <t>Tvb neuron; Tv1 neuron; Ap1 neuron; Ap1/Nplp1 neuron</t>
  </si>
  <si>
    <t>Interneuron of the lateral cluster of the thorax that is part of the lineage of the neuroblast NB5-6 of the thorax. It expresses apterous (FBgn0000099). It is the first neuron of the cluster to be generated, at stage 13. It is a peptidergic neuron.</t>
  </si>
  <si>
    <t>Lundgren et al., 1995, Development 121(6): 1769--1773 (flybase.org/reports/FBrf0078940); Allan et al., 2005, Neuron 45(5): 689--700 (flybase.org/reports/FBrf0184217); Baumgardt et al., 2007, PLoS Biol. 5(2): e37 (flybase.org/reports/FBrf0195184); Baumgardt et al., 2009, Cell 139(5): 969--982 (flybase.org/reports/FBrf0209429)</t>
  </si>
  <si>
    <t>larval metathoracic Griddle-2 neuron</t>
  </si>
  <si>
    <t>Griddle-2 interneuron of the ventral nerve cord with a cell body in the larval metathoracic neuromere.</t>
  </si>
  <si>
    <t>larval abdominal 2 Griddle-2 neuron</t>
  </si>
  <si>
    <t>Griddle-2 interneuron of the ventral nerve cord with a cell body in larval abdominal 2 neuromere.</t>
  </si>
  <si>
    <t>larval abdominal 1 Griddle-2 neuron</t>
  </si>
  <si>
    <t>Griddle-2 interneuron of the ventral nerve cord with a cell body in larval abdominal 1 neuromere.</t>
  </si>
  <si>
    <t>larval metathoracic Griddle-1 neuron</t>
  </si>
  <si>
    <t>Griddle-1 interneuron of the ventral nerve cord with a cell body in the larval metathoracic neuromere.</t>
  </si>
  <si>
    <t>larval abdominal 1 Griddle-1 neuron</t>
  </si>
  <si>
    <t>Griddle-1 interneuron of the ventral nerve cord with a cell body in larval abdominal 1 neuromere.</t>
  </si>
  <si>
    <t>abdominal 1 VO2 motor neuron</t>
  </si>
  <si>
    <t>MN30-Ib A1; abdominal 1 RP1 neuron</t>
  </si>
  <si>
    <t>Larval VO2 motor neuron of A1. It innervates the internal ventral oblique muscle 2 (muscle 30) of abdominal segment 1 via type Ib boutons. This neuron switches muscle targets during metamorphosis to become adult persistent motor neuron 30-Ib A1 (Banerjee et al., 2016).</t>
  </si>
  <si>
    <t>Goodman and Doe, 1993, Bate, Martinez Arias, 1993: 1131--1206 (flybase.org/reports/FBrf0064795); Banerjee et al., 2016, Dev. Neurobiol. 76(12): 1387--1416 (flybase.org/reports/FBrf0234013)</t>
  </si>
  <si>
    <t>abdominal 2 VO2 motor neuron</t>
  </si>
  <si>
    <t>abdominal 2 RP1 neuron; MN30-Ib A2</t>
  </si>
  <si>
    <t>Larval VO2 motor neuron of A2. It innervates the internal ventral oblique muscle 2 (muscle 30) of abdominal segment 2 via type Ib boutons. This neuron dies during metamorphosis (Banerjee et al., 2016).</t>
  </si>
  <si>
    <t>abdominal 7 VO2 motor neuron</t>
  </si>
  <si>
    <t>abdominal 7 RP1 neuron</t>
  </si>
  <si>
    <t>Any RP1 motor neuron (FBbt:00001452) that synapsed via type Ib bouton to some abdominal 7 ventral oblique muscle 2 (FBbt:00000928).</t>
  </si>
  <si>
    <t>Goodman and Doe, 1993, Bate, Martinez Arias, 1993: 1131--1206 (flybase.org/reports/FBrf0064795)</t>
  </si>
  <si>
    <t>abdominal 5 VO2 motor neuron</t>
  </si>
  <si>
    <t>abdominal 5 RP1 neuron</t>
  </si>
  <si>
    <t>Any RP1 motor neuron (FBbt:00001452) that synapsed via type Ib bouton to some abdominal 5 ventral oblique muscle 2 (FBbt:00000838).</t>
  </si>
  <si>
    <t>apterous-expressing neuron of the lateral cluster of the thorax Ap3</t>
  </si>
  <si>
    <t>Tvc neuron; Tv3 neuron; Tva neuron; Ap3 neuron</t>
  </si>
  <si>
    <t>Interneuron of the lateral cluster of the thorax that is part of the lineage of the neuroblast NB5-6 of the thorax. It expresses apterous (FBgn0000099). It is the third neuron of the cluster to be generated, after the Ap2 neuron. It is not a peptidergic neuron.</t>
  </si>
  <si>
    <t>abdominal 6 VO2 motor neuron</t>
  </si>
  <si>
    <t>abdominal 6 RP1 neuron</t>
  </si>
  <si>
    <t>Any RP1 motor neuron (FBbt:00001452) that synapsed via type Ib bouton to some abdominal 6 ventral oblique muscle 2 (FBbt:00000883).</t>
  </si>
  <si>
    <t>apterous-expressing neuron of the lateral cluster of the thorax Ap4</t>
  </si>
  <si>
    <t>Ap4/FMRFa neuron; Ap4 neuron; FMRF +ve Tv neuron; Tv4 neuron; dFMRFa neuron; Tv neuron</t>
  </si>
  <si>
    <t>Larval neurosecretory interneuron of the lateral cluster of the thoracic neuromere that is generated by neuroblast NB5-6. It is the last of this cluster of apterous-expressing neurons to be generated, after the Ap3 neuron. Its cell body is located close to the lateral border of the thoracic neuromere, ventrolateral to the ventrolateral tract of the midline. It projects its axon below the ventrolateral, central lateral and central intermediate tracts and approaches the dorsal median tract from below, where it arborizes extensively. It expresses the neuropeptide FMRFamide and innervates the thoracic neurohemal organ. The arborization at the dorsal median tract of the 3 pairs (one per segment) of Ap4 neurons overlaps and extends to the region between the first and second abdominal neuromeres (Benveniste et al., 1998; Marques et al., 2003; Santos et al., 2007).</t>
  </si>
  <si>
    <t>Lundgren et al., 1995, Development 121(6): 1769--1773 (flybase.org/reports/FBrf0078940); Benveniste et al., 1998, Development 125(23): 4757--4765 (flybase.org/reports/FBrf0106026); Marques et al., 2003, Development 130(22): 5457--5470 (flybase.org/reports/FBrf0167500); Allan et al., 2005, Neuron 45(5): 689--700 (flybase.org/reports/FBrf0184217); Baumgardt et al., 2007, PLoS Biol. 5(2): e37 (flybase.org/reports/FBrf0195184); Santos et al., 2007, PLoS ONE 2(8): e695 (flybase.org/reports/FBrf0201188); Baumgardt et al., 2009, Cell 139(5): 969--982 (flybase.org/reports/FBrf0209429)</t>
  </si>
  <si>
    <t>abdominal 3 VO2 motor neuron</t>
  </si>
  <si>
    <t>abdominal 3 RP1 neuron; MN30-Ib A3</t>
  </si>
  <si>
    <t>Larval VO2 motor neuron of A3. It innervates the internal ventral oblique muscle 2 (muscle 30) of abdominal segment 3 via type Ib boutons. This neuron dies during metamorphosis (Banerjee et al., 2016).</t>
  </si>
  <si>
    <t>abdominal 4 VO2 motor neuron</t>
  </si>
  <si>
    <t>MN30-Ib A4; abdominal 4 RP1 neuron</t>
  </si>
  <si>
    <t>Larval VO2 motor neuron of A4. It innervates the internal ventral oblique muscle 2 (muscle 30) of abdominal segment 4 via type Ib boutons. This neuron dies during metamorphosis (Banerjee et al., 2016).</t>
  </si>
  <si>
    <t>apterous-expressing neuron of the lateral cluster of the thorax Ap2</t>
  </si>
  <si>
    <t>Tv2 neuron; Tvc neuron; Ap2 neuron; Tva neuron</t>
  </si>
  <si>
    <t>Interneuron of the lateral cluster of the thorax that is part of the lineage of the neuroblast NB5-6 of the thorax. It expresses apterous (FBgn0000099). It is the second neuron of the cluster to be generated, after the Ap1 neuron. It is not a peptidergic neuron.</t>
  </si>
  <si>
    <t>larval abdominal 6 Griddle-2 neuron</t>
  </si>
  <si>
    <t>Griddle-2 interneuron of the ventral nerve cord with a cell body in larval abdominal 6 neuromere.</t>
  </si>
  <si>
    <t>larval abdominal 5 Griddle-2 neuron</t>
  </si>
  <si>
    <t>Griddle-2 interneuron of the ventral nerve cord with a cell body in larval abdominal 5 neuromere.</t>
  </si>
  <si>
    <t>larval abdominal 4 Griddle-2 neuron</t>
  </si>
  <si>
    <t>Griddle-2 interneuron of the ventral nerve cord with a cell body in larval abdominal 4 neuromere.</t>
  </si>
  <si>
    <t>larval abdominal 3 Griddle-2 neuron</t>
  </si>
  <si>
    <t>Griddle-2 interneuron of the ventral nerve cord with a cell body in larval abdominal 3 neuromere.</t>
  </si>
  <si>
    <t>abdominal 1 VL3/4 motor neuron</t>
  </si>
  <si>
    <t>abdominal 1 MN6/7-Ib neuron; abdominal 1 RP3 neuron</t>
  </si>
  <si>
    <t>Larval VL3/4 motor neuron of A1. It innervates the internal ventral longitudinal 3 and 4 muscles (muscles 6 and 7) of abdominal segment 1 via type Ib boutons. This neuron dies during metamorphosis (Banerjee et al., 2016).</t>
  </si>
  <si>
    <t>abdominal 2 VL3/4 motor neuron</t>
  </si>
  <si>
    <t>abdominal 2 MN6/7-Ib neuron; abdominal 2 RP3 neuron</t>
  </si>
  <si>
    <t>Larval VL3/4 motor neuron of A2. It innervates the internal ventral longitudinal 3 and 4 muscles (muscles 6 and 7) of abdominal segment 2 via type Ib boutons. This neuron dies during metamorphosis (Banerjee et al., 2016).</t>
  </si>
  <si>
    <t>abdominal 7 dorsal motor neuron</t>
  </si>
  <si>
    <t>abdominal 7 RP2 neuron</t>
  </si>
  <si>
    <t>Any A1-7 dorsal motor neuron (FBbt:00002207) that is part of some larval abdominal segment 7 (FBbt:00001754).</t>
  </si>
  <si>
    <t>abdominal 5 dorsal motor neuron</t>
  </si>
  <si>
    <t>abdominal 5 RP2 neuron</t>
  </si>
  <si>
    <t>Any A1-7 dorsal motor neuron (FBbt:00002207) that is part of some larval abdominal segment 5 (FBbt:00001752).</t>
  </si>
  <si>
    <t>abdominal 6 dorsal motor neuron</t>
  </si>
  <si>
    <t>abdominal 6 RP2 neuron</t>
  </si>
  <si>
    <t>Any A1-7 dorsal motor neuron (FBbt:00002207) that is part of some larval abdominal segment 6 (FBbt:00001753).</t>
  </si>
  <si>
    <t>abdominal 3 dorsal motor neuron</t>
  </si>
  <si>
    <t>abdominal 3 RP2 neuron</t>
  </si>
  <si>
    <t>Any A1-7 dorsal motor neuron (FBbt:00002207) that is part of some larval abdominal segment 3 (FBbt:00001750).</t>
  </si>
  <si>
    <t>abdominal 4 dorsal motor neuron</t>
  </si>
  <si>
    <t>abdominal 4 RP2 neuron</t>
  </si>
  <si>
    <t>Any A1-7 dorsal motor neuron (FBbt:00002207) that is part of some larval abdominal segment 4 (FBbt:00001751).</t>
  </si>
  <si>
    <t>abdominal 3 VL3/4 motor neuron</t>
  </si>
  <si>
    <t>abdominal 3 MN6/7-Ib neuron; abdominal 3 RP3 neuron</t>
  </si>
  <si>
    <t>Larval VL3/4 motor neuron of A3. It innervates the internal ventral longitudinal 3 and 4 muscles (muscles 6 and 7) of abdominal segment 3 via type Ib boutons. This neuron dies during metamorphosis (Banerjee et al., 2016).</t>
  </si>
  <si>
    <t>abdominal 4 VL3/4 motor neuron</t>
  </si>
  <si>
    <t>abdominal 4 RP3 neuron; abdominal 4 MN6/7-Ib neuron</t>
  </si>
  <si>
    <t>Larval VL3/4 motor neuron of A4. It innervates the internal ventral longitudinal 3 and 4 muscles (muscles 6 and 7) of abdominal segment 4 via type Ib boutons. This neuron dies during metamorphosis (Banerjee et al., 2016).</t>
  </si>
  <si>
    <t>medial segmental nerve root glial cell 2</t>
  </si>
  <si>
    <t>segmental glial cell 2; M-SNG2; SG2</t>
  </si>
  <si>
    <t>Posterior-most of the two medial segment nerve root glial cells.</t>
  </si>
  <si>
    <t>medial segmental nerve root glial cell 1</t>
  </si>
  <si>
    <t>segmental glial cell 1; M-SNG1; SG1</t>
  </si>
  <si>
    <t>Anterior-most of the two medial segment nerve root glial cells.</t>
  </si>
  <si>
    <t>MP1 neuron</t>
  </si>
  <si>
    <t>Midline precursor 1 cell</t>
  </si>
  <si>
    <t>Interneuron residing slightly anterior and ventral to the posterior commissure in the corner formed by the connectives and the posterior commissure (Bossing and Technau, 1994). Its ipsilateral projection bifurcates in an anterior and posterior branch (which spans up to three neuromeres) that run within the medial sector of the connective.</t>
  </si>
  <si>
    <t>abdominal 5 VL3/4 motor neuron</t>
  </si>
  <si>
    <t>abdominal 5 RP3 neuron</t>
  </si>
  <si>
    <t>Any RP3 motor neuron (FBbt:00001455) that synapsed via type Ib bouton to some abdominal 5 ventral longitudinal muscle 3 (FBbt:00000849) and synapsed via type Ib bouton to some abdominal 5 ventral longitudinal muscle 4 (FBbt:00000850).</t>
  </si>
  <si>
    <t>abdominal 6 VL3/4 motor neuron</t>
  </si>
  <si>
    <t>abdominal 6 RP3 neuron</t>
  </si>
  <si>
    <t>Any RP3 motor neuron (FBbt:00001455) that synapsed via type Ib bouton to some abdominal 6 ventral longitudinal muscle 3 (FBbt:00000894) and synapsed via type Ib bouton to some abdominal 6 ventral longitudinal muscle 4 (FBbt:00000895).</t>
  </si>
  <si>
    <t>abdominal 1 dorsal motor neuron</t>
  </si>
  <si>
    <t>abdominal 1 RP2 neuron</t>
  </si>
  <si>
    <t>Any A1-7 dorsal motor neuron (FBbt:00002207) that is part of some larval abdominal segment 1 (FBbt:00001748).</t>
  </si>
  <si>
    <t>abdominal 2 dorsal motor neuron</t>
  </si>
  <si>
    <t>abdominal 2 RP2 neuron</t>
  </si>
  <si>
    <t>Any A1-7 dorsal motor neuron (FBbt:00002207) that is part of some larval abdominal segment 2 (FBbt:00001749).</t>
  </si>
  <si>
    <t>MP1b neuron</t>
  </si>
  <si>
    <t>Medial-most of the two bilateral MP1 neurons found at the midline, anterior to the posterior commissure (Schmid et al., 1999).</t>
  </si>
  <si>
    <t>Doe et al., 1988, Science 239: 170--175 (flybase.org/reports/FBrf0049007); Schmid et al., 1999, Development 126(21): 4653--4689 (flybase.org/reports/FBrf0112030)</t>
  </si>
  <si>
    <t>MP1a neuron</t>
  </si>
  <si>
    <t>MP1(l)</t>
  </si>
  <si>
    <t>Lateral-most of the two bilateral MP1 neurons found at the midline, anterior to the posterior commissure (Schmid et al., 1999).</t>
  </si>
  <si>
    <t>Doe et al., 1988, Science 239: 170--175 (flybase.org/reports/FBrf0049007); Sonnenfeld and Jacob, 1994, Mech. Dev. 46(1): 3--13 (flybase.org/reports/FBrf0074503); Schmid et al., 1999, Development 126(21): 4653--4689 (flybase.org/reports/FBrf0112030)</t>
  </si>
  <si>
    <t>larval prothoracic Ap4 neuron</t>
  </si>
  <si>
    <t>T1v neuron</t>
  </si>
  <si>
    <t>Any apterous-expressing neuron of the lateral cluster of the thorax Ap4 (FBbt:00110872) that has soma location some larval prothoracic neuromere (FBbt:00111030).</t>
  </si>
  <si>
    <t>Hewes et al., 2003, Development 130(9): 1771--1781 (flybase.org/reports/FBrf0158877); Berndt et al., 2015, PLoS Genet. 11(12): e1005754 (flybase.org/reports/FBrf0230525)</t>
  </si>
  <si>
    <t>lateral VUM motor neuron</t>
  </si>
  <si>
    <t>MNSNa-II; VUMsn; lateral MN-VUM</t>
  </si>
  <si>
    <t>Neuromodulatory motor neuron developing from the VUM midline precursor. It innervates the lateral transverse muscles.</t>
  </si>
  <si>
    <t>Schmid et al., 1999, Development 126(21): 4653--4689 (flybase.org/reports/FBrf0112030); Mauss et al., 2009, PLoS Biol. 7(9): e1000200 (flybase.org/reports/FBrf0208790)</t>
  </si>
  <si>
    <t>larval metathoracic Ap4 neuron</t>
  </si>
  <si>
    <t>T3v neuron</t>
  </si>
  <si>
    <t>Any apterous-expressing neuron of the lateral cluster of the thorax Ap4 (FBbt:00110872) that has soma location some larval metathoracic neuromere (FBbt:00111032).</t>
  </si>
  <si>
    <t>larval mesothoracic Ap4 neuron</t>
  </si>
  <si>
    <t>T2v neuron</t>
  </si>
  <si>
    <t>Any apterous-expressing neuron of the lateral cluster of the thorax Ap4 (FBbt:00110872) that has soma location some larval mesothoracic neuromere (FBbt:00111031).</t>
  </si>
  <si>
    <t>dorsal VUM motor neuron</t>
  </si>
  <si>
    <t>dorsal MN-VUM; VUMisn; MNISN-II</t>
  </si>
  <si>
    <t>Neuromodulatory motor neuron developing from the VUM midline precursor. It innervates the dorsal oblique and acute muscles.</t>
  </si>
  <si>
    <t>metathoracic VUM motor neuron</t>
  </si>
  <si>
    <t>tVUM3 neuron</t>
  </si>
  <si>
    <t>Octopaminergic VUM motor neuron with its cell body in the larval mesothoracic neuromere. There are three of these cells with very similar innervation patterns within the ventral nerve cord. The neuron projects dorsally, then branches laterally in both directions to form a T-shape. Ramifications are mostly found in the lateral neuropil of T3 and T2. It also innervates the anterior part of A1 with dorsomedial bifurcations. Generally, two of these neurons (tVUM3sn) project via the segmental nerve with the other projecting via the intersegmental nerve (tVUM3isn), but this is sometimes the opposite way (Selcho et al., 2012).</t>
  </si>
  <si>
    <t>mesothoracic VUM motor neuron</t>
  </si>
  <si>
    <t>tVUM2 neuron</t>
  </si>
  <si>
    <t>Octopaminergic VUM motor neuron with its cell body in the larval mesothoracic neuromere. There are three of these cells with very similar innervation patterns within the ventral nerve cord. The neuron projects dorsally, then branches laterally in both directions to form a T-shape. Ramifications are mostly found in the lateral neuropil of T2 and T1. It also innervates the anterior part of T3 with dorsomedial bifurcations. Generally, two of these neurons (tVUM2sn) project via the segmental nerve with the other projecting via the intersegmental nerve (tVUM2isn), but this is sometimes the opposite way (Selcho et al., 2012).</t>
  </si>
  <si>
    <t>prothoracic VUM motor neuron</t>
  </si>
  <si>
    <t>tVUM1 neuron</t>
  </si>
  <si>
    <t>Octopaminergic VUM motor neuron with its cell body in the larval prothoracic neuromere. There are three of these cells with very similar innervation patterns within the ventral nerve cord. The neuron projects dorsally, then branches laterally in both directions to form a T-shape. Ramifications are mostly found in the lateral neuropil of T1 and the posterior subesophageal ganglion. It also innervates the anterior part of T2 with dorsomedial bifurcations. Generally, two of these neurons (tVUM1sn) project via the segmental nerve with the other projecting via the intersegmental nerve (tVUM1isn), but this is sometimes the opposite way (Selcho et al., 2012).</t>
  </si>
  <si>
    <t>ventral VUM motor neuron</t>
  </si>
  <si>
    <t>VUMisn; MNSNb/d-II; ventral MN-VUM</t>
  </si>
  <si>
    <t>Neuromodulatory motor neuron developing from the VUM midline precursor. It innervates the ventral oblique and longitudinal muscles.</t>
  </si>
  <si>
    <t>VUM interneuron 3</t>
  </si>
  <si>
    <t>VUM6 neuron</t>
  </si>
  <si>
    <t>One of the three ventral unpaired median interneurons of the embryonic and larval ventral nerve cord midline.</t>
  </si>
  <si>
    <t>VUM interneuron 2</t>
  </si>
  <si>
    <t>VUM5 neuron</t>
  </si>
  <si>
    <t>VUM interneuron 1</t>
  </si>
  <si>
    <t>VUM4 neuron</t>
  </si>
  <si>
    <t>A1-7 lateral VUM motor neuron</t>
  </si>
  <si>
    <t>MNSNa-II; abdominal lateral VUM motor neuron; abdominal VUM3 neuron; lateral MN-VUM</t>
  </si>
  <si>
    <t>Neuromodulatory motor neuron that innervates the lateral transverse muscles of larval abdominal segments A1 to A7 via type II boutons. It exits the ventral nerve cord via the segmental nerve and fasciculates with the SNa segmental nerve branches. These neurons have a virtually identical arborization pattern, shared with the dorsal and ventral VUM neurons of A1-7. They arborize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</si>
  <si>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</si>
  <si>
    <t>A1-7 ventral VUM motor neuron</t>
  </si>
  <si>
    <t>abdominal VUM2 neuron; abdominal ventral VUM motor neuron; MNSNb/d-II; ventral MN-VUM</t>
  </si>
  <si>
    <t>Neuromodulatory motor neuron that innervates the internal ventral oblique and longitudinal muscles of larval abdominal segments A1 to A7 via type II boutons. It exits the ventral nerve cord via the posterior root of the intersegmental nerve and fasciculates with the ISNb or ISNd intersegmental nerve branches. These neurons have a virtually identical arborization pattern, shared with the dorsal and lateral VUM neurons of A1-7. They arborize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</si>
  <si>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A1-7 dorsal VUM motor neuron</t>
  </si>
  <si>
    <t>dorsal MN-VUM; MNISN-II; abdominal dorsal VUM motor neuron; abdominal VUM1 neuron</t>
  </si>
  <si>
    <t>Neuromodulatory motor neuron that innervates the internal dorsal acute and oblique muscles of larval abdominal segments A1 to A7 via type II boutons. It exits the ventral nerve cord via the posterior root of the intersegmental nerve and fasciculates with the ISNb or ISNd intersegmental nerve branches. These neurons have a virtually identical arborization pattern, shared with the lateral and ventral VUM neurons of A1-7. They arborize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</si>
  <si>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Hoang and Chiba, 2001, Dev. Biol. 229(1): 55--70 (flybase.org/reports/FBrf0132289); Selcho et al., 2012, J. Comp. Neurol. 520(16): 3764--3785 (flybase.org/reports/FBrf0219406)</t>
  </si>
  <si>
    <t>abdominal 5 dorsal VUM motor neuron</t>
  </si>
  <si>
    <t>abdominal 5 VUM1 neuron</t>
  </si>
  <si>
    <t>Neuromodulatory motor neuron that innervates the internal dorsal acute and oblique muscles of larval abdominal segment A5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</si>
  <si>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6 dorsal VUM motor neuron</t>
  </si>
  <si>
    <t>abdominal 6 VUM1 neuron</t>
  </si>
  <si>
    <t>Neuromodulatory motor neuron that innervates the internal dorsal acute and oblique muscles of larval abdominal segment A6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</si>
  <si>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3 dorsal VUM motor neuron</t>
  </si>
  <si>
    <t>abdominal 3 VUM1 neuron</t>
  </si>
  <si>
    <t>Neuromodulatory motor neuron that innervates the internal dorsal acute and oblique muscles of larval abdominal segment A3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</si>
  <si>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4 dorsal VUM motor neuron</t>
  </si>
  <si>
    <t>abdominal 4 VUM1 neuron</t>
  </si>
  <si>
    <t>Neuromodulatory motor neuron that innervates the internal dorsal acute and oblique muscles of larval abdominal segment A4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</si>
  <si>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1 dorsal VUM motor neuron</t>
  </si>
  <si>
    <t>abdominal 1 VUM1 neuron</t>
  </si>
  <si>
    <t>Neuromodulatory motor neuron that innervates the internal dorsal acute and oblique muscles of larval abdominal segment A1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</si>
  <si>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2 dorsal VUM motor neuron</t>
  </si>
  <si>
    <t>abdominal 2 VUM1 neuron</t>
  </si>
  <si>
    <t>Neuromodulatory motor neuron that innervates the internal dorsal acute and oblique muscles of larval abdominal segment A2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</si>
  <si>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3 lateral VUM motor neuron</t>
  </si>
  <si>
    <t>abdominal 3 VUM3 neuron</t>
  </si>
  <si>
    <t>Neuromodulatory motor neuron that innervates the lateral transverse muscles of larval abdominal segment A3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</si>
  <si>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4 lateral VUM motor neuron</t>
  </si>
  <si>
    <t>abdominal 4 VUM3 neuron</t>
  </si>
  <si>
    <t>Neuromodulatory motor neuron that innervates the lateral transverse muscles of larval abdominal segment A4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</si>
  <si>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5 lateral VUM motor neuron</t>
  </si>
  <si>
    <t>abdominal 5 VUM3 neuron</t>
  </si>
  <si>
    <t>Neuromodulatory motor neuron that innervates the lateral transverse muscles of larval abdominal segment A5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</si>
  <si>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6 lateral VUM motor neuron</t>
  </si>
  <si>
    <t>abdominal 6 VUM3 neuron</t>
  </si>
  <si>
    <t>Neuromodulatory motor neuron that innervates the lateral transverse muscles of larval abdominal segment A6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</si>
  <si>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7 lateral VUM motor neuron</t>
  </si>
  <si>
    <t>abdominal 7 VUM3 neuron</t>
  </si>
  <si>
    <t>Neuromodulatory motor neuron that innervates the lateral transverse muscles of larval abdominal segment A7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</si>
  <si>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1 ventral VUM motor neuron</t>
  </si>
  <si>
    <t>abdominal 1 VUM2 neuron</t>
  </si>
  <si>
    <t>Neuromodulatory motor neuron that innervates the internal ventral oblique and longitudinal muscles of larval abdominal segment A1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</si>
  <si>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2 ventral VUM motor neuron</t>
  </si>
  <si>
    <t>abdominal 2 VUM2 neuron</t>
  </si>
  <si>
    <t>Neuromodulatory motor neuron that innervates the internal ventral oblique and longitudinal muscles of larval abdominal segment A2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</si>
  <si>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7 dorsal VUM motor neuron</t>
  </si>
  <si>
    <t>abdominal 7 VUM1 neuron</t>
  </si>
  <si>
    <t>Neuromodulatory motor neuron that innervates the internal dorsal acute and oblique muscles of larval abdominal segment A7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</si>
  <si>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1 lateral VUM motor neuron</t>
  </si>
  <si>
    <t>abdominal 1 VUM3 neuron</t>
  </si>
  <si>
    <t>Neuromodulatory motor neuron that innervates the lateral transverse muscles of larval abdominal segment A1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</si>
  <si>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2 lateral VUM motor neuron</t>
  </si>
  <si>
    <t>abdominal 2 VUM3 neuron</t>
  </si>
  <si>
    <t>Neuromodulatory motor neuron that innervates the lateral transverse muscles of larval abdominal segment A2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</si>
  <si>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7 ventral VUM motor neuron</t>
  </si>
  <si>
    <t>abdominal 7 VUM2 neuron</t>
  </si>
  <si>
    <t>Neuromodulatory motor neuron that innervates the internal ventral oblique and longitudinal muscles of larval abdominal segment A7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</si>
  <si>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5 ventral VUM motor neuron</t>
  </si>
  <si>
    <t>abdominal 5 VUM2 neuron</t>
  </si>
  <si>
    <t>Neuromodulatory motor neuron that innervates the internal ventral oblique and longitudinal muscles of larval abdominal segment A5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</si>
  <si>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6 ventral VUM motor neuron</t>
  </si>
  <si>
    <t>abdominal 6 VUM2 neuron</t>
  </si>
  <si>
    <t>Neuromodulatory motor neuron that innervates the internal ventral oblique and longitudinal muscles of larval abdominal segment A6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</si>
  <si>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3 ventral VUM motor neuron</t>
  </si>
  <si>
    <t>abdominal 3 VUM2 neuron</t>
  </si>
  <si>
    <t>Neuromodulatory motor neuron that innervates the internal ventral oblique and longitudinal muscles of larval abdominal segment A3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</si>
  <si>
    <t>abdominal 4 ventral VUM motor neuron</t>
  </si>
  <si>
    <t>abdominal 4 VUM2 neuron</t>
  </si>
  <si>
    <t>Neuromodulatory motor neuron that innervates the internal ventral oblique and longitudinal muscles of larval abdominal segment A4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</si>
</sst>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8"/>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HYPERLINK("https://www.ebi.ac.uk/ols/ontologies/fbbt/terms?iri=http://purl.obolibrary.org/obo/FBbt_00047134","FBbt:00047134")</f>
        <v>FBbt:00047134</v>
      </c>
      <c r="B2" t="s">
        <v>9</v>
      </c>
      <c r="C2" t="s">
        <v>8</v>
      </c>
      <c r="D2" t="s">
        <v>10</v>
      </c>
      <c r="E2" t="s">
        <v>11</v>
      </c>
    </row>
    <row r="3" spans="1:8" x14ac:dyDescent="0.2">
      <c r="A3" t="str">
        <f>HYPERLINK("https://www.ebi.ac.uk/ols/ontologies/fbbt/terms?iri=http://purl.obolibrary.org/obo/FBbt_00110116","FBbt:00110116")</f>
        <v>FBbt:00110116</v>
      </c>
      <c r="B3" t="s">
        <v>12</v>
      </c>
      <c r="C3" t="s">
        <v>13</v>
      </c>
      <c r="D3" t="s">
        <v>14</v>
      </c>
      <c r="E3" t="s">
        <v>15</v>
      </c>
    </row>
    <row r="4" spans="1:8" x14ac:dyDescent="0.2">
      <c r="A4" t="str">
        <f>HYPERLINK("https://www.ebi.ac.uk/ols/ontologies/fbbt/terms?iri=http://purl.obolibrary.org/obo/FBbt_00110258","FBbt:00110258")</f>
        <v>FBbt:00110258</v>
      </c>
      <c r="B4" t="s">
        <v>16</v>
      </c>
      <c r="C4" t="s">
        <v>17</v>
      </c>
      <c r="D4" t="s">
        <v>18</v>
      </c>
      <c r="E4" t="s">
        <v>19</v>
      </c>
    </row>
    <row r="5" spans="1:8" x14ac:dyDescent="0.2">
      <c r="A5" t="str">
        <f>HYPERLINK("https://www.ebi.ac.uk/ols/ontologies/fbbt/terms?iri=http://purl.obolibrary.org/obo/FBbt_00110255","FBbt:00110255")</f>
        <v>FBbt:00110255</v>
      </c>
      <c r="B5" t="s">
        <v>20</v>
      </c>
      <c r="C5" t="s">
        <v>21</v>
      </c>
      <c r="D5" t="s">
        <v>22</v>
      </c>
      <c r="E5" t="s">
        <v>19</v>
      </c>
    </row>
    <row r="6" spans="1:8" x14ac:dyDescent="0.2">
      <c r="A6" t="str">
        <f>HYPERLINK("https://www.ebi.ac.uk/ols/ontologies/fbbt/terms?iri=http://purl.obolibrary.org/obo/FBbt_00110254","FBbt:00110254")</f>
        <v>FBbt:00110254</v>
      </c>
      <c r="B6" t="s">
        <v>23</v>
      </c>
      <c r="C6" t="s">
        <v>24</v>
      </c>
      <c r="D6" t="s">
        <v>25</v>
      </c>
      <c r="E6" t="s">
        <v>26</v>
      </c>
    </row>
    <row r="7" spans="1:8" x14ac:dyDescent="0.2">
      <c r="A7" t="str">
        <f>HYPERLINK("https://www.ebi.ac.uk/ols/ontologies/fbbt/terms?iri=http://purl.obolibrary.org/obo/FBbt_00111246","FBbt:00111246")</f>
        <v>FBbt:00111246</v>
      </c>
      <c r="B7" t="s">
        <v>27</v>
      </c>
      <c r="C7" t="s">
        <v>8</v>
      </c>
      <c r="D7" t="s">
        <v>28</v>
      </c>
      <c r="E7" t="s">
        <v>29</v>
      </c>
    </row>
    <row r="8" spans="1:8" x14ac:dyDescent="0.2">
      <c r="A8" t="str">
        <f>HYPERLINK("https://www.ebi.ac.uk/ols/ontologies/fbbt/terms?iri=http://purl.obolibrary.org/obo/FBbt_00110263","FBbt:00110263")</f>
        <v>FBbt:00110263</v>
      </c>
      <c r="B8" t="s">
        <v>30</v>
      </c>
      <c r="C8" t="s">
        <v>31</v>
      </c>
      <c r="D8" t="s">
        <v>32</v>
      </c>
      <c r="E8" t="s">
        <v>33</v>
      </c>
    </row>
    <row r="9" spans="1:8" x14ac:dyDescent="0.2">
      <c r="A9" t="str">
        <f>HYPERLINK("https://www.ebi.ac.uk/ols/ontologies/fbbt/terms?iri=http://purl.obolibrary.org/obo/FBbt_00111247","FBbt:00111247")</f>
        <v>FBbt:00111247</v>
      </c>
      <c r="B9" t="s">
        <v>34</v>
      </c>
      <c r="C9" t="s">
        <v>8</v>
      </c>
      <c r="D9" t="s">
        <v>35</v>
      </c>
      <c r="E9" t="s">
        <v>36</v>
      </c>
    </row>
    <row r="10" spans="1:8" x14ac:dyDescent="0.2">
      <c r="A10" t="str">
        <f>HYPERLINK("https://www.ebi.ac.uk/ols/ontologies/fbbt/terms?iri=http://purl.obolibrary.org/obo/FBbt_00100169","FBbt:00100169")</f>
        <v>FBbt:00100169</v>
      </c>
      <c r="B10" t="s">
        <v>37</v>
      </c>
      <c r="C10" t="s">
        <v>38</v>
      </c>
      <c r="D10" t="s">
        <v>39</v>
      </c>
      <c r="E10" t="s">
        <v>40</v>
      </c>
    </row>
    <row r="11" spans="1:8" x14ac:dyDescent="0.2">
      <c r="A11" t="str">
        <f>HYPERLINK("https://www.ebi.ac.uk/ols/ontologies/fbbt/terms?iri=http://purl.obolibrary.org/obo/FBbt_00111244","FBbt:00111244")</f>
        <v>FBbt:00111244</v>
      </c>
      <c r="B11" t="s">
        <v>41</v>
      </c>
      <c r="C11" t="s">
        <v>8</v>
      </c>
      <c r="D11" t="s">
        <v>42</v>
      </c>
      <c r="E11" t="s">
        <v>29</v>
      </c>
    </row>
    <row r="12" spans="1:8" x14ac:dyDescent="0.2">
      <c r="A12" t="str">
        <f>HYPERLINK("https://www.ebi.ac.uk/ols/ontologies/fbbt/terms?iri=http://purl.obolibrary.org/obo/FBbt_00111245","FBbt:00111245")</f>
        <v>FBbt:00111245</v>
      </c>
      <c r="B12" t="s">
        <v>43</v>
      </c>
      <c r="C12" t="s">
        <v>8</v>
      </c>
      <c r="D12" t="s">
        <v>44</v>
      </c>
      <c r="E12" t="s">
        <v>29</v>
      </c>
    </row>
    <row r="13" spans="1:8" x14ac:dyDescent="0.2">
      <c r="A13" t="str">
        <f>HYPERLINK("https://www.ebi.ac.uk/ols/ontologies/fbbt/terms?iri=http://purl.obolibrary.org/obo/FBbt_00111240","FBbt:00111240")</f>
        <v>FBbt:00111240</v>
      </c>
      <c r="B13" t="s">
        <v>45</v>
      </c>
      <c r="C13" t="s">
        <v>46</v>
      </c>
      <c r="D13" t="s">
        <v>47</v>
      </c>
      <c r="E13" t="s">
        <v>29</v>
      </c>
    </row>
    <row r="14" spans="1:8" x14ac:dyDescent="0.2">
      <c r="A14" t="str">
        <f>HYPERLINK("https://www.ebi.ac.uk/ols/ontologies/fbbt/terms?iri=http://purl.obolibrary.org/obo/FBbt_00001579","FBbt:00001579")</f>
        <v>FBbt:00001579</v>
      </c>
      <c r="B14" t="s">
        <v>48</v>
      </c>
      <c r="C14" t="s">
        <v>49</v>
      </c>
      <c r="D14" t="s">
        <v>50</v>
      </c>
      <c r="E14" t="s">
        <v>51</v>
      </c>
    </row>
    <row r="15" spans="1:8" x14ac:dyDescent="0.2">
      <c r="A15" t="str">
        <f>HYPERLINK("https://www.ebi.ac.uk/ols/ontologies/fbbt/terms?iri=http://purl.obolibrary.org/obo/FBbt_00047858","FBbt:00047858")</f>
        <v>FBbt:00047858</v>
      </c>
      <c r="B15" t="s">
        <v>52</v>
      </c>
      <c r="C15" t="s">
        <v>53</v>
      </c>
      <c r="D15" t="s">
        <v>54</v>
      </c>
      <c r="E15" t="s">
        <v>55</v>
      </c>
    </row>
    <row r="16" spans="1:8" x14ac:dyDescent="0.2">
      <c r="A16" t="str">
        <f>HYPERLINK("https://www.ebi.ac.uk/ols/ontologies/fbbt/terms?iri=http://purl.obolibrary.org/obo/FBbt_00111047","FBbt:00111047")</f>
        <v>FBbt:00111047</v>
      </c>
      <c r="B16" t="s">
        <v>56</v>
      </c>
      <c r="C16" t="s">
        <v>57</v>
      </c>
      <c r="D16" t="s">
        <v>58</v>
      </c>
      <c r="E16" t="s">
        <v>59</v>
      </c>
    </row>
    <row r="17" spans="1:5" x14ac:dyDescent="0.2">
      <c r="A17" t="str">
        <f>HYPERLINK("https://www.ebi.ac.uk/ols/ontologies/fbbt/terms?iri=http://purl.obolibrary.org/obo/FBbt_00047853","FBbt:00047853")</f>
        <v>FBbt:00047853</v>
      </c>
      <c r="B17" t="s">
        <v>60</v>
      </c>
      <c r="C17" t="s">
        <v>8</v>
      </c>
      <c r="D17" t="s">
        <v>61</v>
      </c>
      <c r="E17" t="s">
        <v>62</v>
      </c>
    </row>
    <row r="18" spans="1:5" x14ac:dyDescent="0.2">
      <c r="A18" t="str">
        <f>HYPERLINK("https://www.ebi.ac.uk/ols/ontologies/fbbt/terms?iri=http://purl.obolibrary.org/obo/FBbt_00047852","FBbt:00047852")</f>
        <v>FBbt:00047852</v>
      </c>
      <c r="B18" t="s">
        <v>63</v>
      </c>
      <c r="C18" t="s">
        <v>8</v>
      </c>
      <c r="D18" t="s">
        <v>64</v>
      </c>
      <c r="E18" t="s">
        <v>62</v>
      </c>
    </row>
    <row r="19" spans="1:5" x14ac:dyDescent="0.2">
      <c r="A19" t="str">
        <f>HYPERLINK("https://www.ebi.ac.uk/ols/ontologies/fbbt/terms?iri=http://purl.obolibrary.org/obo/FBbt_00047851","FBbt:00047851")</f>
        <v>FBbt:00047851</v>
      </c>
      <c r="B19" t="s">
        <v>65</v>
      </c>
      <c r="C19" t="s">
        <v>8</v>
      </c>
      <c r="D19" t="s">
        <v>66</v>
      </c>
      <c r="E19" t="s">
        <v>62</v>
      </c>
    </row>
    <row r="20" spans="1:5" x14ac:dyDescent="0.2">
      <c r="A20" t="str">
        <f>HYPERLINK("https://www.ebi.ac.uk/ols/ontologies/fbbt/terms?iri=http://purl.obolibrary.org/obo/FBbt_00001367","FBbt:00001367")</f>
        <v>FBbt:00001367</v>
      </c>
      <c r="B20" t="s">
        <v>67</v>
      </c>
      <c r="C20" t="s">
        <v>8</v>
      </c>
      <c r="D20" t="s">
        <v>68</v>
      </c>
      <c r="E20" t="s">
        <v>69</v>
      </c>
    </row>
    <row r="21" spans="1:5" x14ac:dyDescent="0.2">
      <c r="A21" t="str">
        <f>HYPERLINK("https://www.ebi.ac.uk/ols/ontologies/fbbt/terms?iri=http://purl.obolibrary.org/obo/FBbt_00001563","FBbt:00001563")</f>
        <v>FBbt:00001563</v>
      </c>
      <c r="B21" t="s">
        <v>70</v>
      </c>
      <c r="C21" t="s">
        <v>8</v>
      </c>
      <c r="D21" t="s">
        <v>71</v>
      </c>
      <c r="E21" t="s">
        <v>72</v>
      </c>
    </row>
    <row r="22" spans="1:5" x14ac:dyDescent="0.2">
      <c r="A22" t="str">
        <f>HYPERLINK("https://www.ebi.ac.uk/ols/ontologies/fbbt/terms?iri=http://purl.obolibrary.org/obo/FBbt_00001562","FBbt:00001562")</f>
        <v>FBbt:00001562</v>
      </c>
      <c r="B22" t="s">
        <v>73</v>
      </c>
      <c r="C22" t="s">
        <v>8</v>
      </c>
      <c r="D22" t="s">
        <v>71</v>
      </c>
      <c r="E22" t="s">
        <v>72</v>
      </c>
    </row>
    <row r="23" spans="1:5" x14ac:dyDescent="0.2">
      <c r="A23" t="str">
        <f>HYPERLINK("https://www.ebi.ac.uk/ols/ontologies/fbbt/terms?iri=http://purl.obolibrary.org/obo/FBbt_00110269","FBbt:00110269")</f>
        <v>FBbt:00110269</v>
      </c>
      <c r="B23" t="s">
        <v>74</v>
      </c>
      <c r="C23" t="s">
        <v>75</v>
      </c>
      <c r="D23" t="s">
        <v>76</v>
      </c>
      <c r="E23" t="s">
        <v>33</v>
      </c>
    </row>
    <row r="24" spans="1:5" x14ac:dyDescent="0.2">
      <c r="A24" t="str">
        <f>HYPERLINK("https://www.ebi.ac.uk/ols/ontologies/fbbt/terms?iri=http://purl.obolibrary.org/obo/FBbt_00110266","FBbt:00110266")</f>
        <v>FBbt:00110266</v>
      </c>
      <c r="B24" t="s">
        <v>77</v>
      </c>
      <c r="C24" t="s">
        <v>78</v>
      </c>
      <c r="D24" t="s">
        <v>79</v>
      </c>
      <c r="E24" t="s">
        <v>33</v>
      </c>
    </row>
    <row r="25" spans="1:5" x14ac:dyDescent="0.2">
      <c r="A25" t="str">
        <f>HYPERLINK("https://www.ebi.ac.uk/ols/ontologies/fbbt/terms?iri=http://purl.obolibrary.org/obo/FBbt_00047676","FBbt:00047676")</f>
        <v>FBbt:00047676</v>
      </c>
      <c r="B25" t="s">
        <v>80</v>
      </c>
      <c r="C25" t="s">
        <v>8</v>
      </c>
      <c r="D25" t="s">
        <v>81</v>
      </c>
      <c r="E25" t="s">
        <v>82</v>
      </c>
    </row>
    <row r="26" spans="1:5" x14ac:dyDescent="0.2">
      <c r="A26" t="str">
        <f>HYPERLINK("https://www.ebi.ac.uk/ols/ontologies/fbbt/terms?iri=http://purl.obolibrary.org/obo/FBbt_00047675","FBbt:00047675")</f>
        <v>FBbt:00047675</v>
      </c>
      <c r="B26" t="s">
        <v>83</v>
      </c>
      <c r="C26" t="s">
        <v>8</v>
      </c>
      <c r="D26" t="s">
        <v>84</v>
      </c>
      <c r="E26" t="s">
        <v>82</v>
      </c>
    </row>
    <row r="27" spans="1:5" x14ac:dyDescent="0.2">
      <c r="A27" t="str">
        <f>HYPERLINK("https://www.ebi.ac.uk/ols/ontologies/fbbt/terms?iri=http://purl.obolibrary.org/obo/FBbt_00047674","FBbt:00047674")</f>
        <v>FBbt:00047674</v>
      </c>
      <c r="B27" t="s">
        <v>85</v>
      </c>
      <c r="C27" t="s">
        <v>8</v>
      </c>
      <c r="D27" t="s">
        <v>86</v>
      </c>
      <c r="E27" t="s">
        <v>82</v>
      </c>
    </row>
    <row r="28" spans="1:5" x14ac:dyDescent="0.2">
      <c r="A28" t="str">
        <f>HYPERLINK("https://www.ebi.ac.uk/ols/ontologies/fbbt/terms?iri=http://purl.obolibrary.org/obo/FBbt_00111249","FBbt:00111249")</f>
        <v>FBbt:00111249</v>
      </c>
      <c r="B28" t="s">
        <v>87</v>
      </c>
      <c r="C28" t="s">
        <v>88</v>
      </c>
      <c r="D28" t="s">
        <v>89</v>
      </c>
      <c r="E28" t="s">
        <v>90</v>
      </c>
    </row>
    <row r="29" spans="1:5" x14ac:dyDescent="0.2">
      <c r="A29" t="str">
        <f>HYPERLINK("https://www.ebi.ac.uk/ols/ontologies/fbbt/terms?iri=http://purl.obolibrary.org/obo/FBbt_00100766","FBbt:00100766")</f>
        <v>FBbt:00100766</v>
      </c>
      <c r="B29" t="s">
        <v>91</v>
      </c>
      <c r="C29" t="s">
        <v>92</v>
      </c>
      <c r="D29" t="s">
        <v>93</v>
      </c>
      <c r="E29" t="s">
        <v>94</v>
      </c>
    </row>
    <row r="30" spans="1:5" x14ac:dyDescent="0.2">
      <c r="A30" t="str">
        <f>HYPERLINK("https://www.ebi.ac.uk/ols/ontologies/fbbt/terms?iri=http://purl.obolibrary.org/obo/FBbt_00111259","FBbt:00111259")</f>
        <v>FBbt:00111259</v>
      </c>
      <c r="B30" t="s">
        <v>95</v>
      </c>
      <c r="C30" t="s">
        <v>8</v>
      </c>
      <c r="D30" t="s">
        <v>96</v>
      </c>
      <c r="E30" t="s">
        <v>29</v>
      </c>
    </row>
    <row r="31" spans="1:5" x14ac:dyDescent="0.2">
      <c r="A31" t="str">
        <f>HYPERLINK("https://www.ebi.ac.uk/ols/ontologies/fbbt/terms?iri=http://purl.obolibrary.org/obo/FBbt_00110276","FBbt:00110276")</f>
        <v>FBbt:00110276</v>
      </c>
      <c r="B31" t="s">
        <v>97</v>
      </c>
      <c r="C31" t="s">
        <v>98</v>
      </c>
      <c r="D31" t="s">
        <v>99</v>
      </c>
      <c r="E31" t="s">
        <v>33</v>
      </c>
    </row>
    <row r="32" spans="1:5" x14ac:dyDescent="0.2">
      <c r="A32" t="str">
        <f>HYPERLINK("https://www.ebi.ac.uk/ols/ontologies/fbbt/terms?iri=http://purl.obolibrary.org/obo/FBbt_00111257","FBbt:00111257")</f>
        <v>FBbt:00111257</v>
      </c>
      <c r="B32" t="s">
        <v>100</v>
      </c>
      <c r="C32" t="s">
        <v>8</v>
      </c>
      <c r="D32" t="s">
        <v>101</v>
      </c>
      <c r="E32" t="s">
        <v>29</v>
      </c>
    </row>
    <row r="33" spans="1:5" x14ac:dyDescent="0.2">
      <c r="A33" t="str">
        <f>HYPERLINK("https://www.ebi.ac.uk/ols/ontologies/fbbt/terms?iri=http://purl.obolibrary.org/obo/FBbt_00100769","FBbt:00100769")</f>
        <v>FBbt:00100769</v>
      </c>
      <c r="B33" t="s">
        <v>102</v>
      </c>
      <c r="C33" t="s">
        <v>103</v>
      </c>
      <c r="D33" t="s">
        <v>104</v>
      </c>
      <c r="E33" t="s">
        <v>94</v>
      </c>
    </row>
    <row r="34" spans="1:5" x14ac:dyDescent="0.2">
      <c r="A34" t="str">
        <f>HYPERLINK("https://www.ebi.ac.uk/ols/ontologies/fbbt/terms?iri=http://purl.obolibrary.org/obo/FBbt_00110274","FBbt:00110274")</f>
        <v>FBbt:00110274</v>
      </c>
      <c r="B34" t="s">
        <v>105</v>
      </c>
      <c r="C34" t="s">
        <v>106</v>
      </c>
      <c r="D34" t="s">
        <v>107</v>
      </c>
      <c r="E34" t="s">
        <v>33</v>
      </c>
    </row>
    <row r="35" spans="1:5" x14ac:dyDescent="0.2">
      <c r="A35" t="str">
        <f>HYPERLINK("https://www.ebi.ac.uk/ols/ontologies/fbbt/terms?iri=http://purl.obolibrary.org/obo/FBbt_00100767","FBbt:00100767")</f>
        <v>FBbt:00100767</v>
      </c>
      <c r="B35" t="s">
        <v>108</v>
      </c>
      <c r="C35" t="s">
        <v>109</v>
      </c>
      <c r="D35" t="s">
        <v>110</v>
      </c>
      <c r="E35" t="s">
        <v>94</v>
      </c>
    </row>
    <row r="36" spans="1:5" x14ac:dyDescent="0.2">
      <c r="A36" t="str">
        <f>HYPERLINK("https://www.ebi.ac.uk/ols/ontologies/fbbt/terms?iri=http://purl.obolibrary.org/obo/FBbt_00111258","FBbt:00111258")</f>
        <v>FBbt:00111258</v>
      </c>
      <c r="B36" t="s">
        <v>111</v>
      </c>
      <c r="C36" t="s">
        <v>8</v>
      </c>
      <c r="D36" t="s">
        <v>112</v>
      </c>
      <c r="E36" t="s">
        <v>29</v>
      </c>
    </row>
    <row r="37" spans="1:5" x14ac:dyDescent="0.2">
      <c r="A37" t="str">
        <f>HYPERLINK("https://www.ebi.ac.uk/ols/ontologies/fbbt/terms?iri=http://purl.obolibrary.org/obo/FBbt_00100768","FBbt:00100768")</f>
        <v>FBbt:00100768</v>
      </c>
      <c r="B37" t="s">
        <v>113</v>
      </c>
      <c r="C37" t="s">
        <v>114</v>
      </c>
      <c r="D37" t="s">
        <v>115</v>
      </c>
      <c r="E37" t="s">
        <v>116</v>
      </c>
    </row>
    <row r="38" spans="1:5" x14ac:dyDescent="0.2">
      <c r="A38" t="str">
        <f>HYPERLINK("https://www.ebi.ac.uk/ols/ontologies/fbbt/terms?iri=http://purl.obolibrary.org/obo/FBbt_00111255","FBbt:00111255")</f>
        <v>FBbt:00111255</v>
      </c>
      <c r="B38" t="s">
        <v>117</v>
      </c>
      <c r="C38" t="s">
        <v>8</v>
      </c>
      <c r="D38" t="s">
        <v>118</v>
      </c>
      <c r="E38" t="s">
        <v>29</v>
      </c>
    </row>
    <row r="39" spans="1:5" x14ac:dyDescent="0.2">
      <c r="A39" t="str">
        <f>HYPERLINK("https://www.ebi.ac.uk/ols/ontologies/fbbt/terms?iri=http://purl.obolibrary.org/obo/FBbt_00110272","FBbt:00110272")</f>
        <v>FBbt:00110272</v>
      </c>
      <c r="B39" t="s">
        <v>119</v>
      </c>
      <c r="C39" t="s">
        <v>120</v>
      </c>
      <c r="D39" t="s">
        <v>121</v>
      </c>
      <c r="E39" t="s">
        <v>33</v>
      </c>
    </row>
    <row r="40" spans="1:5" x14ac:dyDescent="0.2">
      <c r="A40" t="str">
        <f>HYPERLINK("https://www.ebi.ac.uk/ols/ontologies/fbbt/terms?iri=http://purl.obolibrary.org/obo/FBbt_00111256","FBbt:00111256")</f>
        <v>FBbt:00111256</v>
      </c>
      <c r="B40" t="s">
        <v>122</v>
      </c>
      <c r="C40" t="s">
        <v>8</v>
      </c>
      <c r="D40" t="s">
        <v>123</v>
      </c>
      <c r="E40" t="s">
        <v>29</v>
      </c>
    </row>
    <row r="41" spans="1:5" x14ac:dyDescent="0.2">
      <c r="A41" t="str">
        <f>HYPERLINK("https://www.ebi.ac.uk/ols/ontologies/fbbt/terms?iri=http://purl.obolibrary.org/obo/FBbt_00111253","FBbt:00111253")</f>
        <v>FBbt:00111253</v>
      </c>
      <c r="B41" t="s">
        <v>124</v>
      </c>
      <c r="C41" t="s">
        <v>8</v>
      </c>
      <c r="D41" t="s">
        <v>125</v>
      </c>
      <c r="E41" t="s">
        <v>29</v>
      </c>
    </row>
    <row r="42" spans="1:5" x14ac:dyDescent="0.2">
      <c r="A42" t="str">
        <f>HYPERLINK("https://www.ebi.ac.uk/ols/ontologies/fbbt/terms?iri=http://purl.obolibrary.org/obo/FBbt_00111254","FBbt:00111254")</f>
        <v>FBbt:00111254</v>
      </c>
      <c r="B42" t="s">
        <v>126</v>
      </c>
      <c r="C42" t="s">
        <v>8</v>
      </c>
      <c r="D42" t="s">
        <v>127</v>
      </c>
      <c r="E42" t="s">
        <v>128</v>
      </c>
    </row>
    <row r="43" spans="1:5" x14ac:dyDescent="0.2">
      <c r="A43" t="str">
        <f>HYPERLINK("https://www.ebi.ac.uk/ols/ontologies/fbbt/terms?iri=http://purl.obolibrary.org/obo/FBbt_00048315","FBbt:00048315")</f>
        <v>FBbt:00048315</v>
      </c>
      <c r="B43" t="s">
        <v>129</v>
      </c>
      <c r="C43" t="s">
        <v>130</v>
      </c>
      <c r="D43" t="s">
        <v>131</v>
      </c>
      <c r="E43" t="s">
        <v>132</v>
      </c>
    </row>
    <row r="44" spans="1:5" x14ac:dyDescent="0.2">
      <c r="A44" t="str">
        <f>HYPERLINK("https://www.ebi.ac.uk/ols/ontologies/fbbt/terms?iri=http://purl.obolibrary.org/obo/FBbt_00111251","FBbt:00111251")</f>
        <v>FBbt:00111251</v>
      </c>
      <c r="B44" t="s">
        <v>133</v>
      </c>
      <c r="C44" t="s">
        <v>8</v>
      </c>
      <c r="D44" t="s">
        <v>134</v>
      </c>
      <c r="E44" t="s">
        <v>29</v>
      </c>
    </row>
    <row r="45" spans="1:5" x14ac:dyDescent="0.2">
      <c r="A45" t="str">
        <f>HYPERLINK("https://www.ebi.ac.uk/ols/ontologies/fbbt/terms?iri=http://purl.obolibrary.org/obo/FBbt_00111252","FBbt:00111252")</f>
        <v>FBbt:00111252</v>
      </c>
      <c r="B45" t="s">
        <v>135</v>
      </c>
      <c r="C45" t="s">
        <v>8</v>
      </c>
      <c r="D45" t="s">
        <v>136</v>
      </c>
      <c r="E45" t="s">
        <v>29</v>
      </c>
    </row>
    <row r="46" spans="1:5" x14ac:dyDescent="0.2">
      <c r="A46" t="str">
        <f>HYPERLINK("https://www.ebi.ac.uk/ols/ontologies/fbbt/terms?iri=http://purl.obolibrary.org/obo/FBbt_00047725","FBbt:00047725")</f>
        <v>FBbt:00047725</v>
      </c>
      <c r="B46" t="s">
        <v>137</v>
      </c>
      <c r="C46" t="s">
        <v>138</v>
      </c>
      <c r="D46" t="s">
        <v>139</v>
      </c>
      <c r="E46" t="s">
        <v>62</v>
      </c>
    </row>
    <row r="47" spans="1:5" x14ac:dyDescent="0.2">
      <c r="A47" t="str">
        <f>HYPERLINK("https://www.ebi.ac.uk/ols/ontologies/fbbt/terms?iri=http://purl.obolibrary.org/obo/FBbt_00111250","FBbt:00111250")</f>
        <v>FBbt:00111250</v>
      </c>
      <c r="B47" t="s">
        <v>140</v>
      </c>
      <c r="C47" t="s">
        <v>8</v>
      </c>
      <c r="D47" t="s">
        <v>141</v>
      </c>
      <c r="E47" t="s">
        <v>29</v>
      </c>
    </row>
    <row r="48" spans="1:5" x14ac:dyDescent="0.2">
      <c r="A48" t="str">
        <f>HYPERLINK("https://www.ebi.ac.uk/ols/ontologies/fbbt/terms?iri=http://purl.obolibrary.org/obo/FBbt_00047471","FBbt:00047471")</f>
        <v>FBbt:00047471</v>
      </c>
      <c r="B48" t="s">
        <v>142</v>
      </c>
      <c r="C48" t="s">
        <v>8</v>
      </c>
      <c r="D48" t="s">
        <v>143</v>
      </c>
      <c r="E48" t="s">
        <v>144</v>
      </c>
    </row>
    <row r="49" spans="1:5" x14ac:dyDescent="0.2">
      <c r="A49" t="str">
        <f>HYPERLINK("https://www.ebi.ac.uk/ols/ontologies/fbbt/terms?iri=http://purl.obolibrary.org/obo/FBbt_00001259","FBbt:00001259")</f>
        <v>FBbt:00001259</v>
      </c>
      <c r="B49" t="s">
        <v>145</v>
      </c>
      <c r="C49" t="s">
        <v>146</v>
      </c>
      <c r="D49" t="s">
        <v>147</v>
      </c>
      <c r="E49" t="s">
        <v>148</v>
      </c>
    </row>
    <row r="50" spans="1:5" x14ac:dyDescent="0.2">
      <c r="A50" t="str">
        <f>HYPERLINK("https://www.ebi.ac.uk/ols/ontologies/fbbt/terms?iri=http://purl.obolibrary.org/obo/FBbt_00001255","FBbt:00001255")</f>
        <v>FBbt:00001255</v>
      </c>
      <c r="B50" t="s">
        <v>149</v>
      </c>
      <c r="C50" t="s">
        <v>150</v>
      </c>
      <c r="D50" t="s">
        <v>151</v>
      </c>
      <c r="E50" t="s">
        <v>152</v>
      </c>
    </row>
    <row r="51" spans="1:5" x14ac:dyDescent="0.2">
      <c r="A51" t="str">
        <f>HYPERLINK("https://www.ebi.ac.uk/ols/ontologies/fbbt/terms?iri=http://purl.obolibrary.org/obo/FBbt_00016016","FBbt:00016016")</f>
        <v>FBbt:00016016</v>
      </c>
      <c r="B51" t="s">
        <v>153</v>
      </c>
      <c r="C51" t="s">
        <v>8</v>
      </c>
      <c r="D51" t="s">
        <v>154</v>
      </c>
    </row>
    <row r="52" spans="1:5" x14ac:dyDescent="0.2">
      <c r="A52" t="str">
        <f>HYPERLINK("https://www.ebi.ac.uk/ols/ontologies/fbbt/terms?iri=http://purl.obolibrary.org/obo/FBbt_00001458","FBbt:00001458")</f>
        <v>FBbt:00001458</v>
      </c>
      <c r="B52" t="s">
        <v>155</v>
      </c>
      <c r="C52" t="s">
        <v>8</v>
      </c>
      <c r="D52" t="s">
        <v>156</v>
      </c>
      <c r="E52" t="s">
        <v>157</v>
      </c>
    </row>
    <row r="53" spans="1:5" x14ac:dyDescent="0.2">
      <c r="A53" t="str">
        <f>HYPERLINK("https://www.ebi.ac.uk/ols/ontologies/fbbt/terms?iri=http://purl.obolibrary.org/obo/FBbt_00001451","FBbt:00001451")</f>
        <v>FBbt:00001451</v>
      </c>
      <c r="B53" t="s">
        <v>158</v>
      </c>
      <c r="C53" t="s">
        <v>8</v>
      </c>
      <c r="D53" t="s">
        <v>159</v>
      </c>
      <c r="E53" t="s">
        <v>160</v>
      </c>
    </row>
    <row r="54" spans="1:5" x14ac:dyDescent="0.2">
      <c r="A54" t="str">
        <f>HYPERLINK("https://www.ebi.ac.uk/ols/ontologies/fbbt/terms?iri=http://purl.obolibrary.org/obo/FBbt_00110278","FBbt:00110278")</f>
        <v>FBbt:00110278</v>
      </c>
      <c r="B54" t="s">
        <v>161</v>
      </c>
      <c r="C54" t="s">
        <v>162</v>
      </c>
      <c r="D54" t="s">
        <v>163</v>
      </c>
      <c r="E54" t="s">
        <v>33</v>
      </c>
    </row>
    <row r="55" spans="1:5" x14ac:dyDescent="0.2">
      <c r="A55" t="str">
        <f>HYPERLINK("https://www.ebi.ac.uk/ols/ontologies/fbbt/terms?iri=http://purl.obolibrary.org/obo/FBbt_00110289","FBbt:00110289")</f>
        <v>FBbt:00110289</v>
      </c>
      <c r="B55" t="s">
        <v>164</v>
      </c>
      <c r="C55" t="s">
        <v>165</v>
      </c>
      <c r="D55" t="s">
        <v>166</v>
      </c>
      <c r="E55" t="s">
        <v>167</v>
      </c>
    </row>
    <row r="56" spans="1:5" x14ac:dyDescent="0.2">
      <c r="A56" t="str">
        <f>HYPERLINK("https://www.ebi.ac.uk/ols/ontologies/fbbt/terms?iri=http://purl.obolibrary.org/obo/FBbt_00005134","FBbt:00005134")</f>
        <v>FBbt:00005134</v>
      </c>
      <c r="B56" t="s">
        <v>168</v>
      </c>
      <c r="C56" t="s">
        <v>169</v>
      </c>
      <c r="D56" t="s">
        <v>170</v>
      </c>
      <c r="E56" t="s">
        <v>94</v>
      </c>
    </row>
    <row r="57" spans="1:5" x14ac:dyDescent="0.2">
      <c r="A57" t="str">
        <f>HYPERLINK("https://www.ebi.ac.uk/ols/ontologies/fbbt/terms?iri=http://purl.obolibrary.org/obo/FBbt_00047682","FBbt:00047682")</f>
        <v>FBbt:00047682</v>
      </c>
      <c r="B57" t="s">
        <v>171</v>
      </c>
      <c r="C57" t="s">
        <v>8</v>
      </c>
      <c r="D57" t="s">
        <v>172</v>
      </c>
      <c r="E57" t="s">
        <v>29</v>
      </c>
    </row>
    <row r="58" spans="1:5" x14ac:dyDescent="0.2">
      <c r="A58" t="str">
        <f>HYPERLINK("https://www.ebi.ac.uk/ols/ontologies/fbbt/terms?iri=http://purl.obolibrary.org/obo/FBbt_00047202","FBbt:00047202")</f>
        <v>FBbt:00047202</v>
      </c>
      <c r="B58" t="s">
        <v>173</v>
      </c>
      <c r="C58" t="s">
        <v>8</v>
      </c>
      <c r="D58" t="s">
        <v>174</v>
      </c>
      <c r="E58" t="s">
        <v>144</v>
      </c>
    </row>
    <row r="59" spans="1:5" x14ac:dyDescent="0.2">
      <c r="A59" t="str">
        <f>HYPERLINK("https://www.ebi.ac.uk/ols/ontologies/fbbt/terms?iri=http://purl.obolibrary.org/obo/FBbt_00110284","FBbt:00110284")</f>
        <v>FBbt:00110284</v>
      </c>
      <c r="B59" t="s">
        <v>175</v>
      </c>
      <c r="C59" t="s">
        <v>176</v>
      </c>
      <c r="D59" t="s">
        <v>177</v>
      </c>
      <c r="E59" t="s">
        <v>178</v>
      </c>
    </row>
    <row r="60" spans="1:5" x14ac:dyDescent="0.2">
      <c r="A60" t="str">
        <f>HYPERLINK("https://www.ebi.ac.uk/ols/ontologies/fbbt/terms?iri=http://purl.obolibrary.org/obo/FBbt_00047681","FBbt:00047681")</f>
        <v>FBbt:00047681</v>
      </c>
      <c r="B60" t="s">
        <v>179</v>
      </c>
      <c r="C60" t="s">
        <v>8</v>
      </c>
      <c r="D60" t="s">
        <v>180</v>
      </c>
      <c r="E60" t="s">
        <v>181</v>
      </c>
    </row>
    <row r="61" spans="1:5" x14ac:dyDescent="0.2">
      <c r="A61" t="str">
        <f>HYPERLINK("https://www.ebi.ac.uk/ols/ontologies/fbbt/terms?iri=http://purl.obolibrary.org/obo/FBbt_00110285","FBbt:00110285")</f>
        <v>FBbt:00110285</v>
      </c>
      <c r="B61" t="s">
        <v>182</v>
      </c>
      <c r="C61" t="s">
        <v>183</v>
      </c>
      <c r="D61" t="s">
        <v>184</v>
      </c>
      <c r="E61" t="s">
        <v>185</v>
      </c>
    </row>
    <row r="62" spans="1:5" x14ac:dyDescent="0.2">
      <c r="A62" t="str">
        <f>HYPERLINK("https://www.ebi.ac.uk/ols/ontologies/fbbt/terms?iri=http://purl.obolibrary.org/obo/FBbt_00110281","FBbt:00110281")</f>
        <v>FBbt:00110281</v>
      </c>
      <c r="B62" t="s">
        <v>186</v>
      </c>
      <c r="C62" t="s">
        <v>187</v>
      </c>
      <c r="D62" t="s">
        <v>188</v>
      </c>
      <c r="E62" t="s">
        <v>33</v>
      </c>
    </row>
    <row r="63" spans="1:5" x14ac:dyDescent="0.2">
      <c r="A63" t="str">
        <f>HYPERLINK("https://www.ebi.ac.uk/ols/ontologies/fbbt/terms?iri=http://purl.obolibrary.org/obo/FBbt_00110928","FBbt:00110928")</f>
        <v>FBbt:00110928</v>
      </c>
      <c r="B63" t="s">
        <v>189</v>
      </c>
      <c r="C63" t="s">
        <v>190</v>
      </c>
      <c r="D63" t="s">
        <v>191</v>
      </c>
      <c r="E63" t="s">
        <v>192</v>
      </c>
    </row>
    <row r="64" spans="1:5" x14ac:dyDescent="0.2">
      <c r="A64" t="str">
        <f>HYPERLINK("https://www.ebi.ac.uk/ols/ontologies/fbbt/terms?iri=http://purl.obolibrary.org/obo/FBbt_00001517","FBbt:00001517")</f>
        <v>FBbt:00001517</v>
      </c>
      <c r="B64" t="s">
        <v>193</v>
      </c>
      <c r="C64" t="s">
        <v>8</v>
      </c>
      <c r="D64" t="s">
        <v>194</v>
      </c>
      <c r="E64" t="s">
        <v>195</v>
      </c>
    </row>
    <row r="65" spans="1:5" x14ac:dyDescent="0.2">
      <c r="A65" t="str">
        <f>HYPERLINK("https://www.ebi.ac.uk/ols/ontologies/fbbt/terms?iri=http://purl.obolibrary.org/obo/FBbt_00047738","FBbt:00047738")</f>
        <v>FBbt:00047738</v>
      </c>
      <c r="B65" t="s">
        <v>196</v>
      </c>
      <c r="C65" t="s">
        <v>8</v>
      </c>
      <c r="D65" t="s">
        <v>197</v>
      </c>
      <c r="E65" t="s">
        <v>198</v>
      </c>
    </row>
    <row r="66" spans="1:5" x14ac:dyDescent="0.2">
      <c r="A66" t="str">
        <f>HYPERLINK("https://www.ebi.ac.uk/ols/ontologies/fbbt/terms?iri=http://purl.obolibrary.org/obo/FBbt_00111658","FBbt:00111658")</f>
        <v>FBbt:00111658</v>
      </c>
      <c r="B66" t="s">
        <v>199</v>
      </c>
      <c r="C66" t="s">
        <v>8</v>
      </c>
      <c r="D66" t="s">
        <v>200</v>
      </c>
      <c r="E66" t="s">
        <v>201</v>
      </c>
    </row>
    <row r="67" spans="1:5" x14ac:dyDescent="0.2">
      <c r="A67" t="str">
        <f>HYPERLINK("https://www.ebi.ac.uk/ols/ontologies/fbbt/terms?iri=http://purl.obolibrary.org/obo/FBbt_00111262","FBbt:00111262")</f>
        <v>FBbt:00111262</v>
      </c>
      <c r="B67" t="s">
        <v>202</v>
      </c>
      <c r="C67" t="s">
        <v>8</v>
      </c>
      <c r="D67" t="s">
        <v>203</v>
      </c>
      <c r="E67" t="s">
        <v>29</v>
      </c>
    </row>
    <row r="68" spans="1:5" x14ac:dyDescent="0.2">
      <c r="A68" t="str">
        <f>HYPERLINK("https://www.ebi.ac.uk/ols/ontologies/fbbt/terms?iri=http://purl.obolibrary.org/obo/FBbt_00111657","FBbt:00111657")</f>
        <v>FBbt:00111657</v>
      </c>
      <c r="B68" t="s">
        <v>204</v>
      </c>
      <c r="C68" t="s">
        <v>8</v>
      </c>
      <c r="D68" t="s">
        <v>205</v>
      </c>
      <c r="E68" t="s">
        <v>201</v>
      </c>
    </row>
    <row r="69" spans="1:5" x14ac:dyDescent="0.2">
      <c r="A69" t="str">
        <f>HYPERLINK("https://www.ebi.ac.uk/ols/ontologies/fbbt/terms?iri=http://purl.obolibrary.org/obo/FBbt_00111659","FBbt:00111659")</f>
        <v>FBbt:00111659</v>
      </c>
      <c r="B69" t="s">
        <v>206</v>
      </c>
      <c r="C69" t="s">
        <v>207</v>
      </c>
      <c r="D69" t="s">
        <v>208</v>
      </c>
      <c r="E69" t="s">
        <v>201</v>
      </c>
    </row>
    <row r="70" spans="1:5" x14ac:dyDescent="0.2">
      <c r="A70" t="str">
        <f>HYPERLINK("https://www.ebi.ac.uk/ols/ontologies/fbbt/terms?iri=http://purl.obolibrary.org/obo/FBbt_00111263","FBbt:00111263")</f>
        <v>FBbt:00111263</v>
      </c>
      <c r="B70" t="s">
        <v>209</v>
      </c>
      <c r="C70" t="s">
        <v>8</v>
      </c>
      <c r="D70" t="s">
        <v>210</v>
      </c>
      <c r="E70" t="s">
        <v>29</v>
      </c>
    </row>
    <row r="71" spans="1:5" x14ac:dyDescent="0.2">
      <c r="A71" t="str">
        <f>HYPERLINK("https://www.ebi.ac.uk/ols/ontologies/fbbt/terms?iri=http://purl.obolibrary.org/obo/FBbt_00001513","FBbt:00001513")</f>
        <v>FBbt:00001513</v>
      </c>
      <c r="B71" t="s">
        <v>211</v>
      </c>
      <c r="C71" t="s">
        <v>8</v>
      </c>
      <c r="D71" t="s">
        <v>212</v>
      </c>
      <c r="E71" t="s">
        <v>157</v>
      </c>
    </row>
    <row r="72" spans="1:5" x14ac:dyDescent="0.2">
      <c r="A72" t="str">
        <f>HYPERLINK("https://www.ebi.ac.uk/ols/ontologies/fbbt/terms?iri=http://purl.obolibrary.org/obo/FBbt_00111261","FBbt:00111261")</f>
        <v>FBbt:00111261</v>
      </c>
      <c r="B72" t="s">
        <v>213</v>
      </c>
      <c r="C72" t="s">
        <v>8</v>
      </c>
      <c r="D72" t="s">
        <v>214</v>
      </c>
      <c r="E72" t="s">
        <v>29</v>
      </c>
    </row>
    <row r="73" spans="1:5" x14ac:dyDescent="0.2">
      <c r="A73" t="str">
        <f>HYPERLINK("https://www.ebi.ac.uk/ols/ontologies/fbbt/terms?iri=http://purl.obolibrary.org/obo/FBbt_00111656","FBbt:00111656")</f>
        <v>FBbt:00111656</v>
      </c>
      <c r="B73" t="s">
        <v>215</v>
      </c>
      <c r="C73" t="s">
        <v>8</v>
      </c>
      <c r="D73" t="s">
        <v>216</v>
      </c>
      <c r="E73" t="s">
        <v>201</v>
      </c>
    </row>
    <row r="74" spans="1:5" x14ac:dyDescent="0.2">
      <c r="A74" t="str">
        <f>HYPERLINK("https://www.ebi.ac.uk/ols/ontologies/fbbt/terms?iri=http://purl.obolibrary.org/obo/FBbt_00111260","FBbt:00111260")</f>
        <v>FBbt:00111260</v>
      </c>
      <c r="B74" t="s">
        <v>217</v>
      </c>
      <c r="C74" t="s">
        <v>8</v>
      </c>
      <c r="D74" t="s">
        <v>218</v>
      </c>
      <c r="E74" t="s">
        <v>29</v>
      </c>
    </row>
    <row r="75" spans="1:5" x14ac:dyDescent="0.2">
      <c r="A75" t="str">
        <f>HYPERLINK("https://www.ebi.ac.uk/ols/ontologies/fbbt/terms?iri=http://purl.obolibrary.org/obo/FBbt_00001510","FBbt:00001510")</f>
        <v>FBbt:00001510</v>
      </c>
      <c r="B75" t="s">
        <v>219</v>
      </c>
      <c r="C75" t="s">
        <v>8</v>
      </c>
      <c r="D75" t="s">
        <v>220</v>
      </c>
      <c r="E75" t="s">
        <v>157</v>
      </c>
    </row>
    <row r="76" spans="1:5" x14ac:dyDescent="0.2">
      <c r="A76" t="str">
        <f>HYPERLINK("https://www.ebi.ac.uk/ols/ontologies/fbbt/terms?iri=http://purl.obolibrary.org/obo/FBbt_00001582","FBbt:00001582")</f>
        <v>FBbt:00001582</v>
      </c>
      <c r="B76" t="s">
        <v>221</v>
      </c>
      <c r="C76" t="s">
        <v>8</v>
      </c>
      <c r="D76" t="s">
        <v>222</v>
      </c>
      <c r="E76" t="s">
        <v>223</v>
      </c>
    </row>
    <row r="77" spans="1:5" x14ac:dyDescent="0.2">
      <c r="A77" t="str">
        <f>HYPERLINK("https://www.ebi.ac.uk/ols/ontologies/fbbt/terms?iri=http://purl.obolibrary.org/obo/FBbt_00006047","FBbt:00006047")</f>
        <v>FBbt:00006047</v>
      </c>
      <c r="B77" t="s">
        <v>224</v>
      </c>
      <c r="C77" t="s">
        <v>8</v>
      </c>
      <c r="D77" t="s">
        <v>225</v>
      </c>
      <c r="E77" t="s">
        <v>226</v>
      </c>
    </row>
    <row r="78" spans="1:5" x14ac:dyDescent="0.2">
      <c r="A78" t="str">
        <f>HYPERLINK("https://www.ebi.ac.uk/ols/ontologies/fbbt/terms?iri=http://purl.obolibrary.org/obo/FBbt_00111665","FBbt:00111665")</f>
        <v>FBbt:00111665</v>
      </c>
      <c r="B78" t="s">
        <v>227</v>
      </c>
      <c r="C78" t="s">
        <v>8</v>
      </c>
      <c r="D78" t="s">
        <v>228</v>
      </c>
      <c r="E78" t="s">
        <v>229</v>
      </c>
    </row>
    <row r="79" spans="1:5" x14ac:dyDescent="0.2">
      <c r="A79" t="str">
        <f>HYPERLINK("https://www.ebi.ac.uk/ols/ontologies/fbbt/terms?iri=http://purl.obolibrary.org/obo/FBbt_00111660","FBbt:00111660")</f>
        <v>FBbt:00111660</v>
      </c>
      <c r="B79" t="s">
        <v>230</v>
      </c>
      <c r="C79" t="s">
        <v>231</v>
      </c>
      <c r="D79" t="s">
        <v>232</v>
      </c>
      <c r="E79" t="s">
        <v>201</v>
      </c>
    </row>
    <row r="80" spans="1:5" x14ac:dyDescent="0.2">
      <c r="A80" t="str">
        <f>HYPERLINK("https://www.ebi.ac.uk/ols/ontologies/fbbt/terms?iri=http://purl.obolibrary.org/obo/FBbt_00111327","FBbt:00111327")</f>
        <v>FBbt:00111327</v>
      </c>
      <c r="B80" t="s">
        <v>233</v>
      </c>
      <c r="C80" t="s">
        <v>234</v>
      </c>
      <c r="D80" t="s">
        <v>235</v>
      </c>
      <c r="E80" t="s">
        <v>236</v>
      </c>
    </row>
    <row r="81" spans="1:5" x14ac:dyDescent="0.2">
      <c r="A81" t="str">
        <f>HYPERLINK("https://www.ebi.ac.uk/ols/ontologies/fbbt/terms?iri=http://purl.obolibrary.org/obo/FBbt_00100390","FBbt:00100390")</f>
        <v>FBbt:00100390</v>
      </c>
      <c r="B81" t="s">
        <v>237</v>
      </c>
      <c r="C81" t="s">
        <v>238</v>
      </c>
      <c r="D81" t="s">
        <v>239</v>
      </c>
      <c r="E81" t="s">
        <v>240</v>
      </c>
    </row>
    <row r="82" spans="1:5" x14ac:dyDescent="0.2">
      <c r="A82" t="str">
        <f>HYPERLINK("https://www.ebi.ac.uk/ols/ontologies/fbbt/terms?iri=http://purl.obolibrary.org/obo/FBbt_00047556","FBbt:00047556")</f>
        <v>FBbt:00047556</v>
      </c>
      <c r="B82" t="s">
        <v>241</v>
      </c>
      <c r="C82" t="s">
        <v>242</v>
      </c>
      <c r="D82" t="s">
        <v>243</v>
      </c>
      <c r="E82" t="s">
        <v>244</v>
      </c>
    </row>
    <row r="83" spans="1:5" x14ac:dyDescent="0.2">
      <c r="A83" t="str">
        <f>HYPERLINK("https://www.ebi.ac.uk/ols/ontologies/fbbt/terms?iri=http://purl.obolibrary.org/obo/FBbt_00047555","FBbt:00047555")</f>
        <v>FBbt:00047555</v>
      </c>
      <c r="B83" t="s">
        <v>245</v>
      </c>
      <c r="C83" t="s">
        <v>246</v>
      </c>
      <c r="D83" t="s">
        <v>247</v>
      </c>
      <c r="E83" t="s">
        <v>248</v>
      </c>
    </row>
    <row r="84" spans="1:5" x14ac:dyDescent="0.2">
      <c r="A84" t="str">
        <f>HYPERLINK("https://www.ebi.ac.uk/ols/ontologies/fbbt/terms?iri=http://purl.obolibrary.org/obo/FBbt_00047553","FBbt:00047553")</f>
        <v>FBbt:00047553</v>
      </c>
      <c r="B84" t="s">
        <v>249</v>
      </c>
      <c r="C84" t="s">
        <v>250</v>
      </c>
      <c r="D84" t="s">
        <v>251</v>
      </c>
      <c r="E84" t="s">
        <v>248</v>
      </c>
    </row>
    <row r="85" spans="1:5" x14ac:dyDescent="0.2">
      <c r="A85" t="str">
        <f>HYPERLINK("https://www.ebi.ac.uk/ols/ontologies/fbbt/terms?iri=http://purl.obolibrary.org/obo/FBbt_00047217","FBbt:00047217")</f>
        <v>FBbt:00047217</v>
      </c>
      <c r="B85" t="s">
        <v>252</v>
      </c>
      <c r="C85" t="s">
        <v>253</v>
      </c>
      <c r="D85" t="s">
        <v>254</v>
      </c>
      <c r="E85" t="s">
        <v>255</v>
      </c>
    </row>
    <row r="86" spans="1:5" x14ac:dyDescent="0.2">
      <c r="A86" t="str">
        <f>HYPERLINK("https://www.ebi.ac.uk/ols/ontologies/fbbt/terms?iri=http://purl.obolibrary.org/obo/FBbt_00047800","FBbt:00047800")</f>
        <v>FBbt:00047800</v>
      </c>
      <c r="B86" t="s">
        <v>256</v>
      </c>
      <c r="C86" t="s">
        <v>8</v>
      </c>
      <c r="D86" t="s">
        <v>257</v>
      </c>
      <c r="E86" t="s">
        <v>258</v>
      </c>
    </row>
    <row r="87" spans="1:5" x14ac:dyDescent="0.2">
      <c r="A87" t="str">
        <f>HYPERLINK("https://www.ebi.ac.uk/ols/ontologies/fbbt/terms?iri=http://purl.obolibrary.org/obo/FBbt_00001449","FBbt:00001449")</f>
        <v>FBbt:00001449</v>
      </c>
      <c r="B87" t="s">
        <v>259</v>
      </c>
      <c r="C87" t="s">
        <v>260</v>
      </c>
      <c r="D87" t="s">
        <v>261</v>
      </c>
      <c r="E87" t="s">
        <v>262</v>
      </c>
    </row>
    <row r="88" spans="1:5" x14ac:dyDescent="0.2">
      <c r="A88" t="str">
        <f>HYPERLINK("https://www.ebi.ac.uk/ols/ontologies/fbbt/terms?iri=http://purl.obolibrary.org/obo/FBbt_00110880","FBbt:00110880")</f>
        <v>FBbt:00110880</v>
      </c>
      <c r="B88" t="s">
        <v>263</v>
      </c>
      <c r="C88" t="s">
        <v>264</v>
      </c>
      <c r="D88" t="s">
        <v>265</v>
      </c>
      <c r="E88" t="s">
        <v>266</v>
      </c>
    </row>
    <row r="89" spans="1:5" x14ac:dyDescent="0.2">
      <c r="A89" t="str">
        <f>HYPERLINK("https://www.ebi.ac.uk/ols/ontologies/fbbt/terms?iri=http://purl.obolibrary.org/obo/FBbt_00001448","FBbt:00001448")</f>
        <v>FBbt:00001448</v>
      </c>
      <c r="B89" t="s">
        <v>267</v>
      </c>
      <c r="C89" t="s">
        <v>268</v>
      </c>
      <c r="D89" t="s">
        <v>269</v>
      </c>
      <c r="E89" t="s">
        <v>270</v>
      </c>
    </row>
    <row r="90" spans="1:5" x14ac:dyDescent="0.2">
      <c r="A90" t="str">
        <f>HYPERLINK("https://www.ebi.ac.uk/ols/ontologies/fbbt/terms?iri=http://purl.obolibrary.org/obo/FBbt_00001302","FBbt:00001302")</f>
        <v>FBbt:00001302</v>
      </c>
      <c r="B90" t="s">
        <v>271</v>
      </c>
      <c r="C90" t="s">
        <v>272</v>
      </c>
      <c r="D90" t="s">
        <v>273</v>
      </c>
      <c r="E90" t="s">
        <v>274</v>
      </c>
    </row>
    <row r="91" spans="1:5" x14ac:dyDescent="0.2">
      <c r="A91" t="str">
        <f>HYPERLINK("https://www.ebi.ac.uk/ols/ontologies/fbbt/terms?iri=http://purl.obolibrary.org/obo/FBbt_00001301","FBbt:00001301")</f>
        <v>FBbt:00001301</v>
      </c>
      <c r="B91" t="s">
        <v>275</v>
      </c>
      <c r="C91" t="s">
        <v>276</v>
      </c>
      <c r="D91" t="s">
        <v>277</v>
      </c>
      <c r="E91" t="s">
        <v>274</v>
      </c>
    </row>
    <row r="92" spans="1:5" x14ac:dyDescent="0.2">
      <c r="A92" t="str">
        <f>HYPERLINK("https://www.ebi.ac.uk/ols/ontologies/fbbt/terms?iri=http://purl.obolibrary.org/obo/FBbt_00001447","FBbt:00001447")</f>
        <v>FBbt:00001447</v>
      </c>
      <c r="B92" t="s">
        <v>278</v>
      </c>
      <c r="C92" t="s">
        <v>279</v>
      </c>
      <c r="D92" t="s">
        <v>280</v>
      </c>
      <c r="E92" t="s">
        <v>281</v>
      </c>
    </row>
    <row r="93" spans="1:5" x14ac:dyDescent="0.2">
      <c r="A93" t="str">
        <f>HYPERLINK("https://www.ebi.ac.uk/ols/ontologies/fbbt/terms?iri=http://purl.obolibrary.org/obo/FBbt_00001300","FBbt:00001300")</f>
        <v>FBbt:00001300</v>
      </c>
      <c r="B93" t="s">
        <v>282</v>
      </c>
      <c r="C93" t="s">
        <v>283</v>
      </c>
      <c r="D93" t="s">
        <v>284</v>
      </c>
      <c r="E93" t="s">
        <v>274</v>
      </c>
    </row>
    <row r="94" spans="1:5" x14ac:dyDescent="0.2">
      <c r="A94" t="str">
        <f>HYPERLINK("https://www.ebi.ac.uk/ols/ontologies/fbbt/terms?iri=http://purl.obolibrary.org/obo/FBbt_00001503","FBbt:00001503")</f>
        <v>FBbt:00001503</v>
      </c>
      <c r="B94" t="s">
        <v>285</v>
      </c>
      <c r="C94" t="s">
        <v>8</v>
      </c>
      <c r="D94" t="s">
        <v>286</v>
      </c>
      <c r="E94" t="s">
        <v>287</v>
      </c>
    </row>
    <row r="95" spans="1:5" x14ac:dyDescent="0.2">
      <c r="A95" t="str">
        <f>HYPERLINK("https://www.ebi.ac.uk/ols/ontologies/fbbt/terms?iri=http://purl.obolibrary.org/obo/FBbt_00001500","FBbt:00001500")</f>
        <v>FBbt:00001500</v>
      </c>
      <c r="B95" t="s">
        <v>288</v>
      </c>
      <c r="C95" t="s">
        <v>8</v>
      </c>
      <c r="D95" t="s">
        <v>289</v>
      </c>
      <c r="E95" t="s">
        <v>157</v>
      </c>
    </row>
    <row r="96" spans="1:5" x14ac:dyDescent="0.2">
      <c r="A96" t="str">
        <f>HYPERLINK("https://www.ebi.ac.uk/ols/ontologies/fbbt/terms?iri=http://purl.obolibrary.org/obo/FBbt_00111668","FBbt:00111668")</f>
        <v>FBbt:00111668</v>
      </c>
      <c r="B96" t="s">
        <v>290</v>
      </c>
      <c r="C96" t="s">
        <v>8</v>
      </c>
      <c r="D96" t="s">
        <v>291</v>
      </c>
      <c r="E96" t="s">
        <v>292</v>
      </c>
    </row>
    <row r="97" spans="1:5" x14ac:dyDescent="0.2">
      <c r="A97" t="str">
        <f>HYPERLINK("https://www.ebi.ac.uk/ols/ontologies/fbbt/terms?iri=http://purl.obolibrary.org/obo/FBbt_00111669","FBbt:00111669")</f>
        <v>FBbt:00111669</v>
      </c>
      <c r="B97" t="s">
        <v>293</v>
      </c>
      <c r="C97" t="s">
        <v>8</v>
      </c>
      <c r="D97" t="s">
        <v>294</v>
      </c>
      <c r="E97" t="s">
        <v>229</v>
      </c>
    </row>
    <row r="98" spans="1:5" x14ac:dyDescent="0.2">
      <c r="A98" t="str">
        <f>HYPERLINK("https://www.ebi.ac.uk/ols/ontologies/fbbt/terms?iri=http://purl.obolibrary.org/obo/FBbt_00111666","FBbt:00111666")</f>
        <v>FBbt:00111666</v>
      </c>
      <c r="B98" t="s">
        <v>295</v>
      </c>
      <c r="C98" t="s">
        <v>8</v>
      </c>
      <c r="D98" t="s">
        <v>296</v>
      </c>
      <c r="E98" t="s">
        <v>297</v>
      </c>
    </row>
    <row r="99" spans="1:5" x14ac:dyDescent="0.2">
      <c r="A99" t="str">
        <f>HYPERLINK("https://www.ebi.ac.uk/ols/ontologies/fbbt/terms?iri=http://purl.obolibrary.org/obo/FBbt_00110349","FBbt:00110349")</f>
        <v>FBbt:00110349</v>
      </c>
      <c r="B99" t="s">
        <v>298</v>
      </c>
      <c r="C99" t="s">
        <v>299</v>
      </c>
      <c r="D99" t="s">
        <v>300</v>
      </c>
      <c r="E99" t="s">
        <v>301</v>
      </c>
    </row>
    <row r="100" spans="1:5" x14ac:dyDescent="0.2">
      <c r="A100" t="str">
        <f>HYPERLINK("https://www.ebi.ac.uk/ols/ontologies/fbbt/terms?iri=http://purl.obolibrary.org/obo/FBbt_00111667","FBbt:00111667")</f>
        <v>FBbt:00111667</v>
      </c>
      <c r="B100" t="s">
        <v>302</v>
      </c>
      <c r="C100" t="s">
        <v>8</v>
      </c>
      <c r="D100" t="s">
        <v>303</v>
      </c>
      <c r="E100" t="s">
        <v>229</v>
      </c>
    </row>
    <row r="101" spans="1:5" x14ac:dyDescent="0.2">
      <c r="A101" t="str">
        <f>HYPERLINK("https://www.ebi.ac.uk/ols/ontologies/fbbt/terms?iri=http://purl.obolibrary.org/obo/FBbt_00111677","FBbt:00111677")</f>
        <v>FBbt:00111677</v>
      </c>
      <c r="B101" t="s">
        <v>304</v>
      </c>
      <c r="C101" t="s">
        <v>8</v>
      </c>
      <c r="D101" t="s">
        <v>305</v>
      </c>
      <c r="E101" t="s">
        <v>306</v>
      </c>
    </row>
    <row r="102" spans="1:5" x14ac:dyDescent="0.2">
      <c r="A102" t="str">
        <f>HYPERLINK("https://www.ebi.ac.uk/ols/ontologies/fbbt/terms?iri=http://purl.obolibrary.org/obo/FBbt_00001475","FBbt:00001475")</f>
        <v>FBbt:00001475</v>
      </c>
      <c r="B102" t="s">
        <v>307</v>
      </c>
      <c r="C102" t="s">
        <v>8</v>
      </c>
      <c r="D102" t="s">
        <v>308</v>
      </c>
      <c r="E102" t="s">
        <v>195</v>
      </c>
    </row>
    <row r="103" spans="1:5" x14ac:dyDescent="0.2">
      <c r="A103" t="str">
        <f>HYPERLINK("https://www.ebi.ac.uk/ols/ontologies/fbbt/terms?iri=http://purl.obolibrary.org/obo/FBbt_00111678","FBbt:00111678")</f>
        <v>FBbt:00111678</v>
      </c>
      <c r="B103" t="s">
        <v>309</v>
      </c>
      <c r="C103" t="s">
        <v>8</v>
      </c>
      <c r="D103" t="s">
        <v>310</v>
      </c>
      <c r="E103" t="s">
        <v>306</v>
      </c>
    </row>
    <row r="104" spans="1:5" x14ac:dyDescent="0.2">
      <c r="A104" t="str">
        <f>HYPERLINK("https://www.ebi.ac.uk/ols/ontologies/fbbt/terms?iri=http://purl.obolibrary.org/obo/FBbt_00047766","FBbt:00047766")</f>
        <v>FBbt:00047766</v>
      </c>
      <c r="B104" t="s">
        <v>311</v>
      </c>
      <c r="C104" t="s">
        <v>312</v>
      </c>
      <c r="D104" t="s">
        <v>313</v>
      </c>
      <c r="E104" t="s">
        <v>314</v>
      </c>
    </row>
    <row r="105" spans="1:5" x14ac:dyDescent="0.2">
      <c r="A105" t="str">
        <f>HYPERLINK("https://www.ebi.ac.uk/ols/ontologies/fbbt/terms?iri=http://purl.obolibrary.org/obo/FBbt_00047765","FBbt:00047765")</f>
        <v>FBbt:00047765</v>
      </c>
      <c r="B105" t="s">
        <v>315</v>
      </c>
      <c r="C105" t="s">
        <v>316</v>
      </c>
      <c r="D105" t="s">
        <v>317</v>
      </c>
      <c r="E105" t="s">
        <v>314</v>
      </c>
    </row>
    <row r="106" spans="1:5" x14ac:dyDescent="0.2">
      <c r="A106" t="str">
        <f>HYPERLINK("https://www.ebi.ac.uk/ols/ontologies/fbbt/terms?iri=http://purl.obolibrary.org/obo/FBbt_00001472","FBbt:00001472")</f>
        <v>FBbt:00001472</v>
      </c>
      <c r="B106" t="s">
        <v>318</v>
      </c>
      <c r="C106" t="s">
        <v>8</v>
      </c>
      <c r="D106" t="s">
        <v>319</v>
      </c>
      <c r="E106" t="s">
        <v>195</v>
      </c>
    </row>
    <row r="107" spans="1:5" x14ac:dyDescent="0.2">
      <c r="A107" t="str">
        <f>HYPERLINK("https://www.ebi.ac.uk/ols/ontologies/fbbt/terms?iri=http://purl.obolibrary.org/obo/FBbt_00047764","FBbt:00047764")</f>
        <v>FBbt:00047764</v>
      </c>
      <c r="B107" t="s">
        <v>320</v>
      </c>
      <c r="C107" t="s">
        <v>321</v>
      </c>
      <c r="D107" t="s">
        <v>322</v>
      </c>
      <c r="E107" t="s">
        <v>314</v>
      </c>
    </row>
    <row r="108" spans="1:5" x14ac:dyDescent="0.2">
      <c r="A108" t="str">
        <f>HYPERLINK("https://www.ebi.ac.uk/ols/ontologies/fbbt/terms?iri=http://purl.obolibrary.org/obo/FBbt_00111674","FBbt:00111674")</f>
        <v>FBbt:00111674</v>
      </c>
      <c r="B108" t="s">
        <v>323</v>
      </c>
      <c r="C108" t="s">
        <v>324</v>
      </c>
      <c r="D108" t="s">
        <v>325</v>
      </c>
      <c r="E108" t="s">
        <v>306</v>
      </c>
    </row>
    <row r="109" spans="1:5" x14ac:dyDescent="0.2">
      <c r="A109" t="str">
        <f>HYPERLINK("https://www.ebi.ac.uk/ols/ontologies/fbbt/terms?iri=http://purl.obolibrary.org/obo/FBbt_00110353","FBbt:00110353")</f>
        <v>FBbt:00110353</v>
      </c>
      <c r="B109" t="s">
        <v>326</v>
      </c>
      <c r="C109" t="s">
        <v>327</v>
      </c>
      <c r="D109" t="s">
        <v>328</v>
      </c>
      <c r="E109" t="s">
        <v>301</v>
      </c>
    </row>
    <row r="110" spans="1:5" x14ac:dyDescent="0.2">
      <c r="A110" t="str">
        <f>HYPERLINK("https://www.ebi.ac.uk/ols/ontologies/fbbt/terms?iri=http://purl.obolibrary.org/obo/FBbt_00111729","FBbt:00111729")</f>
        <v>FBbt:00111729</v>
      </c>
      <c r="B110" t="s">
        <v>329</v>
      </c>
      <c r="C110" t="s">
        <v>330</v>
      </c>
      <c r="D110" t="s">
        <v>331</v>
      </c>
      <c r="E110" t="s">
        <v>332</v>
      </c>
    </row>
    <row r="111" spans="1:5" x14ac:dyDescent="0.2">
      <c r="A111" t="str">
        <f>HYPERLINK("https://www.ebi.ac.uk/ols/ontologies/fbbt/terms?iri=http://purl.obolibrary.org/obo/FBbt_00047819","FBbt:00047819")</f>
        <v>FBbt:00047819</v>
      </c>
      <c r="B111" t="s">
        <v>333</v>
      </c>
      <c r="C111" t="s">
        <v>334</v>
      </c>
      <c r="D111" t="s">
        <v>335</v>
      </c>
      <c r="E111" t="s">
        <v>258</v>
      </c>
    </row>
    <row r="112" spans="1:5" x14ac:dyDescent="0.2">
      <c r="A112" t="str">
        <f>HYPERLINK("https://www.ebi.ac.uk/ols/ontologies/fbbt/terms?iri=http://purl.obolibrary.org/obo/FBbt_00111331","FBbt:00111331")</f>
        <v>FBbt:00111331</v>
      </c>
      <c r="B112" t="s">
        <v>336</v>
      </c>
      <c r="C112" t="s">
        <v>234</v>
      </c>
      <c r="D112" t="s">
        <v>337</v>
      </c>
      <c r="E112" t="s">
        <v>236</v>
      </c>
    </row>
    <row r="113" spans="1:5" x14ac:dyDescent="0.2">
      <c r="A113" t="str">
        <f>HYPERLINK("https://www.ebi.ac.uk/ols/ontologies/fbbt/terms?iri=http://purl.obolibrary.org/obo/FBbt_00002311","FBbt:00002311")</f>
        <v>FBbt:00002311</v>
      </c>
      <c r="B113" t="s">
        <v>338</v>
      </c>
      <c r="C113" t="s">
        <v>339</v>
      </c>
      <c r="D113" t="s">
        <v>340</v>
      </c>
      <c r="E113" t="s">
        <v>341</v>
      </c>
    </row>
    <row r="114" spans="1:5" x14ac:dyDescent="0.2">
      <c r="A114" t="str">
        <f>HYPERLINK("https://www.ebi.ac.uk/ols/ontologies/fbbt/terms?iri=http://purl.obolibrary.org/obo/FBbt_00001479","FBbt:00001479")</f>
        <v>FBbt:00001479</v>
      </c>
      <c r="B114" t="s">
        <v>342</v>
      </c>
      <c r="C114" t="s">
        <v>8</v>
      </c>
      <c r="D114" t="s">
        <v>343</v>
      </c>
      <c r="E114" t="s">
        <v>157</v>
      </c>
    </row>
    <row r="115" spans="1:5" x14ac:dyDescent="0.2">
      <c r="A115" t="str">
        <f>HYPERLINK("https://www.ebi.ac.uk/ols/ontologies/fbbt/terms?iri=http://purl.obolibrary.org/obo/FBbt_00047818","FBbt:00047818")</f>
        <v>FBbt:00047818</v>
      </c>
      <c r="B115" t="s">
        <v>344</v>
      </c>
      <c r="C115" t="s">
        <v>345</v>
      </c>
      <c r="D115" t="s">
        <v>346</v>
      </c>
      <c r="E115" t="s">
        <v>258</v>
      </c>
    </row>
    <row r="116" spans="1:5" x14ac:dyDescent="0.2">
      <c r="A116" t="str">
        <f>HYPERLINK("https://www.ebi.ac.uk/ols/ontologies/fbbt/terms?iri=http://purl.obolibrary.org/obo/FBbt_00001285","FBbt:00001285")</f>
        <v>FBbt:00001285</v>
      </c>
      <c r="B116" t="s">
        <v>347</v>
      </c>
      <c r="C116" t="s">
        <v>348</v>
      </c>
      <c r="D116" t="s">
        <v>349</v>
      </c>
      <c r="E116" t="s">
        <v>152</v>
      </c>
    </row>
    <row r="117" spans="1:5" x14ac:dyDescent="0.2">
      <c r="A117" t="str">
        <f>HYPERLINK("https://www.ebi.ac.uk/ols/ontologies/fbbt/terms?iri=http://purl.obolibrary.org/obo/FBbt_00047815","FBbt:00047815")</f>
        <v>FBbt:00047815</v>
      </c>
      <c r="B117" t="s">
        <v>350</v>
      </c>
      <c r="C117" t="s">
        <v>8</v>
      </c>
      <c r="D117" t="s">
        <v>351</v>
      </c>
      <c r="E117" t="s">
        <v>258</v>
      </c>
    </row>
    <row r="118" spans="1:5" x14ac:dyDescent="0.2">
      <c r="A118" t="str">
        <f>HYPERLINK("https://www.ebi.ac.uk/ols/ontologies/fbbt/terms?iri=http://purl.obolibrary.org/obo/FBbt_00047814","FBbt:00047814")</f>
        <v>FBbt:00047814</v>
      </c>
      <c r="B118" t="s">
        <v>352</v>
      </c>
      <c r="C118" t="s">
        <v>353</v>
      </c>
      <c r="D118" t="s">
        <v>354</v>
      </c>
      <c r="E118" t="s">
        <v>258</v>
      </c>
    </row>
    <row r="119" spans="1:5" x14ac:dyDescent="0.2">
      <c r="A119" t="str">
        <f>HYPERLINK("https://www.ebi.ac.uk/ols/ontologies/fbbt/terms?iri=http://purl.obolibrary.org/obo/FBbt_00111736","FBbt:00111736")</f>
        <v>FBbt:00111736</v>
      </c>
      <c r="B119" t="s">
        <v>355</v>
      </c>
      <c r="C119" t="s">
        <v>356</v>
      </c>
      <c r="D119" t="s">
        <v>357</v>
      </c>
      <c r="E119" t="s">
        <v>358</v>
      </c>
    </row>
    <row r="120" spans="1:5" x14ac:dyDescent="0.2">
      <c r="A120" t="str">
        <f>HYPERLINK("https://www.ebi.ac.uk/ols/ontologies/fbbt/terms?iri=http://purl.obolibrary.org/obo/FBbt_00001531","FBbt:00001531")</f>
        <v>FBbt:00001531</v>
      </c>
      <c r="B120" t="s">
        <v>359</v>
      </c>
      <c r="C120" t="s">
        <v>8</v>
      </c>
      <c r="D120" t="s">
        <v>360</v>
      </c>
      <c r="E120" t="s">
        <v>195</v>
      </c>
    </row>
    <row r="121" spans="1:5" x14ac:dyDescent="0.2">
      <c r="A121" t="str">
        <f>HYPERLINK("https://www.ebi.ac.uk/ols/ontologies/fbbt/terms?iri=http://purl.obolibrary.org/obo/FBbt_00001530","FBbt:00001530")</f>
        <v>FBbt:00001530</v>
      </c>
      <c r="B121" t="s">
        <v>361</v>
      </c>
      <c r="C121" t="s">
        <v>8</v>
      </c>
      <c r="D121" t="s">
        <v>362</v>
      </c>
      <c r="E121" t="s">
        <v>157</v>
      </c>
    </row>
    <row r="122" spans="1:5" x14ac:dyDescent="0.2">
      <c r="A122" t="str">
        <f>HYPERLINK("https://www.ebi.ac.uk/ols/ontologies/fbbt/terms?iri=http://purl.obolibrary.org/obo/FBbt_00001289","FBbt:00001289")</f>
        <v>FBbt:00001289</v>
      </c>
      <c r="B122" t="s">
        <v>363</v>
      </c>
      <c r="C122" t="s">
        <v>364</v>
      </c>
      <c r="D122" t="s">
        <v>365</v>
      </c>
      <c r="E122" t="s">
        <v>152</v>
      </c>
    </row>
    <row r="123" spans="1:5" x14ac:dyDescent="0.2">
      <c r="A123" t="str">
        <f>HYPERLINK("https://www.ebi.ac.uk/ols/ontologies/fbbt/terms?iri=http://purl.obolibrary.org/obo/FBbt_00001288","FBbt:00001288")</f>
        <v>FBbt:00001288</v>
      </c>
      <c r="B123" t="s">
        <v>366</v>
      </c>
      <c r="C123" t="s">
        <v>367</v>
      </c>
      <c r="D123" t="s">
        <v>368</v>
      </c>
      <c r="E123" t="s">
        <v>369</v>
      </c>
    </row>
    <row r="124" spans="1:5" x14ac:dyDescent="0.2">
      <c r="A124" t="str">
        <f>HYPERLINK("https://www.ebi.ac.uk/ols/ontologies/fbbt/terms?iri=http://purl.obolibrary.org/obo/FBbt_00001287","FBbt:00001287")</f>
        <v>FBbt:00001287</v>
      </c>
      <c r="B124" t="s">
        <v>370</v>
      </c>
      <c r="C124" t="s">
        <v>371</v>
      </c>
      <c r="D124" t="s">
        <v>372</v>
      </c>
      <c r="E124" t="s">
        <v>369</v>
      </c>
    </row>
    <row r="125" spans="1:5" x14ac:dyDescent="0.2">
      <c r="A125" t="str">
        <f>HYPERLINK("https://www.ebi.ac.uk/ols/ontologies/fbbt/terms?iri=http://purl.obolibrary.org/obo/FBbt_00111679","FBbt:00111679")</f>
        <v>FBbt:00111679</v>
      </c>
      <c r="B125" t="s">
        <v>373</v>
      </c>
      <c r="C125" t="s">
        <v>8</v>
      </c>
      <c r="D125" t="s">
        <v>374</v>
      </c>
      <c r="E125" t="s">
        <v>306</v>
      </c>
    </row>
    <row r="126" spans="1:5" x14ac:dyDescent="0.2">
      <c r="A126" t="str">
        <f>HYPERLINK("https://www.ebi.ac.uk/ols/ontologies/fbbt/terms?iri=http://purl.obolibrary.org/obo/FBbt_00001286","FBbt:00001286")</f>
        <v>FBbt:00001286</v>
      </c>
      <c r="B126" t="s">
        <v>375</v>
      </c>
      <c r="C126" t="s">
        <v>376</v>
      </c>
      <c r="D126" t="s">
        <v>377</v>
      </c>
      <c r="E126" t="s">
        <v>152</v>
      </c>
    </row>
    <row r="127" spans="1:5" x14ac:dyDescent="0.2">
      <c r="A127" t="str">
        <f>HYPERLINK("https://www.ebi.ac.uk/ols/ontologies/fbbt/terms?iri=http://purl.obolibrary.org/obo/FBbt_00005673","FBbt:00005673")</f>
        <v>FBbt:00005673</v>
      </c>
      <c r="B127" t="s">
        <v>378</v>
      </c>
      <c r="C127" t="s">
        <v>379</v>
      </c>
      <c r="D127" t="s">
        <v>8</v>
      </c>
      <c r="E127" t="s">
        <v>8</v>
      </c>
    </row>
    <row r="128" spans="1:5" x14ac:dyDescent="0.2">
      <c r="A128" t="str">
        <f>HYPERLINK("https://www.ebi.ac.uk/ols/ontologies/fbbt/terms?iri=http://purl.obolibrary.org/obo/FBbt_00002303","FBbt:00002303")</f>
        <v>FBbt:00002303</v>
      </c>
      <c r="B128" t="s">
        <v>380</v>
      </c>
      <c r="C128" t="s">
        <v>381</v>
      </c>
      <c r="D128" t="s">
        <v>382</v>
      </c>
      <c r="E128" t="s">
        <v>341</v>
      </c>
    </row>
    <row r="129" spans="1:5" x14ac:dyDescent="0.2">
      <c r="A129" t="str">
        <f>HYPERLINK("https://www.ebi.ac.uk/ols/ontologies/fbbt/terms?iri=http://purl.obolibrary.org/obo/FBbt_00001461","FBbt:00001461")</f>
        <v>FBbt:00001461</v>
      </c>
      <c r="B129" t="s">
        <v>383</v>
      </c>
      <c r="C129" t="s">
        <v>8</v>
      </c>
      <c r="D129" t="s">
        <v>384</v>
      </c>
      <c r="E129" t="s">
        <v>157</v>
      </c>
    </row>
    <row r="130" spans="1:5" x14ac:dyDescent="0.2">
      <c r="A130" t="str">
        <f>HYPERLINK("https://www.ebi.ac.uk/ols/ontologies/fbbt/terms?iri=http://purl.obolibrary.org/obo/FBbt_00005675","FBbt:00005675")</f>
        <v>FBbt:00005675</v>
      </c>
      <c r="B130" t="s">
        <v>385</v>
      </c>
      <c r="C130" t="s">
        <v>8</v>
      </c>
      <c r="D130" t="s">
        <v>8</v>
      </c>
      <c r="E130" t="s">
        <v>8</v>
      </c>
    </row>
    <row r="131" spans="1:5" x14ac:dyDescent="0.2">
      <c r="A131" t="str">
        <f>HYPERLINK("https://www.ebi.ac.uk/ols/ontologies/fbbt/terms?iri=http://purl.obolibrary.org/obo/FBbt_00111682","FBbt:00111682")</f>
        <v>FBbt:00111682</v>
      </c>
      <c r="B131" t="s">
        <v>386</v>
      </c>
      <c r="C131" t="s">
        <v>8</v>
      </c>
      <c r="D131" t="s">
        <v>387</v>
      </c>
      <c r="E131" t="s">
        <v>306</v>
      </c>
    </row>
    <row r="132" spans="1:5" x14ac:dyDescent="0.2">
      <c r="A132" t="str">
        <f>HYPERLINK("https://www.ebi.ac.uk/ols/ontologies/fbbt/terms?iri=http://purl.obolibrary.org/obo/FBbt_00111683","FBbt:00111683")</f>
        <v>FBbt:00111683</v>
      </c>
      <c r="B132" t="s">
        <v>388</v>
      </c>
      <c r="C132" t="s">
        <v>8</v>
      </c>
      <c r="D132" t="s">
        <v>389</v>
      </c>
      <c r="E132" t="s">
        <v>390</v>
      </c>
    </row>
    <row r="133" spans="1:5" x14ac:dyDescent="0.2">
      <c r="A133" t="str">
        <f>HYPERLINK("https://www.ebi.ac.uk/ols/ontologies/fbbt/terms?iri=http://purl.obolibrary.org/obo/FBbt_00111680","FBbt:00111680")</f>
        <v>FBbt:00111680</v>
      </c>
      <c r="B133" t="s">
        <v>391</v>
      </c>
      <c r="C133" t="s">
        <v>8</v>
      </c>
      <c r="D133" t="s">
        <v>392</v>
      </c>
      <c r="E133" t="s">
        <v>306</v>
      </c>
    </row>
    <row r="134" spans="1:5" x14ac:dyDescent="0.2">
      <c r="A134" t="str">
        <f>HYPERLINK("https://www.ebi.ac.uk/ols/ontologies/fbbt/terms?iri=http://purl.obolibrary.org/obo/FBbt_00001469","FBbt:00001469")</f>
        <v>FBbt:00001469</v>
      </c>
      <c r="B134" t="s">
        <v>393</v>
      </c>
      <c r="C134" t="s">
        <v>8</v>
      </c>
      <c r="D134" t="s">
        <v>394</v>
      </c>
      <c r="E134" t="s">
        <v>157</v>
      </c>
    </row>
    <row r="135" spans="1:5" x14ac:dyDescent="0.2">
      <c r="A135" t="str">
        <f>HYPERLINK("https://www.ebi.ac.uk/ols/ontologies/fbbt/terms?iri=http://purl.obolibrary.org/obo/FBbt_00001466","FBbt:00001466")</f>
        <v>FBbt:00001466</v>
      </c>
      <c r="B135" t="s">
        <v>395</v>
      </c>
      <c r="C135" t="s">
        <v>8</v>
      </c>
      <c r="D135" t="s">
        <v>396</v>
      </c>
      <c r="E135" t="s">
        <v>157</v>
      </c>
    </row>
    <row r="136" spans="1:5" x14ac:dyDescent="0.2">
      <c r="A136" t="str">
        <f>HYPERLINK("https://www.ebi.ac.uk/ols/ontologies/fbbt/terms?iri=http://purl.obolibrary.org/obo/FBbt_00047829","FBbt:00047829")</f>
        <v>FBbt:00047829</v>
      </c>
      <c r="B136" t="s">
        <v>397</v>
      </c>
      <c r="C136" t="s">
        <v>8</v>
      </c>
      <c r="D136" t="s">
        <v>398</v>
      </c>
      <c r="E136" t="s">
        <v>399</v>
      </c>
    </row>
    <row r="137" spans="1:5" x14ac:dyDescent="0.2">
      <c r="A137" t="str">
        <f>HYPERLINK("https://www.ebi.ac.uk/ols/ontologies/fbbt/terms?iri=http://purl.obolibrary.org/obo/FBbt_00001520","FBbt:00001520")</f>
        <v>FBbt:00001520</v>
      </c>
      <c r="B137" t="s">
        <v>400</v>
      </c>
      <c r="C137" t="s">
        <v>8</v>
      </c>
      <c r="D137" t="s">
        <v>401</v>
      </c>
      <c r="E137" t="s">
        <v>157</v>
      </c>
    </row>
    <row r="138" spans="1:5" x14ac:dyDescent="0.2">
      <c r="A138" t="str">
        <f>HYPERLINK("https://www.ebi.ac.uk/ols/ontologies/fbbt/terms?iri=http://purl.obolibrary.org/obo/FBbt_00110179","FBbt:00110179")</f>
        <v>FBbt:00110179</v>
      </c>
      <c r="B138" t="s">
        <v>402</v>
      </c>
      <c r="C138" t="s">
        <v>403</v>
      </c>
      <c r="D138" t="s">
        <v>404</v>
      </c>
      <c r="E138" t="s">
        <v>405</v>
      </c>
    </row>
    <row r="139" spans="1:5" x14ac:dyDescent="0.2">
      <c r="A139" t="str">
        <f>HYPERLINK("https://www.ebi.ac.uk/ols/ontologies/fbbt/terms?iri=http://purl.obolibrary.org/obo/FBbt_00047825","FBbt:00047825")</f>
        <v>FBbt:00047825</v>
      </c>
      <c r="B139" t="s">
        <v>406</v>
      </c>
      <c r="C139" t="s">
        <v>8</v>
      </c>
      <c r="D139" t="s">
        <v>407</v>
      </c>
      <c r="E139" t="s">
        <v>408</v>
      </c>
    </row>
    <row r="140" spans="1:5" x14ac:dyDescent="0.2">
      <c r="A140" t="str">
        <f>HYPERLINK("https://www.ebi.ac.uk/ols/ontologies/fbbt/terms?iri=http://purl.obolibrary.org/obo/FBbt_00047823","FBbt:00047823")</f>
        <v>FBbt:00047823</v>
      </c>
      <c r="B140" t="s">
        <v>409</v>
      </c>
      <c r="C140" t="s">
        <v>8</v>
      </c>
      <c r="D140" t="s">
        <v>410</v>
      </c>
      <c r="E140" t="s">
        <v>399</v>
      </c>
    </row>
    <row r="141" spans="1:5" x14ac:dyDescent="0.2">
      <c r="A141" t="str">
        <f>HYPERLINK("https://www.ebi.ac.uk/ols/ontologies/fbbt/terms?iri=http://purl.obolibrary.org/obo/FBbt_00048410","FBbt:00048410")</f>
        <v>FBbt:00048410</v>
      </c>
      <c r="B141" t="s">
        <v>411</v>
      </c>
      <c r="C141" t="s">
        <v>412</v>
      </c>
      <c r="D141" t="s">
        <v>413</v>
      </c>
      <c r="E141" t="s">
        <v>414</v>
      </c>
    </row>
    <row r="142" spans="1:5" x14ac:dyDescent="0.2">
      <c r="A142" t="str">
        <f>HYPERLINK("https://www.ebi.ac.uk/ols/ontologies/fbbt/terms?iri=http://purl.obolibrary.org/obo/FBbt_00001527","FBbt:00001527")</f>
        <v>FBbt:00001527</v>
      </c>
      <c r="B142" t="s">
        <v>415</v>
      </c>
      <c r="C142" t="s">
        <v>8</v>
      </c>
      <c r="D142" t="s">
        <v>416</v>
      </c>
      <c r="E142" t="s">
        <v>195</v>
      </c>
    </row>
    <row r="143" spans="1:5" x14ac:dyDescent="0.2">
      <c r="A143" t="str">
        <f>HYPERLINK("https://www.ebi.ac.uk/ols/ontologies/fbbt/terms?iri=http://purl.obolibrary.org/obo/FBbt_00047233","FBbt:00047233")</f>
        <v>FBbt:00047233</v>
      </c>
      <c r="B143" t="s">
        <v>417</v>
      </c>
      <c r="C143" t="s">
        <v>418</v>
      </c>
      <c r="D143" t="s">
        <v>419</v>
      </c>
      <c r="E143" t="s">
        <v>420</v>
      </c>
    </row>
    <row r="144" spans="1:5" x14ac:dyDescent="0.2">
      <c r="A144" t="str">
        <f>HYPERLINK("https://www.ebi.ac.uk/ols/ontologies/fbbt/terms?iri=http://purl.obolibrary.org/obo/FBbt_00001276","FBbt:00001276")</f>
        <v>FBbt:00001276</v>
      </c>
      <c r="B144" t="s">
        <v>421</v>
      </c>
      <c r="C144" t="s">
        <v>422</v>
      </c>
      <c r="D144" t="s">
        <v>423</v>
      </c>
      <c r="E144" t="s">
        <v>424</v>
      </c>
    </row>
    <row r="145" spans="1:5" x14ac:dyDescent="0.2">
      <c r="A145" t="str">
        <f>HYPERLINK("https://www.ebi.ac.uk/ols/ontologies/fbbt/terms?iri=http://purl.obolibrary.org/obo/FBbt_00001526","FBbt:00001526")</f>
        <v>FBbt:00001526</v>
      </c>
      <c r="B145" t="s">
        <v>425</v>
      </c>
      <c r="C145" t="s">
        <v>8</v>
      </c>
      <c r="D145" t="s">
        <v>426</v>
      </c>
      <c r="E145" t="s">
        <v>157</v>
      </c>
    </row>
    <row r="146" spans="1:5" x14ac:dyDescent="0.2">
      <c r="A146" t="str">
        <f>HYPERLINK("https://www.ebi.ac.uk/ols/ontologies/fbbt/terms?iri=http://purl.obolibrary.org/obo/FBbt_00047232","FBbt:00047232")</f>
        <v>FBbt:00047232</v>
      </c>
      <c r="B146" t="s">
        <v>427</v>
      </c>
      <c r="C146" t="s">
        <v>428</v>
      </c>
      <c r="D146" t="s">
        <v>429</v>
      </c>
      <c r="E146" t="s">
        <v>420</v>
      </c>
    </row>
    <row r="147" spans="1:5" x14ac:dyDescent="0.2">
      <c r="A147" t="str">
        <f>HYPERLINK("https://www.ebi.ac.uk/ols/ontologies/fbbt/terms?iri=http://purl.obolibrary.org/obo/FBbt_00001523","FBbt:00001523")</f>
        <v>FBbt:00001523</v>
      </c>
      <c r="B147" t="s">
        <v>430</v>
      </c>
      <c r="C147" t="s">
        <v>8</v>
      </c>
      <c r="D147" t="s">
        <v>431</v>
      </c>
      <c r="E147" t="s">
        <v>157</v>
      </c>
    </row>
    <row r="148" spans="1:5" x14ac:dyDescent="0.2">
      <c r="A148" t="str">
        <f>HYPERLINK("https://www.ebi.ac.uk/ols/ontologies/fbbt/terms?iri=http://purl.obolibrary.org/obo/FBbt_00047503","FBbt:00047503")</f>
        <v>FBbt:00047503</v>
      </c>
      <c r="B148" t="s">
        <v>432</v>
      </c>
      <c r="C148" t="s">
        <v>433</v>
      </c>
      <c r="D148" t="s">
        <v>434</v>
      </c>
      <c r="E148" t="s">
        <v>435</v>
      </c>
    </row>
    <row r="149" spans="1:5" x14ac:dyDescent="0.2">
      <c r="A149" t="str">
        <f>HYPERLINK("https://www.ebi.ac.uk/ols/ontologies/fbbt/terms?iri=http://purl.obolibrary.org/obo/FBbt_00048238","FBbt:00048238")</f>
        <v>FBbt:00048238</v>
      </c>
      <c r="B149" t="s">
        <v>436</v>
      </c>
      <c r="C149" t="s">
        <v>8</v>
      </c>
      <c r="D149" t="s">
        <v>437</v>
      </c>
      <c r="E149" t="s">
        <v>438</v>
      </c>
    </row>
    <row r="150" spans="1:5" x14ac:dyDescent="0.2">
      <c r="A150" t="str">
        <f>HYPERLINK("https://www.ebi.ac.uk/ols/ontologies/fbbt/terms?iri=http://purl.obolibrary.org/obo/FBbt_00004103","FBbt:00004103")</f>
        <v>FBbt:00004103</v>
      </c>
      <c r="B150" t="s">
        <v>439</v>
      </c>
      <c r="C150" t="s">
        <v>440</v>
      </c>
      <c r="D150" t="s">
        <v>441</v>
      </c>
      <c r="E150" t="s">
        <v>442</v>
      </c>
    </row>
    <row r="151" spans="1:5" x14ac:dyDescent="0.2">
      <c r="A151" t="str">
        <f>HYPERLINK("https://www.ebi.ac.uk/ols/ontologies/fbbt/terms?iri=http://purl.obolibrary.org/obo/FBbt_00048237","FBbt:00048237")</f>
        <v>FBbt:00048237</v>
      </c>
      <c r="B151" t="s">
        <v>443</v>
      </c>
      <c r="C151" t="s">
        <v>444</v>
      </c>
      <c r="D151" t="s">
        <v>445</v>
      </c>
      <c r="E151" t="s">
        <v>438</v>
      </c>
    </row>
    <row r="152" spans="1:5" x14ac:dyDescent="0.2">
      <c r="A152" t="str">
        <f>HYPERLINK("https://www.ebi.ac.uk/ols/ontologies/fbbt/terms?iri=http://purl.obolibrary.org/obo/FBbt_00047502","FBbt:00047502")</f>
        <v>FBbt:00047502</v>
      </c>
      <c r="B152" t="s">
        <v>446</v>
      </c>
      <c r="C152" t="s">
        <v>447</v>
      </c>
      <c r="D152" t="s">
        <v>448</v>
      </c>
      <c r="E152" t="s">
        <v>435</v>
      </c>
    </row>
    <row r="153" spans="1:5" x14ac:dyDescent="0.2">
      <c r="A153" t="str">
        <f>HYPERLINK("https://www.ebi.ac.uk/ols/ontologies/fbbt/terms?iri=http://purl.obolibrary.org/obo/FBbt_00047251","FBbt:00047251")</f>
        <v>FBbt:00047251</v>
      </c>
      <c r="B153" t="s">
        <v>449</v>
      </c>
      <c r="C153" t="s">
        <v>450</v>
      </c>
      <c r="D153" t="s">
        <v>451</v>
      </c>
      <c r="E153" t="s">
        <v>452</v>
      </c>
    </row>
    <row r="154" spans="1:5" x14ac:dyDescent="0.2">
      <c r="A154" t="str">
        <f>HYPERLINK("https://www.ebi.ac.uk/ols/ontologies/fbbt/terms?iri=http://purl.obolibrary.org/obo/FBbt_00110237","FBbt:00110237")</f>
        <v>FBbt:00110237</v>
      </c>
      <c r="B154" t="s">
        <v>453</v>
      </c>
      <c r="C154" t="s">
        <v>454</v>
      </c>
      <c r="D154" t="s">
        <v>455</v>
      </c>
      <c r="E154" t="s">
        <v>178</v>
      </c>
    </row>
    <row r="155" spans="1:5" x14ac:dyDescent="0.2">
      <c r="A155" t="str">
        <f>HYPERLINK("https://www.ebi.ac.uk/ols/ontologies/fbbt/terms?iri=http://purl.obolibrary.org/obo/FBbt_00001603","FBbt:00001603")</f>
        <v>FBbt:00001603</v>
      </c>
      <c r="B155" t="s">
        <v>456</v>
      </c>
      <c r="C155" t="s">
        <v>457</v>
      </c>
      <c r="D155" t="s">
        <v>458</v>
      </c>
      <c r="E155" t="s">
        <v>459</v>
      </c>
    </row>
    <row r="156" spans="1:5" x14ac:dyDescent="0.2">
      <c r="A156" t="str">
        <f>HYPERLINK("https://www.ebi.ac.uk/ols/ontologies/fbbt/terms?iri=http://purl.obolibrary.org/obo/FBbt_00001602","FBbt:00001602")</f>
        <v>FBbt:00001602</v>
      </c>
      <c r="B156" t="s">
        <v>460</v>
      </c>
      <c r="C156" t="s">
        <v>461</v>
      </c>
      <c r="D156" t="s">
        <v>462</v>
      </c>
      <c r="E156" t="s">
        <v>463</v>
      </c>
    </row>
    <row r="157" spans="1:5" x14ac:dyDescent="0.2">
      <c r="A157" t="str">
        <f>HYPERLINK("https://www.ebi.ac.uk/ols/ontologies/fbbt/terms?iri=http://purl.obolibrary.org/obo/FBbt_00110235","FBbt:00110235")</f>
        <v>FBbt:00110235</v>
      </c>
      <c r="B157" t="s">
        <v>464</v>
      </c>
      <c r="C157" t="s">
        <v>465</v>
      </c>
      <c r="D157" t="s">
        <v>466</v>
      </c>
      <c r="E157" t="s">
        <v>33</v>
      </c>
    </row>
    <row r="158" spans="1:5" x14ac:dyDescent="0.2">
      <c r="A158" t="str">
        <f>HYPERLINK("https://www.ebi.ac.uk/ols/ontologies/fbbt/terms?iri=http://purl.obolibrary.org/obo/FBbt_00001496","FBbt:00001496")</f>
        <v>FBbt:00001496</v>
      </c>
      <c r="B158" t="s">
        <v>467</v>
      </c>
      <c r="C158" t="s">
        <v>8</v>
      </c>
      <c r="D158" t="s">
        <v>468</v>
      </c>
      <c r="E158" t="s">
        <v>157</v>
      </c>
    </row>
    <row r="159" spans="1:5" x14ac:dyDescent="0.2">
      <c r="A159" t="str">
        <f>HYPERLINK("https://www.ebi.ac.uk/ols/ontologies/fbbt/terms?iri=http://purl.obolibrary.org/obo/FBbt_00110233","FBbt:00110233")</f>
        <v>FBbt:00110233</v>
      </c>
      <c r="B159" t="s">
        <v>469</v>
      </c>
      <c r="C159" t="s">
        <v>470</v>
      </c>
      <c r="D159" t="s">
        <v>471</v>
      </c>
      <c r="E159" t="s">
        <v>33</v>
      </c>
    </row>
    <row r="160" spans="1:5" x14ac:dyDescent="0.2">
      <c r="A160" t="str">
        <f>HYPERLINK("https://www.ebi.ac.uk/ols/ontologies/fbbt/terms?iri=http://purl.obolibrary.org/obo/FBbt_00001495","FBbt:00001495")</f>
        <v>FBbt:00001495</v>
      </c>
      <c r="B160" t="s">
        <v>472</v>
      </c>
      <c r="C160" t="s">
        <v>8</v>
      </c>
      <c r="D160" t="s">
        <v>473</v>
      </c>
      <c r="E160" t="s">
        <v>157</v>
      </c>
    </row>
    <row r="161" spans="1:5" x14ac:dyDescent="0.2">
      <c r="A161" t="str">
        <f>HYPERLINK("https://www.ebi.ac.uk/ols/ontologies/fbbt/terms?iri=http://purl.obolibrary.org/obo/FBbt_00110230","FBbt:00110230")</f>
        <v>FBbt:00110230</v>
      </c>
      <c r="B161" t="s">
        <v>474</v>
      </c>
      <c r="C161" t="s">
        <v>475</v>
      </c>
      <c r="D161" t="s">
        <v>476</v>
      </c>
      <c r="E161" t="s">
        <v>33</v>
      </c>
    </row>
    <row r="162" spans="1:5" x14ac:dyDescent="0.2">
      <c r="A162" t="str">
        <f>HYPERLINK("https://www.ebi.ac.uk/ols/ontologies/fbbt/terms?iri=http://purl.obolibrary.org/obo/FBbt_00100534","FBbt:00100534")</f>
        <v>FBbt:00100534</v>
      </c>
      <c r="B162" t="s">
        <v>477</v>
      </c>
      <c r="C162" t="s">
        <v>478</v>
      </c>
      <c r="D162" t="s">
        <v>479</v>
      </c>
      <c r="E162" t="s">
        <v>420</v>
      </c>
    </row>
    <row r="163" spans="1:5" x14ac:dyDescent="0.2">
      <c r="A163" t="str">
        <f>HYPERLINK("https://www.ebi.ac.uk/ols/ontologies/fbbt/terms?iri=http://purl.obolibrary.org/obo/FBbt_00048370","FBbt:00048370")</f>
        <v>FBbt:00048370</v>
      </c>
      <c r="B163" t="s">
        <v>480</v>
      </c>
      <c r="C163" t="s">
        <v>481</v>
      </c>
      <c r="D163" t="s">
        <v>482</v>
      </c>
      <c r="E163" t="s">
        <v>483</v>
      </c>
    </row>
    <row r="164" spans="1:5" x14ac:dyDescent="0.2">
      <c r="A164" t="str">
        <f>HYPERLINK("https://www.ebi.ac.uk/ols/ontologies/fbbt/terms?iri=http://purl.obolibrary.org/obo/FBbt_00110037","FBbt:00110037")</f>
        <v>FBbt:00110037</v>
      </c>
      <c r="B164" t="s">
        <v>484</v>
      </c>
      <c r="C164" t="s">
        <v>485</v>
      </c>
      <c r="D164" t="s">
        <v>486</v>
      </c>
      <c r="E164" t="s">
        <v>487</v>
      </c>
    </row>
    <row r="165" spans="1:5" x14ac:dyDescent="0.2">
      <c r="A165" t="str">
        <f>HYPERLINK("https://www.ebi.ac.uk/ols/ontologies/fbbt/terms?iri=http://purl.obolibrary.org/obo/FBbt_00005565","FBbt:00005565")</f>
        <v>FBbt:00005565</v>
      </c>
      <c r="B165" t="s">
        <v>488</v>
      </c>
      <c r="C165" t="s">
        <v>8</v>
      </c>
      <c r="D165" t="s">
        <v>489</v>
      </c>
    </row>
    <row r="166" spans="1:5" x14ac:dyDescent="0.2">
      <c r="A166" t="str">
        <f>HYPERLINK("https://www.ebi.ac.uk/ols/ontologies/fbbt/terms?iri=http://purl.obolibrary.org/obo/FBbt_00110038","FBbt:00110038")</f>
        <v>FBbt:00110038</v>
      </c>
      <c r="B166" t="s">
        <v>490</v>
      </c>
      <c r="C166" t="s">
        <v>491</v>
      </c>
      <c r="D166" t="s">
        <v>492</v>
      </c>
      <c r="E166" t="s">
        <v>493</v>
      </c>
    </row>
    <row r="167" spans="1:5" x14ac:dyDescent="0.2">
      <c r="A167" t="str">
        <f>HYPERLINK("https://www.ebi.ac.uk/ols/ontologies/fbbt/terms?iri=http://purl.obolibrary.org/obo/FBbt_00110048","FBbt:00110048")</f>
        <v>FBbt:00110048</v>
      </c>
      <c r="B167" t="s">
        <v>494</v>
      </c>
      <c r="C167" t="s">
        <v>495</v>
      </c>
      <c r="D167" t="s">
        <v>496</v>
      </c>
      <c r="E167" t="s">
        <v>493</v>
      </c>
    </row>
    <row r="168" spans="1:5" x14ac:dyDescent="0.2">
      <c r="A168" t="str">
        <f>HYPERLINK("https://www.ebi.ac.uk/ols/ontologies/fbbt/terms?iri=http://purl.obolibrary.org/obo/FBbt_00047194","FBbt:00047194")</f>
        <v>FBbt:00047194</v>
      </c>
      <c r="B168" t="s">
        <v>497</v>
      </c>
      <c r="C168" t="s">
        <v>8</v>
      </c>
      <c r="D168" t="s">
        <v>498</v>
      </c>
      <c r="E168" t="s">
        <v>499</v>
      </c>
    </row>
    <row r="169" spans="1:5" x14ac:dyDescent="0.2">
      <c r="A169" t="str">
        <f>HYPERLINK("https://www.ebi.ac.uk/ols/ontologies/fbbt/terms?iri=http://purl.obolibrary.org/obo/FBbt_00047193","FBbt:00047193")</f>
        <v>FBbt:00047193</v>
      </c>
      <c r="B169" t="s">
        <v>500</v>
      </c>
      <c r="C169" t="s">
        <v>501</v>
      </c>
      <c r="D169" t="s">
        <v>502</v>
      </c>
      <c r="E169" t="s">
        <v>144</v>
      </c>
    </row>
    <row r="170" spans="1:5" x14ac:dyDescent="0.2">
      <c r="A170" t="str">
        <f>HYPERLINK("https://www.ebi.ac.uk/ols/ontologies/fbbt/terms?iri=http://purl.obolibrary.org/obo/FBbt_00111615","FBbt:00111615")</f>
        <v>FBbt:00111615</v>
      </c>
      <c r="B170" t="s">
        <v>503</v>
      </c>
      <c r="C170" t="s">
        <v>8</v>
      </c>
      <c r="D170" t="s">
        <v>504</v>
      </c>
      <c r="E170" t="s">
        <v>505</v>
      </c>
    </row>
    <row r="171" spans="1:5" x14ac:dyDescent="0.2">
      <c r="A171" t="str">
        <f>HYPERLINK("https://www.ebi.ac.uk/ols/ontologies/fbbt/terms?iri=http://purl.obolibrary.org/obo/FBbt_00047192","FBbt:00047192")</f>
        <v>FBbt:00047192</v>
      </c>
      <c r="B171" t="s">
        <v>506</v>
      </c>
      <c r="C171" t="s">
        <v>507</v>
      </c>
      <c r="D171" t="s">
        <v>508</v>
      </c>
      <c r="E171" t="s">
        <v>144</v>
      </c>
    </row>
    <row r="172" spans="1:5" x14ac:dyDescent="0.2">
      <c r="A172" t="str">
        <f>HYPERLINK("https://www.ebi.ac.uk/ols/ontologies/fbbt/terms?iri=http://purl.obolibrary.org/obo/FBbt_00047832","FBbt:00047832")</f>
        <v>FBbt:00047832</v>
      </c>
      <c r="B172" t="s">
        <v>509</v>
      </c>
      <c r="C172" t="s">
        <v>8</v>
      </c>
      <c r="D172" t="s">
        <v>510</v>
      </c>
      <c r="E172" t="s">
        <v>408</v>
      </c>
    </row>
    <row r="173" spans="1:5" x14ac:dyDescent="0.2">
      <c r="A173" t="str">
        <f>HYPERLINK("https://www.ebi.ac.uk/ols/ontologies/fbbt/terms?iri=http://purl.obolibrary.org/obo/FBbt_00047833","FBbt:00047833")</f>
        <v>FBbt:00047833</v>
      </c>
      <c r="B173" t="s">
        <v>511</v>
      </c>
      <c r="C173" t="s">
        <v>8</v>
      </c>
      <c r="D173" t="s">
        <v>512</v>
      </c>
      <c r="E173" t="s">
        <v>399</v>
      </c>
    </row>
    <row r="174" spans="1:5" x14ac:dyDescent="0.2">
      <c r="A174" t="str">
        <f>HYPERLINK("https://www.ebi.ac.uk/ols/ontologies/fbbt/terms?iri=http://purl.obolibrary.org/obo/FBbt_00047831","FBbt:00047831")</f>
        <v>FBbt:00047831</v>
      </c>
      <c r="B174" t="s">
        <v>513</v>
      </c>
      <c r="C174" t="s">
        <v>8</v>
      </c>
      <c r="D174" t="s">
        <v>514</v>
      </c>
      <c r="E174" t="s">
        <v>399</v>
      </c>
    </row>
    <row r="175" spans="1:5" x14ac:dyDescent="0.2">
      <c r="A175" t="str">
        <f>HYPERLINK("https://www.ebi.ac.uk/ols/ontologies/fbbt/terms?iri=http://purl.obolibrary.org/obo/FBbt_00110180","FBbt:00110180")</f>
        <v>FBbt:00110180</v>
      </c>
      <c r="B175" t="s">
        <v>515</v>
      </c>
      <c r="C175" t="s">
        <v>516</v>
      </c>
      <c r="D175" t="s">
        <v>517</v>
      </c>
      <c r="E175" t="s">
        <v>405</v>
      </c>
    </row>
    <row r="176" spans="1:5" x14ac:dyDescent="0.2">
      <c r="A176" t="str">
        <f>HYPERLINK("https://www.ebi.ac.uk/ols/ontologies/fbbt/terms?iri=http://purl.obolibrary.org/obo/FBbt_00001489","FBbt:00001489")</f>
        <v>FBbt:00001489</v>
      </c>
      <c r="B176" t="s">
        <v>518</v>
      </c>
      <c r="C176" t="s">
        <v>8</v>
      </c>
      <c r="D176" t="s">
        <v>519</v>
      </c>
      <c r="E176" t="s">
        <v>157</v>
      </c>
    </row>
    <row r="177" spans="1:5" x14ac:dyDescent="0.2">
      <c r="A177" t="str">
        <f>HYPERLINK("https://www.ebi.ac.uk/ols/ontologies/fbbt/terms?iri=http://purl.obolibrary.org/obo/FBbt_00047265","FBbt:00047265")</f>
        <v>FBbt:00047265</v>
      </c>
      <c r="B177" t="s">
        <v>520</v>
      </c>
      <c r="C177" t="s">
        <v>8</v>
      </c>
      <c r="D177" t="s">
        <v>521</v>
      </c>
      <c r="E177" t="s">
        <v>522</v>
      </c>
    </row>
    <row r="178" spans="1:5" x14ac:dyDescent="0.2">
      <c r="A178" t="str">
        <f>HYPERLINK("https://www.ebi.ac.uk/ols/ontologies/fbbt/terms?iri=http://purl.obolibrary.org/obo/FBbt_00047263","FBbt:00047263")</f>
        <v>FBbt:00047263</v>
      </c>
      <c r="B178" t="s">
        <v>523</v>
      </c>
      <c r="C178" t="s">
        <v>8</v>
      </c>
      <c r="D178" t="s">
        <v>524</v>
      </c>
      <c r="E178" t="s">
        <v>522</v>
      </c>
    </row>
    <row r="179" spans="1:5" x14ac:dyDescent="0.2">
      <c r="A179" t="str">
        <f>HYPERLINK("https://www.ebi.ac.uk/ols/ontologies/fbbt/terms?iri=http://purl.obolibrary.org/obo/FBbt_00001486","FBbt:00001486")</f>
        <v>FBbt:00001486</v>
      </c>
      <c r="B179" t="s">
        <v>525</v>
      </c>
      <c r="C179" t="s">
        <v>8</v>
      </c>
      <c r="D179" t="s">
        <v>526</v>
      </c>
      <c r="E179" t="s">
        <v>195</v>
      </c>
    </row>
    <row r="180" spans="1:5" x14ac:dyDescent="0.2">
      <c r="A180" t="str">
        <f>HYPERLINK("https://www.ebi.ac.uk/ols/ontologies/fbbt/terms?iri=http://purl.obolibrary.org/obo/FBbt_00047264","FBbt:00047264")</f>
        <v>FBbt:00047264</v>
      </c>
      <c r="B180" t="s">
        <v>527</v>
      </c>
      <c r="C180" t="s">
        <v>8</v>
      </c>
      <c r="D180" t="s">
        <v>528</v>
      </c>
      <c r="E180" t="s">
        <v>522</v>
      </c>
    </row>
    <row r="181" spans="1:5" x14ac:dyDescent="0.2">
      <c r="A181" t="str">
        <f>HYPERLINK("https://www.ebi.ac.uk/ols/ontologies/fbbt/terms?iri=http://purl.obolibrary.org/obo/FBbt_00047262","FBbt:00047262")</f>
        <v>FBbt:00047262</v>
      </c>
      <c r="B181" t="s">
        <v>529</v>
      </c>
      <c r="C181" t="s">
        <v>8</v>
      </c>
      <c r="D181" t="s">
        <v>530</v>
      </c>
      <c r="E181" t="s">
        <v>522</v>
      </c>
    </row>
    <row r="182" spans="1:5" x14ac:dyDescent="0.2">
      <c r="A182" t="str">
        <f>HYPERLINK("https://www.ebi.ac.uk/ols/ontologies/fbbt/terms?iri=http://purl.obolibrary.org/obo/FBbt_00047261","FBbt:00047261")</f>
        <v>FBbt:00047261</v>
      </c>
      <c r="B182" t="s">
        <v>531</v>
      </c>
      <c r="C182" t="s">
        <v>8</v>
      </c>
      <c r="D182" t="s">
        <v>532</v>
      </c>
      <c r="E182" t="s">
        <v>522</v>
      </c>
    </row>
    <row r="183" spans="1:5" x14ac:dyDescent="0.2">
      <c r="A183" t="str">
        <f>HYPERLINK("https://www.ebi.ac.uk/ols/ontologies/fbbt/terms?iri=http://purl.obolibrary.org/obo/FBbt_00001483","FBbt:00001483")</f>
        <v>FBbt:00001483</v>
      </c>
      <c r="B183" t="s">
        <v>533</v>
      </c>
      <c r="C183" t="s">
        <v>8</v>
      </c>
      <c r="D183" t="s">
        <v>534</v>
      </c>
      <c r="E183" t="s">
        <v>195</v>
      </c>
    </row>
    <row r="184" spans="1:5" x14ac:dyDescent="0.2">
      <c r="A184" t="str">
        <f>HYPERLINK("https://www.ebi.ac.uk/ols/ontologies/fbbt/terms?iri=http://purl.obolibrary.org/obo/FBbt_00001482","FBbt:00001482")</f>
        <v>FBbt:00001482</v>
      </c>
      <c r="B184" t="s">
        <v>535</v>
      </c>
      <c r="C184" t="s">
        <v>8</v>
      </c>
      <c r="D184" t="s">
        <v>536</v>
      </c>
      <c r="E184" t="s">
        <v>157</v>
      </c>
    </row>
    <row r="185" spans="1:5" x14ac:dyDescent="0.2">
      <c r="A185" t="str">
        <f>HYPERLINK("https://www.ebi.ac.uk/ols/ontologies/fbbt/terms?iri=http://purl.obolibrary.org/obo/FBbt_00110240","FBbt:00110240")</f>
        <v>FBbt:00110240</v>
      </c>
      <c r="B185" t="s">
        <v>537</v>
      </c>
      <c r="C185" t="s">
        <v>538</v>
      </c>
      <c r="D185" t="s">
        <v>539</v>
      </c>
      <c r="E185" t="s">
        <v>178</v>
      </c>
    </row>
    <row r="186" spans="1:5" x14ac:dyDescent="0.2">
      <c r="A186" t="str">
        <f>HYPERLINK("https://www.ebi.ac.uk/ols/ontologies/fbbt/terms?iri=http://purl.obolibrary.org/obo/FBbt_00110241","FBbt:00110241")</f>
        <v>FBbt:00110241</v>
      </c>
      <c r="B186" t="s">
        <v>540</v>
      </c>
      <c r="C186" t="s">
        <v>541</v>
      </c>
      <c r="D186" t="s">
        <v>542</v>
      </c>
      <c r="E186" t="s">
        <v>185</v>
      </c>
    </row>
    <row r="187" spans="1:5" x14ac:dyDescent="0.2">
      <c r="A187" t="str">
        <f>HYPERLINK("https://www.ebi.ac.uk/ols/ontologies/fbbt/terms?iri=http://purl.obolibrary.org/obo/FBbt_00111231","FBbt:00111231")</f>
        <v>FBbt:00111231</v>
      </c>
      <c r="B187" t="s">
        <v>543</v>
      </c>
      <c r="C187" t="s">
        <v>8</v>
      </c>
      <c r="D187" t="s">
        <v>544</v>
      </c>
      <c r="E187" t="s">
        <v>29</v>
      </c>
    </row>
    <row r="188" spans="1:5" x14ac:dyDescent="0.2">
      <c r="A188" t="str">
        <f>HYPERLINK("https://www.ebi.ac.uk/ols/ontologies/fbbt/terms?iri=http://purl.obolibrary.org/obo/FBbt_00111232","FBbt:00111232")</f>
        <v>FBbt:00111232</v>
      </c>
      <c r="B188" t="s">
        <v>545</v>
      </c>
      <c r="C188" t="s">
        <v>8</v>
      </c>
      <c r="D188" t="s">
        <v>546</v>
      </c>
      <c r="E188" t="s">
        <v>29</v>
      </c>
    </row>
    <row r="189" spans="1:5" x14ac:dyDescent="0.2">
      <c r="A189" t="str">
        <f>HYPERLINK("https://www.ebi.ac.uk/ols/ontologies/fbbt/terms?iri=http://purl.obolibrary.org/obo/FBbt_00047848","FBbt:00047848")</f>
        <v>FBbt:00047848</v>
      </c>
      <c r="B189" t="s">
        <v>547</v>
      </c>
      <c r="C189" t="s">
        <v>8</v>
      </c>
      <c r="D189" t="s">
        <v>548</v>
      </c>
      <c r="E189" t="s">
        <v>62</v>
      </c>
    </row>
    <row r="190" spans="1:5" x14ac:dyDescent="0.2">
      <c r="A190" t="str">
        <f>HYPERLINK("https://www.ebi.ac.uk/ols/ontologies/fbbt/terms?iri=http://purl.obolibrary.org/obo/FBbt_00110055","FBbt:00110055")</f>
        <v>FBbt:00110055</v>
      </c>
      <c r="B190" t="s">
        <v>549</v>
      </c>
      <c r="C190" t="s">
        <v>550</v>
      </c>
      <c r="D190" t="s">
        <v>551</v>
      </c>
      <c r="E190" t="s">
        <v>552</v>
      </c>
    </row>
    <row r="191" spans="1:5" x14ac:dyDescent="0.2">
      <c r="A191" t="str">
        <f>HYPERLINK("https://www.ebi.ac.uk/ols/ontologies/fbbt/terms?iri=http://purl.obolibrary.org/obo/FBbt_00001290","FBbt:00001290")</f>
        <v>FBbt:00001290</v>
      </c>
      <c r="B191" t="s">
        <v>553</v>
      </c>
      <c r="C191" t="s">
        <v>554</v>
      </c>
      <c r="D191" t="s">
        <v>555</v>
      </c>
      <c r="E191" t="s">
        <v>274</v>
      </c>
    </row>
    <row r="192" spans="1:5" x14ac:dyDescent="0.2">
      <c r="A192" t="str">
        <f>HYPERLINK("https://www.ebi.ac.uk/ols/ontologies/fbbt/terms?iri=http://purl.obolibrary.org/obo/FBbt_00001494","FBbt:00001494")</f>
        <v>FBbt:00001494</v>
      </c>
      <c r="B192" t="s">
        <v>556</v>
      </c>
      <c r="C192" t="s">
        <v>8</v>
      </c>
      <c r="D192" t="s">
        <v>557</v>
      </c>
      <c r="E192" t="s">
        <v>195</v>
      </c>
    </row>
    <row r="193" spans="1:5" x14ac:dyDescent="0.2">
      <c r="A193" t="str">
        <f>HYPERLINK("https://www.ebi.ac.uk/ols/ontologies/fbbt/terms?iri=http://purl.obolibrary.org/obo/FBbt_00110302","FBbt:00110302")</f>
        <v>FBbt:00110302</v>
      </c>
      <c r="B193" t="s">
        <v>558</v>
      </c>
      <c r="C193" t="s">
        <v>559</v>
      </c>
      <c r="D193" t="s">
        <v>560</v>
      </c>
      <c r="E193" t="s">
        <v>33</v>
      </c>
    </row>
    <row r="194" spans="1:5" x14ac:dyDescent="0.2">
      <c r="A194" t="str">
        <f>HYPERLINK("https://www.ebi.ac.uk/ols/ontologies/fbbt/terms?iri=http://purl.obolibrary.org/obo/FBbt_00110053","FBbt:00110053")</f>
        <v>FBbt:00110053</v>
      </c>
      <c r="B194" t="s">
        <v>561</v>
      </c>
      <c r="C194" t="s">
        <v>562</v>
      </c>
      <c r="D194" t="s">
        <v>563</v>
      </c>
      <c r="E194" t="s">
        <v>564</v>
      </c>
    </row>
    <row r="195" spans="1:5" x14ac:dyDescent="0.2">
      <c r="A195" t="str">
        <f>HYPERLINK("https://www.ebi.ac.uk/ols/ontologies/fbbt/terms?iri=http://purl.obolibrary.org/obo/FBbt_00047846","FBbt:00047846")</f>
        <v>FBbt:00047846</v>
      </c>
      <c r="B195" t="s">
        <v>565</v>
      </c>
      <c r="C195" t="s">
        <v>8</v>
      </c>
      <c r="D195" t="s">
        <v>566</v>
      </c>
      <c r="E195" t="s">
        <v>62</v>
      </c>
    </row>
    <row r="196" spans="1:5" x14ac:dyDescent="0.2">
      <c r="A196" t="str">
        <f>HYPERLINK("https://www.ebi.ac.uk/ols/ontologies/fbbt/terms?iri=http://purl.obolibrary.org/obo/FBbt_00001493","FBbt:00001493")</f>
        <v>FBbt:00001493</v>
      </c>
      <c r="B196" t="s">
        <v>567</v>
      </c>
      <c r="C196" t="s">
        <v>8</v>
      </c>
      <c r="D196" t="s">
        <v>568</v>
      </c>
      <c r="E196" t="s">
        <v>157</v>
      </c>
    </row>
    <row r="197" spans="1:5" x14ac:dyDescent="0.2">
      <c r="A197" t="str">
        <f>HYPERLINK("https://www.ebi.ac.uk/ols/ontologies/fbbt/terms?iri=http://purl.obolibrary.org/obo/FBbt_00047508","FBbt:00047508")</f>
        <v>FBbt:00047508</v>
      </c>
      <c r="B197" t="s">
        <v>569</v>
      </c>
      <c r="C197" t="s">
        <v>570</v>
      </c>
      <c r="D197" t="s">
        <v>571</v>
      </c>
      <c r="E197" t="s">
        <v>435</v>
      </c>
    </row>
    <row r="198" spans="1:5" x14ac:dyDescent="0.2">
      <c r="A198" t="str">
        <f>HYPERLINK("https://www.ebi.ac.uk/ols/ontologies/fbbt/terms?iri=http://purl.obolibrary.org/obo/FBbt_00047507","FBbt:00047507")</f>
        <v>FBbt:00047507</v>
      </c>
      <c r="B198" t="s">
        <v>572</v>
      </c>
      <c r="C198" t="s">
        <v>573</v>
      </c>
      <c r="D198" t="s">
        <v>574</v>
      </c>
      <c r="E198" t="s">
        <v>435</v>
      </c>
    </row>
    <row r="199" spans="1:5" x14ac:dyDescent="0.2">
      <c r="A199" t="str">
        <f>HYPERLINK("https://www.ebi.ac.uk/ols/ontologies/fbbt/terms?iri=http://purl.obolibrary.org/obo/FBbt_00047506","FBbt:00047506")</f>
        <v>FBbt:00047506</v>
      </c>
      <c r="B199" t="s">
        <v>575</v>
      </c>
      <c r="C199" t="s">
        <v>576</v>
      </c>
      <c r="D199" t="s">
        <v>577</v>
      </c>
      <c r="E199" t="s">
        <v>435</v>
      </c>
    </row>
    <row r="200" spans="1:5" x14ac:dyDescent="0.2">
      <c r="A200" t="str">
        <f>HYPERLINK("https://www.ebi.ac.uk/ols/ontologies/fbbt/terms?iri=http://purl.obolibrary.org/obo/FBbt_00001299","FBbt:00001299")</f>
        <v>FBbt:00001299</v>
      </c>
      <c r="B200" t="s">
        <v>578</v>
      </c>
      <c r="C200" t="s">
        <v>579</v>
      </c>
      <c r="D200" t="s">
        <v>580</v>
      </c>
      <c r="E200" t="s">
        <v>581</v>
      </c>
    </row>
    <row r="201" spans="1:5" x14ac:dyDescent="0.2">
      <c r="A201" t="str">
        <f>HYPERLINK("https://www.ebi.ac.uk/ols/ontologies/fbbt/terms?iri=http://purl.obolibrary.org/obo/FBbt_00047504","FBbt:00047504")</f>
        <v>FBbt:00047504</v>
      </c>
      <c r="B201" t="s">
        <v>582</v>
      </c>
      <c r="C201" t="s">
        <v>583</v>
      </c>
      <c r="D201" t="s">
        <v>584</v>
      </c>
      <c r="E201" t="s">
        <v>435</v>
      </c>
    </row>
    <row r="202" spans="1:5" x14ac:dyDescent="0.2">
      <c r="A202" t="str">
        <f>HYPERLINK("https://www.ebi.ac.uk/ols/ontologies/fbbt/terms?iri=http://purl.obolibrary.org/obo/FBbt_00047505","FBbt:00047505")</f>
        <v>FBbt:00047505</v>
      </c>
      <c r="B202" t="s">
        <v>585</v>
      </c>
      <c r="C202" t="s">
        <v>586</v>
      </c>
      <c r="D202" t="s">
        <v>587</v>
      </c>
      <c r="E202" t="s">
        <v>435</v>
      </c>
    </row>
    <row r="203" spans="1:5" x14ac:dyDescent="0.2">
      <c r="A203" t="str">
        <f>HYPERLINK("https://www.ebi.ac.uk/ols/ontologies/fbbt/terms?iri=http://purl.obolibrary.org/obo/FBbt_00001477","FBbt:00001477")</f>
        <v>FBbt:00001477</v>
      </c>
      <c r="B203" t="s">
        <v>588</v>
      </c>
      <c r="C203" t="s">
        <v>8</v>
      </c>
      <c r="D203" t="s">
        <v>589</v>
      </c>
      <c r="E203" t="s">
        <v>195</v>
      </c>
    </row>
    <row r="204" spans="1:5" x14ac:dyDescent="0.2">
      <c r="A204" t="str">
        <f>HYPERLINK("https://www.ebi.ac.uk/ols/ontologies/fbbt/terms?iri=http://purl.obolibrary.org/obo/FBbt_00047560","FBbt:00047560")</f>
        <v>FBbt:00047560</v>
      </c>
      <c r="B204" t="s">
        <v>590</v>
      </c>
      <c r="C204" t="s">
        <v>591</v>
      </c>
      <c r="D204" t="s">
        <v>592</v>
      </c>
      <c r="E204" t="s">
        <v>593</v>
      </c>
    </row>
    <row r="205" spans="1:5" x14ac:dyDescent="0.2">
      <c r="A205" t="str">
        <f>HYPERLINK("https://www.ebi.ac.uk/ols/ontologies/fbbt/terms?iri=http://purl.obolibrary.org/obo/FBbt_00001476","FBbt:00001476")</f>
        <v>FBbt:00001476</v>
      </c>
      <c r="B205" t="s">
        <v>594</v>
      </c>
      <c r="C205" t="s">
        <v>8</v>
      </c>
      <c r="D205" t="s">
        <v>595</v>
      </c>
      <c r="E205" t="s">
        <v>195</v>
      </c>
    </row>
    <row r="206" spans="1:5" x14ac:dyDescent="0.2">
      <c r="A206" t="str">
        <f>HYPERLINK("https://www.ebi.ac.uk/ols/ontologies/fbbt/terms?iri=http://purl.obolibrary.org/obo/FBbt_00001478","FBbt:00001478")</f>
        <v>FBbt:00001478</v>
      </c>
      <c r="B206" t="s">
        <v>596</v>
      </c>
      <c r="C206" t="s">
        <v>8</v>
      </c>
      <c r="D206" t="s">
        <v>597</v>
      </c>
      <c r="E206" t="s">
        <v>195</v>
      </c>
    </row>
    <row r="207" spans="1:5" x14ac:dyDescent="0.2">
      <c r="A207" t="str">
        <f>HYPERLINK("https://www.ebi.ac.uk/ols/ontologies/fbbt/terms?iri=http://purl.obolibrary.org/obo/FBbt_00111228","FBbt:00111228")</f>
        <v>FBbt:00111228</v>
      </c>
      <c r="B207" t="s">
        <v>598</v>
      </c>
      <c r="C207" t="s">
        <v>8</v>
      </c>
      <c r="D207" t="s">
        <v>599</v>
      </c>
      <c r="E207" t="s">
        <v>499</v>
      </c>
    </row>
    <row r="208" spans="1:5" x14ac:dyDescent="0.2">
      <c r="A208" t="str">
        <f>HYPERLINK("https://www.ebi.ac.uk/ols/ontologies/fbbt/terms?iri=http://purl.obolibrary.org/obo/FBbt_00111229","FBbt:00111229")</f>
        <v>FBbt:00111229</v>
      </c>
      <c r="B208" t="s">
        <v>600</v>
      </c>
      <c r="C208" t="s">
        <v>601</v>
      </c>
      <c r="D208" t="s">
        <v>602</v>
      </c>
      <c r="E208" t="s">
        <v>499</v>
      </c>
    </row>
    <row r="209" spans="1:5" x14ac:dyDescent="0.2">
      <c r="A209" t="str">
        <f>HYPERLINK("https://www.ebi.ac.uk/ols/ontologies/fbbt/terms?iri=http://purl.obolibrary.org/obo/FBbt_00001474","FBbt:00001474")</f>
        <v>FBbt:00001474</v>
      </c>
      <c r="B209" t="s">
        <v>603</v>
      </c>
      <c r="C209" t="s">
        <v>8</v>
      </c>
      <c r="D209" t="s">
        <v>604</v>
      </c>
      <c r="E209" t="s">
        <v>195</v>
      </c>
    </row>
    <row r="210" spans="1:5" x14ac:dyDescent="0.2">
      <c r="A210" t="str">
        <f>HYPERLINK("https://www.ebi.ac.uk/ols/ontologies/fbbt/terms?iri=http://purl.obolibrary.org/obo/FBbt_00100492","FBbt:00100492")</f>
        <v>FBbt:00100492</v>
      </c>
      <c r="B210" t="s">
        <v>605</v>
      </c>
      <c r="C210" t="s">
        <v>606</v>
      </c>
      <c r="D210" t="s">
        <v>607</v>
      </c>
      <c r="E210" t="s">
        <v>608</v>
      </c>
    </row>
    <row r="211" spans="1:5" x14ac:dyDescent="0.2">
      <c r="A211" t="str">
        <f>HYPERLINK("https://www.ebi.ac.uk/ols/ontologies/fbbt/terms?iri=http://purl.obolibrary.org/obo/FBbt_00111227","FBbt:00111227")</f>
        <v>FBbt:00111227</v>
      </c>
      <c r="B211" t="s">
        <v>609</v>
      </c>
      <c r="C211" t="s">
        <v>8</v>
      </c>
      <c r="D211" t="s">
        <v>610</v>
      </c>
      <c r="E211" t="s">
        <v>499</v>
      </c>
    </row>
    <row r="212" spans="1:5" x14ac:dyDescent="0.2">
      <c r="A212" t="str">
        <f>HYPERLINK("https://www.ebi.ac.uk/ols/ontologies/fbbt/terms?iri=http://purl.obolibrary.org/obo/FBbt_00001473","FBbt:00001473")</f>
        <v>FBbt:00001473</v>
      </c>
      <c r="B212" t="s">
        <v>611</v>
      </c>
      <c r="C212" t="s">
        <v>8</v>
      </c>
      <c r="D212" t="s">
        <v>612</v>
      </c>
      <c r="E212" t="s">
        <v>195</v>
      </c>
    </row>
    <row r="213" spans="1:5" x14ac:dyDescent="0.2">
      <c r="A213" t="str">
        <f>HYPERLINK("https://www.ebi.ac.uk/ols/ontologies/fbbt/terms?iri=http://purl.obolibrary.org/obo/FBbt_00001522","FBbt:00001522")</f>
        <v>FBbt:00001522</v>
      </c>
      <c r="B213" t="s">
        <v>613</v>
      </c>
      <c r="C213" t="s">
        <v>8</v>
      </c>
      <c r="D213" t="s">
        <v>614</v>
      </c>
      <c r="E213" t="s">
        <v>157</v>
      </c>
    </row>
    <row r="214" spans="1:5" x14ac:dyDescent="0.2">
      <c r="A214" t="str">
        <f>HYPERLINK("https://www.ebi.ac.uk/ols/ontologies/fbbt/terms?iri=http://purl.obolibrary.org/obo/FBbt_00100491","FBbt:00100491")</f>
        <v>FBbt:00100491</v>
      </c>
      <c r="B214" t="s">
        <v>615</v>
      </c>
      <c r="C214" t="s">
        <v>616</v>
      </c>
      <c r="D214" t="s">
        <v>617</v>
      </c>
      <c r="E214" t="s">
        <v>608</v>
      </c>
    </row>
    <row r="215" spans="1:5" x14ac:dyDescent="0.2">
      <c r="A215" t="str">
        <f>HYPERLINK("https://www.ebi.ac.uk/ols/ontologies/fbbt/terms?iri=http://purl.obolibrary.org/obo/FBbt_00001521","FBbt:00001521")</f>
        <v>FBbt:00001521</v>
      </c>
      <c r="B215" t="s">
        <v>618</v>
      </c>
      <c r="C215" t="s">
        <v>8</v>
      </c>
      <c r="D215" t="s">
        <v>619</v>
      </c>
      <c r="E215" t="s">
        <v>157</v>
      </c>
    </row>
    <row r="216" spans="1:5" x14ac:dyDescent="0.2">
      <c r="A216" t="str">
        <f>HYPERLINK("https://www.ebi.ac.uk/ols/ontologies/fbbt/terms?iri=http://purl.obolibrary.org/obo/FBbt_00001524","FBbt:00001524")</f>
        <v>FBbt:00001524</v>
      </c>
      <c r="B216" t="s">
        <v>620</v>
      </c>
      <c r="C216" t="s">
        <v>8</v>
      </c>
      <c r="D216" t="s">
        <v>621</v>
      </c>
      <c r="E216" t="s">
        <v>157</v>
      </c>
    </row>
    <row r="217" spans="1:5" x14ac:dyDescent="0.2">
      <c r="A217" t="str">
        <f>HYPERLINK("https://www.ebi.ac.uk/ols/ontologies/fbbt/terms?iri=http://purl.obolibrary.org/obo/FBbt_00110329","FBbt:00110329")</f>
        <v>FBbt:00110329</v>
      </c>
      <c r="B217" t="s">
        <v>622</v>
      </c>
      <c r="C217" t="s">
        <v>623</v>
      </c>
      <c r="D217" t="s">
        <v>624</v>
      </c>
      <c r="E217" t="s">
        <v>301</v>
      </c>
    </row>
    <row r="218" spans="1:5" x14ac:dyDescent="0.2">
      <c r="A218" t="str">
        <f>HYPERLINK("https://www.ebi.ac.uk/ols/ontologies/fbbt/terms?iri=http://purl.obolibrary.org/obo/FBbt_00110328","FBbt:00110328")</f>
        <v>FBbt:00110328</v>
      </c>
      <c r="B218" t="s">
        <v>625</v>
      </c>
      <c r="C218" t="s">
        <v>626</v>
      </c>
      <c r="D218" t="s">
        <v>627</v>
      </c>
      <c r="E218" t="s">
        <v>301</v>
      </c>
    </row>
    <row r="219" spans="1:5" x14ac:dyDescent="0.2">
      <c r="A219" t="str">
        <f>HYPERLINK("https://www.ebi.ac.uk/ols/ontologies/fbbt/terms?iri=http://purl.obolibrary.org/obo/FBbt_00111230","FBbt:00111230")</f>
        <v>FBbt:00111230</v>
      </c>
      <c r="B219" t="s">
        <v>628</v>
      </c>
      <c r="C219" t="s">
        <v>629</v>
      </c>
      <c r="D219" t="s">
        <v>630</v>
      </c>
      <c r="E219" t="s">
        <v>499</v>
      </c>
    </row>
    <row r="220" spans="1:5" x14ac:dyDescent="0.2">
      <c r="A220" t="str">
        <f>HYPERLINK("https://www.ebi.ac.uk/ols/ontologies/fbbt/terms?iri=http://purl.obolibrary.org/obo/FBbt_00001529","FBbt:00001529")</f>
        <v>FBbt:00001529</v>
      </c>
      <c r="B220" t="s">
        <v>631</v>
      </c>
      <c r="C220" t="s">
        <v>8</v>
      </c>
      <c r="D220" t="s">
        <v>632</v>
      </c>
      <c r="E220" t="s">
        <v>195</v>
      </c>
    </row>
    <row r="221" spans="1:5" x14ac:dyDescent="0.2">
      <c r="A221" t="str">
        <f>HYPERLINK("https://www.ebi.ac.uk/ols/ontologies/fbbt/terms?iri=http://purl.obolibrary.org/obo/FBbt_00047732","FBbt:00047732")</f>
        <v>FBbt:00047732</v>
      </c>
      <c r="B221" t="s">
        <v>633</v>
      </c>
      <c r="C221" t="s">
        <v>634</v>
      </c>
      <c r="D221" t="s">
        <v>635</v>
      </c>
      <c r="E221" t="s">
        <v>62</v>
      </c>
    </row>
    <row r="222" spans="1:5" x14ac:dyDescent="0.2">
      <c r="A222" t="str">
        <f>HYPERLINK("https://www.ebi.ac.uk/ols/ontologies/fbbt/terms?iri=http://purl.obolibrary.org/obo/FBbt_00047731","FBbt:00047731")</f>
        <v>FBbt:00047731</v>
      </c>
      <c r="B222" t="s">
        <v>636</v>
      </c>
      <c r="C222" t="s">
        <v>637</v>
      </c>
      <c r="D222" t="s">
        <v>638</v>
      </c>
      <c r="E222" t="s">
        <v>62</v>
      </c>
    </row>
    <row r="223" spans="1:5" x14ac:dyDescent="0.2">
      <c r="A223" t="str">
        <f>HYPERLINK("https://www.ebi.ac.uk/ols/ontologies/fbbt/terms?iri=http://purl.obolibrary.org/obo/FBbt_00047730","FBbt:00047730")</f>
        <v>FBbt:00047730</v>
      </c>
      <c r="B223" t="s">
        <v>639</v>
      </c>
      <c r="C223" t="s">
        <v>640</v>
      </c>
      <c r="D223" t="s">
        <v>641</v>
      </c>
      <c r="E223" t="s">
        <v>62</v>
      </c>
    </row>
    <row r="224" spans="1:5" x14ac:dyDescent="0.2">
      <c r="A224" t="str">
        <f>HYPERLINK("https://www.ebi.ac.uk/ols/ontologies/fbbt/terms?iri=http://purl.obolibrary.org/obo/FBbt_00047199","FBbt:00047199")</f>
        <v>FBbt:00047199</v>
      </c>
      <c r="B224" t="s">
        <v>642</v>
      </c>
      <c r="C224" t="s">
        <v>8</v>
      </c>
      <c r="D224" t="s">
        <v>643</v>
      </c>
      <c r="E224" t="s">
        <v>144</v>
      </c>
    </row>
    <row r="225" spans="1:5" x14ac:dyDescent="0.2">
      <c r="A225" t="str">
        <f>HYPERLINK("https://www.ebi.ac.uk/ols/ontologies/fbbt/terms?iri=http://purl.obolibrary.org/obo/FBbt_00047813","FBbt:00047813")</f>
        <v>FBbt:00047813</v>
      </c>
      <c r="B225" t="s">
        <v>644</v>
      </c>
      <c r="C225" t="s">
        <v>645</v>
      </c>
      <c r="D225" t="s">
        <v>646</v>
      </c>
      <c r="E225" t="s">
        <v>647</v>
      </c>
    </row>
    <row r="226" spans="1:5" x14ac:dyDescent="0.2">
      <c r="A226" t="str">
        <f>HYPERLINK("https://www.ebi.ac.uk/ols/ontologies/fbbt/terms?iri=http://purl.obolibrary.org/obo/FBbt_00001525","FBbt:00001525")</f>
        <v>FBbt:00001525</v>
      </c>
      <c r="B226" t="s">
        <v>648</v>
      </c>
      <c r="C226" t="s">
        <v>8</v>
      </c>
      <c r="D226" t="s">
        <v>649</v>
      </c>
      <c r="E226" t="s">
        <v>157</v>
      </c>
    </row>
    <row r="227" spans="1:5" x14ac:dyDescent="0.2">
      <c r="A227" t="str">
        <f>HYPERLINK("https://www.ebi.ac.uk/ols/ontologies/fbbt/terms?iri=http://purl.obolibrary.org/obo/FBbt_00047198","FBbt:00047198")</f>
        <v>FBbt:00047198</v>
      </c>
      <c r="B227" t="s">
        <v>650</v>
      </c>
      <c r="C227" t="s">
        <v>8</v>
      </c>
      <c r="D227" t="s">
        <v>651</v>
      </c>
      <c r="E227" t="s">
        <v>144</v>
      </c>
    </row>
    <row r="228" spans="1:5" x14ac:dyDescent="0.2">
      <c r="A228" t="str">
        <f>HYPERLINK("https://www.ebi.ac.uk/ols/ontologies/fbbt/terms?iri=http://purl.obolibrary.org/obo/FBbt_00001528","FBbt:00001528")</f>
        <v>FBbt:00001528</v>
      </c>
      <c r="B228" t="s">
        <v>652</v>
      </c>
      <c r="C228" t="s">
        <v>8</v>
      </c>
      <c r="D228" t="s">
        <v>653</v>
      </c>
      <c r="E228" t="s">
        <v>195</v>
      </c>
    </row>
    <row r="229" spans="1:5" x14ac:dyDescent="0.2">
      <c r="A229" t="str">
        <f>HYPERLINK("https://www.ebi.ac.uk/ols/ontologies/fbbt/terms?iri=http://purl.obolibrary.org/obo/FBbt_00001304","FBbt:00001304")</f>
        <v>FBbt:00001304</v>
      </c>
      <c r="B229" t="s">
        <v>654</v>
      </c>
      <c r="C229" t="s">
        <v>655</v>
      </c>
      <c r="D229" t="s">
        <v>656</v>
      </c>
      <c r="E229" t="s">
        <v>274</v>
      </c>
    </row>
    <row r="230" spans="1:5" x14ac:dyDescent="0.2">
      <c r="A230" t="str">
        <f>HYPERLINK("https://www.ebi.ac.uk/ols/ontologies/fbbt/terms?iri=http://purl.obolibrary.org/obo/FBbt_00001481","FBbt:00001481")</f>
        <v>FBbt:00001481</v>
      </c>
      <c r="B230" t="s">
        <v>657</v>
      </c>
      <c r="C230" t="s">
        <v>8</v>
      </c>
      <c r="D230" t="s">
        <v>658</v>
      </c>
      <c r="E230" t="s">
        <v>157</v>
      </c>
    </row>
    <row r="231" spans="1:5" x14ac:dyDescent="0.2">
      <c r="A231" t="str">
        <f>HYPERLINK("https://www.ebi.ac.uk/ols/ontologies/fbbt/terms?iri=http://purl.obolibrary.org/obo/FBbt_00001480","FBbt:00001480")</f>
        <v>FBbt:00001480</v>
      </c>
      <c r="B231" t="s">
        <v>659</v>
      </c>
      <c r="C231" t="s">
        <v>8</v>
      </c>
      <c r="D231" t="s">
        <v>660</v>
      </c>
      <c r="E231" t="s">
        <v>157</v>
      </c>
    </row>
    <row r="232" spans="1:5" x14ac:dyDescent="0.2">
      <c r="A232" t="str">
        <f>HYPERLINK("https://www.ebi.ac.uk/ols/ontologies/fbbt/terms?iri=http://purl.obolibrary.org/obo/FBbt_00047812","FBbt:00047812")</f>
        <v>FBbt:00047812</v>
      </c>
      <c r="B232" t="s">
        <v>661</v>
      </c>
      <c r="C232" t="s">
        <v>662</v>
      </c>
      <c r="D232" t="s">
        <v>663</v>
      </c>
      <c r="E232" t="s">
        <v>647</v>
      </c>
    </row>
    <row r="233" spans="1:5" x14ac:dyDescent="0.2">
      <c r="A233" t="str">
        <f>HYPERLINK("https://www.ebi.ac.uk/ols/ontologies/fbbt/terms?iri=http://purl.obolibrary.org/obo/FBbt_00047683","FBbt:00047683")</f>
        <v>FBbt:00047683</v>
      </c>
      <c r="B233" t="s">
        <v>664</v>
      </c>
      <c r="C233" t="s">
        <v>8</v>
      </c>
      <c r="D233" t="s">
        <v>665</v>
      </c>
      <c r="E233" t="s">
        <v>29</v>
      </c>
    </row>
    <row r="234" spans="1:5" x14ac:dyDescent="0.2">
      <c r="A234" t="str">
        <f>HYPERLINK("https://www.ebi.ac.uk/ols/ontologies/fbbt/terms?iri=http://purl.obolibrary.org/obo/FBbt_00001464","FBbt:00001464")</f>
        <v>FBbt:00001464</v>
      </c>
      <c r="B234" t="s">
        <v>666</v>
      </c>
      <c r="C234" t="s">
        <v>8</v>
      </c>
      <c r="D234" t="s">
        <v>667</v>
      </c>
      <c r="E234" t="s">
        <v>157</v>
      </c>
    </row>
    <row r="235" spans="1:5" x14ac:dyDescent="0.2">
      <c r="A235" t="str">
        <f>HYPERLINK("https://www.ebi.ac.uk/ols/ontologies/fbbt/terms?iri=http://purl.obolibrary.org/obo/FBbt_00047854","FBbt:00047854")</f>
        <v>FBbt:00047854</v>
      </c>
      <c r="B235" t="s">
        <v>668</v>
      </c>
      <c r="C235" t="s">
        <v>8</v>
      </c>
      <c r="D235" t="s">
        <v>669</v>
      </c>
      <c r="E235" t="s">
        <v>62</v>
      </c>
    </row>
    <row r="236" spans="1:5" x14ac:dyDescent="0.2">
      <c r="A236" t="str">
        <f>HYPERLINK("https://www.ebi.ac.uk/ols/ontologies/fbbt/terms?iri=http://purl.obolibrary.org/obo/FBbt_00001467","FBbt:00001467")</f>
        <v>FBbt:00001467</v>
      </c>
      <c r="B236" t="s">
        <v>670</v>
      </c>
      <c r="C236" t="s">
        <v>8</v>
      </c>
      <c r="D236" t="s">
        <v>671</v>
      </c>
      <c r="E236" t="s">
        <v>157</v>
      </c>
    </row>
    <row r="237" spans="1:5" x14ac:dyDescent="0.2">
      <c r="A237" t="str">
        <f>HYPERLINK("https://www.ebi.ac.uk/ols/ontologies/fbbt/terms?iri=http://purl.obolibrary.org/obo/FBbt_00111663","FBbt:00111663")</f>
        <v>FBbt:00111663</v>
      </c>
      <c r="B237" t="s">
        <v>672</v>
      </c>
      <c r="C237" t="s">
        <v>8</v>
      </c>
      <c r="D237" t="s">
        <v>673</v>
      </c>
      <c r="E237" t="s">
        <v>229</v>
      </c>
    </row>
    <row r="238" spans="1:5" x14ac:dyDescent="0.2">
      <c r="A238" t="str">
        <f>HYPERLINK("https://www.ebi.ac.uk/ols/ontologies/fbbt/terms?iri=http://purl.obolibrary.org/obo/FBbt_00111664","FBbt:00111664")</f>
        <v>FBbt:00111664</v>
      </c>
      <c r="B238" t="s">
        <v>674</v>
      </c>
      <c r="C238" t="s">
        <v>8</v>
      </c>
      <c r="D238" t="s">
        <v>675</v>
      </c>
      <c r="E238" t="s">
        <v>229</v>
      </c>
    </row>
    <row r="239" spans="1:5" x14ac:dyDescent="0.2">
      <c r="A239" t="str">
        <f>HYPERLINK("https://www.ebi.ac.uk/ols/ontologies/fbbt/terms?iri=http://purl.obolibrary.org/obo/FBbt_00100773","FBbt:00100773")</f>
        <v>FBbt:00100773</v>
      </c>
      <c r="B239" t="s">
        <v>676</v>
      </c>
      <c r="C239" t="s">
        <v>677</v>
      </c>
      <c r="D239" t="s">
        <v>678</v>
      </c>
      <c r="E239" t="s">
        <v>94</v>
      </c>
    </row>
    <row r="240" spans="1:5" x14ac:dyDescent="0.2">
      <c r="A240" t="str">
        <f>HYPERLINK("https://www.ebi.ac.uk/ols/ontologies/fbbt/terms?iri=http://purl.obolibrary.org/obo/FBbt_00001460","FBbt:00001460")</f>
        <v>FBbt:00001460</v>
      </c>
      <c r="B240" t="s">
        <v>679</v>
      </c>
      <c r="C240" t="s">
        <v>8</v>
      </c>
      <c r="D240" t="s">
        <v>680</v>
      </c>
      <c r="E240" t="s">
        <v>157</v>
      </c>
    </row>
    <row r="241" spans="1:5" x14ac:dyDescent="0.2">
      <c r="A241" t="str">
        <f>HYPERLINK("https://www.ebi.ac.uk/ols/ontologies/fbbt/terms?iri=http://purl.obolibrary.org/obo/FBbt_00100774","FBbt:00100774")</f>
        <v>FBbt:00100774</v>
      </c>
      <c r="B241" t="s">
        <v>681</v>
      </c>
      <c r="C241" t="s">
        <v>682</v>
      </c>
      <c r="D241" t="s">
        <v>683</v>
      </c>
      <c r="E241" t="s">
        <v>684</v>
      </c>
    </row>
    <row r="242" spans="1:5" x14ac:dyDescent="0.2">
      <c r="A242" t="str">
        <f>HYPERLINK("https://www.ebi.ac.uk/ols/ontologies/fbbt/terms?iri=http://purl.obolibrary.org/obo/FBbt_00001463","FBbt:00001463")</f>
        <v>FBbt:00001463</v>
      </c>
      <c r="B242" t="s">
        <v>685</v>
      </c>
      <c r="C242" t="s">
        <v>8</v>
      </c>
      <c r="D242" t="s">
        <v>686</v>
      </c>
      <c r="E242" t="s">
        <v>157</v>
      </c>
    </row>
    <row r="243" spans="1:5" x14ac:dyDescent="0.2">
      <c r="A243" t="str">
        <f>HYPERLINK("https://www.ebi.ac.uk/ols/ontologies/fbbt/terms?iri=http://purl.obolibrary.org/obo/FBbt_00100775","FBbt:00100775")</f>
        <v>FBbt:00100775</v>
      </c>
      <c r="B243" t="s">
        <v>687</v>
      </c>
      <c r="C243" t="s">
        <v>688</v>
      </c>
      <c r="D243" t="s">
        <v>689</v>
      </c>
      <c r="E243" t="s">
        <v>94</v>
      </c>
    </row>
    <row r="244" spans="1:5" x14ac:dyDescent="0.2">
      <c r="A244" t="str">
        <f>HYPERLINK("https://www.ebi.ac.uk/ols/ontologies/fbbt/terms?iri=http://purl.obolibrary.org/obo/FBbt_00001462","FBbt:00001462")</f>
        <v>FBbt:00001462</v>
      </c>
      <c r="B244" t="s">
        <v>690</v>
      </c>
      <c r="C244" t="s">
        <v>8</v>
      </c>
      <c r="D244" t="s">
        <v>691</v>
      </c>
      <c r="E244" t="s">
        <v>157</v>
      </c>
    </row>
    <row r="245" spans="1:5" x14ac:dyDescent="0.2">
      <c r="A245" t="str">
        <f>HYPERLINK("https://www.ebi.ac.uk/ols/ontologies/fbbt/terms?iri=http://purl.obolibrary.org/obo/FBbt_00100782","FBbt:00100782")</f>
        <v>FBbt:00100782</v>
      </c>
      <c r="B245" t="s">
        <v>692</v>
      </c>
      <c r="C245" t="s">
        <v>8</v>
      </c>
      <c r="D245" t="s">
        <v>693</v>
      </c>
      <c r="E245" t="s">
        <v>442</v>
      </c>
    </row>
    <row r="246" spans="1:5" x14ac:dyDescent="0.2">
      <c r="A246" t="str">
        <f>HYPERLINK("https://www.ebi.ac.uk/ols/ontologies/fbbt/terms?iri=http://purl.obolibrary.org/obo/FBbt_00100776","FBbt:00100776")</f>
        <v>FBbt:00100776</v>
      </c>
      <c r="B246" t="s">
        <v>694</v>
      </c>
      <c r="C246" t="s">
        <v>695</v>
      </c>
      <c r="D246" t="s">
        <v>696</v>
      </c>
      <c r="E246" t="s">
        <v>94</v>
      </c>
    </row>
    <row r="247" spans="1:5" x14ac:dyDescent="0.2">
      <c r="A247" t="str">
        <f>HYPERLINK("https://www.ebi.ac.uk/ols/ontologies/fbbt/terms?iri=http://purl.obolibrary.org/obo/FBbt_00100781","FBbt:00100781")</f>
        <v>FBbt:00100781</v>
      </c>
      <c r="B247" t="s">
        <v>697</v>
      </c>
      <c r="C247" t="s">
        <v>8</v>
      </c>
      <c r="D247" t="s">
        <v>698</v>
      </c>
      <c r="E247" t="s">
        <v>442</v>
      </c>
    </row>
    <row r="248" spans="1:5" x14ac:dyDescent="0.2">
      <c r="A248" t="str">
        <f>HYPERLINK("https://www.ebi.ac.uk/ols/ontologies/fbbt/terms?iri=http://purl.obolibrary.org/obo/FBbt_00111735","FBbt:00111735")</f>
        <v>FBbt:00111735</v>
      </c>
      <c r="B248" t="s">
        <v>699</v>
      </c>
      <c r="C248" t="s">
        <v>700</v>
      </c>
      <c r="D248" t="s">
        <v>701</v>
      </c>
      <c r="E248" t="s">
        <v>332</v>
      </c>
    </row>
    <row r="249" spans="1:5" x14ac:dyDescent="0.2">
      <c r="A249" t="str">
        <f>HYPERLINK("https://www.ebi.ac.uk/ols/ontologies/fbbt/terms?iri=http://purl.obolibrary.org/obo/FBbt_00111734","FBbt:00111734")</f>
        <v>FBbt:00111734</v>
      </c>
      <c r="B249" t="s">
        <v>702</v>
      </c>
      <c r="C249" t="s">
        <v>703</v>
      </c>
      <c r="D249" t="s">
        <v>704</v>
      </c>
      <c r="E249" t="s">
        <v>332</v>
      </c>
    </row>
    <row r="250" spans="1:5" x14ac:dyDescent="0.2">
      <c r="A250" t="str">
        <f>HYPERLINK("https://www.ebi.ac.uk/ols/ontologies/fbbt/terms?iri=http://purl.obolibrary.org/obo/FBbt_00100780","FBbt:00100780")</f>
        <v>FBbt:00100780</v>
      </c>
      <c r="B250" t="s">
        <v>705</v>
      </c>
      <c r="C250" t="s">
        <v>8</v>
      </c>
      <c r="D250" t="s">
        <v>706</v>
      </c>
      <c r="E250" t="s">
        <v>442</v>
      </c>
    </row>
    <row r="251" spans="1:5" x14ac:dyDescent="0.2">
      <c r="A251" t="str">
        <f>HYPERLINK("https://www.ebi.ac.uk/ols/ontologies/fbbt/terms?iri=http://purl.obolibrary.org/obo/FBbt_00100770","FBbt:00100770")</f>
        <v>FBbt:00100770</v>
      </c>
      <c r="B251" t="s">
        <v>707</v>
      </c>
      <c r="C251" t="s">
        <v>708</v>
      </c>
      <c r="D251" t="s">
        <v>709</v>
      </c>
      <c r="E251" t="s">
        <v>94</v>
      </c>
    </row>
    <row r="252" spans="1:5" x14ac:dyDescent="0.2">
      <c r="A252" t="str">
        <f>HYPERLINK("https://www.ebi.ac.uk/ols/ontologies/fbbt/terms?iri=http://purl.obolibrary.org/obo/FBbt_00001512","FBbt:00001512")</f>
        <v>FBbt:00001512</v>
      </c>
      <c r="B252" t="s">
        <v>710</v>
      </c>
      <c r="C252" t="s">
        <v>8</v>
      </c>
      <c r="D252" t="s">
        <v>711</v>
      </c>
      <c r="E252" t="s">
        <v>157</v>
      </c>
    </row>
    <row r="253" spans="1:5" x14ac:dyDescent="0.2">
      <c r="A253" t="str">
        <f>HYPERLINK("https://www.ebi.ac.uk/ols/ontologies/fbbt/terms?iri=http://purl.obolibrary.org/obo/FBbt_00100771","FBbt:00100771")</f>
        <v>FBbt:00100771</v>
      </c>
      <c r="B253" t="s">
        <v>712</v>
      </c>
      <c r="C253" t="s">
        <v>713</v>
      </c>
      <c r="D253" t="s">
        <v>714</v>
      </c>
      <c r="E253" t="s">
        <v>94</v>
      </c>
    </row>
    <row r="254" spans="1:5" x14ac:dyDescent="0.2">
      <c r="A254" t="str">
        <f>HYPERLINK("https://www.ebi.ac.uk/ols/ontologies/fbbt/terms?iri=http://purl.obolibrary.org/obo/FBbt_00111732","FBbt:00111732")</f>
        <v>FBbt:00111732</v>
      </c>
      <c r="B254" t="s">
        <v>715</v>
      </c>
      <c r="C254" t="s">
        <v>716</v>
      </c>
      <c r="D254" t="s">
        <v>717</v>
      </c>
      <c r="E254" t="s">
        <v>358</v>
      </c>
    </row>
    <row r="255" spans="1:5" x14ac:dyDescent="0.2">
      <c r="A255" t="str">
        <f>HYPERLINK("https://www.ebi.ac.uk/ols/ontologies/fbbt/terms?iri=http://purl.obolibrary.org/obo/FBbt_00001511","FBbt:00001511")</f>
        <v>FBbt:00001511</v>
      </c>
      <c r="B255" t="s">
        <v>718</v>
      </c>
      <c r="C255" t="s">
        <v>8</v>
      </c>
      <c r="D255" t="s">
        <v>719</v>
      </c>
      <c r="E255" t="s">
        <v>157</v>
      </c>
    </row>
    <row r="256" spans="1:5" x14ac:dyDescent="0.2">
      <c r="A256" t="str">
        <f>HYPERLINK("https://www.ebi.ac.uk/ols/ontologies/fbbt/terms?iri=http://purl.obolibrary.org/obo/FBbt_00100772","FBbt:00100772")</f>
        <v>FBbt:00100772</v>
      </c>
      <c r="B256" t="s">
        <v>720</v>
      </c>
      <c r="C256" t="s">
        <v>721</v>
      </c>
      <c r="D256" t="s">
        <v>722</v>
      </c>
      <c r="E256" t="s">
        <v>94</v>
      </c>
    </row>
    <row r="257" spans="1:5" x14ac:dyDescent="0.2">
      <c r="A257" t="str">
        <f>HYPERLINK("https://www.ebi.ac.uk/ols/ontologies/fbbt/terms?iri=http://purl.obolibrary.org/obo/FBbt_00111733","FBbt:00111733")</f>
        <v>FBbt:00111733</v>
      </c>
      <c r="B257" t="s">
        <v>723</v>
      </c>
      <c r="C257" t="s">
        <v>724</v>
      </c>
      <c r="D257" t="s">
        <v>725</v>
      </c>
      <c r="E257" t="s">
        <v>332</v>
      </c>
    </row>
    <row r="258" spans="1:5" x14ac:dyDescent="0.2">
      <c r="A258" t="str">
        <f>HYPERLINK("https://www.ebi.ac.uk/ols/ontologies/fbbt/terms?iri=http://purl.obolibrary.org/obo/FBbt_00001468","FBbt:00001468")</f>
        <v>FBbt:00001468</v>
      </c>
      <c r="B258" t="s">
        <v>726</v>
      </c>
      <c r="C258" t="s">
        <v>8</v>
      </c>
      <c r="D258" t="s">
        <v>727</v>
      </c>
      <c r="E258" t="s">
        <v>157</v>
      </c>
    </row>
    <row r="259" spans="1:5" x14ac:dyDescent="0.2">
      <c r="A259" t="str">
        <f>HYPERLINK("https://www.ebi.ac.uk/ols/ontologies/fbbt/terms?iri=http://purl.obolibrary.org/obo/FBbt_00111662","FBbt:00111662")</f>
        <v>FBbt:00111662</v>
      </c>
      <c r="B259" t="s">
        <v>728</v>
      </c>
      <c r="C259" t="s">
        <v>8</v>
      </c>
      <c r="D259" t="s">
        <v>729</v>
      </c>
      <c r="E259" t="s">
        <v>229</v>
      </c>
    </row>
    <row r="260" spans="1:5" x14ac:dyDescent="0.2">
      <c r="A260" t="str">
        <f>HYPERLINK("https://www.ebi.ac.uk/ols/ontologies/fbbt/terms?iri=http://purl.obolibrary.org/obo/FBbt_00110975","FBbt:00110975")</f>
        <v>FBbt:00110975</v>
      </c>
      <c r="B260" t="s">
        <v>730</v>
      </c>
      <c r="C260" t="s">
        <v>8</v>
      </c>
      <c r="D260" t="s">
        <v>731</v>
      </c>
      <c r="E260" t="s">
        <v>732</v>
      </c>
    </row>
    <row r="261" spans="1:5" x14ac:dyDescent="0.2">
      <c r="A261" t="str">
        <f>HYPERLINK("https://www.ebi.ac.uk/ols/ontologies/fbbt/terms?iri=http://purl.obolibrary.org/obo/FBbt_00110220","FBbt:00110220")</f>
        <v>FBbt:00110220</v>
      </c>
      <c r="B261" t="s">
        <v>733</v>
      </c>
      <c r="C261" t="s">
        <v>734</v>
      </c>
      <c r="D261" t="s">
        <v>735</v>
      </c>
      <c r="E261" t="s">
        <v>736</v>
      </c>
    </row>
    <row r="262" spans="1:5" x14ac:dyDescent="0.2">
      <c r="A262" t="str">
        <f>HYPERLINK("https://www.ebi.ac.uk/ols/ontologies/fbbt/terms?iri=http://purl.obolibrary.org/obo/FBbt_00001518","FBbt:00001518")</f>
        <v>FBbt:00001518</v>
      </c>
      <c r="B262" t="s">
        <v>737</v>
      </c>
      <c r="C262" t="s">
        <v>8</v>
      </c>
      <c r="D262" t="s">
        <v>738</v>
      </c>
      <c r="E262" t="s">
        <v>195</v>
      </c>
    </row>
    <row r="263" spans="1:5" x14ac:dyDescent="0.2">
      <c r="A263" t="str">
        <f>HYPERLINK("https://www.ebi.ac.uk/ols/ontologies/fbbt/terms?iri=http://purl.obolibrary.org/obo/FBbt_00111242","FBbt:00111242")</f>
        <v>FBbt:00111242</v>
      </c>
      <c r="B263" t="s">
        <v>739</v>
      </c>
      <c r="C263" t="s">
        <v>740</v>
      </c>
      <c r="D263" t="s">
        <v>741</v>
      </c>
      <c r="E263" t="s">
        <v>742</v>
      </c>
    </row>
    <row r="264" spans="1:5" x14ac:dyDescent="0.2">
      <c r="A264" t="str">
        <f>HYPERLINK("https://www.ebi.ac.uk/ols/ontologies/fbbt/terms?iri=http://purl.obolibrary.org/obo/FBbt_00111243","FBbt:00111243")</f>
        <v>FBbt:00111243</v>
      </c>
      <c r="B264" t="s">
        <v>743</v>
      </c>
      <c r="C264" t="s">
        <v>744</v>
      </c>
      <c r="D264" t="s">
        <v>745</v>
      </c>
      <c r="E264" t="s">
        <v>742</v>
      </c>
    </row>
    <row r="265" spans="1:5" x14ac:dyDescent="0.2">
      <c r="A265" t="str">
        <f>HYPERLINK("https://www.ebi.ac.uk/ols/ontologies/fbbt/terms?iri=http://purl.obolibrary.org/obo/FBbt_00001293","FBbt:00001293")</f>
        <v>FBbt:00001293</v>
      </c>
      <c r="B265" t="s">
        <v>746</v>
      </c>
      <c r="C265" t="s">
        <v>747</v>
      </c>
      <c r="D265" t="s">
        <v>748</v>
      </c>
      <c r="E265" t="s">
        <v>608</v>
      </c>
    </row>
    <row r="266" spans="1:5" x14ac:dyDescent="0.2">
      <c r="A266" t="str">
        <f>HYPERLINK("https://www.ebi.ac.uk/ols/ontologies/fbbt/terms?iri=http://purl.obolibrary.org/obo/FBbt_00001296","FBbt:00001296")</f>
        <v>FBbt:00001296</v>
      </c>
      <c r="B266" t="s">
        <v>749</v>
      </c>
      <c r="C266" t="s">
        <v>750</v>
      </c>
      <c r="D266" t="s">
        <v>751</v>
      </c>
      <c r="E266" t="s">
        <v>274</v>
      </c>
    </row>
    <row r="267" spans="1:5" x14ac:dyDescent="0.2">
      <c r="A267" t="str">
        <f>HYPERLINK("https://www.ebi.ac.uk/ols/ontologies/fbbt/terms?iri=http://purl.obolibrary.org/obo/FBbt_00001519","FBbt:00001519")</f>
        <v>FBbt:00001519</v>
      </c>
      <c r="B267" t="s">
        <v>752</v>
      </c>
      <c r="C267" t="s">
        <v>8</v>
      </c>
      <c r="D267" t="s">
        <v>753</v>
      </c>
      <c r="E267" t="s">
        <v>195</v>
      </c>
    </row>
    <row r="268" spans="1:5" x14ac:dyDescent="0.2">
      <c r="A268" t="str">
        <f>HYPERLINK("https://www.ebi.ac.uk/ols/ontologies/fbbt/terms?iri=http://purl.obolibrary.org/obo/FBbt_00001514","FBbt:00001514")</f>
        <v>FBbt:00001514</v>
      </c>
      <c r="B268" t="s">
        <v>754</v>
      </c>
      <c r="C268" t="s">
        <v>8</v>
      </c>
      <c r="D268" t="s">
        <v>755</v>
      </c>
      <c r="E268" t="s">
        <v>157</v>
      </c>
    </row>
    <row r="269" spans="1:5" x14ac:dyDescent="0.2">
      <c r="A269" t="str">
        <f>HYPERLINK("https://www.ebi.ac.uk/ols/ontologies/fbbt/terms?iri=http://purl.obolibrary.org/obo/FBbt_00111730","FBbt:00111730")</f>
        <v>FBbt:00111730</v>
      </c>
      <c r="B269" t="s">
        <v>756</v>
      </c>
      <c r="C269" t="s">
        <v>757</v>
      </c>
      <c r="D269" t="s">
        <v>758</v>
      </c>
      <c r="E269" t="s">
        <v>358</v>
      </c>
    </row>
    <row r="270" spans="1:5" x14ac:dyDescent="0.2">
      <c r="A270" t="str">
        <f>HYPERLINK("https://www.ebi.ac.uk/ols/ontologies/fbbt/terms?iri=http://purl.obolibrary.org/obo/FBbt_00111731","FBbt:00111731")</f>
        <v>FBbt:00111731</v>
      </c>
      <c r="B270" t="s">
        <v>759</v>
      </c>
      <c r="C270" t="s">
        <v>760</v>
      </c>
      <c r="D270" t="s">
        <v>761</v>
      </c>
      <c r="E270" t="s">
        <v>358</v>
      </c>
    </row>
    <row r="271" spans="1:5" x14ac:dyDescent="0.2">
      <c r="A271" t="str">
        <f>HYPERLINK("https://www.ebi.ac.uk/ols/ontologies/fbbt/terms?iri=http://purl.obolibrary.org/obo/FBbt_00001516","FBbt:00001516")</f>
        <v>FBbt:00001516</v>
      </c>
      <c r="B271" t="s">
        <v>762</v>
      </c>
      <c r="C271" t="s">
        <v>8</v>
      </c>
      <c r="D271" t="s">
        <v>763</v>
      </c>
      <c r="E271" t="s">
        <v>157</v>
      </c>
    </row>
    <row r="272" spans="1:5" x14ac:dyDescent="0.2">
      <c r="A272" t="str">
        <f>HYPERLINK("https://www.ebi.ac.uk/ols/ontologies/fbbt/terms?iri=http://purl.obolibrary.org/obo/FBbt_00001292","FBbt:00001292")</f>
        <v>FBbt:00001292</v>
      </c>
      <c r="B272" t="s">
        <v>764</v>
      </c>
      <c r="C272" t="s">
        <v>765</v>
      </c>
      <c r="D272" t="s">
        <v>766</v>
      </c>
      <c r="E272" t="s">
        <v>274</v>
      </c>
    </row>
    <row r="273" spans="1:5" x14ac:dyDescent="0.2">
      <c r="A273" t="str">
        <f>HYPERLINK("https://www.ebi.ac.uk/ols/ontologies/fbbt/terms?iri=http://purl.obolibrary.org/obo/FBbt_00001515","FBbt:00001515")</f>
        <v>FBbt:00001515</v>
      </c>
      <c r="B273" t="s">
        <v>767</v>
      </c>
      <c r="C273" t="s">
        <v>8</v>
      </c>
      <c r="D273" t="s">
        <v>768</v>
      </c>
      <c r="E273" t="s">
        <v>157</v>
      </c>
    </row>
    <row r="274" spans="1:5" x14ac:dyDescent="0.2">
      <c r="A274" t="str">
        <f>HYPERLINK("https://www.ebi.ac.uk/ols/ontologies/fbbt/terms?iri=http://purl.obolibrary.org/obo/FBbt_00047569","FBbt:00047569")</f>
        <v>FBbt:00047569</v>
      </c>
      <c r="B274" t="s">
        <v>769</v>
      </c>
      <c r="C274" t="s">
        <v>770</v>
      </c>
      <c r="D274" t="s">
        <v>771</v>
      </c>
      <c r="E274" t="s">
        <v>593</v>
      </c>
    </row>
    <row r="275" spans="1:5" x14ac:dyDescent="0.2">
      <c r="A275" t="str">
        <f>HYPERLINK("https://www.ebi.ac.uk/ols/ontologies/fbbt/terms?iri=http://purl.obolibrary.org/obo/FBbt_00047568","FBbt:00047568")</f>
        <v>FBbt:00047568</v>
      </c>
      <c r="B275" t="s">
        <v>772</v>
      </c>
      <c r="C275" t="s">
        <v>773</v>
      </c>
      <c r="D275" t="s">
        <v>774</v>
      </c>
      <c r="E275" t="s">
        <v>593</v>
      </c>
    </row>
    <row r="276" spans="1:5" x14ac:dyDescent="0.2">
      <c r="A276" t="str">
        <f>HYPERLINK("https://www.ebi.ac.uk/ols/ontologies/fbbt/terms?iri=http://purl.obolibrary.org/obo/FBbt_00001471","FBbt:00001471")</f>
        <v>FBbt:00001471</v>
      </c>
      <c r="B276" t="s">
        <v>775</v>
      </c>
      <c r="C276" t="s">
        <v>8</v>
      </c>
      <c r="D276" t="s">
        <v>776</v>
      </c>
      <c r="E276" t="s">
        <v>157</v>
      </c>
    </row>
    <row r="277" spans="1:5" x14ac:dyDescent="0.2">
      <c r="A277" t="str">
        <f>HYPERLINK("https://www.ebi.ac.uk/ols/ontologies/fbbt/terms?iri=http://purl.obolibrary.org/obo/FBbt_00001470","FBbt:00001470")</f>
        <v>FBbt:00001470</v>
      </c>
      <c r="B277" t="s">
        <v>777</v>
      </c>
      <c r="C277" t="s">
        <v>8</v>
      </c>
      <c r="D277" t="s">
        <v>778</v>
      </c>
      <c r="E277" t="s">
        <v>157</v>
      </c>
    </row>
    <row r="278" spans="1:5" x14ac:dyDescent="0.2">
      <c r="A278" t="str">
        <f>HYPERLINK("https://www.ebi.ac.uk/ols/ontologies/fbbt/terms?iri=http://purl.obolibrary.org/obo/FBbt_00111676","FBbt:00111676")</f>
        <v>FBbt:00111676</v>
      </c>
      <c r="B278" t="s">
        <v>779</v>
      </c>
      <c r="C278" t="s">
        <v>8</v>
      </c>
      <c r="D278" t="s">
        <v>780</v>
      </c>
      <c r="E278" t="s">
        <v>306</v>
      </c>
    </row>
    <row r="279" spans="1:5" x14ac:dyDescent="0.2">
      <c r="A279" t="str">
        <f>HYPERLINK("https://www.ebi.ac.uk/ols/ontologies/fbbt/terms?iri=http://purl.obolibrary.org/obo/FBbt_00001497","FBbt:00001497")</f>
        <v>FBbt:00001497</v>
      </c>
      <c r="B279" t="s">
        <v>781</v>
      </c>
      <c r="C279" t="s">
        <v>8</v>
      </c>
      <c r="D279" t="s">
        <v>782</v>
      </c>
      <c r="E279" t="s">
        <v>157</v>
      </c>
    </row>
    <row r="280" spans="1:5" x14ac:dyDescent="0.2">
      <c r="A280" t="str">
        <f>HYPERLINK("https://www.ebi.ac.uk/ols/ontologies/fbbt/terms?iri=http://purl.obolibrary.org/obo/FBbt_00001499","FBbt:00001499")</f>
        <v>FBbt:00001499</v>
      </c>
      <c r="B280" t="s">
        <v>783</v>
      </c>
      <c r="C280" t="s">
        <v>8</v>
      </c>
      <c r="D280" t="s">
        <v>784</v>
      </c>
      <c r="E280" t="s">
        <v>157</v>
      </c>
    </row>
    <row r="281" spans="1:5" x14ac:dyDescent="0.2">
      <c r="A281" t="str">
        <f>HYPERLINK("https://www.ebi.ac.uk/ols/ontologies/fbbt/terms?iri=http://purl.obolibrary.org/obo/FBbt_00001498","FBbt:00001498")</f>
        <v>FBbt:00001498</v>
      </c>
      <c r="B281" t="s">
        <v>785</v>
      </c>
      <c r="C281" t="s">
        <v>8</v>
      </c>
      <c r="D281" t="s">
        <v>786</v>
      </c>
      <c r="E281" t="s">
        <v>157</v>
      </c>
    </row>
    <row r="282" spans="1:5" x14ac:dyDescent="0.2">
      <c r="A282" t="str">
        <f>HYPERLINK("https://www.ebi.ac.uk/ols/ontologies/fbbt/terms?iri=http://purl.obolibrary.org/obo/FBbt_00047804","FBbt:00047804")</f>
        <v>FBbt:00047804</v>
      </c>
      <c r="B282" t="s">
        <v>787</v>
      </c>
      <c r="C282" t="s">
        <v>8</v>
      </c>
      <c r="D282" t="s">
        <v>788</v>
      </c>
      <c r="E282" t="s">
        <v>29</v>
      </c>
    </row>
    <row r="283" spans="1:5" x14ac:dyDescent="0.2">
      <c r="A283" t="str">
        <f>HYPERLINK("https://www.ebi.ac.uk/ols/ontologies/fbbt/terms?iri=http://purl.obolibrary.org/obo/FBbt_00002309","FBbt:00002309")</f>
        <v>FBbt:00002309</v>
      </c>
      <c r="B283" t="s">
        <v>789</v>
      </c>
      <c r="C283" t="s">
        <v>790</v>
      </c>
      <c r="D283" t="s">
        <v>791</v>
      </c>
      <c r="E283" t="s">
        <v>792</v>
      </c>
    </row>
    <row r="284" spans="1:5" x14ac:dyDescent="0.2">
      <c r="A284" t="str">
        <f>HYPERLINK("https://www.ebi.ac.uk/ols/ontologies/fbbt/terms?iri=http://purl.obolibrary.org/obo/FBbt_00047803","FBbt:00047803")</f>
        <v>FBbt:00047803</v>
      </c>
      <c r="B284" t="s">
        <v>793</v>
      </c>
      <c r="C284" t="s">
        <v>8</v>
      </c>
      <c r="D284" t="s">
        <v>794</v>
      </c>
      <c r="E284" t="s">
        <v>29</v>
      </c>
    </row>
    <row r="285" spans="1:5" x14ac:dyDescent="0.2">
      <c r="A285" t="str">
        <f>HYPERLINK("https://www.ebi.ac.uk/ols/ontologies/fbbt/terms?iri=http://purl.obolibrary.org/obo/FBbt_00047802","FBbt:00047802")</f>
        <v>FBbt:00047802</v>
      </c>
      <c r="B285" t="s">
        <v>795</v>
      </c>
      <c r="C285" t="s">
        <v>8</v>
      </c>
      <c r="D285" t="s">
        <v>796</v>
      </c>
      <c r="E285" t="s">
        <v>29</v>
      </c>
    </row>
    <row r="286" spans="1:5" x14ac:dyDescent="0.2">
      <c r="A286" t="str">
        <f>HYPERLINK("https://www.ebi.ac.uk/ols/ontologies/fbbt/terms?iri=http://purl.obolibrary.org/obo/FBbt_00047801","FBbt:00047801")</f>
        <v>FBbt:00047801</v>
      </c>
      <c r="B286" t="s">
        <v>797</v>
      </c>
      <c r="C286" t="s">
        <v>8</v>
      </c>
      <c r="D286" t="s">
        <v>798</v>
      </c>
      <c r="E286" t="s">
        <v>29</v>
      </c>
    </row>
    <row r="287" spans="1:5" x14ac:dyDescent="0.2">
      <c r="A287" t="str">
        <f>HYPERLINK("https://www.ebi.ac.uk/ols/ontologies/fbbt/terms?iri=http://purl.obolibrary.org/obo/FBbt_00002307","FBbt:00002307")</f>
        <v>FBbt:00002307</v>
      </c>
      <c r="B287" t="s">
        <v>799</v>
      </c>
      <c r="C287" t="s">
        <v>800</v>
      </c>
      <c r="D287" t="s">
        <v>801</v>
      </c>
      <c r="E287" t="s">
        <v>792</v>
      </c>
    </row>
    <row r="288" spans="1:5" x14ac:dyDescent="0.2">
      <c r="A288" t="str">
        <f>HYPERLINK("https://www.ebi.ac.uk/ols/ontologies/fbbt/terms?iri=http://purl.obolibrary.org/obo/FBbt_00002308","FBbt:00002308")</f>
        <v>FBbt:00002308</v>
      </c>
      <c r="B288" t="s">
        <v>802</v>
      </c>
      <c r="C288" t="s">
        <v>803</v>
      </c>
      <c r="D288" t="s">
        <v>804</v>
      </c>
      <c r="E288" t="s">
        <v>792</v>
      </c>
    </row>
    <row r="289" spans="1:5" x14ac:dyDescent="0.2">
      <c r="A289" t="str">
        <f>HYPERLINK("https://www.ebi.ac.uk/ols/ontologies/fbbt/terms?iri=http://purl.obolibrary.org/obo/FBbt_00002305","FBbt:00002305")</f>
        <v>FBbt:00002305</v>
      </c>
      <c r="B289" t="s">
        <v>805</v>
      </c>
      <c r="C289" t="s">
        <v>806</v>
      </c>
      <c r="D289" t="s">
        <v>807</v>
      </c>
      <c r="E289" t="s">
        <v>792</v>
      </c>
    </row>
    <row r="290" spans="1:5" x14ac:dyDescent="0.2">
      <c r="A290" t="str">
        <f>HYPERLINK("https://www.ebi.ac.uk/ols/ontologies/fbbt/terms?iri=http://purl.obolibrary.org/obo/FBbt_00002306","FBbt:00002306")</f>
        <v>FBbt:00002306</v>
      </c>
      <c r="B290" t="s">
        <v>808</v>
      </c>
      <c r="C290" t="s">
        <v>809</v>
      </c>
      <c r="D290" t="s">
        <v>810</v>
      </c>
      <c r="E290" t="s">
        <v>792</v>
      </c>
    </row>
    <row r="291" spans="1:5" x14ac:dyDescent="0.2">
      <c r="A291" t="str">
        <f>HYPERLINK("https://www.ebi.ac.uk/ols/ontologies/fbbt/terms?iri=http://purl.obolibrary.org/obo/FBbt_00047845","FBbt:00047845")</f>
        <v>FBbt:00047845</v>
      </c>
      <c r="B291" t="s">
        <v>811</v>
      </c>
      <c r="C291" t="s">
        <v>8</v>
      </c>
      <c r="D291" t="s">
        <v>812</v>
      </c>
      <c r="E291" t="s">
        <v>306</v>
      </c>
    </row>
    <row r="292" spans="1:5" x14ac:dyDescent="0.2">
      <c r="A292" t="str">
        <f>HYPERLINK("https://www.ebi.ac.uk/ols/ontologies/fbbt/terms?iri=http://purl.obolibrary.org/obo/FBbt_00002304","FBbt:00002304")</f>
        <v>FBbt:00002304</v>
      </c>
      <c r="B292" t="s">
        <v>813</v>
      </c>
      <c r="C292" t="s">
        <v>814</v>
      </c>
      <c r="D292" t="s">
        <v>815</v>
      </c>
      <c r="E292" t="s">
        <v>792</v>
      </c>
    </row>
    <row r="293" spans="1:5" x14ac:dyDescent="0.2">
      <c r="A293" t="str">
        <f>HYPERLINK("https://www.ebi.ac.uk/ols/ontologies/fbbt/terms?iri=http://purl.obolibrary.org/obo/FBbt_00100535","FBbt:00100535")</f>
        <v>FBbt:00100535</v>
      </c>
      <c r="B293" t="s">
        <v>816</v>
      </c>
      <c r="C293" t="s">
        <v>8</v>
      </c>
      <c r="D293" t="s">
        <v>817</v>
      </c>
      <c r="E293" t="s">
        <v>420</v>
      </c>
    </row>
    <row r="294" spans="1:5" x14ac:dyDescent="0.2">
      <c r="A294" t="str">
        <f>HYPERLINK("https://www.ebi.ac.uk/ols/ontologies/fbbt/terms?iri=http://purl.obolibrary.org/obo/FBbt_00100536","FBbt:00100536")</f>
        <v>FBbt:00100536</v>
      </c>
      <c r="B294" t="s">
        <v>818</v>
      </c>
      <c r="C294" t="s">
        <v>8</v>
      </c>
      <c r="D294" t="s">
        <v>819</v>
      </c>
      <c r="E294" t="s">
        <v>420</v>
      </c>
    </row>
    <row r="295" spans="1:5" x14ac:dyDescent="0.2">
      <c r="A295" t="str">
        <f>HYPERLINK("https://www.ebi.ac.uk/ols/ontologies/fbbt/terms?iri=http://purl.obolibrary.org/obo/FBbt_00001488","FBbt:00001488")</f>
        <v>FBbt:00001488</v>
      </c>
      <c r="B295" t="s">
        <v>820</v>
      </c>
      <c r="C295" t="s">
        <v>8</v>
      </c>
      <c r="D295" t="s">
        <v>821</v>
      </c>
      <c r="E295" t="s">
        <v>195</v>
      </c>
    </row>
    <row r="296" spans="1:5" x14ac:dyDescent="0.2">
      <c r="A296" t="str">
        <f>HYPERLINK("https://www.ebi.ac.uk/ols/ontologies/fbbt/terms?iri=http://purl.obolibrary.org/obo/FBbt_00100537","FBbt:00100537")</f>
        <v>FBbt:00100537</v>
      </c>
      <c r="B296" t="s">
        <v>822</v>
      </c>
      <c r="C296" t="s">
        <v>8</v>
      </c>
      <c r="D296" t="s">
        <v>823</v>
      </c>
      <c r="E296" t="s">
        <v>420</v>
      </c>
    </row>
    <row r="297" spans="1:5" x14ac:dyDescent="0.2">
      <c r="A297" t="str">
        <f>HYPERLINK("https://www.ebi.ac.uk/ols/ontologies/fbbt/terms?iri=http://purl.obolibrary.org/obo/FBbt_00100538","FBbt:00100538")</f>
        <v>FBbt:00100538</v>
      </c>
      <c r="B297" t="s">
        <v>824</v>
      </c>
      <c r="C297" t="s">
        <v>8</v>
      </c>
      <c r="D297" t="s">
        <v>825</v>
      </c>
      <c r="E297" t="s">
        <v>420</v>
      </c>
    </row>
    <row r="298" spans="1:5" x14ac:dyDescent="0.2">
      <c r="A298" t="str">
        <f>HYPERLINK("https://www.ebi.ac.uk/ols/ontologies/fbbt/terms?iri=http://purl.obolibrary.org/obo/FBbt_00001485","FBbt:00001485")</f>
        <v>FBbt:00001485</v>
      </c>
      <c r="B298" t="s">
        <v>826</v>
      </c>
      <c r="C298" t="s">
        <v>8</v>
      </c>
      <c r="D298" t="s">
        <v>827</v>
      </c>
      <c r="E298" t="s">
        <v>195</v>
      </c>
    </row>
    <row r="299" spans="1:5" x14ac:dyDescent="0.2">
      <c r="A299" t="str">
        <f>HYPERLINK("https://www.ebi.ac.uk/ols/ontologies/fbbt/terms?iri=http://purl.obolibrary.org/obo/FBbt_00001484","FBbt:00001484")</f>
        <v>FBbt:00001484</v>
      </c>
      <c r="B299" t="s">
        <v>828</v>
      </c>
      <c r="C299" t="s">
        <v>8</v>
      </c>
      <c r="D299" t="s">
        <v>829</v>
      </c>
      <c r="E299" t="s">
        <v>195</v>
      </c>
    </row>
    <row r="300" spans="1:5" x14ac:dyDescent="0.2">
      <c r="A300" t="str">
        <f>HYPERLINK("https://www.ebi.ac.uk/ols/ontologies/fbbt/terms?iri=http://purl.obolibrary.org/obo/FBbt_00001307","FBbt:00001307")</f>
        <v>FBbt:00001307</v>
      </c>
      <c r="B300" t="s">
        <v>830</v>
      </c>
      <c r="C300" t="s">
        <v>831</v>
      </c>
      <c r="D300" t="s">
        <v>832</v>
      </c>
      <c r="E300" t="s">
        <v>274</v>
      </c>
    </row>
    <row r="301" spans="1:5" x14ac:dyDescent="0.2">
      <c r="A301" t="str">
        <f>HYPERLINK("https://www.ebi.ac.uk/ols/ontologies/fbbt/terms?iri=http://purl.obolibrary.org/obo/FBbt_00001487","FBbt:00001487")</f>
        <v>FBbt:00001487</v>
      </c>
      <c r="B301" t="s">
        <v>833</v>
      </c>
      <c r="C301" t="s">
        <v>8</v>
      </c>
      <c r="D301" t="s">
        <v>834</v>
      </c>
      <c r="E301" t="s">
        <v>195</v>
      </c>
    </row>
    <row r="302" spans="1:5" x14ac:dyDescent="0.2">
      <c r="A302" t="str">
        <f>HYPERLINK("https://www.ebi.ac.uk/ols/ontologies/fbbt/terms?iri=http://purl.obolibrary.org/obo/FBbt_00001533","FBbt:00001533")</f>
        <v>FBbt:00001533</v>
      </c>
      <c r="B302" t="s">
        <v>835</v>
      </c>
      <c r="C302" t="s">
        <v>8</v>
      </c>
      <c r="D302" t="s">
        <v>836</v>
      </c>
      <c r="E302" t="s">
        <v>195</v>
      </c>
    </row>
    <row r="303" spans="1:5" x14ac:dyDescent="0.2">
      <c r="A303" t="str">
        <f>HYPERLINK("https://www.ebi.ac.uk/ols/ontologies/fbbt/terms?iri=http://purl.obolibrary.org/obo/FBbt_00111681","FBbt:00111681")</f>
        <v>FBbt:00111681</v>
      </c>
      <c r="B303" t="s">
        <v>837</v>
      </c>
      <c r="C303" t="s">
        <v>8</v>
      </c>
      <c r="D303" t="s">
        <v>838</v>
      </c>
      <c r="E303" t="s">
        <v>306</v>
      </c>
    </row>
    <row r="304" spans="1:5" x14ac:dyDescent="0.2">
      <c r="A304" t="str">
        <f>HYPERLINK("https://www.ebi.ac.uk/ols/ontologies/fbbt/terms?iri=http://purl.obolibrary.org/obo/FBbt_00047821","FBbt:00047821")</f>
        <v>FBbt:00047821</v>
      </c>
      <c r="B304" t="s">
        <v>839</v>
      </c>
      <c r="C304" t="s">
        <v>840</v>
      </c>
      <c r="D304" t="s">
        <v>841</v>
      </c>
      <c r="E304" t="s">
        <v>399</v>
      </c>
    </row>
    <row r="305" spans="1:5" x14ac:dyDescent="0.2">
      <c r="A305" t="str">
        <f>HYPERLINK("https://www.ebi.ac.uk/ols/ontologies/fbbt/terms?iri=http://purl.obolibrary.org/obo/FBbt_00001532","FBbt:00001532")</f>
        <v>FBbt:00001532</v>
      </c>
      <c r="B305" t="s">
        <v>842</v>
      </c>
      <c r="C305" t="s">
        <v>8</v>
      </c>
      <c r="D305" t="s">
        <v>843</v>
      </c>
      <c r="E305" t="s">
        <v>195</v>
      </c>
    </row>
    <row r="306" spans="1:5" x14ac:dyDescent="0.2">
      <c r="A306" t="str">
        <f>HYPERLINK("https://www.ebi.ac.uk/ols/ontologies/fbbt/terms?iri=http://purl.obolibrary.org/obo/FBbt_00001492","FBbt:00001492")</f>
        <v>FBbt:00001492</v>
      </c>
      <c r="B306" t="s">
        <v>844</v>
      </c>
      <c r="C306" t="s">
        <v>8</v>
      </c>
      <c r="D306" t="s">
        <v>845</v>
      </c>
      <c r="E306" t="s">
        <v>157</v>
      </c>
    </row>
    <row r="307" spans="1:5" x14ac:dyDescent="0.2">
      <c r="A307" t="str">
        <f>HYPERLINK("https://www.ebi.ac.uk/ols/ontologies/fbbt/terms?iri=http://purl.obolibrary.org/obo/FBbt_00001315","FBbt:00001315")</f>
        <v>FBbt:00001315</v>
      </c>
      <c r="B307" t="s">
        <v>846</v>
      </c>
      <c r="C307" t="s">
        <v>847</v>
      </c>
      <c r="D307" t="s">
        <v>848</v>
      </c>
      <c r="E307" t="s">
        <v>849</v>
      </c>
    </row>
    <row r="308" spans="1:5" x14ac:dyDescent="0.2">
      <c r="A308" t="str">
        <f>HYPERLINK("https://www.ebi.ac.uk/ols/ontologies/fbbt/terms?iri=http://purl.obolibrary.org/obo/FBbt_00047686","FBbt:00047686")</f>
        <v>FBbt:00047686</v>
      </c>
      <c r="B308" t="s">
        <v>850</v>
      </c>
      <c r="C308" t="s">
        <v>8</v>
      </c>
      <c r="D308" t="s">
        <v>851</v>
      </c>
      <c r="E308" t="s">
        <v>29</v>
      </c>
    </row>
    <row r="309" spans="1:5" x14ac:dyDescent="0.2">
      <c r="A309" t="str">
        <f>HYPERLINK("https://www.ebi.ac.uk/ols/ontologies/fbbt/terms?iri=http://purl.obolibrary.org/obo/FBbt_00100181","FBbt:00100181")</f>
        <v>FBbt:00100181</v>
      </c>
      <c r="B309" t="s">
        <v>852</v>
      </c>
      <c r="C309" t="s">
        <v>8</v>
      </c>
      <c r="D309" t="s">
        <v>853</v>
      </c>
      <c r="E309" t="s">
        <v>854</v>
      </c>
    </row>
    <row r="310" spans="1:5" x14ac:dyDescent="0.2">
      <c r="A310" t="str">
        <f>HYPERLINK("https://www.ebi.ac.uk/ols/ontologies/fbbt/terms?iri=http://purl.obolibrary.org/obo/FBbt_00047685","FBbt:00047685")</f>
        <v>FBbt:00047685</v>
      </c>
      <c r="B310" t="s">
        <v>855</v>
      </c>
      <c r="C310" t="s">
        <v>8</v>
      </c>
      <c r="D310" t="s">
        <v>856</v>
      </c>
      <c r="E310" t="s">
        <v>29</v>
      </c>
    </row>
    <row r="311" spans="1:5" x14ac:dyDescent="0.2">
      <c r="A311" t="str">
        <f>HYPERLINK("https://www.ebi.ac.uk/ols/ontologies/fbbt/terms?iri=http://purl.obolibrary.org/obo/FBbt_00001311","FBbt:00001311")</f>
        <v>FBbt:00001311</v>
      </c>
      <c r="B311" t="s">
        <v>857</v>
      </c>
      <c r="C311" t="s">
        <v>858</v>
      </c>
      <c r="D311" t="s">
        <v>859</v>
      </c>
      <c r="E311" t="s">
        <v>581</v>
      </c>
    </row>
    <row r="312" spans="1:5" x14ac:dyDescent="0.2">
      <c r="A312" t="str">
        <f>HYPERLINK("https://www.ebi.ac.uk/ols/ontologies/fbbt/terms?iri=http://purl.obolibrary.org/obo/FBbt_00100182","FBbt:00100182")</f>
        <v>FBbt:00100182</v>
      </c>
      <c r="B312" t="s">
        <v>860</v>
      </c>
      <c r="C312" t="s">
        <v>8</v>
      </c>
      <c r="D312" t="s">
        <v>861</v>
      </c>
      <c r="E312" t="s">
        <v>854</v>
      </c>
    </row>
    <row r="313" spans="1:5" x14ac:dyDescent="0.2">
      <c r="A313" t="str">
        <f>HYPERLINK("https://www.ebi.ac.uk/ols/ontologies/fbbt/terms?iri=http://purl.obolibrary.org/obo/FBbt_00001491","FBbt:00001491")</f>
        <v>FBbt:00001491</v>
      </c>
      <c r="B313" t="s">
        <v>862</v>
      </c>
      <c r="C313" t="s">
        <v>8</v>
      </c>
      <c r="D313" t="s">
        <v>863</v>
      </c>
      <c r="E313" t="s">
        <v>157</v>
      </c>
    </row>
    <row r="314" spans="1:5" x14ac:dyDescent="0.2">
      <c r="A314" t="str">
        <f>HYPERLINK("https://www.ebi.ac.uk/ols/ontologies/fbbt/terms?iri=http://purl.obolibrary.org/obo/FBbt_00047684","FBbt:00047684")</f>
        <v>FBbt:00047684</v>
      </c>
      <c r="B314" t="s">
        <v>864</v>
      </c>
      <c r="C314" t="s">
        <v>8</v>
      </c>
      <c r="D314" t="s">
        <v>865</v>
      </c>
      <c r="E314" t="s">
        <v>90</v>
      </c>
    </row>
    <row r="315" spans="1:5" x14ac:dyDescent="0.2">
      <c r="A315" t="str">
        <f>HYPERLINK("https://www.ebi.ac.uk/ols/ontologies/fbbt/terms?iri=http://purl.obolibrary.org/obo/FBbt_00001490","FBbt:00001490")</f>
        <v>FBbt:00001490</v>
      </c>
      <c r="B315" t="s">
        <v>866</v>
      </c>
      <c r="C315" t="s">
        <v>8</v>
      </c>
      <c r="D315" t="s">
        <v>867</v>
      </c>
      <c r="E315" t="s">
        <v>157</v>
      </c>
    </row>
    <row r="316" spans="1:5" x14ac:dyDescent="0.2">
      <c r="A316" t="str">
        <f>HYPERLINK("https://www.ebi.ac.uk/ols/ontologies/fbbt/terms?iri=http://purl.obolibrary.org/obo/FBbt_00002295","FBbt:00002295")</f>
        <v>FBbt:00002295</v>
      </c>
      <c r="B316" t="s">
        <v>868</v>
      </c>
      <c r="C316" t="s">
        <v>8</v>
      </c>
      <c r="D316" t="s">
        <v>869</v>
      </c>
      <c r="E316" t="s">
        <v>72</v>
      </c>
    </row>
    <row r="317" spans="1:5" x14ac:dyDescent="0.2">
      <c r="A317" t="str">
        <f>HYPERLINK("https://www.ebi.ac.uk/ols/ontologies/fbbt/terms?iri=http://purl.obolibrary.org/obo/FBbt_00047820","FBbt:00047820")</f>
        <v>FBbt:00047820</v>
      </c>
      <c r="B317" t="s">
        <v>870</v>
      </c>
      <c r="C317" t="s">
        <v>8</v>
      </c>
      <c r="D317" t="s">
        <v>871</v>
      </c>
      <c r="E317" t="s">
        <v>399</v>
      </c>
    </row>
    <row r="318" spans="1:5" x14ac:dyDescent="0.2">
      <c r="A318" t="str">
        <f>HYPERLINK("https://www.ebi.ac.uk/ols/ontologies/fbbt/terms?iri=http://purl.obolibrary.org/obo/FBbt_00047828","FBbt:00047828")</f>
        <v>FBbt:00047828</v>
      </c>
      <c r="B318" t="s">
        <v>872</v>
      </c>
      <c r="C318" t="s">
        <v>8</v>
      </c>
      <c r="D318" t="s">
        <v>873</v>
      </c>
      <c r="E318" t="s">
        <v>399</v>
      </c>
    </row>
    <row r="319" spans="1:5" x14ac:dyDescent="0.2">
      <c r="A319" t="str">
        <f>HYPERLINK("https://www.ebi.ac.uk/ols/ontologies/fbbt/terms?iri=http://purl.obolibrary.org/obo/FBbt_00047827","FBbt:00047827")</f>
        <v>FBbt:00047827</v>
      </c>
      <c r="B319" t="s">
        <v>874</v>
      </c>
      <c r="C319" t="s">
        <v>8</v>
      </c>
      <c r="D319" t="s">
        <v>875</v>
      </c>
      <c r="E319" t="s">
        <v>399</v>
      </c>
    </row>
    <row r="320" spans="1:5" x14ac:dyDescent="0.2">
      <c r="A320" t="str">
        <f>HYPERLINK("https://www.ebi.ac.uk/ols/ontologies/fbbt/terms?iri=http://purl.obolibrary.org/obo/FBbt_00047826","FBbt:00047826")</f>
        <v>FBbt:00047826</v>
      </c>
      <c r="B320" t="s">
        <v>876</v>
      </c>
      <c r="C320" t="s">
        <v>8</v>
      </c>
      <c r="D320" t="s">
        <v>877</v>
      </c>
      <c r="E320" t="s">
        <v>399</v>
      </c>
    </row>
    <row r="321" spans="1:5" x14ac:dyDescent="0.2">
      <c r="A321" t="str">
        <f>HYPERLINK("https://www.ebi.ac.uk/ols/ontologies/fbbt/terms?iri=http://purl.obolibrary.org/obo/FBbt_00047824","FBbt:00047824")</f>
        <v>FBbt:00047824</v>
      </c>
      <c r="B321" t="s">
        <v>878</v>
      </c>
      <c r="C321" t="s">
        <v>8</v>
      </c>
      <c r="D321" t="s">
        <v>879</v>
      </c>
      <c r="E321" t="s">
        <v>399</v>
      </c>
    </row>
    <row r="322" spans="1:5" x14ac:dyDescent="0.2">
      <c r="A322" t="str">
        <f>HYPERLINK("https://www.ebi.ac.uk/ols/ontologies/fbbt/terms?iri=http://purl.obolibrary.org/obo/FBbt_00100759","FBbt:00100759")</f>
        <v>FBbt:00100759</v>
      </c>
      <c r="B322" t="s">
        <v>880</v>
      </c>
      <c r="C322" t="s">
        <v>881</v>
      </c>
      <c r="D322" t="s">
        <v>882</v>
      </c>
      <c r="E322" t="s">
        <v>94</v>
      </c>
    </row>
    <row r="323" spans="1:5" x14ac:dyDescent="0.2">
      <c r="A323" t="str">
        <f>HYPERLINK("https://www.ebi.ac.uk/ols/ontologies/fbbt/terms?iri=http://purl.obolibrary.org/obo/FBbt_00047772","FBbt:00047772")</f>
        <v>FBbt:00047772</v>
      </c>
      <c r="B323" t="s">
        <v>883</v>
      </c>
      <c r="C323" t="s">
        <v>8</v>
      </c>
      <c r="D323" t="s">
        <v>884</v>
      </c>
      <c r="E323" t="s">
        <v>29</v>
      </c>
    </row>
    <row r="324" spans="1:5" x14ac:dyDescent="0.2">
      <c r="A324" t="str">
        <f>HYPERLINK("https://www.ebi.ac.uk/ols/ontologies/fbbt/terms?iri=http://purl.obolibrary.org/obo/FBbt_00047777","FBbt:00047777")</f>
        <v>FBbt:00047777</v>
      </c>
      <c r="B324" t="s">
        <v>885</v>
      </c>
      <c r="C324" t="s">
        <v>8</v>
      </c>
      <c r="D324" t="s">
        <v>886</v>
      </c>
      <c r="E324" t="s">
        <v>29</v>
      </c>
    </row>
    <row r="325" spans="1:5" x14ac:dyDescent="0.2">
      <c r="A325" t="str">
        <f>HYPERLINK("https://www.ebi.ac.uk/ols/ontologies/fbbt/terms?iri=http://purl.obolibrary.org/obo/FBbt_00100762","FBbt:00100762")</f>
        <v>FBbt:00100762</v>
      </c>
      <c r="B325" t="s">
        <v>887</v>
      </c>
      <c r="C325" t="s">
        <v>888</v>
      </c>
      <c r="D325" t="s">
        <v>889</v>
      </c>
      <c r="E325" t="s">
        <v>94</v>
      </c>
    </row>
    <row r="326" spans="1:5" x14ac:dyDescent="0.2">
      <c r="A326" t="str">
        <f>HYPERLINK("https://www.ebi.ac.uk/ols/ontologies/fbbt/terms?iri=http://purl.obolibrary.org/obo/FBbt_00100763","FBbt:00100763")</f>
        <v>FBbt:00100763</v>
      </c>
      <c r="B326" t="s">
        <v>890</v>
      </c>
      <c r="C326" t="s">
        <v>891</v>
      </c>
      <c r="D326" t="s">
        <v>892</v>
      </c>
      <c r="E326" t="s">
        <v>94</v>
      </c>
    </row>
    <row r="327" spans="1:5" x14ac:dyDescent="0.2">
      <c r="A327" t="str">
        <f>HYPERLINK("https://www.ebi.ac.uk/ols/ontologies/fbbt/terms?iri=http://purl.obolibrary.org/obo/FBbt_00111328","FBbt:00111328")</f>
        <v>FBbt:00111328</v>
      </c>
      <c r="B327" t="s">
        <v>893</v>
      </c>
      <c r="C327" t="s">
        <v>8</v>
      </c>
      <c r="D327" t="s">
        <v>894</v>
      </c>
      <c r="E327" t="s">
        <v>895</v>
      </c>
    </row>
    <row r="328" spans="1:5" x14ac:dyDescent="0.2">
      <c r="A328" t="str">
        <f>HYPERLINK("https://www.ebi.ac.uk/ols/ontologies/fbbt/terms?iri=http://purl.obolibrary.org/obo/FBbt_00047774","FBbt:00047774")</f>
        <v>FBbt:00047774</v>
      </c>
      <c r="B328" t="s">
        <v>896</v>
      </c>
      <c r="C328" t="s">
        <v>8</v>
      </c>
      <c r="D328" t="s">
        <v>897</v>
      </c>
      <c r="E328" t="s">
        <v>29</v>
      </c>
    </row>
    <row r="329" spans="1:5" x14ac:dyDescent="0.2">
      <c r="A329" t="str">
        <f>HYPERLINK("https://www.ebi.ac.uk/ols/ontologies/fbbt/terms?iri=http://purl.obolibrary.org/obo/FBbt_00047776","FBbt:00047776")</f>
        <v>FBbt:00047776</v>
      </c>
      <c r="B329" t="s">
        <v>898</v>
      </c>
      <c r="C329" t="s">
        <v>8</v>
      </c>
      <c r="D329" t="s">
        <v>899</v>
      </c>
      <c r="E329" t="s">
        <v>29</v>
      </c>
    </row>
    <row r="330" spans="1:5" x14ac:dyDescent="0.2">
      <c r="A330" t="str">
        <f>HYPERLINK("https://www.ebi.ac.uk/ols/ontologies/fbbt/terms?iri=http://purl.obolibrary.org/obo/FBbt_00100764","FBbt:00100764")</f>
        <v>FBbt:00100764</v>
      </c>
      <c r="B330" t="s">
        <v>900</v>
      </c>
      <c r="C330" t="s">
        <v>901</v>
      </c>
      <c r="D330" t="s">
        <v>902</v>
      </c>
      <c r="E330" t="s">
        <v>94</v>
      </c>
    </row>
    <row r="331" spans="1:5" x14ac:dyDescent="0.2">
      <c r="A331" t="str">
        <f>HYPERLINK("https://www.ebi.ac.uk/ols/ontologies/fbbt/terms?iri=http://purl.obolibrary.org/obo/FBbt_00111329","FBbt:00111329")</f>
        <v>FBbt:00111329</v>
      </c>
      <c r="B331" t="s">
        <v>903</v>
      </c>
      <c r="C331" t="s">
        <v>904</v>
      </c>
      <c r="D331" t="s">
        <v>905</v>
      </c>
      <c r="E331" t="s">
        <v>906</v>
      </c>
    </row>
    <row r="332" spans="1:5" x14ac:dyDescent="0.2">
      <c r="A332" t="str">
        <f>HYPERLINK("https://www.ebi.ac.uk/ols/ontologies/fbbt/terms?iri=http://purl.obolibrary.org/obo/FBbt_00047206","FBbt:00047206")</f>
        <v>FBbt:00047206</v>
      </c>
      <c r="B332" t="s">
        <v>907</v>
      </c>
      <c r="C332" t="s">
        <v>8</v>
      </c>
      <c r="D332" t="s">
        <v>908</v>
      </c>
      <c r="E332" t="s">
        <v>144</v>
      </c>
    </row>
    <row r="333" spans="1:5" x14ac:dyDescent="0.2">
      <c r="A333" t="str">
        <f>HYPERLINK("https://www.ebi.ac.uk/ols/ontologies/fbbt/terms?iri=http://purl.obolibrary.org/obo/FBbt_00047773","FBbt:00047773")</f>
        <v>FBbt:00047773</v>
      </c>
      <c r="B333" t="s">
        <v>909</v>
      </c>
      <c r="C333" t="s">
        <v>8</v>
      </c>
      <c r="D333" t="s">
        <v>910</v>
      </c>
      <c r="E333" t="s">
        <v>29</v>
      </c>
    </row>
    <row r="334" spans="1:5" x14ac:dyDescent="0.2">
      <c r="A334" t="str">
        <f>HYPERLINK("https://www.ebi.ac.uk/ols/ontologies/fbbt/terms?iri=http://purl.obolibrary.org/obo/FBbt_00047775","FBbt:00047775")</f>
        <v>FBbt:00047775</v>
      </c>
      <c r="B334" t="s">
        <v>911</v>
      </c>
      <c r="C334" t="s">
        <v>8</v>
      </c>
      <c r="D334" t="s">
        <v>912</v>
      </c>
      <c r="E334" t="s">
        <v>29</v>
      </c>
    </row>
    <row r="335" spans="1:5" x14ac:dyDescent="0.2">
      <c r="A335" t="str">
        <f>HYPERLINK("https://www.ebi.ac.uk/ols/ontologies/fbbt/terms?iri=http://purl.obolibrary.org/obo/FBbt_00005566","FBbt:00005566")</f>
        <v>FBbt:00005566</v>
      </c>
      <c r="B335" t="s">
        <v>913</v>
      </c>
      <c r="C335" t="s">
        <v>8</v>
      </c>
      <c r="D335" t="s">
        <v>914</v>
      </c>
      <c r="E335" t="s">
        <v>915</v>
      </c>
    </row>
    <row r="336" spans="1:5" x14ac:dyDescent="0.2">
      <c r="A336" t="str">
        <f>HYPERLINK("https://www.ebi.ac.uk/ols/ontologies/fbbt/terms?iri=http://purl.obolibrary.org/obo/FBbt_00100765","FBbt:00100765")</f>
        <v>FBbt:00100765</v>
      </c>
      <c r="B336" t="s">
        <v>916</v>
      </c>
      <c r="C336" t="s">
        <v>917</v>
      </c>
      <c r="D336" t="s">
        <v>918</v>
      </c>
      <c r="E336" t="s">
        <v>94</v>
      </c>
    </row>
    <row r="337" spans="1:5" x14ac:dyDescent="0.2">
      <c r="A337" t="str">
        <f>HYPERLINK("https://www.ebi.ac.uk/ols/ontologies/fbbt/terms?iri=http://purl.obolibrary.org/obo/FBbt_00001263","FBbt:00001263")</f>
        <v>FBbt:00001263</v>
      </c>
      <c r="B337" t="s">
        <v>919</v>
      </c>
      <c r="C337" t="s">
        <v>920</v>
      </c>
      <c r="D337" t="s">
        <v>921</v>
      </c>
      <c r="E337" t="s">
        <v>152</v>
      </c>
    </row>
    <row r="338" spans="1:5" x14ac:dyDescent="0.2">
      <c r="A338" t="str">
        <f>HYPERLINK("https://www.ebi.ac.uk/ols/ontologies/fbbt/terms?iri=http://purl.obolibrary.org/obo/FBbt_00047205","FBbt:00047205")</f>
        <v>FBbt:00047205</v>
      </c>
      <c r="B338" t="s">
        <v>922</v>
      </c>
      <c r="C338" t="s">
        <v>8</v>
      </c>
      <c r="D338" t="s">
        <v>908</v>
      </c>
      <c r="E338" t="s">
        <v>144</v>
      </c>
    </row>
    <row r="339" spans="1:5" x14ac:dyDescent="0.2">
      <c r="A339" t="str">
        <f>HYPERLINK("https://www.ebi.ac.uk/ols/ontologies/fbbt/terms?iri=http://purl.obolibrary.org/obo/FBbt_00001262","FBbt:00001262")</f>
        <v>FBbt:00001262</v>
      </c>
      <c r="B339" t="s">
        <v>923</v>
      </c>
      <c r="C339" t="s">
        <v>924</v>
      </c>
      <c r="D339" t="s">
        <v>925</v>
      </c>
      <c r="E339" t="s">
        <v>792</v>
      </c>
    </row>
    <row r="340" spans="1:5" x14ac:dyDescent="0.2">
      <c r="A340" t="str">
        <f>HYPERLINK("https://www.ebi.ac.uk/ols/ontologies/fbbt/terms?iri=http://purl.obolibrary.org/obo/FBbt_00047204","FBbt:00047204")</f>
        <v>FBbt:00047204</v>
      </c>
      <c r="B340" t="s">
        <v>926</v>
      </c>
      <c r="C340" t="s">
        <v>8</v>
      </c>
      <c r="D340" t="s">
        <v>908</v>
      </c>
      <c r="E340" t="s">
        <v>144</v>
      </c>
    </row>
    <row r="341" spans="1:5" x14ac:dyDescent="0.2">
      <c r="A341" t="str">
        <f>HYPERLINK("https://www.ebi.ac.uk/ols/ontologies/fbbt/terms?iri=http://purl.obolibrary.org/obo/FBbt_00100760","FBbt:00100760")</f>
        <v>FBbt:00100760</v>
      </c>
      <c r="B341" t="s">
        <v>927</v>
      </c>
      <c r="C341" t="s">
        <v>928</v>
      </c>
      <c r="D341" t="s">
        <v>929</v>
      </c>
      <c r="E341" t="s">
        <v>94</v>
      </c>
    </row>
    <row r="342" spans="1:5" x14ac:dyDescent="0.2">
      <c r="A342" t="str">
        <f>HYPERLINK("https://www.ebi.ac.uk/ols/ontologies/fbbt/terms?iri=http://purl.obolibrary.org/obo/FBbt_00047203","FBbt:00047203")</f>
        <v>FBbt:00047203</v>
      </c>
      <c r="B342" t="s">
        <v>930</v>
      </c>
      <c r="C342" t="s">
        <v>8</v>
      </c>
      <c r="D342" t="s">
        <v>931</v>
      </c>
      <c r="E342" t="s">
        <v>144</v>
      </c>
    </row>
    <row r="343" spans="1:5" x14ac:dyDescent="0.2">
      <c r="A343" t="str">
        <f>HYPERLINK("https://www.ebi.ac.uk/ols/ontologies/fbbt/terms?iri=http://purl.obolibrary.org/obo/FBbt_00047822","FBbt:00047822")</f>
        <v>FBbt:00047822</v>
      </c>
      <c r="B343" t="s">
        <v>932</v>
      </c>
      <c r="C343" t="s">
        <v>8</v>
      </c>
      <c r="D343" t="s">
        <v>933</v>
      </c>
      <c r="E343" t="s">
        <v>399</v>
      </c>
    </row>
    <row r="344" spans="1:5" x14ac:dyDescent="0.2">
      <c r="A344" t="str">
        <f>HYPERLINK("https://www.ebi.ac.uk/ols/ontologies/fbbt/terms?iri=http://purl.obolibrary.org/obo/FBbt_00100761","FBbt:00100761")</f>
        <v>FBbt:00100761</v>
      </c>
      <c r="B344" t="s">
        <v>934</v>
      </c>
      <c r="C344" t="s">
        <v>935</v>
      </c>
      <c r="D344" t="s">
        <v>936</v>
      </c>
      <c r="E344" t="s">
        <v>94</v>
      </c>
    </row>
    <row r="345" spans="1:5" x14ac:dyDescent="0.2">
      <c r="A345" t="str">
        <f>HYPERLINK("https://www.ebi.ac.uk/ols/ontologies/fbbt/terms?iri=http://purl.obolibrary.org/obo/FBbt_00047345","FBbt:00047345")</f>
        <v>FBbt:00047345</v>
      </c>
      <c r="B345" t="s">
        <v>937</v>
      </c>
      <c r="C345" t="s">
        <v>8</v>
      </c>
      <c r="D345" t="s">
        <v>938</v>
      </c>
      <c r="E345" t="s">
        <v>939</v>
      </c>
    </row>
    <row r="346" spans="1:5" x14ac:dyDescent="0.2">
      <c r="A346" t="str">
        <f>HYPERLINK("https://www.ebi.ac.uk/ols/ontologies/fbbt/terms?iri=http://purl.obolibrary.org/obo/FBbt_00047849","FBbt:00047849")</f>
        <v>FBbt:00047849</v>
      </c>
      <c r="B346" t="s">
        <v>940</v>
      </c>
      <c r="C346" t="s">
        <v>8</v>
      </c>
      <c r="D346" t="s">
        <v>941</v>
      </c>
      <c r="E346" t="s">
        <v>62</v>
      </c>
    </row>
    <row r="347" spans="1:5" x14ac:dyDescent="0.2">
      <c r="A347" t="str">
        <f>HYPERLINK("https://www.ebi.ac.uk/ols/ontologies/fbbt/terms?iri=http://purl.obolibrary.org/obo/FBbt_00001260","FBbt:00001260")</f>
        <v>FBbt:00001260</v>
      </c>
      <c r="B347" t="s">
        <v>942</v>
      </c>
      <c r="C347" t="s">
        <v>943</v>
      </c>
      <c r="D347" t="s">
        <v>944</v>
      </c>
      <c r="E347" t="s">
        <v>792</v>
      </c>
    </row>
    <row r="348" spans="1:5" x14ac:dyDescent="0.2">
      <c r="A348" t="str">
        <f>HYPERLINK("https://www.ebi.ac.uk/ols/ontologies/fbbt/terms?iri=http://purl.obolibrary.org/obo/FBbt_00002313","FBbt:00002313")</f>
        <v>FBbt:00002313</v>
      </c>
      <c r="B348" t="s">
        <v>945</v>
      </c>
      <c r="C348" t="s">
        <v>946</v>
      </c>
      <c r="D348" t="s">
        <v>947</v>
      </c>
      <c r="E348" t="s">
        <v>792</v>
      </c>
    </row>
    <row r="349" spans="1:5" x14ac:dyDescent="0.2">
      <c r="A349" t="str">
        <f>HYPERLINK("https://www.ebi.ac.uk/ols/ontologies/fbbt/terms?iri=http://purl.obolibrary.org/obo/FBbt_00002314","FBbt:00002314")</f>
        <v>FBbt:00002314</v>
      </c>
      <c r="B349" t="s">
        <v>948</v>
      </c>
      <c r="C349" t="s">
        <v>949</v>
      </c>
      <c r="D349" t="s">
        <v>950</v>
      </c>
      <c r="E349" t="s">
        <v>792</v>
      </c>
    </row>
    <row r="350" spans="1:5" x14ac:dyDescent="0.2">
      <c r="A350" t="str">
        <f>HYPERLINK("https://www.ebi.ac.uk/ols/ontologies/fbbt/terms?iri=http://purl.obolibrary.org/obo/FBbt_00002312","FBbt:00002312")</f>
        <v>FBbt:00002312</v>
      </c>
      <c r="B350" t="s">
        <v>951</v>
      </c>
      <c r="C350" t="s">
        <v>952</v>
      </c>
      <c r="D350" t="s">
        <v>953</v>
      </c>
      <c r="E350" t="s">
        <v>792</v>
      </c>
    </row>
    <row r="351" spans="1:5" x14ac:dyDescent="0.2">
      <c r="A351" t="str">
        <f>HYPERLINK("https://www.ebi.ac.uk/ols/ontologies/fbbt/terms?iri=http://purl.obolibrary.org/obo/FBbt_00002310","FBbt:00002310")</f>
        <v>FBbt:00002310</v>
      </c>
      <c r="B351" t="s">
        <v>954</v>
      </c>
      <c r="C351" t="s">
        <v>955</v>
      </c>
      <c r="D351" t="s">
        <v>956</v>
      </c>
      <c r="E351" t="s">
        <v>792</v>
      </c>
    </row>
    <row r="352" spans="1:5" x14ac:dyDescent="0.2">
      <c r="A352" t="str">
        <f>HYPERLINK("https://www.ebi.ac.uk/ols/ontologies/fbbt/terms?iri=http://purl.obolibrary.org/obo/FBbt_00048377","FBbt:00048377")</f>
        <v>FBbt:00048377</v>
      </c>
      <c r="B352" t="s">
        <v>957</v>
      </c>
      <c r="C352" t="s">
        <v>958</v>
      </c>
      <c r="D352" t="s">
        <v>959</v>
      </c>
      <c r="E352" t="s">
        <v>483</v>
      </c>
    </row>
    <row r="353" spans="1:5" x14ac:dyDescent="0.2">
      <c r="A353" t="str">
        <f>HYPERLINK("https://www.ebi.ac.uk/ols/ontologies/fbbt/terms?iri=http://purl.obolibrary.org/obo/FBbt_00048376","FBbt:00048376")</f>
        <v>FBbt:00048376</v>
      </c>
      <c r="B353" t="s">
        <v>960</v>
      </c>
      <c r="C353" t="s">
        <v>961</v>
      </c>
      <c r="D353" t="s">
        <v>962</v>
      </c>
      <c r="E353" t="s">
        <v>483</v>
      </c>
    </row>
    <row r="354" spans="1:5" x14ac:dyDescent="0.2">
      <c r="A354" t="str">
        <f>HYPERLINK("https://www.ebi.ac.uk/ols/ontologies/fbbt/terms?iri=http://purl.obolibrary.org/obo/FBbt_00048375","FBbt:00048375")</f>
        <v>FBbt:00048375</v>
      </c>
      <c r="B354" t="s">
        <v>963</v>
      </c>
      <c r="C354" t="s">
        <v>964</v>
      </c>
      <c r="D354" t="s">
        <v>965</v>
      </c>
      <c r="E354" t="s">
        <v>483</v>
      </c>
    </row>
    <row r="355" spans="1:5" x14ac:dyDescent="0.2">
      <c r="A355" t="str">
        <f>HYPERLINK("https://www.ebi.ac.uk/ols/ontologies/fbbt/terms?iri=http://purl.obolibrary.org/obo/FBbt_00048374","FBbt:00048374")</f>
        <v>FBbt:00048374</v>
      </c>
      <c r="B355" t="s">
        <v>966</v>
      </c>
      <c r="C355" t="s">
        <v>967</v>
      </c>
      <c r="D355" t="s">
        <v>968</v>
      </c>
      <c r="E355" t="s">
        <v>483</v>
      </c>
    </row>
    <row r="356" spans="1:5" x14ac:dyDescent="0.2">
      <c r="A356" t="str">
        <f>HYPERLINK("https://www.ebi.ac.uk/ols/ontologies/fbbt/terms?iri=http://purl.obolibrary.org/obo/FBbt_00048373","FBbt:00048373")</f>
        <v>FBbt:00048373</v>
      </c>
      <c r="B356" t="s">
        <v>969</v>
      </c>
      <c r="C356" t="s">
        <v>970</v>
      </c>
      <c r="D356" t="s">
        <v>971</v>
      </c>
      <c r="E356" t="s">
        <v>483</v>
      </c>
    </row>
    <row r="357" spans="1:5" x14ac:dyDescent="0.2">
      <c r="A357" t="str">
        <f>HYPERLINK("https://www.ebi.ac.uk/ols/ontologies/fbbt/terms?iri=http://purl.obolibrary.org/obo/FBbt_00048372","FBbt:00048372")</f>
        <v>FBbt:00048372</v>
      </c>
      <c r="B357" t="s">
        <v>972</v>
      </c>
      <c r="C357" t="s">
        <v>973</v>
      </c>
      <c r="D357" t="s">
        <v>974</v>
      </c>
      <c r="E357" t="s">
        <v>483</v>
      </c>
    </row>
    <row r="358" spans="1:5" x14ac:dyDescent="0.2">
      <c r="A358" t="str">
        <f>HYPERLINK("https://www.ebi.ac.uk/ols/ontologies/fbbt/terms?iri=http://purl.obolibrary.org/obo/FBbt_00110178","FBbt:00110178")</f>
        <v>FBbt:00110178</v>
      </c>
      <c r="B358" t="s">
        <v>975</v>
      </c>
      <c r="C358" t="s">
        <v>976</v>
      </c>
      <c r="D358" t="s">
        <v>977</v>
      </c>
      <c r="E358" t="s">
        <v>978</v>
      </c>
    </row>
    <row r="359" spans="1:5" x14ac:dyDescent="0.2">
      <c r="A359" t="str">
        <f>HYPERLINK("https://www.ebi.ac.uk/ols/ontologies/fbbt/terms?iri=http://purl.obolibrary.org/obo/FBbt_00048371","FBbt:00048371")</f>
        <v>FBbt:00048371</v>
      </c>
      <c r="B359" t="s">
        <v>979</v>
      </c>
      <c r="C359" t="s">
        <v>980</v>
      </c>
      <c r="D359" t="s">
        <v>981</v>
      </c>
      <c r="E359" t="s">
        <v>483</v>
      </c>
    </row>
    <row r="360" spans="1:5" x14ac:dyDescent="0.2">
      <c r="A360" t="str">
        <f>HYPERLINK("https://www.ebi.ac.uk/ols/ontologies/fbbt/terms?iri=http://purl.obolibrary.org/obo/FBbt_00002317","FBbt:00002317")</f>
        <v>FBbt:00002317</v>
      </c>
      <c r="B360" t="s">
        <v>982</v>
      </c>
      <c r="C360" t="s">
        <v>983</v>
      </c>
      <c r="D360" t="s">
        <v>984</v>
      </c>
      <c r="E360" t="s">
        <v>792</v>
      </c>
    </row>
    <row r="361" spans="1:5" x14ac:dyDescent="0.2">
      <c r="A361" t="str">
        <f>HYPERLINK("https://www.ebi.ac.uk/ols/ontologies/fbbt/terms?iri=http://purl.obolibrary.org/obo/FBbt_00002318","FBbt:00002318")</f>
        <v>FBbt:00002318</v>
      </c>
      <c r="B361" t="s">
        <v>985</v>
      </c>
      <c r="C361" t="s">
        <v>986</v>
      </c>
      <c r="D361" t="s">
        <v>987</v>
      </c>
      <c r="E361" t="s">
        <v>792</v>
      </c>
    </row>
    <row r="362" spans="1:5" x14ac:dyDescent="0.2">
      <c r="A362" t="str">
        <f>HYPERLINK("https://www.ebi.ac.uk/ols/ontologies/fbbt/terms?iri=http://purl.obolibrary.org/obo/FBbt_00002315","FBbt:00002315")</f>
        <v>FBbt:00002315</v>
      </c>
      <c r="B362" t="s">
        <v>988</v>
      </c>
      <c r="C362" t="s">
        <v>989</v>
      </c>
      <c r="D362" t="s">
        <v>990</v>
      </c>
      <c r="E362" t="s">
        <v>792</v>
      </c>
    </row>
    <row r="363" spans="1:5" x14ac:dyDescent="0.2">
      <c r="A363" t="str">
        <f>HYPERLINK("https://www.ebi.ac.uk/ols/ontologies/fbbt/terms?iri=http://purl.obolibrary.org/obo/FBbt_00002287","FBbt:00002287")</f>
        <v>FBbt:00002287</v>
      </c>
      <c r="B363" t="s">
        <v>991</v>
      </c>
      <c r="C363" t="s">
        <v>8</v>
      </c>
      <c r="D363" t="s">
        <v>992</v>
      </c>
      <c r="E363" t="s">
        <v>72</v>
      </c>
    </row>
    <row r="364" spans="1:5" x14ac:dyDescent="0.2">
      <c r="A364" t="str">
        <f>HYPERLINK("https://www.ebi.ac.uk/ols/ontologies/fbbt/terms?iri=http://purl.obolibrary.org/obo/FBbt_00002316","FBbt:00002316")</f>
        <v>FBbt:00002316</v>
      </c>
      <c r="B364" t="s">
        <v>993</v>
      </c>
      <c r="C364" t="s">
        <v>994</v>
      </c>
      <c r="D364" t="s">
        <v>995</v>
      </c>
      <c r="E364" t="s">
        <v>792</v>
      </c>
    </row>
    <row r="365" spans="1:5" x14ac:dyDescent="0.2">
      <c r="A365" t="str">
        <f>HYPERLINK("https://www.ebi.ac.uk/ols/ontologies/fbbt/terms?iri=http://purl.obolibrary.org/obo/FBbt_00047830","FBbt:00047830")</f>
        <v>FBbt:00047830</v>
      </c>
      <c r="B365" t="s">
        <v>996</v>
      </c>
      <c r="C365" t="s">
        <v>8</v>
      </c>
      <c r="D365" t="s">
        <v>997</v>
      </c>
      <c r="E365" t="s">
        <v>399</v>
      </c>
    </row>
    <row r="366" spans="1:5" x14ac:dyDescent="0.2">
      <c r="A366" t="str">
        <f>HYPERLINK("https://www.ebi.ac.uk/ols/ontologies/fbbt/terms?iri=http://purl.obolibrary.org/obo/FBbt_00111330","FBbt:00111330")</f>
        <v>FBbt:00111330</v>
      </c>
      <c r="B366" t="s">
        <v>998</v>
      </c>
      <c r="C366" t="s">
        <v>999</v>
      </c>
      <c r="D366" t="s">
        <v>1000</v>
      </c>
      <c r="E366" t="s">
        <v>906</v>
      </c>
    </row>
    <row r="367" spans="1:5" x14ac:dyDescent="0.2">
      <c r="A367" t="str">
        <f>HYPERLINK("https://www.ebi.ac.uk/ols/ontologies/fbbt/terms?iri=http://purl.obolibrary.org/obo/FBbt_00111235","FBbt:00111235")</f>
        <v>FBbt:00111235</v>
      </c>
      <c r="B367" t="s">
        <v>1001</v>
      </c>
      <c r="C367" t="s">
        <v>8</v>
      </c>
      <c r="D367" t="s">
        <v>1002</v>
      </c>
      <c r="E367" t="s">
        <v>29</v>
      </c>
    </row>
    <row r="368" spans="1:5" x14ac:dyDescent="0.2">
      <c r="A368" t="str">
        <f>HYPERLINK("https://www.ebi.ac.uk/ols/ontologies/fbbt/terms?iri=http://purl.obolibrary.org/obo/FBbt_00048412","FBbt:00048412")</f>
        <v>FBbt:00048412</v>
      </c>
      <c r="B368" t="s">
        <v>1003</v>
      </c>
      <c r="C368" t="s">
        <v>1004</v>
      </c>
      <c r="D368" t="s">
        <v>1005</v>
      </c>
      <c r="E368" t="s">
        <v>414</v>
      </c>
    </row>
    <row r="369" spans="1:5" x14ac:dyDescent="0.2">
      <c r="A369" t="str">
        <f>HYPERLINK("https://www.ebi.ac.uk/ols/ontologies/fbbt/terms?iri=http://purl.obolibrary.org/obo/FBbt_00111233","FBbt:00111233")</f>
        <v>FBbt:00111233</v>
      </c>
      <c r="B369" t="s">
        <v>1006</v>
      </c>
      <c r="C369" t="s">
        <v>8</v>
      </c>
      <c r="D369" t="s">
        <v>1007</v>
      </c>
      <c r="E369" t="s">
        <v>29</v>
      </c>
    </row>
    <row r="370" spans="1:5" x14ac:dyDescent="0.2">
      <c r="A370" t="str">
        <f>HYPERLINK("https://www.ebi.ac.uk/ols/ontologies/fbbt/terms?iri=http://purl.obolibrary.org/obo/FBbt_00111334","FBbt:00111334")</f>
        <v>FBbt:00111334</v>
      </c>
      <c r="B370" t="s">
        <v>1008</v>
      </c>
      <c r="C370" t="s">
        <v>1009</v>
      </c>
      <c r="D370" t="s">
        <v>1010</v>
      </c>
      <c r="E370" t="s">
        <v>895</v>
      </c>
    </row>
    <row r="371" spans="1:5" x14ac:dyDescent="0.2">
      <c r="A371" t="str">
        <f>HYPERLINK("https://www.ebi.ac.uk/ols/ontologies/fbbt/terms?iri=http://purl.obolibrary.org/obo/FBbt_00048411","FBbt:00048411")</f>
        <v>FBbt:00048411</v>
      </c>
      <c r="B371" t="s">
        <v>1011</v>
      </c>
      <c r="C371" t="s">
        <v>1012</v>
      </c>
      <c r="D371" t="s">
        <v>1013</v>
      </c>
      <c r="E371" t="s">
        <v>414</v>
      </c>
    </row>
    <row r="372" spans="1:5" x14ac:dyDescent="0.2">
      <c r="A372" t="str">
        <f>HYPERLINK("https://www.ebi.ac.uk/ols/ontologies/fbbt/terms?iri=http://purl.obolibrary.org/obo/FBbt_00111234","FBbt:00111234")</f>
        <v>FBbt:00111234</v>
      </c>
      <c r="B372" t="s">
        <v>1014</v>
      </c>
      <c r="C372" t="s">
        <v>8</v>
      </c>
      <c r="D372" t="s">
        <v>1015</v>
      </c>
      <c r="E372" t="s">
        <v>29</v>
      </c>
    </row>
    <row r="373" spans="1:5" x14ac:dyDescent="0.2">
      <c r="A373" t="str">
        <f>HYPERLINK("https://www.ebi.ac.uk/ols/ontologies/fbbt/terms?iri=http://purl.obolibrary.org/obo/FBbt_00111332","FBbt:00111332")</f>
        <v>FBbt:00111332</v>
      </c>
      <c r="B373" t="s">
        <v>1016</v>
      </c>
      <c r="C373" t="s">
        <v>1017</v>
      </c>
      <c r="D373" t="s">
        <v>1018</v>
      </c>
      <c r="E373" t="s">
        <v>1019</v>
      </c>
    </row>
    <row r="374" spans="1:5" x14ac:dyDescent="0.2">
      <c r="A374" t="str">
        <f>HYPERLINK("https://www.ebi.ac.uk/ols/ontologies/fbbt/terms?iri=http://purl.obolibrary.org/obo/FBbt_00111333","FBbt:00111333")</f>
        <v>FBbt:00111333</v>
      </c>
      <c r="B374" t="s">
        <v>1020</v>
      </c>
      <c r="C374" t="s">
        <v>1021</v>
      </c>
      <c r="D374" t="s">
        <v>1022</v>
      </c>
      <c r="E374" t="s">
        <v>1023</v>
      </c>
    </row>
    <row r="375" spans="1:5" x14ac:dyDescent="0.2">
      <c r="A375" t="str">
        <f>HYPERLINK("https://www.ebi.ac.uk/ols/ontologies/fbbt/terms?iri=http://purl.obolibrary.org/obo/FBbt_00001453","FBbt:00001453")</f>
        <v>FBbt:00001453</v>
      </c>
      <c r="B375" t="s">
        <v>1024</v>
      </c>
      <c r="C375" t="s">
        <v>1025</v>
      </c>
      <c r="D375" t="s">
        <v>1026</v>
      </c>
      <c r="E375" t="s">
        <v>1027</v>
      </c>
    </row>
    <row r="376" spans="1:5" x14ac:dyDescent="0.2">
      <c r="A376" t="str">
        <f>HYPERLINK("https://www.ebi.ac.uk/ols/ontologies/fbbt/terms?iri=http://purl.obolibrary.org/obo/FBbt_00001452","FBbt:00001452")</f>
        <v>FBbt:00001452</v>
      </c>
      <c r="B376" t="s">
        <v>1028</v>
      </c>
      <c r="C376" t="s">
        <v>1029</v>
      </c>
      <c r="D376" t="s">
        <v>1030</v>
      </c>
      <c r="E376" t="s">
        <v>1031</v>
      </c>
    </row>
    <row r="377" spans="1:5" x14ac:dyDescent="0.2">
      <c r="A377" t="str">
        <f>HYPERLINK("https://www.ebi.ac.uk/ols/ontologies/fbbt/terms?iri=http://purl.obolibrary.org/obo/FBbt_00001585","FBbt:00001585")</f>
        <v>FBbt:00001585</v>
      </c>
      <c r="B377" t="s">
        <v>1032</v>
      </c>
      <c r="C377" t="s">
        <v>8</v>
      </c>
      <c r="D377" t="s">
        <v>1033</v>
      </c>
      <c r="E377" t="s">
        <v>1034</v>
      </c>
    </row>
    <row r="378" spans="1:5" x14ac:dyDescent="0.2">
      <c r="A378" t="str">
        <f>HYPERLINK("https://www.ebi.ac.uk/ols/ontologies/fbbt/terms?iri=http://purl.obolibrary.org/obo/FBbt_00001455","FBbt:00001455")</f>
        <v>FBbt:00001455</v>
      </c>
      <c r="B378" t="s">
        <v>1035</v>
      </c>
      <c r="C378" t="s">
        <v>1036</v>
      </c>
      <c r="D378" t="s">
        <v>1037</v>
      </c>
      <c r="E378" t="s">
        <v>1038</v>
      </c>
    </row>
    <row r="379" spans="1:5" x14ac:dyDescent="0.2">
      <c r="A379" t="str">
        <f>HYPERLINK("https://www.ebi.ac.uk/ols/ontologies/fbbt/terms?iri=http://purl.obolibrary.org/obo/FBbt_00001454","FBbt:00001454")</f>
        <v>FBbt:00001454</v>
      </c>
      <c r="B379" t="s">
        <v>1039</v>
      </c>
      <c r="C379" t="s">
        <v>1040</v>
      </c>
      <c r="D379" t="s">
        <v>1041</v>
      </c>
      <c r="E379" t="s">
        <v>1042</v>
      </c>
    </row>
    <row r="380" spans="1:5" x14ac:dyDescent="0.2">
      <c r="A380" t="str">
        <f>HYPERLINK("https://www.ebi.ac.uk/ols/ontologies/fbbt/terms?iri=http://purl.obolibrary.org/obo/FBbt_00001279","FBbt:00001279")</f>
        <v>FBbt:00001279</v>
      </c>
      <c r="B380" t="s">
        <v>1043</v>
      </c>
      <c r="C380" t="s">
        <v>1044</v>
      </c>
      <c r="D380" t="s">
        <v>1045</v>
      </c>
      <c r="E380" t="s">
        <v>152</v>
      </c>
    </row>
    <row r="381" spans="1:5" x14ac:dyDescent="0.2">
      <c r="A381" t="str">
        <f>HYPERLINK("https://www.ebi.ac.uk/ols/ontologies/fbbt/terms?iri=http://purl.obolibrary.org/obo/FBbt_00047964","FBbt:00047964")</f>
        <v>FBbt:00047964</v>
      </c>
      <c r="B381" t="s">
        <v>1046</v>
      </c>
      <c r="C381" t="s">
        <v>1047</v>
      </c>
      <c r="D381" t="s">
        <v>1048</v>
      </c>
      <c r="E381" t="s">
        <v>1049</v>
      </c>
    </row>
    <row r="382" spans="1:5" x14ac:dyDescent="0.2">
      <c r="A382" t="str">
        <f>HYPERLINK("https://www.ebi.ac.uk/ols/ontologies/fbbt/terms?iri=http://purl.obolibrary.org/obo/FBbt_00001278","FBbt:00001278")</f>
        <v>FBbt:00001278</v>
      </c>
      <c r="B382" t="s">
        <v>1050</v>
      </c>
      <c r="C382" t="s">
        <v>1051</v>
      </c>
      <c r="D382" t="s">
        <v>1052</v>
      </c>
      <c r="E382" t="s">
        <v>152</v>
      </c>
    </row>
    <row r="383" spans="1:5" x14ac:dyDescent="0.2">
      <c r="A383" t="str">
        <f>HYPERLINK("https://www.ebi.ac.uk/ols/ontologies/fbbt/terms?iri=http://purl.obolibrary.org/obo/FBbt_00047701","FBbt:00047701")</f>
        <v>FBbt:00047701</v>
      </c>
      <c r="B383" t="s">
        <v>1053</v>
      </c>
      <c r="C383" t="s">
        <v>8</v>
      </c>
      <c r="D383" t="s">
        <v>1054</v>
      </c>
      <c r="E383" t="s">
        <v>36</v>
      </c>
    </row>
    <row r="384" spans="1:5" x14ac:dyDescent="0.2">
      <c r="A384" t="str">
        <f>HYPERLINK("https://www.ebi.ac.uk/ols/ontologies/fbbt/terms?iri=http://purl.obolibrary.org/obo/FBbt_00001584","FBbt:00001584")</f>
        <v>FBbt:00001584</v>
      </c>
      <c r="B384" t="s">
        <v>1055</v>
      </c>
      <c r="C384" t="s">
        <v>1056</v>
      </c>
      <c r="D384" t="s">
        <v>1057</v>
      </c>
      <c r="E384" t="s">
        <v>1058</v>
      </c>
    </row>
    <row r="385" spans="1:5" x14ac:dyDescent="0.2">
      <c r="A385" t="str">
        <f>HYPERLINK("https://www.ebi.ac.uk/ols/ontologies/fbbt/terms?iri=http://purl.obolibrary.org/obo/FBbt_00001432","FBbt:00001432")</f>
        <v>FBbt:00001432</v>
      </c>
      <c r="B385" t="s">
        <v>1059</v>
      </c>
      <c r="C385" t="s">
        <v>1060</v>
      </c>
      <c r="D385" t="s">
        <v>1061</v>
      </c>
      <c r="E385" t="s">
        <v>405</v>
      </c>
    </row>
    <row r="386" spans="1:5" x14ac:dyDescent="0.2">
      <c r="A386" t="str">
        <f>HYPERLINK("https://www.ebi.ac.uk/ols/ontologies/fbbt/terms?iri=http://purl.obolibrary.org/obo/FBbt_00001583","FBbt:00001583")</f>
        <v>FBbt:00001583</v>
      </c>
      <c r="B386" t="s">
        <v>1062</v>
      </c>
      <c r="C386" t="s">
        <v>1063</v>
      </c>
      <c r="D386" t="s">
        <v>1064</v>
      </c>
      <c r="E386" t="s">
        <v>1058</v>
      </c>
    </row>
    <row r="387" spans="1:5" x14ac:dyDescent="0.2">
      <c r="A387" t="str">
        <f>HYPERLINK("https://www.ebi.ac.uk/ols/ontologies/fbbt/terms?iri=http://purl.obolibrary.org/obo/FBbt_00001457","FBbt:00001457")</f>
        <v>FBbt:00001457</v>
      </c>
      <c r="B387" t="s">
        <v>1065</v>
      </c>
      <c r="C387" t="s">
        <v>1066</v>
      </c>
      <c r="D387" t="s">
        <v>1067</v>
      </c>
      <c r="E387" t="s">
        <v>1038</v>
      </c>
    </row>
    <row r="388" spans="1:5" x14ac:dyDescent="0.2">
      <c r="A388" t="str">
        <f>HYPERLINK("https://www.ebi.ac.uk/ols/ontologies/fbbt/terms?iri=http://purl.obolibrary.org/obo/FBbt_00047847","FBbt:00047847")</f>
        <v>FBbt:00047847</v>
      </c>
      <c r="B388" t="s">
        <v>1068</v>
      </c>
      <c r="C388" t="s">
        <v>8</v>
      </c>
      <c r="D388" t="s">
        <v>1069</v>
      </c>
      <c r="E388" t="s">
        <v>62</v>
      </c>
    </row>
    <row r="389" spans="1:5" x14ac:dyDescent="0.2">
      <c r="A389" t="str">
        <f>HYPERLINK("https://www.ebi.ac.uk/ols/ontologies/fbbt/terms?iri=http://purl.obolibrary.org/obo/FBbt_00001456","FBbt:00001456")</f>
        <v>FBbt:00001456</v>
      </c>
      <c r="B389" t="s">
        <v>1070</v>
      </c>
      <c r="C389" t="s">
        <v>1071</v>
      </c>
      <c r="D389" t="s">
        <v>1072</v>
      </c>
      <c r="E389" t="s">
        <v>1038</v>
      </c>
    </row>
    <row r="390" spans="1:5" x14ac:dyDescent="0.2">
      <c r="A390" t="str">
        <f>HYPERLINK("https://www.ebi.ac.uk/ols/ontologies/fbbt/terms?iri=http://purl.obolibrary.org/obo/FBbt_00001459","FBbt:00001459")</f>
        <v>FBbt:00001459</v>
      </c>
      <c r="B390" t="s">
        <v>1073</v>
      </c>
      <c r="C390" t="s">
        <v>8</v>
      </c>
      <c r="D390" t="s">
        <v>1074</v>
      </c>
      <c r="E390" t="s">
        <v>157</v>
      </c>
    </row>
    <row r="391" spans="1:5" x14ac:dyDescent="0.2">
      <c r="A391" t="str">
        <f>HYPERLINK("https://www.ebi.ac.uk/ols/ontologies/fbbt/terms?iri=http://purl.obolibrary.org/obo/FBbt_00047799","FBbt:00047799")</f>
        <v>FBbt:00047799</v>
      </c>
      <c r="B391" t="s">
        <v>1075</v>
      </c>
      <c r="C391" t="s">
        <v>8</v>
      </c>
      <c r="D391" t="s">
        <v>1076</v>
      </c>
      <c r="E391" t="s">
        <v>29</v>
      </c>
    </row>
    <row r="392" spans="1:5" x14ac:dyDescent="0.2">
      <c r="A392" t="str">
        <f>HYPERLINK("https://www.ebi.ac.uk/ols/ontologies/fbbt/terms?iri=http://purl.obolibrary.org/obo/FBbt_00047798","FBbt:00047798")</f>
        <v>FBbt:00047798</v>
      </c>
      <c r="B392" t="s">
        <v>1077</v>
      </c>
      <c r="C392" t="s">
        <v>8</v>
      </c>
      <c r="D392" t="s">
        <v>1078</v>
      </c>
      <c r="E392" t="s">
        <v>29</v>
      </c>
    </row>
    <row r="393" spans="1:5" x14ac:dyDescent="0.2">
      <c r="A393" t="str">
        <f>HYPERLINK("https://www.ebi.ac.uk/ols/ontologies/fbbt/terms?iri=http://purl.obolibrary.org/obo/FBbt_00047796","FBbt:00047796")</f>
        <v>FBbt:00047796</v>
      </c>
      <c r="B393" t="s">
        <v>1079</v>
      </c>
      <c r="C393" t="s">
        <v>8</v>
      </c>
      <c r="D393" t="s">
        <v>1080</v>
      </c>
      <c r="E393" t="s">
        <v>29</v>
      </c>
    </row>
    <row r="394" spans="1:5" x14ac:dyDescent="0.2">
      <c r="A394" t="str">
        <f>HYPERLINK("https://www.ebi.ac.uk/ols/ontologies/fbbt/terms?iri=http://purl.obolibrary.org/obo/FBbt_00001281","FBbt:00001281")</f>
        <v>FBbt:00001281</v>
      </c>
      <c r="B394" t="s">
        <v>1081</v>
      </c>
      <c r="C394" t="s">
        <v>1082</v>
      </c>
      <c r="D394" t="s">
        <v>1083</v>
      </c>
      <c r="E394" t="s">
        <v>152</v>
      </c>
    </row>
    <row r="395" spans="1:5" x14ac:dyDescent="0.2">
      <c r="A395" t="str">
        <f>HYPERLINK("https://www.ebi.ac.uk/ols/ontologies/fbbt/terms?iri=http://purl.obolibrary.org/obo/FBbt_00047797","FBbt:00047797")</f>
        <v>FBbt:00047797</v>
      </c>
      <c r="B395" t="s">
        <v>1084</v>
      </c>
      <c r="C395" t="s">
        <v>8</v>
      </c>
      <c r="D395" t="s">
        <v>1085</v>
      </c>
      <c r="E395" t="s">
        <v>29</v>
      </c>
    </row>
    <row r="396" spans="1:5" x14ac:dyDescent="0.2">
      <c r="A396" t="str">
        <f>HYPERLINK("https://www.ebi.ac.uk/ols/ontologies/fbbt/terms?iri=http://purl.obolibrary.org/obo/FBbt_00047795","FBbt:00047795")</f>
        <v>FBbt:00047795</v>
      </c>
      <c r="B396" t="s">
        <v>1086</v>
      </c>
      <c r="C396" t="s">
        <v>8</v>
      </c>
      <c r="D396" t="s">
        <v>1087</v>
      </c>
      <c r="E396" t="s">
        <v>29</v>
      </c>
    </row>
    <row r="397" spans="1:5" x14ac:dyDescent="0.2">
      <c r="A397" t="str">
        <f>HYPERLINK("https://www.ebi.ac.uk/ols/ontologies/fbbt/terms?iri=http://purl.obolibrary.org/obo/FBbt_00001280","FBbt:00001280")</f>
        <v>FBbt:00001280</v>
      </c>
      <c r="B397" t="s">
        <v>1088</v>
      </c>
      <c r="C397" t="s">
        <v>1089</v>
      </c>
      <c r="D397" t="s">
        <v>1090</v>
      </c>
      <c r="E397" t="s">
        <v>152</v>
      </c>
    </row>
    <row r="398" spans="1:5" x14ac:dyDescent="0.2">
      <c r="A398" t="str">
        <f>HYPERLINK("https://www.ebi.ac.uk/ols/ontologies/fbbt/terms?iri=http://purl.obolibrary.org/obo/FBbt_00047794","FBbt:00047794")</f>
        <v>FBbt:00047794</v>
      </c>
      <c r="B398" t="s">
        <v>1091</v>
      </c>
      <c r="C398" t="s">
        <v>8</v>
      </c>
      <c r="D398" t="s">
        <v>1092</v>
      </c>
      <c r="E398" t="s">
        <v>29</v>
      </c>
    </row>
    <row r="399" spans="1:5" x14ac:dyDescent="0.2">
      <c r="A399" t="str">
        <f>HYPERLINK("https://www.ebi.ac.uk/ols/ontologies/fbbt/terms?iri=http://purl.obolibrary.org/obo/FBbt_00001502","FBbt:00001502")</f>
        <v>FBbt:00001502</v>
      </c>
      <c r="B399" t="s">
        <v>1093</v>
      </c>
      <c r="C399" t="s">
        <v>8</v>
      </c>
      <c r="D399" t="s">
        <v>1094</v>
      </c>
      <c r="E399" t="s">
        <v>157</v>
      </c>
    </row>
    <row r="400" spans="1:5" x14ac:dyDescent="0.2">
      <c r="A400" t="str">
        <f>HYPERLINK("https://www.ebi.ac.uk/ols/ontologies/fbbt/terms?iri=http://purl.obolibrary.org/obo/FBbt_00001501","FBbt:00001501")</f>
        <v>FBbt:00001501</v>
      </c>
      <c r="B400" t="s">
        <v>1095</v>
      </c>
      <c r="C400" t="s">
        <v>8</v>
      </c>
      <c r="D400" t="s">
        <v>1096</v>
      </c>
      <c r="E400" t="s">
        <v>157</v>
      </c>
    </row>
    <row r="401" spans="1:5" x14ac:dyDescent="0.2">
      <c r="A401" t="str">
        <f>HYPERLINK("https://www.ebi.ac.uk/ols/ontologies/fbbt/terms?iri=http://purl.obolibrary.org/obo/FBbt_00110866","FBbt:00110866")</f>
        <v>FBbt:00110866</v>
      </c>
      <c r="B401" t="s">
        <v>1097</v>
      </c>
      <c r="C401" t="s">
        <v>8</v>
      </c>
      <c r="D401" t="s">
        <v>1098</v>
      </c>
      <c r="E401" t="s">
        <v>287</v>
      </c>
    </row>
    <row r="402" spans="1:5" x14ac:dyDescent="0.2">
      <c r="A402" t="str">
        <f>HYPERLINK("https://www.ebi.ac.uk/ols/ontologies/fbbt/terms?iri=http://purl.obolibrary.org/obo/FBbt_00005836","FBbt:00005836")</f>
        <v>FBbt:00005836</v>
      </c>
      <c r="B402" t="s">
        <v>1099</v>
      </c>
      <c r="C402" t="s">
        <v>8</v>
      </c>
      <c r="D402" t="s">
        <v>8</v>
      </c>
      <c r="E402" t="s">
        <v>8</v>
      </c>
    </row>
    <row r="403" spans="1:5" x14ac:dyDescent="0.2">
      <c r="A403" t="str">
        <f>HYPERLINK("https://www.ebi.ac.uk/ols/ontologies/fbbt/terms?iri=http://purl.obolibrary.org/obo/FBbt_00110867","FBbt:00110867")</f>
        <v>FBbt:00110867</v>
      </c>
      <c r="B403" t="s">
        <v>1100</v>
      </c>
      <c r="C403" t="s">
        <v>8</v>
      </c>
      <c r="D403" t="s">
        <v>1101</v>
      </c>
      <c r="E403" t="s">
        <v>287</v>
      </c>
    </row>
    <row r="404" spans="1:5" x14ac:dyDescent="0.2">
      <c r="A404" t="str">
        <f>HYPERLINK("https://www.ebi.ac.uk/ols/ontologies/fbbt/terms?iri=http://purl.obolibrary.org/obo/FBbt_00047790","FBbt:00047790")</f>
        <v>FBbt:00047790</v>
      </c>
      <c r="B404" t="s">
        <v>1102</v>
      </c>
      <c r="C404" t="s">
        <v>8</v>
      </c>
      <c r="D404" t="s">
        <v>1103</v>
      </c>
      <c r="E404" t="s">
        <v>29</v>
      </c>
    </row>
    <row r="405" spans="1:5" x14ac:dyDescent="0.2">
      <c r="A405" t="str">
        <f>HYPERLINK("https://www.ebi.ac.uk/ols/ontologies/fbbt/terms?iri=http://purl.obolibrary.org/obo/FBbt_00001283","FBbt:00001283")</f>
        <v>FBbt:00001283</v>
      </c>
      <c r="B405" t="s">
        <v>1104</v>
      </c>
      <c r="C405" t="s">
        <v>1105</v>
      </c>
      <c r="D405" t="s">
        <v>1106</v>
      </c>
      <c r="E405" t="s">
        <v>152</v>
      </c>
    </row>
    <row r="406" spans="1:5" x14ac:dyDescent="0.2">
      <c r="A406" t="str">
        <f>HYPERLINK("https://www.ebi.ac.uk/ols/ontologies/fbbt/terms?iri=http://purl.obolibrary.org/obo/FBbt_00047793","FBbt:00047793")</f>
        <v>FBbt:00047793</v>
      </c>
      <c r="B406" t="s">
        <v>1107</v>
      </c>
      <c r="C406" t="s">
        <v>8</v>
      </c>
      <c r="D406" t="s">
        <v>1108</v>
      </c>
      <c r="E406" t="s">
        <v>29</v>
      </c>
    </row>
    <row r="407" spans="1:5" x14ac:dyDescent="0.2">
      <c r="A407" t="str">
        <f>HYPERLINK("https://www.ebi.ac.uk/ols/ontologies/fbbt/terms?iri=http://purl.obolibrary.org/obo/FBbt_00001282","FBbt:00001282")</f>
        <v>FBbt:00001282</v>
      </c>
      <c r="B407" t="s">
        <v>1109</v>
      </c>
      <c r="C407" t="s">
        <v>1110</v>
      </c>
      <c r="D407" t="s">
        <v>1111</v>
      </c>
      <c r="E407" t="s">
        <v>152</v>
      </c>
    </row>
    <row r="408" spans="1:5" x14ac:dyDescent="0.2">
      <c r="A408" t="str">
        <f>HYPERLINK("https://www.ebi.ac.uk/ols/ontologies/fbbt/terms?iri=http://purl.obolibrary.org/obo/FBbt_00047792","FBbt:00047792")</f>
        <v>FBbt:00047792</v>
      </c>
      <c r="B408" t="s">
        <v>1112</v>
      </c>
      <c r="C408" t="s">
        <v>8</v>
      </c>
      <c r="D408" t="s">
        <v>1113</v>
      </c>
      <c r="E408" t="s">
        <v>29</v>
      </c>
    </row>
    <row r="409" spans="1:5" x14ac:dyDescent="0.2">
      <c r="A409" t="str">
        <f>HYPERLINK("https://www.ebi.ac.uk/ols/ontologies/fbbt/terms?iri=http://purl.obolibrary.org/obo/FBbt_00047791","FBbt:00047791")</f>
        <v>FBbt:00047791</v>
      </c>
      <c r="B409" t="s">
        <v>1114</v>
      </c>
      <c r="C409" t="s">
        <v>8</v>
      </c>
      <c r="D409" t="s">
        <v>1115</v>
      </c>
      <c r="E409" t="s">
        <v>29</v>
      </c>
    </row>
    <row r="410" spans="1:5" x14ac:dyDescent="0.2">
      <c r="A410" t="str">
        <f>HYPERLINK("https://www.ebi.ac.uk/ols/ontologies/fbbt/terms?iri=http://purl.obolibrary.org/obo/FBbt_00001284","FBbt:00001284")</f>
        <v>FBbt:00001284</v>
      </c>
      <c r="B410" t="s">
        <v>1116</v>
      </c>
      <c r="C410" t="s">
        <v>1117</v>
      </c>
      <c r="D410" t="s">
        <v>1118</v>
      </c>
      <c r="E410" t="s">
        <v>152</v>
      </c>
    </row>
    <row r="411" spans="1:5" x14ac:dyDescent="0.2">
      <c r="A411" t="str">
        <f>HYPERLINK("https://www.ebi.ac.uk/ols/ontologies/fbbt/terms?iri=http://purl.obolibrary.org/obo/FBbt_00047850","FBbt:00047850")</f>
        <v>FBbt:00047850</v>
      </c>
      <c r="B411" t="s">
        <v>1119</v>
      </c>
      <c r="C411" t="s">
        <v>8</v>
      </c>
      <c r="D411" t="s">
        <v>941</v>
      </c>
      <c r="E411" t="s">
        <v>62</v>
      </c>
    </row>
    <row r="412" spans="1:5" x14ac:dyDescent="0.2">
      <c r="A412" t="str">
        <f>HYPERLINK("https://www.ebi.ac.uk/ols/ontologies/fbbt/terms?iri=http://purl.obolibrary.org/obo/FBbt_00001572","FBbt:00001572")</f>
        <v>FBbt:00001572</v>
      </c>
      <c r="B412" t="s">
        <v>1120</v>
      </c>
      <c r="C412" t="s">
        <v>1121</v>
      </c>
      <c r="D412" t="s">
        <v>1122</v>
      </c>
      <c r="E412" t="s">
        <v>1123</v>
      </c>
    </row>
    <row r="413" spans="1:5" x14ac:dyDescent="0.2">
      <c r="A413" t="str">
        <f>HYPERLINK("https://www.ebi.ac.uk/ols/ontologies/fbbt/terms?iri=http://purl.obolibrary.org/obo/FBbt_00001267","FBbt:00001267")</f>
        <v>FBbt:00001267</v>
      </c>
      <c r="B413" t="s">
        <v>1124</v>
      </c>
      <c r="C413" t="s">
        <v>1125</v>
      </c>
      <c r="D413" t="s">
        <v>1126</v>
      </c>
      <c r="E413" t="s">
        <v>152</v>
      </c>
    </row>
    <row r="414" spans="1:5" x14ac:dyDescent="0.2">
      <c r="A414" t="str">
        <f>HYPERLINK("https://www.ebi.ac.uk/ols/ontologies/fbbt/terms?iri=http://purl.obolibrary.org/obo/FBbt_00047749","FBbt:00047749")</f>
        <v>FBbt:00047749</v>
      </c>
      <c r="B414" t="s">
        <v>1127</v>
      </c>
      <c r="C414" t="s">
        <v>1128</v>
      </c>
      <c r="D414" t="s">
        <v>1129</v>
      </c>
      <c r="E414" t="s">
        <v>1130</v>
      </c>
    </row>
    <row r="415" spans="1:5" x14ac:dyDescent="0.2">
      <c r="A415" t="str">
        <f>HYPERLINK("https://www.ebi.ac.uk/ols/ontologies/fbbt/terms?iri=http://purl.obolibrary.org/obo/FBbt_00047748","FBbt:00047748")</f>
        <v>FBbt:00047748</v>
      </c>
      <c r="B415" t="s">
        <v>1131</v>
      </c>
      <c r="C415" t="s">
        <v>1132</v>
      </c>
      <c r="D415" t="s">
        <v>1133</v>
      </c>
      <c r="E415" t="s">
        <v>314</v>
      </c>
    </row>
    <row r="416" spans="1:5" x14ac:dyDescent="0.2">
      <c r="A416" t="str">
        <f>HYPERLINK("https://www.ebi.ac.uk/ols/ontologies/fbbt/terms?iri=http://purl.obolibrary.org/obo/FBbt_00047747","FBbt:00047747")</f>
        <v>FBbt:00047747</v>
      </c>
      <c r="B416" t="s">
        <v>1134</v>
      </c>
      <c r="C416" t="s">
        <v>1135</v>
      </c>
      <c r="D416" t="s">
        <v>1136</v>
      </c>
      <c r="E416" t="s">
        <v>314</v>
      </c>
    </row>
    <row r="417" spans="1:5" x14ac:dyDescent="0.2">
      <c r="A417" t="str">
        <f>HYPERLINK("https://www.ebi.ac.uk/ols/ontologies/fbbt/terms?iri=http://purl.obolibrary.org/obo/FBbt_00047779","FBbt:00047779")</f>
        <v>FBbt:00047779</v>
      </c>
      <c r="B417" t="s">
        <v>1137</v>
      </c>
      <c r="C417" t="s">
        <v>8</v>
      </c>
      <c r="D417" t="s">
        <v>1138</v>
      </c>
      <c r="E417" t="s">
        <v>29</v>
      </c>
    </row>
    <row r="418" spans="1:5" x14ac:dyDescent="0.2">
      <c r="A418" t="str">
        <f>HYPERLINK("https://www.ebi.ac.uk/ols/ontologies/fbbt/terms?iri=http://purl.obolibrary.org/obo/FBbt_00047729","FBbt:00047729")</f>
        <v>FBbt:00047729</v>
      </c>
      <c r="B418" t="s">
        <v>1139</v>
      </c>
      <c r="C418" t="s">
        <v>1140</v>
      </c>
      <c r="D418" t="s">
        <v>1141</v>
      </c>
      <c r="E418" t="s">
        <v>408</v>
      </c>
    </row>
    <row r="419" spans="1:5" x14ac:dyDescent="0.2">
      <c r="A419" t="str">
        <f>HYPERLINK("https://www.ebi.ac.uk/ols/ontologies/fbbt/terms?iri=http://purl.obolibrary.org/obo/FBbt_00047778","FBbt:00047778")</f>
        <v>FBbt:00047778</v>
      </c>
      <c r="B419" t="s">
        <v>1142</v>
      </c>
      <c r="C419" t="s">
        <v>8</v>
      </c>
      <c r="D419" t="s">
        <v>1143</v>
      </c>
      <c r="E419" t="s">
        <v>29</v>
      </c>
    </row>
    <row r="420" spans="1:5" x14ac:dyDescent="0.2">
      <c r="A420" t="str">
        <f>HYPERLINK("https://www.ebi.ac.uk/ols/ontologies/fbbt/terms?iri=http://purl.obolibrary.org/obo/FBbt_00047728","FBbt:00047728")</f>
        <v>FBbt:00047728</v>
      </c>
      <c r="B420" t="s">
        <v>1144</v>
      </c>
      <c r="C420" t="s">
        <v>1145</v>
      </c>
      <c r="D420" t="s">
        <v>1146</v>
      </c>
      <c r="E420" t="s">
        <v>62</v>
      </c>
    </row>
    <row r="421" spans="1:5" x14ac:dyDescent="0.2">
      <c r="A421" t="str">
        <f>HYPERLINK("https://www.ebi.ac.uk/ols/ontologies/fbbt/terms?iri=http://purl.obolibrary.org/obo/FBbt_00047727","FBbt:00047727")</f>
        <v>FBbt:00047727</v>
      </c>
      <c r="B421" t="s">
        <v>1147</v>
      </c>
      <c r="C421" t="s">
        <v>1148</v>
      </c>
      <c r="D421" t="s">
        <v>1149</v>
      </c>
      <c r="E421" t="s">
        <v>408</v>
      </c>
    </row>
    <row r="422" spans="1:5" x14ac:dyDescent="0.2">
      <c r="A422" t="str">
        <f>HYPERLINK("https://www.ebi.ac.uk/ols/ontologies/fbbt/terms?iri=http://purl.obolibrary.org/obo/FBbt_00001427","FBbt:00001427")</f>
        <v>FBbt:00001427</v>
      </c>
      <c r="B422" t="s">
        <v>1150</v>
      </c>
      <c r="C422" t="s">
        <v>1151</v>
      </c>
      <c r="D422" t="s">
        <v>1152</v>
      </c>
      <c r="E422" t="s">
        <v>1153</v>
      </c>
    </row>
    <row r="423" spans="1:5" x14ac:dyDescent="0.2">
      <c r="A423" t="str">
        <f>HYPERLINK("https://www.ebi.ac.uk/ols/ontologies/fbbt/terms?iri=http://purl.obolibrary.org/obo/FBbt_00001428","FBbt:00001428")</f>
        <v>FBbt:00001428</v>
      </c>
      <c r="B423" t="s">
        <v>1154</v>
      </c>
      <c r="C423" t="s">
        <v>1155</v>
      </c>
      <c r="D423" t="s">
        <v>1156</v>
      </c>
      <c r="E423" t="s">
        <v>1157</v>
      </c>
    </row>
    <row r="424" spans="1:5" x14ac:dyDescent="0.2">
      <c r="A424" t="str">
        <f>HYPERLINK("https://www.ebi.ac.uk/ols/ontologies/fbbt/terms?iri=http://purl.obolibrary.org/obo/FBbt_00047191","FBbt:00047191")</f>
        <v>FBbt:00047191</v>
      </c>
      <c r="B424" t="s">
        <v>1158</v>
      </c>
      <c r="C424" t="s">
        <v>1159</v>
      </c>
      <c r="D424" t="s">
        <v>1160</v>
      </c>
      <c r="E424" t="s">
        <v>144</v>
      </c>
    </row>
    <row r="425" spans="1:5" x14ac:dyDescent="0.2">
      <c r="A425" t="str">
        <f>HYPERLINK("https://www.ebi.ac.uk/ols/ontologies/fbbt/terms?iri=http://purl.obolibrary.org/obo/FBbt_00047785","FBbt:00047785")</f>
        <v>FBbt:00047785</v>
      </c>
      <c r="B425" t="s">
        <v>1161</v>
      </c>
      <c r="C425" t="s">
        <v>8</v>
      </c>
      <c r="D425" t="s">
        <v>1162</v>
      </c>
      <c r="E425" t="s">
        <v>29</v>
      </c>
    </row>
    <row r="426" spans="1:5" x14ac:dyDescent="0.2">
      <c r="A426" t="str">
        <f>HYPERLINK("https://www.ebi.ac.uk/ols/ontologies/fbbt/terms?iri=http://purl.obolibrary.org/obo/FBbt_00047190","FBbt:00047190")</f>
        <v>FBbt:00047190</v>
      </c>
      <c r="B426" t="s">
        <v>1163</v>
      </c>
      <c r="C426" t="s">
        <v>1164</v>
      </c>
      <c r="D426" t="s">
        <v>1165</v>
      </c>
      <c r="E426" t="s">
        <v>144</v>
      </c>
    </row>
    <row r="427" spans="1:5" x14ac:dyDescent="0.2">
      <c r="A427" t="str">
        <f>HYPERLINK("https://www.ebi.ac.uk/ols/ontologies/fbbt/terms?iri=http://purl.obolibrary.org/obo/FBbt_00111248","FBbt:00111248")</f>
        <v>FBbt:00111248</v>
      </c>
      <c r="B427" t="s">
        <v>1166</v>
      </c>
      <c r="C427" t="s">
        <v>1167</v>
      </c>
      <c r="D427" t="s">
        <v>1168</v>
      </c>
      <c r="E427" t="s">
        <v>1169</v>
      </c>
    </row>
    <row r="428" spans="1:5" x14ac:dyDescent="0.2">
      <c r="A428" t="str">
        <f>HYPERLINK("https://www.ebi.ac.uk/ols/ontologies/fbbt/terms?iri=http://purl.obolibrary.org/obo/FBbt_00047784","FBbt:00047784")</f>
        <v>FBbt:00047784</v>
      </c>
      <c r="B428" t="s">
        <v>1170</v>
      </c>
      <c r="C428" t="s">
        <v>8</v>
      </c>
      <c r="D428" t="s">
        <v>1171</v>
      </c>
      <c r="E428" t="s">
        <v>29</v>
      </c>
    </row>
    <row r="429" spans="1:5" x14ac:dyDescent="0.2">
      <c r="A429" t="str">
        <f>HYPERLINK("https://www.ebi.ac.uk/ols/ontologies/fbbt/terms?iri=http://purl.obolibrary.org/obo/FBbt_00047783","FBbt:00047783")</f>
        <v>FBbt:00047783</v>
      </c>
      <c r="B429" t="s">
        <v>1172</v>
      </c>
      <c r="C429" t="s">
        <v>8</v>
      </c>
      <c r="D429" t="s">
        <v>1173</v>
      </c>
      <c r="E429" t="s">
        <v>36</v>
      </c>
    </row>
    <row r="430" spans="1:5" x14ac:dyDescent="0.2">
      <c r="A430" t="str">
        <f>HYPERLINK("https://www.ebi.ac.uk/ols/ontologies/fbbt/terms?iri=http://purl.obolibrary.org/obo/FBbt_00047781","FBbt:00047781")</f>
        <v>FBbt:00047781</v>
      </c>
      <c r="B430" t="s">
        <v>1174</v>
      </c>
      <c r="C430" t="s">
        <v>8</v>
      </c>
      <c r="D430" t="s">
        <v>1175</v>
      </c>
      <c r="E430" t="s">
        <v>29</v>
      </c>
    </row>
    <row r="431" spans="1:5" x14ac:dyDescent="0.2">
      <c r="A431" t="str">
        <f>HYPERLINK("https://www.ebi.ac.uk/ols/ontologies/fbbt/terms?iri=http://purl.obolibrary.org/obo/FBbt_00047782","FBbt:00047782")</f>
        <v>FBbt:00047782</v>
      </c>
      <c r="B431" t="s">
        <v>1176</v>
      </c>
      <c r="C431" t="s">
        <v>8</v>
      </c>
      <c r="D431" t="s">
        <v>1177</v>
      </c>
      <c r="E431" t="s">
        <v>36</v>
      </c>
    </row>
    <row r="432" spans="1:5" x14ac:dyDescent="0.2">
      <c r="A432" t="str">
        <f>HYPERLINK("https://www.ebi.ac.uk/ols/ontologies/fbbt/terms?iri=http://purl.obolibrary.org/obo/FBbt_00005824","FBbt:00005824")</f>
        <v>FBbt:00005824</v>
      </c>
      <c r="B432" t="s">
        <v>1178</v>
      </c>
      <c r="C432" t="s">
        <v>1179</v>
      </c>
      <c r="D432" t="s">
        <v>8</v>
      </c>
      <c r="E432" t="s">
        <v>8</v>
      </c>
    </row>
    <row r="433" spans="1:5" x14ac:dyDescent="0.2">
      <c r="A433" t="str">
        <f>HYPERLINK("https://www.ebi.ac.uk/ols/ontologies/fbbt/terms?iri=http://purl.obolibrary.org/obo/FBbt_00005823","FBbt:00005823")</f>
        <v>FBbt:00005823</v>
      </c>
      <c r="B433" t="s">
        <v>1180</v>
      </c>
      <c r="C433" t="s">
        <v>1181</v>
      </c>
      <c r="D433" t="s">
        <v>8</v>
      </c>
      <c r="E433" t="s">
        <v>8</v>
      </c>
    </row>
    <row r="434" spans="1:5" x14ac:dyDescent="0.2">
      <c r="A434" t="str">
        <f>HYPERLINK("https://www.ebi.ac.uk/ols/ontologies/fbbt/terms?iri=http://purl.obolibrary.org/obo/FBbt_00047788","FBbt:00047788")</f>
        <v>FBbt:00047788</v>
      </c>
      <c r="B434" t="s">
        <v>1182</v>
      </c>
      <c r="C434" t="s">
        <v>8</v>
      </c>
      <c r="D434" t="s">
        <v>1183</v>
      </c>
      <c r="E434" t="s">
        <v>29</v>
      </c>
    </row>
    <row r="435" spans="1:5" x14ac:dyDescent="0.2">
      <c r="A435" t="str">
        <f>HYPERLINK("https://www.ebi.ac.uk/ols/ontologies/fbbt/terms?iri=http://purl.obolibrary.org/obo/FBbt_00047789","FBbt:00047789")</f>
        <v>FBbt:00047789</v>
      </c>
      <c r="B435" t="s">
        <v>1184</v>
      </c>
      <c r="C435" t="s">
        <v>8</v>
      </c>
      <c r="D435" t="s">
        <v>1185</v>
      </c>
      <c r="E435" t="s">
        <v>29</v>
      </c>
    </row>
    <row r="436" spans="1:5" x14ac:dyDescent="0.2">
      <c r="A436" t="str">
        <f>HYPERLINK("https://www.ebi.ac.uk/ols/ontologies/fbbt/terms?iri=http://purl.obolibrary.org/obo/FBbt_00047787","FBbt:00047787")</f>
        <v>FBbt:00047787</v>
      </c>
      <c r="B436" t="s">
        <v>1186</v>
      </c>
      <c r="C436" t="s">
        <v>8</v>
      </c>
      <c r="D436" t="s">
        <v>1187</v>
      </c>
      <c r="E436" t="s">
        <v>29</v>
      </c>
    </row>
    <row r="437" spans="1:5" x14ac:dyDescent="0.2">
      <c r="A437" t="str">
        <f>HYPERLINK("https://www.ebi.ac.uk/ols/ontologies/fbbt/terms?iri=http://purl.obolibrary.org/obo/FBbt_00047786","FBbt:00047786")</f>
        <v>FBbt:00047786</v>
      </c>
      <c r="B437" t="s">
        <v>1188</v>
      </c>
      <c r="C437" t="s">
        <v>8</v>
      </c>
      <c r="D437" t="s">
        <v>1189</v>
      </c>
      <c r="E437" t="s">
        <v>29</v>
      </c>
    </row>
    <row r="438" spans="1:5" x14ac:dyDescent="0.2">
      <c r="A438" t="str">
        <f>HYPERLINK("https://www.ebi.ac.uk/ols/ontologies/fbbt/terms?iri=http://purl.obolibrary.org/obo/FBbt_00001277","FBbt:00001277")</f>
        <v>FBbt:00001277</v>
      </c>
      <c r="B438" t="s">
        <v>1190</v>
      </c>
      <c r="C438" t="s">
        <v>1191</v>
      </c>
      <c r="D438" t="s">
        <v>1192</v>
      </c>
      <c r="E438" t="s">
        <v>152</v>
      </c>
    </row>
    <row r="439" spans="1:5" x14ac:dyDescent="0.2">
      <c r="A439" t="str">
        <f>HYPERLINK("https://www.ebi.ac.uk/ols/ontologies/fbbt/terms?iri=http://purl.obolibrary.org/obo/FBbt_00047780","FBbt:00047780")</f>
        <v>FBbt:00047780</v>
      </c>
      <c r="B439" t="s">
        <v>1193</v>
      </c>
      <c r="C439" t="s">
        <v>8</v>
      </c>
      <c r="D439" t="s">
        <v>1194</v>
      </c>
      <c r="E439" t="s">
        <v>29</v>
      </c>
    </row>
    <row r="440" spans="1:5" x14ac:dyDescent="0.2">
      <c r="A440" t="str">
        <f>HYPERLINK("https://www.ebi.ac.uk/ols/ontologies/fbbt/terms?iri=http://purl.obolibrary.org/obo/FBbt_00003595","FBbt:00003595")</f>
        <v>FBbt:00003595</v>
      </c>
      <c r="B440" t="s">
        <v>1195</v>
      </c>
      <c r="C440" t="s">
        <v>1196</v>
      </c>
      <c r="D440" t="s">
        <v>1197</v>
      </c>
      <c r="E440" t="s">
        <v>94</v>
      </c>
    </row>
    <row r="441" spans="1:5" x14ac:dyDescent="0.2">
      <c r="A441" t="str">
        <f>HYPERLINK("https://www.ebi.ac.uk/ols/ontologies/fbbt/terms?iri=http://purl.obolibrary.org/obo/FBbt_00002199","FBbt:00002199")</f>
        <v>FBbt:00002199</v>
      </c>
      <c r="B441" t="s">
        <v>1198</v>
      </c>
      <c r="C441" t="s">
        <v>1199</v>
      </c>
      <c r="D441" t="s">
        <v>1200</v>
      </c>
      <c r="E441" t="s">
        <v>1201</v>
      </c>
    </row>
    <row r="442" spans="1:5" x14ac:dyDescent="0.2">
      <c r="A442" t="str">
        <f>HYPERLINK("https://www.ebi.ac.uk/ols/ontologies/fbbt/terms?iri=http://purl.obolibrary.org/obo/FBbt_00047811","FBbt:00047811")</f>
        <v>FBbt:00047811</v>
      </c>
      <c r="B442" t="s">
        <v>1202</v>
      </c>
      <c r="C442" t="s">
        <v>1203</v>
      </c>
      <c r="D442" t="s">
        <v>1204</v>
      </c>
      <c r="E442" t="s">
        <v>647</v>
      </c>
    </row>
    <row r="443" spans="1:5" x14ac:dyDescent="0.2">
      <c r="A443" t="str">
        <f>HYPERLINK("https://www.ebi.ac.uk/ols/ontologies/fbbt/terms?iri=http://purl.obolibrary.org/obo/FBbt_00047810","FBbt:00047810")</f>
        <v>FBbt:00047810</v>
      </c>
      <c r="B443" t="s">
        <v>1205</v>
      </c>
      <c r="C443" t="s">
        <v>1206</v>
      </c>
      <c r="D443" t="s">
        <v>1207</v>
      </c>
      <c r="E443" t="s">
        <v>647</v>
      </c>
    </row>
    <row r="444" spans="1:5" x14ac:dyDescent="0.2">
      <c r="A444" t="str">
        <f>HYPERLINK("https://www.ebi.ac.uk/ols/ontologies/fbbt/terms?iri=http://purl.obolibrary.org/obo/FBbt_00110969","FBbt:00110969")</f>
        <v>FBbt:00110969</v>
      </c>
      <c r="B444" t="s">
        <v>1208</v>
      </c>
      <c r="C444" t="s">
        <v>8</v>
      </c>
      <c r="D444" t="s">
        <v>1209</v>
      </c>
      <c r="E444" t="s">
        <v>1210</v>
      </c>
    </row>
    <row r="445" spans="1:5" x14ac:dyDescent="0.2">
      <c r="A445" t="str">
        <f>HYPERLINK("https://www.ebi.ac.uk/ols/ontologies/fbbt/terms?iri=http://purl.obolibrary.org/obo/FBbt_00110966","FBbt:00110966")</f>
        <v>FBbt:00110966</v>
      </c>
      <c r="B445" t="s">
        <v>1211</v>
      </c>
      <c r="C445" t="s">
        <v>1212</v>
      </c>
      <c r="D445" t="s">
        <v>1213</v>
      </c>
      <c r="E445" t="s">
        <v>1210</v>
      </c>
    </row>
    <row r="446" spans="1:5" x14ac:dyDescent="0.2">
      <c r="A446" t="str">
        <f>HYPERLINK("https://www.ebi.ac.uk/ols/ontologies/fbbt/terms?iri=http://purl.obolibrary.org/obo/FBbt_00110963","FBbt:00110963")</f>
        <v>FBbt:00110963</v>
      </c>
      <c r="B446" t="s">
        <v>1214</v>
      </c>
      <c r="C446" t="s">
        <v>1215</v>
      </c>
      <c r="D446" t="s">
        <v>1216</v>
      </c>
      <c r="E446" t="s">
        <v>1210</v>
      </c>
    </row>
    <row r="447" spans="1:5" x14ac:dyDescent="0.2">
      <c r="A447" t="str">
        <f>HYPERLINK("https://www.ebi.ac.uk/ols/ontologies/fbbt/terms?iri=http://purl.obolibrary.org/obo/FBbt_00013609","FBbt:00013609")</f>
        <v>FBbt:00013609</v>
      </c>
      <c r="B447" t="s">
        <v>1217</v>
      </c>
      <c r="C447" t="s">
        <v>1218</v>
      </c>
      <c r="D447" t="s">
        <v>1219</v>
      </c>
      <c r="E447" t="s">
        <v>94</v>
      </c>
    </row>
    <row r="448" spans="1:5" x14ac:dyDescent="0.2">
      <c r="A448" t="str">
        <f>HYPERLINK("https://www.ebi.ac.uk/ols/ontologies/fbbt/terms?iri=http://purl.obolibrary.org/obo/FBbt_00111673","FBbt:00111673")</f>
        <v>FBbt:00111673</v>
      </c>
      <c r="B448" t="s">
        <v>1220</v>
      </c>
      <c r="C448" t="s">
        <v>8</v>
      </c>
      <c r="D448" t="s">
        <v>1221</v>
      </c>
      <c r="E448" t="s">
        <v>915</v>
      </c>
    </row>
    <row r="449" spans="1:5" x14ac:dyDescent="0.2">
      <c r="A449" t="str">
        <f>HYPERLINK("https://www.ebi.ac.uk/ols/ontologies/fbbt/terms?iri=http://purl.obolibrary.org/obo/FBbt_00111672","FBbt:00111672")</f>
        <v>FBbt:00111672</v>
      </c>
      <c r="B449" t="s">
        <v>1222</v>
      </c>
      <c r="C449" t="s">
        <v>8</v>
      </c>
      <c r="D449" t="s">
        <v>1223</v>
      </c>
      <c r="E449" t="s">
        <v>915</v>
      </c>
    </row>
    <row r="450" spans="1:5" x14ac:dyDescent="0.2">
      <c r="A450" t="str">
        <f>HYPERLINK("https://www.ebi.ac.uk/ols/ontologies/fbbt/terms?iri=http://purl.obolibrary.org/obo/FBbt_00001294","FBbt:00001294")</f>
        <v>FBbt:00001294</v>
      </c>
      <c r="B450" t="s">
        <v>1224</v>
      </c>
      <c r="C450" t="s">
        <v>1225</v>
      </c>
      <c r="D450" t="s">
        <v>1226</v>
      </c>
      <c r="E450" t="s">
        <v>608</v>
      </c>
    </row>
    <row r="451" spans="1:5" x14ac:dyDescent="0.2">
      <c r="A451" t="str">
        <f>HYPERLINK("https://www.ebi.ac.uk/ols/ontologies/fbbt/terms?iri=http://purl.obolibrary.org/obo/FBbt_00001295","FBbt:00001295")</f>
        <v>FBbt:00001295</v>
      </c>
      <c r="B451" t="s">
        <v>1227</v>
      </c>
      <c r="C451" t="s">
        <v>1228</v>
      </c>
      <c r="D451" t="s">
        <v>1229</v>
      </c>
      <c r="E451" t="s">
        <v>608</v>
      </c>
    </row>
    <row r="452" spans="1:5" x14ac:dyDescent="0.2">
      <c r="A452" t="str">
        <f>HYPERLINK("https://www.ebi.ac.uk/ols/ontologies/fbbt/terms?iri=http://purl.obolibrary.org/obo/FBbt_00047408","FBbt:00047408")</f>
        <v>FBbt:00047408</v>
      </c>
      <c r="B452" t="s">
        <v>1230</v>
      </c>
      <c r="C452" t="s">
        <v>8</v>
      </c>
      <c r="D452" t="s">
        <v>1231</v>
      </c>
      <c r="E452" t="s">
        <v>144</v>
      </c>
    </row>
    <row r="453" spans="1:5" x14ac:dyDescent="0.2">
      <c r="A453" t="str">
        <f>HYPERLINK("https://www.ebi.ac.uk/ols/ontologies/fbbt/terms?iri=http://purl.obolibrary.org/obo/FBbt_00047407","FBbt:00047407")</f>
        <v>FBbt:00047407</v>
      </c>
      <c r="B453" t="s">
        <v>1232</v>
      </c>
      <c r="C453" t="s">
        <v>8</v>
      </c>
      <c r="D453" t="s">
        <v>1233</v>
      </c>
      <c r="E453" t="s">
        <v>499</v>
      </c>
    </row>
    <row r="454" spans="1:5" x14ac:dyDescent="0.2">
      <c r="A454" t="str">
        <f>HYPERLINK("https://www.ebi.ac.uk/ols/ontologies/fbbt/terms?iri=http://purl.obolibrary.org/obo/FBbt_00047406","FBbt:00047406")</f>
        <v>FBbt:00047406</v>
      </c>
      <c r="B454" t="s">
        <v>1234</v>
      </c>
      <c r="C454" t="s">
        <v>8</v>
      </c>
      <c r="D454" t="s">
        <v>1235</v>
      </c>
      <c r="E454" t="s">
        <v>499</v>
      </c>
    </row>
    <row r="455" spans="1:5" x14ac:dyDescent="0.2">
      <c r="A455" t="str">
        <f>HYPERLINK("https://www.ebi.ac.uk/ols/ontologies/fbbt/terms?iri=http://purl.obolibrary.org/obo/FBbt_00047409","FBbt:00047409")</f>
        <v>FBbt:00047409</v>
      </c>
      <c r="B455" t="s">
        <v>1236</v>
      </c>
      <c r="C455" t="s">
        <v>8</v>
      </c>
      <c r="D455" t="s">
        <v>1237</v>
      </c>
      <c r="E455" t="s">
        <v>144</v>
      </c>
    </row>
    <row r="456" spans="1:5" x14ac:dyDescent="0.2">
      <c r="A456" t="str">
        <f>HYPERLINK("https://www.ebi.ac.uk/ols/ontologies/fbbt/terms?iri=http://purl.obolibrary.org/obo/FBbt_00100751","FBbt:00100751")</f>
        <v>FBbt:00100751</v>
      </c>
      <c r="B456" t="s">
        <v>1238</v>
      </c>
      <c r="C456" t="s">
        <v>1239</v>
      </c>
      <c r="D456" t="s">
        <v>1240</v>
      </c>
      <c r="E456" t="s">
        <v>1241</v>
      </c>
    </row>
    <row r="457" spans="1:5" x14ac:dyDescent="0.2">
      <c r="A457" t="str">
        <f>HYPERLINK("https://www.ebi.ac.uk/ols/ontologies/fbbt/terms?iri=http://purl.obolibrary.org/obo/FBbt_00047413","FBbt:00047413")</f>
        <v>FBbt:00047413</v>
      </c>
      <c r="B457" t="s">
        <v>1242</v>
      </c>
      <c r="C457" t="s">
        <v>8</v>
      </c>
      <c r="D457" t="s">
        <v>1243</v>
      </c>
      <c r="E457" t="s">
        <v>144</v>
      </c>
    </row>
    <row r="458" spans="1:5" x14ac:dyDescent="0.2">
      <c r="A458" t="str">
        <f>HYPERLINK("https://www.ebi.ac.uk/ols/ontologies/fbbt/terms?iri=http://purl.obolibrary.org/obo/FBbt_00047412","FBbt:00047412")</f>
        <v>FBbt:00047412</v>
      </c>
      <c r="B458" t="s">
        <v>1244</v>
      </c>
      <c r="C458" t="s">
        <v>8</v>
      </c>
      <c r="D458" t="s">
        <v>1245</v>
      </c>
      <c r="E458" t="s">
        <v>144</v>
      </c>
    </row>
    <row r="459" spans="1:5" x14ac:dyDescent="0.2">
      <c r="A459" t="str">
        <f>HYPERLINK("https://www.ebi.ac.uk/ols/ontologies/fbbt/terms?iri=http://purl.obolibrary.org/obo/FBbt_00047411","FBbt:00047411")</f>
        <v>FBbt:00047411</v>
      </c>
      <c r="B459" t="s">
        <v>1246</v>
      </c>
      <c r="C459" t="s">
        <v>8</v>
      </c>
      <c r="D459" t="s">
        <v>1247</v>
      </c>
      <c r="E459" t="s">
        <v>144</v>
      </c>
    </row>
    <row r="460" spans="1:5" x14ac:dyDescent="0.2">
      <c r="A460" t="str">
        <f>HYPERLINK("https://www.ebi.ac.uk/ols/ontologies/fbbt/terms?iri=http://purl.obolibrary.org/obo/FBbt_00100752","FBbt:00100752")</f>
        <v>FBbt:00100752</v>
      </c>
      <c r="B460" t="s">
        <v>1248</v>
      </c>
      <c r="C460" t="s">
        <v>1249</v>
      </c>
      <c r="D460" t="s">
        <v>1250</v>
      </c>
      <c r="E460" t="s">
        <v>94</v>
      </c>
    </row>
    <row r="461" spans="1:5" x14ac:dyDescent="0.2">
      <c r="A461" t="str">
        <f>HYPERLINK("https://www.ebi.ac.uk/ols/ontologies/fbbt/terms?iri=http://purl.obolibrary.org/obo/FBbt_00047410","FBbt:00047410")</f>
        <v>FBbt:00047410</v>
      </c>
      <c r="B461" t="s">
        <v>1251</v>
      </c>
      <c r="C461" t="s">
        <v>8</v>
      </c>
      <c r="D461" t="s">
        <v>1252</v>
      </c>
      <c r="E461" t="s">
        <v>144</v>
      </c>
    </row>
    <row r="462" spans="1:5" x14ac:dyDescent="0.2">
      <c r="A462" t="str">
        <f>HYPERLINK("https://www.ebi.ac.uk/ols/ontologies/fbbt/terms?iri=http://purl.obolibrary.org/obo/FBbt_00047415","FBbt:00047415")</f>
        <v>FBbt:00047415</v>
      </c>
      <c r="B462" t="s">
        <v>1253</v>
      </c>
      <c r="C462" t="s">
        <v>8</v>
      </c>
      <c r="D462" t="s">
        <v>1254</v>
      </c>
      <c r="E462" t="s">
        <v>144</v>
      </c>
    </row>
    <row r="463" spans="1:5" x14ac:dyDescent="0.2">
      <c r="A463" t="str">
        <f>HYPERLINK("https://www.ebi.ac.uk/ols/ontologies/fbbt/terms?iri=http://purl.obolibrary.org/obo/FBbt_00047414","FBbt:00047414")</f>
        <v>FBbt:00047414</v>
      </c>
      <c r="B463" t="s">
        <v>1255</v>
      </c>
      <c r="C463" t="s">
        <v>8</v>
      </c>
      <c r="D463" t="s">
        <v>1256</v>
      </c>
      <c r="E463" t="s">
        <v>144</v>
      </c>
    </row>
    <row r="464" spans="1:5" x14ac:dyDescent="0.2">
      <c r="A464" t="str">
        <f>HYPERLINK("https://www.ebi.ac.uk/ols/ontologies/fbbt/terms?iri=http://purl.obolibrary.org/obo/FBbt_00047483","FBbt:00047483")</f>
        <v>FBbt:00047483</v>
      </c>
      <c r="B464" t="s">
        <v>1257</v>
      </c>
      <c r="C464" t="s">
        <v>8</v>
      </c>
      <c r="D464" t="s">
        <v>1258</v>
      </c>
      <c r="E464" t="s">
        <v>144</v>
      </c>
    </row>
    <row r="465" spans="1:5" x14ac:dyDescent="0.2">
      <c r="A465" t="str">
        <f>HYPERLINK("https://www.ebi.ac.uk/ols/ontologies/fbbt/terms?iri=http://purl.obolibrary.org/obo/FBbt_00047482","FBbt:00047482")</f>
        <v>FBbt:00047482</v>
      </c>
      <c r="B465" t="s">
        <v>1259</v>
      </c>
      <c r="C465" t="s">
        <v>8</v>
      </c>
      <c r="D465" t="s">
        <v>1260</v>
      </c>
      <c r="E465" t="s">
        <v>144</v>
      </c>
    </row>
    <row r="466" spans="1:5" x14ac:dyDescent="0.2">
      <c r="A466" t="str">
        <f>HYPERLINK("https://www.ebi.ac.uk/ols/ontologies/fbbt/terms?iri=http://purl.obolibrary.org/obo/FBbt_00047480","FBbt:00047480")</f>
        <v>FBbt:00047480</v>
      </c>
      <c r="B466" t="s">
        <v>1261</v>
      </c>
      <c r="C466" t="s">
        <v>8</v>
      </c>
      <c r="D466" t="s">
        <v>1262</v>
      </c>
      <c r="E466" t="s">
        <v>144</v>
      </c>
    </row>
    <row r="467" spans="1:5" x14ac:dyDescent="0.2">
      <c r="A467" t="str">
        <f>HYPERLINK("https://www.ebi.ac.uk/ols/ontologies/fbbt/terms?iri=http://purl.obolibrary.org/obo/FBbt_00110868","FBbt:00110868")</f>
        <v>FBbt:00110868</v>
      </c>
      <c r="B467" t="s">
        <v>1263</v>
      </c>
      <c r="C467" t="s">
        <v>1264</v>
      </c>
      <c r="D467" t="s">
        <v>1265</v>
      </c>
      <c r="E467" t="s">
        <v>1266</v>
      </c>
    </row>
    <row r="468" spans="1:5" x14ac:dyDescent="0.2">
      <c r="A468" t="str">
        <f>HYPERLINK("https://www.ebi.ac.uk/ols/ontologies/fbbt/terms?iri=http://purl.obolibrary.org/obo/FBbt_00100496","FBbt:00100496")</f>
        <v>FBbt:00100496</v>
      </c>
      <c r="B468" t="s">
        <v>1267</v>
      </c>
      <c r="C468" t="s">
        <v>8</v>
      </c>
      <c r="D468" t="s">
        <v>1268</v>
      </c>
      <c r="E468" t="s">
        <v>608</v>
      </c>
    </row>
    <row r="469" spans="1:5" x14ac:dyDescent="0.2">
      <c r="A469" t="str">
        <f>HYPERLINK("https://www.ebi.ac.uk/ols/ontologies/fbbt/terms?iri=http://purl.obolibrary.org/obo/FBbt_00100493","FBbt:00100493")</f>
        <v>FBbt:00100493</v>
      </c>
      <c r="B469" t="s">
        <v>1269</v>
      </c>
      <c r="C469" t="s">
        <v>1270</v>
      </c>
      <c r="D469" t="s">
        <v>1271</v>
      </c>
      <c r="E469" t="s">
        <v>608</v>
      </c>
    </row>
    <row r="470" spans="1:5" x14ac:dyDescent="0.2">
      <c r="A470" t="str">
        <f>HYPERLINK("https://www.ebi.ac.uk/ols/ontologies/fbbt/terms?iri=http://purl.obolibrary.org/obo/FBbt_00047401","FBbt:00047401")</f>
        <v>FBbt:00047401</v>
      </c>
      <c r="B470" t="s">
        <v>1272</v>
      </c>
      <c r="C470" t="s">
        <v>8</v>
      </c>
      <c r="D470" t="s">
        <v>1273</v>
      </c>
      <c r="E470" t="s">
        <v>1274</v>
      </c>
    </row>
    <row r="471" spans="1:5" x14ac:dyDescent="0.2">
      <c r="A471" t="str">
        <f>HYPERLINK("https://www.ebi.ac.uk/ols/ontologies/fbbt/terms?iri=http://purl.obolibrary.org/obo/FBbt_00047400","FBbt:00047400")</f>
        <v>FBbt:00047400</v>
      </c>
      <c r="B471" t="s">
        <v>1275</v>
      </c>
      <c r="C471" t="s">
        <v>8</v>
      </c>
      <c r="D471" t="s">
        <v>1276</v>
      </c>
      <c r="E471" t="s">
        <v>499</v>
      </c>
    </row>
    <row r="472" spans="1:5" x14ac:dyDescent="0.2">
      <c r="A472" t="str">
        <f>HYPERLINK("https://www.ebi.ac.uk/ols/ontologies/fbbt/terms?iri=http://purl.obolibrary.org/obo/FBbt_00100494","FBbt:00100494")</f>
        <v>FBbt:00100494</v>
      </c>
      <c r="B472" t="s">
        <v>1277</v>
      </c>
      <c r="C472" t="s">
        <v>1278</v>
      </c>
      <c r="D472" t="s">
        <v>1279</v>
      </c>
      <c r="E472" t="s">
        <v>608</v>
      </c>
    </row>
    <row r="473" spans="1:5" x14ac:dyDescent="0.2">
      <c r="A473" t="str">
        <f>HYPERLINK("https://www.ebi.ac.uk/ols/ontologies/fbbt/terms?iri=http://purl.obolibrary.org/obo/FBbt_00002301","FBbt:00002301")</f>
        <v>FBbt:00002301</v>
      </c>
      <c r="B473" t="s">
        <v>1280</v>
      </c>
      <c r="C473" t="s">
        <v>8</v>
      </c>
      <c r="D473" t="s">
        <v>1281</v>
      </c>
      <c r="E473" t="s">
        <v>792</v>
      </c>
    </row>
    <row r="474" spans="1:5" x14ac:dyDescent="0.2">
      <c r="A474" t="str">
        <f>HYPERLINK("https://www.ebi.ac.uk/ols/ontologies/fbbt/terms?iri=http://purl.obolibrary.org/obo/FBbt_00047405","FBbt:00047405")</f>
        <v>FBbt:00047405</v>
      </c>
      <c r="B474" t="s">
        <v>1282</v>
      </c>
      <c r="C474" t="s">
        <v>8</v>
      </c>
      <c r="D474" t="s">
        <v>1283</v>
      </c>
      <c r="E474" t="s">
        <v>499</v>
      </c>
    </row>
    <row r="475" spans="1:5" x14ac:dyDescent="0.2">
      <c r="A475" t="str">
        <f>HYPERLINK("https://www.ebi.ac.uk/ols/ontologies/fbbt/terms?iri=http://purl.obolibrary.org/obo/FBbt_00002302","FBbt:00002302")</f>
        <v>FBbt:00002302</v>
      </c>
      <c r="B475" t="s">
        <v>1284</v>
      </c>
      <c r="C475" t="s">
        <v>8</v>
      </c>
      <c r="D475" t="s">
        <v>1285</v>
      </c>
      <c r="E475" t="s">
        <v>792</v>
      </c>
    </row>
    <row r="476" spans="1:5" x14ac:dyDescent="0.2">
      <c r="A476" t="str">
        <f>HYPERLINK("https://www.ebi.ac.uk/ols/ontologies/fbbt/terms?iri=http://purl.obolibrary.org/obo/FBbt_00047404","FBbt:00047404")</f>
        <v>FBbt:00047404</v>
      </c>
      <c r="B476" t="s">
        <v>1286</v>
      </c>
      <c r="C476" t="s">
        <v>8</v>
      </c>
      <c r="D476" t="s">
        <v>1287</v>
      </c>
      <c r="E476" t="s">
        <v>499</v>
      </c>
    </row>
    <row r="477" spans="1:5" x14ac:dyDescent="0.2">
      <c r="A477" t="str">
        <f>HYPERLINK("https://www.ebi.ac.uk/ols/ontologies/fbbt/terms?iri=http://purl.obolibrary.org/obo/FBbt_00047403","FBbt:00047403")</f>
        <v>FBbt:00047403</v>
      </c>
      <c r="B477" t="s">
        <v>1288</v>
      </c>
      <c r="C477" t="s">
        <v>8</v>
      </c>
      <c r="D477" t="s">
        <v>1289</v>
      </c>
      <c r="E477" t="s">
        <v>1274</v>
      </c>
    </row>
    <row r="478" spans="1:5" x14ac:dyDescent="0.2">
      <c r="A478" t="str">
        <f>HYPERLINK("https://www.ebi.ac.uk/ols/ontologies/fbbt/terms?iri=http://purl.obolibrary.org/obo/FBbt_00002300","FBbt:00002300")</f>
        <v>FBbt:00002300</v>
      </c>
      <c r="B478" t="s">
        <v>1290</v>
      </c>
      <c r="C478" t="s">
        <v>8</v>
      </c>
      <c r="D478" t="s">
        <v>1291</v>
      </c>
      <c r="E478" t="s">
        <v>792</v>
      </c>
    </row>
    <row r="479" spans="1:5" x14ac:dyDescent="0.2">
      <c r="A479" t="str">
        <f>HYPERLINK("https://www.ebi.ac.uk/ols/ontologies/fbbt/terms?iri=http://purl.obolibrary.org/obo/FBbt_00047402","FBbt:00047402")</f>
        <v>FBbt:00047402</v>
      </c>
      <c r="B479" t="s">
        <v>1292</v>
      </c>
      <c r="C479" t="s">
        <v>8</v>
      </c>
      <c r="D479" t="s">
        <v>1293</v>
      </c>
      <c r="E479" t="s">
        <v>499</v>
      </c>
    </row>
    <row r="480" spans="1:5" x14ac:dyDescent="0.2">
      <c r="A480" t="str">
        <f>HYPERLINK("https://www.ebi.ac.uk/ols/ontologies/fbbt/terms?iri=http://purl.obolibrary.org/obo/FBbt_00047481","FBbt:00047481")</f>
        <v>FBbt:00047481</v>
      </c>
      <c r="B480" t="s">
        <v>1294</v>
      </c>
      <c r="C480" t="s">
        <v>8</v>
      </c>
      <c r="D480" t="s">
        <v>1295</v>
      </c>
      <c r="E480" t="s">
        <v>144</v>
      </c>
    </row>
    <row r="481" spans="1:5" x14ac:dyDescent="0.2">
      <c r="A481" t="str">
        <f>HYPERLINK("https://www.ebi.ac.uk/ols/ontologies/fbbt/terms?iri=http://purl.obolibrary.org/obo/FBbt_00047478","FBbt:00047478")</f>
        <v>FBbt:00047478</v>
      </c>
      <c r="B481" t="s">
        <v>1296</v>
      </c>
      <c r="C481" t="s">
        <v>8</v>
      </c>
      <c r="D481" t="s">
        <v>1297</v>
      </c>
      <c r="E481" t="s">
        <v>144</v>
      </c>
    </row>
    <row r="482" spans="1:5" x14ac:dyDescent="0.2">
      <c r="A482" t="str">
        <f>HYPERLINK("https://www.ebi.ac.uk/ols/ontologies/fbbt/terms?iri=http://purl.obolibrary.org/obo/FBbt_00047479","FBbt:00047479")</f>
        <v>FBbt:00047479</v>
      </c>
      <c r="B482" t="s">
        <v>1298</v>
      </c>
      <c r="C482" t="s">
        <v>8</v>
      </c>
      <c r="D482" t="s">
        <v>1299</v>
      </c>
      <c r="E482" t="s">
        <v>144</v>
      </c>
    </row>
    <row r="483" spans="1:5" x14ac:dyDescent="0.2">
      <c r="A483" t="str">
        <f>HYPERLINK("https://www.ebi.ac.uk/ols/ontologies/fbbt/terms?iri=http://purl.obolibrary.org/obo/FBbt_00047477","FBbt:00047477")</f>
        <v>FBbt:00047477</v>
      </c>
      <c r="B483" t="s">
        <v>1300</v>
      </c>
      <c r="C483" t="s">
        <v>8</v>
      </c>
      <c r="D483" t="s">
        <v>1301</v>
      </c>
      <c r="E483" t="s">
        <v>144</v>
      </c>
    </row>
    <row r="484" spans="1:5" x14ac:dyDescent="0.2">
      <c r="A484" t="str">
        <f>HYPERLINK("https://www.ebi.ac.uk/ols/ontologies/fbbt/terms?iri=http://purl.obolibrary.org/obo/FBbt_00047476","FBbt:00047476")</f>
        <v>FBbt:00047476</v>
      </c>
      <c r="B484" t="s">
        <v>1302</v>
      </c>
      <c r="C484" t="s">
        <v>8</v>
      </c>
      <c r="D484" t="s">
        <v>1303</v>
      </c>
      <c r="E484" t="s">
        <v>144</v>
      </c>
    </row>
    <row r="485" spans="1:5" x14ac:dyDescent="0.2">
      <c r="A485" t="str">
        <f>HYPERLINK("https://www.ebi.ac.uk/ols/ontologies/fbbt/terms?iri=http://purl.obolibrary.org/obo/FBbt_00001431","FBbt:00001431")</f>
        <v>FBbt:00001431</v>
      </c>
      <c r="B485" t="s">
        <v>1304</v>
      </c>
      <c r="C485" t="s">
        <v>1305</v>
      </c>
      <c r="D485" t="s">
        <v>1306</v>
      </c>
      <c r="E485" t="s">
        <v>1307</v>
      </c>
    </row>
    <row r="486" spans="1:5" x14ac:dyDescent="0.2">
      <c r="A486" t="str">
        <f>HYPERLINK("https://www.ebi.ac.uk/ols/ontologies/fbbt/terms?iri=http://purl.obolibrary.org/obo/FBbt_00001430","FBbt:00001430")</f>
        <v>FBbt:00001430</v>
      </c>
      <c r="B486" t="s">
        <v>1308</v>
      </c>
      <c r="C486" t="s">
        <v>1309</v>
      </c>
      <c r="D486" t="s">
        <v>1310</v>
      </c>
      <c r="E486" t="s">
        <v>1307</v>
      </c>
    </row>
    <row r="487" spans="1:5" x14ac:dyDescent="0.2">
      <c r="A487" t="str">
        <f>HYPERLINK("https://www.ebi.ac.uk/ols/ontologies/fbbt/terms?iri=http://purl.obolibrary.org/obo/FBbt_00001306","FBbt:00001306")</f>
        <v>FBbt:00001306</v>
      </c>
      <c r="B487" t="s">
        <v>1311</v>
      </c>
      <c r="C487" t="s">
        <v>1312</v>
      </c>
      <c r="D487" t="s">
        <v>1313</v>
      </c>
      <c r="E487" t="s">
        <v>1314</v>
      </c>
    </row>
    <row r="488" spans="1:5" x14ac:dyDescent="0.2">
      <c r="A488" t="str">
        <f>HYPERLINK("https://www.ebi.ac.uk/ols/ontologies/fbbt/terms?iri=http://purl.obolibrary.org/obo/FBbt_00001305","FBbt:00001305")</f>
        <v>FBbt:00001305</v>
      </c>
      <c r="B488" t="s">
        <v>1315</v>
      </c>
      <c r="C488" t="s">
        <v>1316</v>
      </c>
      <c r="D488" t="s">
        <v>1317</v>
      </c>
      <c r="E488" t="s">
        <v>1318</v>
      </c>
    </row>
    <row r="489" spans="1:5" x14ac:dyDescent="0.2">
      <c r="A489" t="str">
        <f>HYPERLINK("https://www.ebi.ac.uk/ols/ontologies/fbbt/terms?iri=http://purl.obolibrary.org/obo/FBbt_00047771","FBbt:00047771")</f>
        <v>FBbt:00047771</v>
      </c>
      <c r="B489" t="s">
        <v>1319</v>
      </c>
      <c r="C489" t="s">
        <v>1320</v>
      </c>
      <c r="D489" t="s">
        <v>1321</v>
      </c>
      <c r="E489" t="s">
        <v>29</v>
      </c>
    </row>
    <row r="490" spans="1:5" x14ac:dyDescent="0.2">
      <c r="A490" t="str">
        <f>HYPERLINK("https://www.ebi.ac.uk/ols/ontologies/fbbt/terms?iri=http://purl.obolibrary.org/obo/FBbt_00047770","FBbt:00047770")</f>
        <v>FBbt:00047770</v>
      </c>
      <c r="B490" t="s">
        <v>1322</v>
      </c>
      <c r="C490" t="s">
        <v>1323</v>
      </c>
      <c r="D490" t="s">
        <v>1324</v>
      </c>
      <c r="E490" t="s">
        <v>29</v>
      </c>
    </row>
    <row r="491" spans="1:5" x14ac:dyDescent="0.2">
      <c r="A491" t="str">
        <f>HYPERLINK("https://www.ebi.ac.uk/ols/ontologies/fbbt/terms?iri=http://purl.obolibrary.org/obo/FBbt_00003605","FBbt:00003605")</f>
        <v>FBbt:00003605</v>
      </c>
      <c r="B491" t="s">
        <v>1325</v>
      </c>
      <c r="C491" t="s">
        <v>1326</v>
      </c>
      <c r="D491" t="s">
        <v>1327</v>
      </c>
      <c r="E491" t="s">
        <v>94</v>
      </c>
    </row>
    <row r="492" spans="1:5" x14ac:dyDescent="0.2">
      <c r="A492" t="str">
        <f>HYPERLINK("https://www.ebi.ac.uk/ols/ontologies/fbbt/terms?iri=http://purl.obolibrary.org/obo/FBbt_00047383","FBbt:00047383")</f>
        <v>FBbt:00047383</v>
      </c>
      <c r="B492" t="s">
        <v>1328</v>
      </c>
      <c r="C492" t="s">
        <v>8</v>
      </c>
      <c r="D492" t="s">
        <v>1329</v>
      </c>
      <c r="E492" t="s">
        <v>499</v>
      </c>
    </row>
    <row r="493" spans="1:5" x14ac:dyDescent="0.2">
      <c r="A493" t="str">
        <f>HYPERLINK("https://www.ebi.ac.uk/ols/ontologies/fbbt/terms?iri=http://purl.obolibrary.org/obo/FBbt_00003606","FBbt:00003606")</f>
        <v>FBbt:00003606</v>
      </c>
      <c r="B493" t="s">
        <v>1330</v>
      </c>
      <c r="C493" t="s">
        <v>1331</v>
      </c>
      <c r="D493" t="s">
        <v>1332</v>
      </c>
      <c r="E493" t="s">
        <v>94</v>
      </c>
    </row>
    <row r="494" spans="1:5" x14ac:dyDescent="0.2">
      <c r="A494" t="str">
        <f>HYPERLINK("https://www.ebi.ac.uk/ols/ontologies/fbbt/terms?iri=http://purl.obolibrary.org/obo/FBbt_00003607","FBbt:00003607")</f>
        <v>FBbt:00003607</v>
      </c>
      <c r="B494" t="s">
        <v>1333</v>
      </c>
      <c r="C494" t="s">
        <v>1334</v>
      </c>
      <c r="D494" t="s">
        <v>1335</v>
      </c>
      <c r="E494" t="s">
        <v>94</v>
      </c>
    </row>
    <row r="495" spans="1:5" x14ac:dyDescent="0.2">
      <c r="A495" t="str">
        <f>HYPERLINK("https://www.ebi.ac.uk/ols/ontologies/fbbt/terms?iri=http://purl.obolibrary.org/obo/FBbt_00003608","FBbt:00003608")</f>
        <v>FBbt:00003608</v>
      </c>
      <c r="B495" t="s">
        <v>1336</v>
      </c>
      <c r="C495" t="s">
        <v>1337</v>
      </c>
      <c r="D495" t="s">
        <v>1338</v>
      </c>
      <c r="E495" t="s">
        <v>94</v>
      </c>
    </row>
    <row r="496" spans="1:5" x14ac:dyDescent="0.2">
      <c r="A496" t="str">
        <f>HYPERLINK("https://www.ebi.ac.uk/ols/ontologies/fbbt/terms?iri=http://purl.obolibrary.org/obo/FBbt_00001261","FBbt:00001261")</f>
        <v>FBbt:00001261</v>
      </c>
      <c r="B496" t="s">
        <v>1339</v>
      </c>
      <c r="C496" t="s">
        <v>1340</v>
      </c>
      <c r="D496" t="s">
        <v>1341</v>
      </c>
      <c r="E496" t="s">
        <v>152</v>
      </c>
    </row>
    <row r="497" spans="1:5" x14ac:dyDescent="0.2">
      <c r="A497" t="str">
        <f>HYPERLINK("https://www.ebi.ac.uk/ols/ontologies/fbbt/terms?iri=http://purl.obolibrary.org/obo/FBbt_00001265","FBbt:00001265")</f>
        <v>FBbt:00001265</v>
      </c>
      <c r="B497" t="s">
        <v>1342</v>
      </c>
      <c r="C497" t="s">
        <v>1343</v>
      </c>
      <c r="D497" t="s">
        <v>1344</v>
      </c>
      <c r="E497" t="s">
        <v>152</v>
      </c>
    </row>
    <row r="498" spans="1:5" x14ac:dyDescent="0.2">
      <c r="A498" t="str">
        <f>HYPERLINK("https://www.ebi.ac.uk/ols/ontologies/fbbt/terms?iri=http://purl.obolibrary.org/obo/FBbt_00001264","FBbt:00001264")</f>
        <v>FBbt:00001264</v>
      </c>
      <c r="B498" t="s">
        <v>1345</v>
      </c>
      <c r="C498" t="s">
        <v>1346</v>
      </c>
      <c r="D498" t="s">
        <v>1347</v>
      </c>
      <c r="E498" t="s">
        <v>152</v>
      </c>
    </row>
    <row r="499" spans="1:5" x14ac:dyDescent="0.2">
      <c r="A499" t="str">
        <f>HYPERLINK("https://www.ebi.ac.uk/ols/ontologies/fbbt/terms?iri=http://purl.obolibrary.org/obo/FBbt_00002288","FBbt:00002288")</f>
        <v>FBbt:00002288</v>
      </c>
      <c r="B499" t="s">
        <v>1348</v>
      </c>
      <c r="C499" t="s">
        <v>8</v>
      </c>
      <c r="D499" t="s">
        <v>1349</v>
      </c>
      <c r="E499" t="s">
        <v>792</v>
      </c>
    </row>
    <row r="500" spans="1:5" x14ac:dyDescent="0.2">
      <c r="A500" t="str">
        <f>HYPERLINK("https://www.ebi.ac.uk/ols/ontologies/fbbt/terms?iri=http://purl.obolibrary.org/obo/FBbt_00002289","FBbt:00002289")</f>
        <v>FBbt:00002289</v>
      </c>
      <c r="B500" t="s">
        <v>1350</v>
      </c>
      <c r="C500" t="s">
        <v>8</v>
      </c>
      <c r="D500" t="s">
        <v>1351</v>
      </c>
      <c r="E500" t="s">
        <v>792</v>
      </c>
    </row>
    <row r="501" spans="1:5" x14ac:dyDescent="0.2">
      <c r="A501" t="str">
        <f>HYPERLINK("https://www.ebi.ac.uk/ols/ontologies/fbbt/terms?iri=http://purl.obolibrary.org/obo/FBbt_00002223","FBbt:00002223")</f>
        <v>FBbt:00002223</v>
      </c>
      <c r="B501" t="s">
        <v>1352</v>
      </c>
      <c r="C501" t="s">
        <v>1353</v>
      </c>
      <c r="D501" t="s">
        <v>1354</v>
      </c>
      <c r="E501" t="s">
        <v>1355</v>
      </c>
    </row>
    <row r="502" spans="1:5" x14ac:dyDescent="0.2">
      <c r="A502" t="str">
        <f>HYPERLINK("https://www.ebi.ac.uk/ols/ontologies/fbbt/terms?iri=http://purl.obolibrary.org/obo/FBbt_00001508","FBbt:00001508")</f>
        <v>FBbt:00001508</v>
      </c>
      <c r="B502" t="s">
        <v>1356</v>
      </c>
      <c r="C502" t="s">
        <v>8</v>
      </c>
      <c r="D502" t="s">
        <v>1357</v>
      </c>
      <c r="E502" t="s">
        <v>287</v>
      </c>
    </row>
    <row r="503" spans="1:5" x14ac:dyDescent="0.2">
      <c r="A503" t="str">
        <f>HYPERLINK("https://www.ebi.ac.uk/ols/ontologies/fbbt/terms?iri=http://purl.obolibrary.org/obo/FBbt_00001507","FBbt:00001507")</f>
        <v>FBbt:00001507</v>
      </c>
      <c r="B503" t="s">
        <v>1358</v>
      </c>
      <c r="C503" t="s">
        <v>8</v>
      </c>
      <c r="D503" t="s">
        <v>1359</v>
      </c>
      <c r="E503" t="s">
        <v>287</v>
      </c>
    </row>
    <row r="504" spans="1:5" x14ac:dyDescent="0.2">
      <c r="A504" t="str">
        <f>HYPERLINK("https://www.ebi.ac.uk/ols/ontologies/fbbt/terms?iri=http://purl.obolibrary.org/obo/FBbt_00001506","FBbt:00001506")</f>
        <v>FBbt:00001506</v>
      </c>
      <c r="B504" t="s">
        <v>1360</v>
      </c>
      <c r="C504" t="s">
        <v>8</v>
      </c>
      <c r="D504" t="s">
        <v>1361</v>
      </c>
      <c r="E504" t="s">
        <v>287</v>
      </c>
    </row>
    <row r="505" spans="1:5" x14ac:dyDescent="0.2">
      <c r="A505" t="str">
        <f>HYPERLINK("https://www.ebi.ac.uk/ols/ontologies/fbbt/terms?iri=http://purl.obolibrary.org/obo/FBbt_00001505","FBbt:00001505")</f>
        <v>FBbt:00001505</v>
      </c>
      <c r="B505" t="s">
        <v>1362</v>
      </c>
      <c r="C505" t="s">
        <v>8</v>
      </c>
      <c r="D505" t="s">
        <v>1357</v>
      </c>
      <c r="E505" t="s">
        <v>287</v>
      </c>
    </row>
    <row r="506" spans="1:5" x14ac:dyDescent="0.2">
      <c r="A506" t="str">
        <f>HYPERLINK("https://www.ebi.ac.uk/ols/ontologies/fbbt/terms?iri=http://purl.obolibrary.org/obo/FBbt_00002207","FBbt:00002207")</f>
        <v>FBbt:00002207</v>
      </c>
      <c r="B506" t="s">
        <v>1363</v>
      </c>
      <c r="C506" t="s">
        <v>1364</v>
      </c>
      <c r="D506" t="s">
        <v>1365</v>
      </c>
      <c r="E506" t="s">
        <v>1366</v>
      </c>
    </row>
    <row r="507" spans="1:5" x14ac:dyDescent="0.2">
      <c r="A507" t="str">
        <f>HYPERLINK("https://www.ebi.ac.uk/ols/ontologies/fbbt/terms?iri=http://purl.obolibrary.org/obo/FBbt_00001509","FBbt:00001509")</f>
        <v>FBbt:00001509</v>
      </c>
      <c r="B507" t="s">
        <v>1367</v>
      </c>
      <c r="C507" t="s">
        <v>8</v>
      </c>
      <c r="D507" t="s">
        <v>1368</v>
      </c>
      <c r="E507" t="s">
        <v>287</v>
      </c>
    </row>
    <row r="508" spans="1:5" x14ac:dyDescent="0.2">
      <c r="A508" t="str">
        <f>HYPERLINK("https://www.ebi.ac.uk/ols/ontologies/fbbt/terms?iri=http://purl.obolibrary.org/obo/FBbt_00047424","FBbt:00047424")</f>
        <v>FBbt:00047424</v>
      </c>
      <c r="B508" t="s">
        <v>1369</v>
      </c>
      <c r="C508" t="s">
        <v>8</v>
      </c>
      <c r="D508" t="s">
        <v>1370</v>
      </c>
      <c r="E508" t="s">
        <v>144</v>
      </c>
    </row>
    <row r="509" spans="1:5" x14ac:dyDescent="0.2">
      <c r="A509" t="str">
        <f>HYPERLINK("https://www.ebi.ac.uk/ols/ontologies/fbbt/terms?iri=http://purl.obolibrary.org/obo/FBbt_00110878","FBbt:00110878")</f>
        <v>FBbt:00110878</v>
      </c>
      <c r="B509" t="s">
        <v>1371</v>
      </c>
      <c r="C509" t="s">
        <v>1372</v>
      </c>
      <c r="D509" t="s">
        <v>1373</v>
      </c>
      <c r="E509" t="s">
        <v>1374</v>
      </c>
    </row>
    <row r="510" spans="1:5" x14ac:dyDescent="0.2">
      <c r="A510" t="str">
        <f>HYPERLINK("https://www.ebi.ac.uk/ols/ontologies/fbbt/terms?iri=http://purl.obolibrary.org/obo/FBbt_00048419","FBbt:00048419")</f>
        <v>FBbt:00048419</v>
      </c>
      <c r="B510" t="s">
        <v>1375</v>
      </c>
      <c r="C510" t="s">
        <v>8</v>
      </c>
      <c r="D510" t="s">
        <v>1376</v>
      </c>
      <c r="E510" t="s">
        <v>414</v>
      </c>
    </row>
    <row r="511" spans="1:5" x14ac:dyDescent="0.2">
      <c r="A511" t="str">
        <f>HYPERLINK("https://www.ebi.ac.uk/ols/ontologies/fbbt/terms?iri=http://purl.obolibrary.org/obo/FBbt_00001429","FBbt:00001429")</f>
        <v>FBbt:00001429</v>
      </c>
      <c r="B511" t="s">
        <v>1377</v>
      </c>
      <c r="C511" t="s">
        <v>8</v>
      </c>
      <c r="D511" t="s">
        <v>1378</v>
      </c>
      <c r="E511" t="s">
        <v>1307</v>
      </c>
    </row>
    <row r="512" spans="1:5" x14ac:dyDescent="0.2">
      <c r="A512" t="str">
        <f>HYPERLINK("https://www.ebi.ac.uk/ols/ontologies/fbbt/terms?iri=http://purl.obolibrary.org/obo/FBbt_00048418","FBbt:00048418")</f>
        <v>FBbt:00048418</v>
      </c>
      <c r="B512" t="s">
        <v>1379</v>
      </c>
      <c r="C512" t="s">
        <v>8</v>
      </c>
      <c r="D512" t="s">
        <v>1380</v>
      </c>
      <c r="E512" t="s">
        <v>414</v>
      </c>
    </row>
    <row r="513" spans="1:5" x14ac:dyDescent="0.2">
      <c r="A513" t="str">
        <f>HYPERLINK("https://www.ebi.ac.uk/ols/ontologies/fbbt/terms?iri=http://purl.obolibrary.org/obo/FBbt_00048417","FBbt:00048417")</f>
        <v>FBbt:00048417</v>
      </c>
      <c r="B513" t="s">
        <v>1381</v>
      </c>
      <c r="C513" t="s">
        <v>8</v>
      </c>
      <c r="D513" t="s">
        <v>1382</v>
      </c>
      <c r="E513" t="s">
        <v>414</v>
      </c>
    </row>
    <row r="514" spans="1:5" x14ac:dyDescent="0.2">
      <c r="A514" t="str">
        <f>HYPERLINK("https://www.ebi.ac.uk/ols/ontologies/fbbt/terms?iri=http://purl.obolibrary.org/obo/FBbt_00048416","FBbt:00048416")</f>
        <v>FBbt:00048416</v>
      </c>
      <c r="B514" t="s">
        <v>1383</v>
      </c>
      <c r="C514" t="s">
        <v>8</v>
      </c>
      <c r="D514" t="s">
        <v>1384</v>
      </c>
      <c r="E514" t="s">
        <v>414</v>
      </c>
    </row>
    <row r="515" spans="1:5" x14ac:dyDescent="0.2">
      <c r="A515" t="str">
        <f>HYPERLINK("https://www.ebi.ac.uk/ols/ontologies/fbbt/terms?iri=http://purl.obolibrary.org/obo/FBbt_00048415","FBbt:00048415")</f>
        <v>FBbt:00048415</v>
      </c>
      <c r="B515" t="s">
        <v>1385</v>
      </c>
      <c r="C515" t="s">
        <v>8</v>
      </c>
      <c r="D515" t="s">
        <v>1386</v>
      </c>
      <c r="E515" t="s">
        <v>414</v>
      </c>
    </row>
    <row r="516" spans="1:5" x14ac:dyDescent="0.2">
      <c r="A516" t="str">
        <f>HYPERLINK("https://www.ebi.ac.uk/ols/ontologies/fbbt/terms?iri=http://purl.obolibrary.org/obo/FBbt_00048414","FBbt:00048414")</f>
        <v>FBbt:00048414</v>
      </c>
      <c r="B516" t="s">
        <v>1387</v>
      </c>
      <c r="C516" t="s">
        <v>8</v>
      </c>
      <c r="D516" t="s">
        <v>1388</v>
      </c>
      <c r="E516" t="s">
        <v>414</v>
      </c>
    </row>
    <row r="517" spans="1:5" x14ac:dyDescent="0.2">
      <c r="A517" t="str">
        <f>HYPERLINK("https://www.ebi.ac.uk/ols/ontologies/fbbt/terms?iri=http://purl.obolibrary.org/obo/FBbt_00048413","FBbt:00048413")</f>
        <v>FBbt:00048413</v>
      </c>
      <c r="B517" t="s">
        <v>1389</v>
      </c>
      <c r="C517" t="s">
        <v>8</v>
      </c>
      <c r="D517" t="s">
        <v>1390</v>
      </c>
      <c r="E517" t="s">
        <v>414</v>
      </c>
    </row>
    <row r="518" spans="1:5" x14ac:dyDescent="0.2">
      <c r="A518" t="str">
        <f>HYPERLINK("https://www.ebi.ac.uk/ols/ontologies/fbbt/terms?iri=http://purl.obolibrary.org/obo/FBbt_00002215","FBbt:00002215")</f>
        <v>FBbt:00002215</v>
      </c>
      <c r="B518" t="s">
        <v>1391</v>
      </c>
      <c r="C518" t="s">
        <v>1392</v>
      </c>
      <c r="D518" t="s">
        <v>1393</v>
      </c>
      <c r="E518" t="s">
        <v>1355</v>
      </c>
    </row>
    <row r="519" spans="1:5" x14ac:dyDescent="0.2">
      <c r="A519" t="str">
        <f>HYPERLINK("https://www.ebi.ac.uk/ols/ontologies/fbbt/terms?iri=http://purl.obolibrary.org/obo/FBbt_00001504","FBbt:00001504")</f>
        <v>FBbt:00001504</v>
      </c>
      <c r="B519" t="s">
        <v>1394</v>
      </c>
      <c r="C519" t="s">
        <v>8</v>
      </c>
      <c r="D519" t="s">
        <v>1395</v>
      </c>
      <c r="E519" t="s">
        <v>287</v>
      </c>
    </row>
    <row r="520" spans="1:5" x14ac:dyDescent="0.2">
      <c r="A520" t="str">
        <f>HYPERLINK("https://www.ebi.ac.uk/ols/ontologies/fbbt/terms?iri=http://purl.obolibrary.org/obo/FBbt_00111351","FBbt:00111351")</f>
        <v>FBbt:00111351</v>
      </c>
      <c r="B520" t="s">
        <v>1396</v>
      </c>
      <c r="C520" t="s">
        <v>1397</v>
      </c>
      <c r="D520" t="s">
        <v>1398</v>
      </c>
      <c r="E520" t="s">
        <v>906</v>
      </c>
    </row>
    <row r="521" spans="1:5" x14ac:dyDescent="0.2">
      <c r="A521" t="str">
        <f>HYPERLINK("https://www.ebi.ac.uk/ols/ontologies/fbbt/terms?iri=http://purl.obolibrary.org/obo/FBbt_00111350","FBbt:00111350")</f>
        <v>FBbt:00111350</v>
      </c>
      <c r="B521" t="s">
        <v>1399</v>
      </c>
      <c r="C521" t="s">
        <v>1400</v>
      </c>
      <c r="D521" t="s">
        <v>1401</v>
      </c>
      <c r="E521" t="s">
        <v>1402</v>
      </c>
    </row>
    <row r="522" spans="1:5" x14ac:dyDescent="0.2">
      <c r="A522" t="str">
        <f>HYPERLINK("https://www.ebi.ac.uk/ols/ontologies/fbbt/terms?iri=http://purl.obolibrary.org/obo/FBbt_00047399","FBbt:00047399")</f>
        <v>FBbt:00047399</v>
      </c>
      <c r="B522" t="s">
        <v>1403</v>
      </c>
      <c r="C522" t="s">
        <v>8</v>
      </c>
      <c r="D522" t="s">
        <v>1404</v>
      </c>
      <c r="E522" t="s">
        <v>499</v>
      </c>
    </row>
    <row r="523" spans="1:5" x14ac:dyDescent="0.2">
      <c r="A523" t="str">
        <f>HYPERLINK("https://www.ebi.ac.uk/ols/ontologies/fbbt/terms?iri=http://purl.obolibrary.org/obo/FBbt_00047398","FBbt:00047398")</f>
        <v>FBbt:00047398</v>
      </c>
      <c r="B523" t="s">
        <v>1405</v>
      </c>
      <c r="C523" t="s">
        <v>8</v>
      </c>
      <c r="D523" t="s">
        <v>1406</v>
      </c>
      <c r="E523" t="s">
        <v>499</v>
      </c>
    </row>
    <row r="524" spans="1:5" x14ac:dyDescent="0.2">
      <c r="A524" t="str">
        <f>HYPERLINK("https://www.ebi.ac.uk/ols/ontologies/fbbt/terms?iri=http://purl.obolibrary.org/obo/FBbt_00047397","FBbt:00047397")</f>
        <v>FBbt:00047397</v>
      </c>
      <c r="B524" t="s">
        <v>1407</v>
      </c>
      <c r="C524" t="s">
        <v>8</v>
      </c>
      <c r="D524" t="s">
        <v>1408</v>
      </c>
      <c r="E524" t="s">
        <v>499</v>
      </c>
    </row>
    <row r="525" spans="1:5" x14ac:dyDescent="0.2">
      <c r="A525" t="str">
        <f>HYPERLINK("https://www.ebi.ac.uk/ols/ontologies/fbbt/terms?iri=http://purl.obolibrary.org/obo/FBbt_00047426","FBbt:00047426")</f>
        <v>FBbt:00047426</v>
      </c>
      <c r="B525" t="s">
        <v>1409</v>
      </c>
      <c r="C525" t="s">
        <v>8</v>
      </c>
      <c r="D525" t="s">
        <v>1410</v>
      </c>
      <c r="E525" t="s">
        <v>144</v>
      </c>
    </row>
    <row r="526" spans="1:5" x14ac:dyDescent="0.2">
      <c r="A526" t="str">
        <f>HYPERLINK("https://www.ebi.ac.uk/ols/ontologies/fbbt/terms?iri=http://purl.obolibrary.org/obo/FBbt_00111349","FBbt:00111349")</f>
        <v>FBbt:00111349</v>
      </c>
      <c r="B526" t="s">
        <v>1411</v>
      </c>
      <c r="C526" t="s">
        <v>1412</v>
      </c>
      <c r="D526" t="s">
        <v>1413</v>
      </c>
      <c r="E526" t="s">
        <v>906</v>
      </c>
    </row>
    <row r="527" spans="1:5" x14ac:dyDescent="0.2">
      <c r="A527" t="str">
        <f>HYPERLINK("https://www.ebi.ac.uk/ols/ontologies/fbbt/terms?iri=http://purl.obolibrary.org/obo/FBbt_00047425","FBbt:00047425")</f>
        <v>FBbt:00047425</v>
      </c>
      <c r="B527" t="s">
        <v>1414</v>
      </c>
      <c r="C527" t="s">
        <v>8</v>
      </c>
      <c r="D527" t="s">
        <v>1415</v>
      </c>
      <c r="E527" t="s">
        <v>144</v>
      </c>
    </row>
    <row r="528" spans="1:5" x14ac:dyDescent="0.2">
      <c r="A528" t="str">
        <f>HYPERLINK("https://www.ebi.ac.uk/ols/ontologies/fbbt/terms?iri=http://purl.obolibrary.org/obo/FBbt_00047337","FBbt:00047337")</f>
        <v>FBbt:00047337</v>
      </c>
      <c r="B528" t="s">
        <v>1416</v>
      </c>
      <c r="C528" t="s">
        <v>1417</v>
      </c>
      <c r="D528" t="s">
        <v>1418</v>
      </c>
      <c r="E528" t="s">
        <v>1419</v>
      </c>
    </row>
    <row r="529" spans="1:5" x14ac:dyDescent="0.2">
      <c r="A529" t="str">
        <f>HYPERLINK("https://www.ebi.ac.uk/ols/ontologies/fbbt/terms?iri=http://purl.obolibrary.org/obo/FBbt_00047336","FBbt:00047336")</f>
        <v>FBbt:00047336</v>
      </c>
      <c r="B529" t="s">
        <v>1420</v>
      </c>
      <c r="C529" t="s">
        <v>1421</v>
      </c>
      <c r="D529" t="s">
        <v>1422</v>
      </c>
      <c r="E529" t="s">
        <v>1419</v>
      </c>
    </row>
    <row r="530" spans="1:5" x14ac:dyDescent="0.2">
      <c r="A530" t="str">
        <f>HYPERLINK("https://www.ebi.ac.uk/ols/ontologies/fbbt/terms?iri=http://purl.obolibrary.org/obo/FBbt_00047339","FBbt:00047339")</f>
        <v>FBbt:00047339</v>
      </c>
      <c r="B530" t="s">
        <v>1423</v>
      </c>
      <c r="C530" t="s">
        <v>1424</v>
      </c>
      <c r="D530" t="s">
        <v>1425</v>
      </c>
      <c r="E530" t="s">
        <v>1419</v>
      </c>
    </row>
    <row r="531" spans="1:5" x14ac:dyDescent="0.2">
      <c r="A531" t="str">
        <f>HYPERLINK("https://www.ebi.ac.uk/ols/ontologies/fbbt/terms?iri=http://purl.obolibrary.org/obo/FBbt_00047338","FBbt:00047338")</f>
        <v>FBbt:00047338</v>
      </c>
      <c r="B531" t="s">
        <v>1426</v>
      </c>
      <c r="C531" t="s">
        <v>1427</v>
      </c>
      <c r="D531" t="s">
        <v>1428</v>
      </c>
      <c r="E531" t="s">
        <v>1419</v>
      </c>
    </row>
    <row r="532" spans="1:5" x14ac:dyDescent="0.2">
      <c r="A532" t="str">
        <f>HYPERLINK("https://www.ebi.ac.uk/ols/ontologies/fbbt/terms?iri=http://purl.obolibrary.org/obo/FBbt_00047332","FBbt:00047332")</f>
        <v>FBbt:00047332</v>
      </c>
      <c r="B532" t="s">
        <v>1429</v>
      </c>
      <c r="C532" t="s">
        <v>1430</v>
      </c>
      <c r="D532" t="s">
        <v>1431</v>
      </c>
      <c r="E532" t="s">
        <v>1419</v>
      </c>
    </row>
    <row r="533" spans="1:5" x14ac:dyDescent="0.2">
      <c r="A533" t="str">
        <f>HYPERLINK("https://www.ebi.ac.uk/ols/ontologies/fbbt/terms?iri=http://purl.obolibrary.org/obo/FBbt_00047809","FBbt:00047809")</f>
        <v>FBbt:00047809</v>
      </c>
      <c r="B533" t="s">
        <v>1432</v>
      </c>
      <c r="C533" t="s">
        <v>1433</v>
      </c>
      <c r="D533" t="s">
        <v>1434</v>
      </c>
      <c r="E533" t="s">
        <v>647</v>
      </c>
    </row>
    <row r="534" spans="1:5" x14ac:dyDescent="0.2">
      <c r="A534" t="str">
        <f>HYPERLINK("https://www.ebi.ac.uk/ols/ontologies/fbbt/terms?iri=http://purl.obolibrary.org/obo/FBbt_00047331","FBbt:00047331")</f>
        <v>FBbt:00047331</v>
      </c>
      <c r="B534" t="s">
        <v>1435</v>
      </c>
      <c r="C534" t="s">
        <v>1436</v>
      </c>
      <c r="D534" t="s">
        <v>1437</v>
      </c>
      <c r="E534" t="s">
        <v>1419</v>
      </c>
    </row>
    <row r="535" spans="1:5" x14ac:dyDescent="0.2">
      <c r="A535" t="str">
        <f>HYPERLINK("https://www.ebi.ac.uk/ols/ontologies/fbbt/terms?iri=http://purl.obolibrary.org/obo/FBbt_00047808","FBbt:00047808")</f>
        <v>FBbt:00047808</v>
      </c>
      <c r="B535" t="s">
        <v>1438</v>
      </c>
      <c r="C535" t="s">
        <v>1439</v>
      </c>
      <c r="D535" t="s">
        <v>1440</v>
      </c>
      <c r="E535" t="s">
        <v>29</v>
      </c>
    </row>
    <row r="536" spans="1:5" x14ac:dyDescent="0.2">
      <c r="A536" t="str">
        <f>HYPERLINK("https://www.ebi.ac.uk/ols/ontologies/fbbt/terms?iri=http://purl.obolibrary.org/obo/FBbt_00047806","FBbt:00047806")</f>
        <v>FBbt:00047806</v>
      </c>
      <c r="B536" t="s">
        <v>1441</v>
      </c>
      <c r="C536" t="s">
        <v>1442</v>
      </c>
      <c r="D536" t="s">
        <v>1443</v>
      </c>
      <c r="E536" t="s">
        <v>29</v>
      </c>
    </row>
    <row r="537" spans="1:5" x14ac:dyDescent="0.2">
      <c r="A537" t="str">
        <f>HYPERLINK("https://www.ebi.ac.uk/ols/ontologies/fbbt/terms?iri=http://purl.obolibrary.org/obo/FBbt_00047335","FBbt:00047335")</f>
        <v>FBbt:00047335</v>
      </c>
      <c r="B537" t="s">
        <v>1444</v>
      </c>
      <c r="C537" t="s">
        <v>1445</v>
      </c>
      <c r="D537" t="s">
        <v>1446</v>
      </c>
      <c r="E537" t="s">
        <v>1419</v>
      </c>
    </row>
    <row r="538" spans="1:5" x14ac:dyDescent="0.2">
      <c r="A538" t="str">
        <f>HYPERLINK("https://www.ebi.ac.uk/ols/ontologies/fbbt/terms?iri=http://purl.obolibrary.org/obo/FBbt_00047807","FBbt:00047807")</f>
        <v>FBbt:00047807</v>
      </c>
      <c r="B538" t="s">
        <v>1447</v>
      </c>
      <c r="C538" t="s">
        <v>1448</v>
      </c>
      <c r="D538" t="s">
        <v>1449</v>
      </c>
      <c r="E538" t="s">
        <v>29</v>
      </c>
    </row>
    <row r="539" spans="1:5" x14ac:dyDescent="0.2">
      <c r="A539" t="str">
        <f>HYPERLINK("https://www.ebi.ac.uk/ols/ontologies/fbbt/terms?iri=http://purl.obolibrary.org/obo/FBbt_00047805","FBbt:00047805")</f>
        <v>FBbt:00047805</v>
      </c>
      <c r="B539" t="s">
        <v>1450</v>
      </c>
      <c r="C539" t="s">
        <v>1451</v>
      </c>
      <c r="D539" t="s">
        <v>1452</v>
      </c>
      <c r="E539" t="s">
        <v>29</v>
      </c>
    </row>
    <row r="540" spans="1:5" x14ac:dyDescent="0.2">
      <c r="A540" t="str">
        <f>HYPERLINK("https://www.ebi.ac.uk/ols/ontologies/fbbt/terms?iri=http://purl.obolibrary.org/obo/FBbt_00047333","FBbt:00047333")</f>
        <v>FBbt:00047333</v>
      </c>
      <c r="B540" t="s">
        <v>1453</v>
      </c>
      <c r="C540" t="s">
        <v>1454</v>
      </c>
      <c r="D540" t="s">
        <v>1455</v>
      </c>
      <c r="E540" t="s">
        <v>1419</v>
      </c>
    </row>
    <row r="541" spans="1:5" x14ac:dyDescent="0.2">
      <c r="A541" t="str">
        <f>HYPERLINK("https://www.ebi.ac.uk/ols/ontologies/fbbt/terms?iri=http://purl.obolibrary.org/obo/FBbt_00047334","FBbt:00047334")</f>
        <v>FBbt:00047334</v>
      </c>
      <c r="B541" t="s">
        <v>1456</v>
      </c>
      <c r="C541" t="s">
        <v>1457</v>
      </c>
      <c r="D541" t="s">
        <v>1458</v>
      </c>
      <c r="E541" t="s">
        <v>1419</v>
      </c>
    </row>
    <row r="542" spans="1:5" x14ac:dyDescent="0.2">
      <c r="A542" t="str">
        <f>HYPERLINK("https://www.ebi.ac.uk/ols/ontologies/fbbt/terms?iri=http://purl.obolibrary.org/obo/FBbt_00048424","FBbt:00048424")</f>
        <v>FBbt:00048424</v>
      </c>
      <c r="B542" t="s">
        <v>1459</v>
      </c>
      <c r="C542" t="s">
        <v>8</v>
      </c>
      <c r="D542" t="s">
        <v>1460</v>
      </c>
      <c r="E542" t="s">
        <v>414</v>
      </c>
    </row>
    <row r="543" spans="1:5" x14ac:dyDescent="0.2">
      <c r="A543" t="str">
        <f>HYPERLINK("https://www.ebi.ac.uk/ols/ontologies/fbbt/terms?iri=http://purl.obolibrary.org/obo/FBbt_00048423","FBbt:00048423")</f>
        <v>FBbt:00048423</v>
      </c>
      <c r="B543" t="s">
        <v>1461</v>
      </c>
      <c r="C543" t="s">
        <v>8</v>
      </c>
      <c r="D543" t="s">
        <v>1462</v>
      </c>
      <c r="E543" t="s">
        <v>414</v>
      </c>
    </row>
    <row r="544" spans="1:5" x14ac:dyDescent="0.2">
      <c r="A544" t="str">
        <f>HYPERLINK("https://www.ebi.ac.uk/ols/ontologies/fbbt/terms?iri=http://purl.obolibrary.org/obo/FBbt_00111348","FBbt:00111348")</f>
        <v>FBbt:00111348</v>
      </c>
      <c r="B544" t="s">
        <v>1463</v>
      </c>
      <c r="C544" t="s">
        <v>1464</v>
      </c>
      <c r="D544" t="s">
        <v>1465</v>
      </c>
      <c r="E544" t="s">
        <v>1402</v>
      </c>
    </row>
    <row r="545" spans="1:5" x14ac:dyDescent="0.2">
      <c r="A545" t="str">
        <f>HYPERLINK("https://www.ebi.ac.uk/ols/ontologies/fbbt/terms?iri=http://purl.obolibrary.org/obo/FBbt_00048422","FBbt:00048422")</f>
        <v>FBbt:00048422</v>
      </c>
      <c r="B545" t="s">
        <v>1466</v>
      </c>
      <c r="C545" t="s">
        <v>8</v>
      </c>
      <c r="D545" t="s">
        <v>1467</v>
      </c>
      <c r="E545" t="s">
        <v>414</v>
      </c>
    </row>
    <row r="546" spans="1:5" x14ac:dyDescent="0.2">
      <c r="A546" t="str">
        <f>HYPERLINK("https://www.ebi.ac.uk/ols/ontologies/fbbt/terms?iri=http://purl.obolibrary.org/obo/FBbt_00048421","FBbt:00048421")</f>
        <v>FBbt:00048421</v>
      </c>
      <c r="B546" t="s">
        <v>1468</v>
      </c>
      <c r="C546" t="s">
        <v>8</v>
      </c>
      <c r="D546" t="s">
        <v>1469</v>
      </c>
      <c r="E546" t="s">
        <v>414</v>
      </c>
    </row>
    <row r="547" spans="1:5" x14ac:dyDescent="0.2">
      <c r="A547" t="str">
        <f>HYPERLINK("https://www.ebi.ac.uk/ols/ontologies/fbbt/terms?iri=http://purl.obolibrary.org/obo/FBbt_00048420","FBbt:00048420")</f>
        <v>FBbt:00048420</v>
      </c>
      <c r="B547" t="s">
        <v>1470</v>
      </c>
      <c r="C547" t="s">
        <v>8</v>
      </c>
      <c r="D547" t="s">
        <v>1471</v>
      </c>
      <c r="E547" t="s">
        <v>414</v>
      </c>
    </row>
    <row r="548" spans="1:5" x14ac:dyDescent="0.2">
      <c r="A548" t="str">
        <f>HYPERLINK("https://www.ebi.ac.uk/ols/ontologies/fbbt/terms?iri=http://purl.obolibrary.org/obo/FBbt_00111655","FBbt:00111655")</f>
        <v>FBbt:00111655</v>
      </c>
      <c r="B548" t="s">
        <v>1472</v>
      </c>
      <c r="C548" t="s">
        <v>8</v>
      </c>
      <c r="D548" t="s">
        <v>1473</v>
      </c>
      <c r="E548" t="s">
        <v>1474</v>
      </c>
    </row>
    <row r="549" spans="1:5" x14ac:dyDescent="0.2">
      <c r="A549" t="str">
        <f>HYPERLINK("https://www.ebi.ac.uk/ols/ontologies/fbbt/terms?iri=http://purl.obolibrary.org/obo/FBbt_00001310","FBbt:00001310")</f>
        <v>FBbt:00001310</v>
      </c>
      <c r="B549" t="s">
        <v>1475</v>
      </c>
      <c r="C549" t="s">
        <v>1476</v>
      </c>
      <c r="D549" t="s">
        <v>1477</v>
      </c>
      <c r="E549" t="s">
        <v>1314</v>
      </c>
    </row>
    <row r="550" spans="1:5" x14ac:dyDescent="0.2">
      <c r="A550" t="str">
        <f>HYPERLINK("https://www.ebi.ac.uk/ols/ontologies/fbbt/terms?iri=http://purl.obolibrary.org/obo/FBbt_00111652","FBbt:00111652")</f>
        <v>FBbt:00111652</v>
      </c>
      <c r="B550" t="s">
        <v>1478</v>
      </c>
      <c r="C550" t="s">
        <v>8</v>
      </c>
      <c r="D550" t="s">
        <v>1479</v>
      </c>
      <c r="E550" t="s">
        <v>201</v>
      </c>
    </row>
    <row r="551" spans="1:5" x14ac:dyDescent="0.2">
      <c r="A551" t="str">
        <f>HYPERLINK("https://www.ebi.ac.uk/ols/ontologies/fbbt/terms?iri=http://purl.obolibrary.org/obo/FBbt_00001266","FBbt:00001266")</f>
        <v>FBbt:00001266</v>
      </c>
      <c r="B551" t="s">
        <v>1480</v>
      </c>
      <c r="C551" t="s">
        <v>1481</v>
      </c>
      <c r="D551" t="s">
        <v>1482</v>
      </c>
      <c r="E551" t="s">
        <v>152</v>
      </c>
    </row>
    <row r="552" spans="1:5" x14ac:dyDescent="0.2">
      <c r="A552" t="str">
        <f>HYPERLINK("https://www.ebi.ac.uk/ols/ontologies/fbbt/terms?iri=http://purl.obolibrary.org/obo/FBbt_00111651","FBbt:00111651")</f>
        <v>FBbt:00111651</v>
      </c>
      <c r="B552" t="s">
        <v>1483</v>
      </c>
      <c r="C552" t="s">
        <v>8</v>
      </c>
      <c r="D552" t="s">
        <v>1484</v>
      </c>
      <c r="E552" t="s">
        <v>201</v>
      </c>
    </row>
    <row r="553" spans="1:5" x14ac:dyDescent="0.2">
      <c r="A553" t="str">
        <f>HYPERLINK("https://www.ebi.ac.uk/ols/ontologies/fbbt/terms?iri=http://purl.obolibrary.org/obo/FBbt_00001269","FBbt:00001269")</f>
        <v>FBbt:00001269</v>
      </c>
      <c r="B553" t="s">
        <v>1485</v>
      </c>
      <c r="C553" t="s">
        <v>1486</v>
      </c>
      <c r="D553" t="s">
        <v>1487</v>
      </c>
      <c r="E553" t="s">
        <v>152</v>
      </c>
    </row>
    <row r="554" spans="1:5" x14ac:dyDescent="0.2">
      <c r="A554" t="str">
        <f>HYPERLINK("https://www.ebi.ac.uk/ols/ontologies/fbbt/terms?iri=http://purl.obolibrary.org/obo/FBbt_00111654","FBbt:00111654")</f>
        <v>FBbt:00111654</v>
      </c>
      <c r="B554" t="s">
        <v>1488</v>
      </c>
      <c r="C554" t="s">
        <v>8</v>
      </c>
      <c r="D554" t="s">
        <v>1489</v>
      </c>
      <c r="E554" t="s">
        <v>201</v>
      </c>
    </row>
    <row r="555" spans="1:5" x14ac:dyDescent="0.2">
      <c r="A555" t="str">
        <f>HYPERLINK("https://www.ebi.ac.uk/ols/ontologies/fbbt/terms?iri=http://purl.obolibrary.org/obo/FBbt_00001268","FBbt:00001268")</f>
        <v>FBbt:00001268</v>
      </c>
      <c r="B555" t="s">
        <v>1490</v>
      </c>
      <c r="C555" t="s">
        <v>1491</v>
      </c>
      <c r="D555" t="s">
        <v>1492</v>
      </c>
      <c r="E555" t="s">
        <v>152</v>
      </c>
    </row>
    <row r="556" spans="1:5" x14ac:dyDescent="0.2">
      <c r="A556" t="str">
        <f>HYPERLINK("https://www.ebi.ac.uk/ols/ontologies/fbbt/terms?iri=http://purl.obolibrary.org/obo/FBbt_00111653","FBbt:00111653")</f>
        <v>FBbt:00111653</v>
      </c>
      <c r="B556" t="s">
        <v>1493</v>
      </c>
      <c r="C556" t="s">
        <v>8</v>
      </c>
      <c r="D556" t="s">
        <v>1494</v>
      </c>
      <c r="E556" t="s">
        <v>201</v>
      </c>
    </row>
    <row r="557" spans="1:5" x14ac:dyDescent="0.2">
      <c r="A557" t="str">
        <f>HYPERLINK("https://www.ebi.ac.uk/ols/ontologies/fbbt/terms?iri=http://purl.obolibrary.org/obo/FBbt_00001316","FBbt:00001316")</f>
        <v>FBbt:00001316</v>
      </c>
      <c r="B557" t="s">
        <v>1495</v>
      </c>
      <c r="C557" t="s">
        <v>1496</v>
      </c>
      <c r="D557" t="s">
        <v>1497</v>
      </c>
      <c r="E557" t="s">
        <v>608</v>
      </c>
    </row>
    <row r="558" spans="1:5" x14ac:dyDescent="0.2">
      <c r="A558" t="str">
        <f>HYPERLINK("https://www.ebi.ac.uk/ols/ontologies/fbbt/terms?iri=http://purl.obolibrary.org/obo/FBbt_00047387","FBbt:00047387")</f>
        <v>FBbt:00047387</v>
      </c>
      <c r="B558" t="s">
        <v>1498</v>
      </c>
      <c r="C558" t="s">
        <v>8</v>
      </c>
      <c r="D558" t="s">
        <v>1499</v>
      </c>
      <c r="E558" t="s">
        <v>499</v>
      </c>
    </row>
    <row r="559" spans="1:5" x14ac:dyDescent="0.2">
      <c r="A559" t="str">
        <f>HYPERLINK("https://www.ebi.ac.uk/ols/ontologies/fbbt/terms?iri=http://purl.obolibrary.org/obo/FBbt_00047386","FBbt:00047386")</f>
        <v>FBbt:00047386</v>
      </c>
      <c r="B559" t="s">
        <v>1500</v>
      </c>
      <c r="C559" t="s">
        <v>8</v>
      </c>
      <c r="D559" t="s">
        <v>1501</v>
      </c>
      <c r="E559" t="s">
        <v>499</v>
      </c>
    </row>
    <row r="560" spans="1:5" x14ac:dyDescent="0.2">
      <c r="A560" t="str">
        <f>HYPERLINK("https://www.ebi.ac.uk/ols/ontologies/fbbt/terms?iri=http://purl.obolibrary.org/obo/FBbt_00047385","FBbt:00047385")</f>
        <v>FBbt:00047385</v>
      </c>
      <c r="B560" t="s">
        <v>1502</v>
      </c>
      <c r="C560" t="s">
        <v>8</v>
      </c>
      <c r="D560" t="s">
        <v>1503</v>
      </c>
      <c r="E560" t="s">
        <v>499</v>
      </c>
    </row>
    <row r="561" spans="1:5" x14ac:dyDescent="0.2">
      <c r="A561" t="str">
        <f>HYPERLINK("https://www.ebi.ac.uk/ols/ontologies/fbbt/terms?iri=http://purl.obolibrary.org/obo/FBbt_00001317","FBbt:00001317")</f>
        <v>FBbt:00001317</v>
      </c>
      <c r="B561" t="s">
        <v>1504</v>
      </c>
      <c r="C561" t="s">
        <v>1505</v>
      </c>
      <c r="D561" t="s">
        <v>1506</v>
      </c>
      <c r="E561" t="s">
        <v>608</v>
      </c>
    </row>
    <row r="562" spans="1:5" x14ac:dyDescent="0.2">
      <c r="A562" t="str">
        <f>HYPERLINK("https://www.ebi.ac.uk/ols/ontologies/fbbt/terms?iri=http://purl.obolibrary.org/obo/FBbt_00047384","FBbt:00047384")</f>
        <v>FBbt:00047384</v>
      </c>
      <c r="B562" t="s">
        <v>1507</v>
      </c>
      <c r="C562" t="s">
        <v>8</v>
      </c>
      <c r="D562" t="s">
        <v>1508</v>
      </c>
      <c r="E562" t="s">
        <v>499</v>
      </c>
    </row>
    <row r="563" spans="1:5" x14ac:dyDescent="0.2">
      <c r="A563" t="str">
        <f>HYPERLINK("https://www.ebi.ac.uk/ols/ontologies/fbbt/terms?iri=http://purl.obolibrary.org/obo/FBbt_00047197","FBbt:00047197")</f>
        <v>FBbt:00047197</v>
      </c>
      <c r="B563" t="s">
        <v>1509</v>
      </c>
      <c r="C563" t="s">
        <v>8</v>
      </c>
      <c r="D563" t="s">
        <v>1510</v>
      </c>
      <c r="E563" t="s">
        <v>144</v>
      </c>
    </row>
    <row r="564" spans="1:5" x14ac:dyDescent="0.2">
      <c r="A564" t="str">
        <f>HYPERLINK("https://www.ebi.ac.uk/ols/ontologies/fbbt/terms?iri=http://purl.obolibrary.org/obo/FBbt_00001312","FBbt:00001312")</f>
        <v>FBbt:00001312</v>
      </c>
      <c r="B564" t="s">
        <v>1511</v>
      </c>
      <c r="C564" t="s">
        <v>1512</v>
      </c>
      <c r="D564" t="s">
        <v>1513</v>
      </c>
      <c r="E564" t="s">
        <v>274</v>
      </c>
    </row>
    <row r="565" spans="1:5" x14ac:dyDescent="0.2">
      <c r="A565" t="str">
        <f>HYPERLINK("https://www.ebi.ac.uk/ols/ontologies/fbbt/terms?iri=http://purl.obolibrary.org/obo/FBbt_00047195","FBbt:00047195")</f>
        <v>FBbt:00047195</v>
      </c>
      <c r="B565" t="s">
        <v>1514</v>
      </c>
      <c r="C565" t="s">
        <v>8</v>
      </c>
      <c r="D565" t="s">
        <v>1515</v>
      </c>
      <c r="E565" t="s">
        <v>144</v>
      </c>
    </row>
    <row r="566" spans="1:5" x14ac:dyDescent="0.2">
      <c r="A566" t="str">
        <f>HYPERLINK("https://www.ebi.ac.uk/ols/ontologies/fbbt/terms?iri=http://purl.obolibrary.org/obo/FBbt_00047196","FBbt:00047196")</f>
        <v>FBbt:00047196</v>
      </c>
      <c r="B566" t="s">
        <v>1516</v>
      </c>
      <c r="C566" t="s">
        <v>8</v>
      </c>
      <c r="D566" t="s">
        <v>1517</v>
      </c>
      <c r="E566" t="s">
        <v>144</v>
      </c>
    </row>
    <row r="567" spans="1:5" x14ac:dyDescent="0.2">
      <c r="A567" t="str">
        <f>HYPERLINK("https://www.ebi.ac.uk/ols/ontologies/fbbt/terms?iri=http://purl.obolibrary.org/obo/FBbt_00001314","FBbt:00001314")</f>
        <v>FBbt:00001314</v>
      </c>
      <c r="B567" t="s">
        <v>1518</v>
      </c>
      <c r="C567" t="s">
        <v>1519</v>
      </c>
      <c r="D567" t="s">
        <v>1520</v>
      </c>
      <c r="E567" t="s">
        <v>274</v>
      </c>
    </row>
    <row r="568" spans="1:5" x14ac:dyDescent="0.2">
      <c r="A568" t="str">
        <f>HYPERLINK("https://www.ebi.ac.uk/ols/ontologies/fbbt/terms?iri=http://purl.obolibrary.org/obo/FBbt_00047389","FBbt:00047389")</f>
        <v>FBbt:00047389</v>
      </c>
      <c r="B568" t="s">
        <v>1521</v>
      </c>
      <c r="C568" t="s">
        <v>8</v>
      </c>
      <c r="D568" t="s">
        <v>1522</v>
      </c>
      <c r="E568" t="s">
        <v>499</v>
      </c>
    </row>
    <row r="569" spans="1:5" x14ac:dyDescent="0.2">
      <c r="A569" t="str">
        <f>HYPERLINK("https://www.ebi.ac.uk/ols/ontologies/fbbt/terms?iri=http://purl.obolibrary.org/obo/FBbt_00001313","FBbt:00001313")</f>
        <v>FBbt:00001313</v>
      </c>
      <c r="B569" t="s">
        <v>1523</v>
      </c>
      <c r="C569" t="s">
        <v>1524</v>
      </c>
      <c r="D569" t="s">
        <v>1525</v>
      </c>
      <c r="E569" t="s">
        <v>274</v>
      </c>
    </row>
    <row r="570" spans="1:5" x14ac:dyDescent="0.2">
      <c r="A570" t="str">
        <f>HYPERLINK("https://www.ebi.ac.uk/ols/ontologies/fbbt/terms?iri=http://purl.obolibrary.org/obo/FBbt_00047388","FBbt:00047388")</f>
        <v>FBbt:00047388</v>
      </c>
      <c r="B570" t="s">
        <v>1526</v>
      </c>
      <c r="C570" t="s">
        <v>8</v>
      </c>
      <c r="D570" t="s">
        <v>1527</v>
      </c>
      <c r="E570" t="s">
        <v>499</v>
      </c>
    </row>
    <row r="571" spans="1:5" x14ac:dyDescent="0.2">
      <c r="A571" t="str">
        <f>HYPERLINK("https://www.ebi.ac.uk/ols/ontologies/fbbt/terms?iri=http://purl.obolibrary.org/obo/FBbt_00047392","FBbt:00047392")</f>
        <v>FBbt:00047392</v>
      </c>
      <c r="B571" t="s">
        <v>1528</v>
      </c>
      <c r="C571" t="s">
        <v>8</v>
      </c>
      <c r="D571" t="s">
        <v>1529</v>
      </c>
      <c r="E571" t="s">
        <v>499</v>
      </c>
    </row>
    <row r="572" spans="1:5" x14ac:dyDescent="0.2">
      <c r="A572" t="str">
        <f>HYPERLINK("https://www.ebi.ac.uk/ols/ontologies/fbbt/terms?iri=http://purl.obolibrary.org/obo/FBbt_00002296","FBbt:00002296")</f>
        <v>FBbt:00002296</v>
      </c>
      <c r="B572" t="s">
        <v>1530</v>
      </c>
      <c r="C572" t="s">
        <v>8</v>
      </c>
      <c r="D572" t="s">
        <v>1531</v>
      </c>
      <c r="E572" t="s">
        <v>792</v>
      </c>
    </row>
    <row r="573" spans="1:5" x14ac:dyDescent="0.2">
      <c r="A573" t="str">
        <f>HYPERLINK("https://www.ebi.ac.uk/ols/ontologies/fbbt/terms?iri=http://purl.obolibrary.org/obo/FBbt_00047391","FBbt:00047391")</f>
        <v>FBbt:00047391</v>
      </c>
      <c r="B573" t="s">
        <v>1532</v>
      </c>
      <c r="C573" t="s">
        <v>8</v>
      </c>
      <c r="D573" t="s">
        <v>1533</v>
      </c>
      <c r="E573" t="s">
        <v>1274</v>
      </c>
    </row>
    <row r="574" spans="1:5" x14ac:dyDescent="0.2">
      <c r="A574" t="str">
        <f>HYPERLINK("https://www.ebi.ac.uk/ols/ontologies/fbbt/terms?iri=http://purl.obolibrary.org/obo/FBbt_00002231","FBbt:00002231")</f>
        <v>FBbt:00002231</v>
      </c>
      <c r="B574" t="s">
        <v>1534</v>
      </c>
      <c r="C574" t="s">
        <v>1535</v>
      </c>
      <c r="D574" t="s">
        <v>1536</v>
      </c>
      <c r="E574" t="s">
        <v>1537</v>
      </c>
    </row>
    <row r="575" spans="1:5" x14ac:dyDescent="0.2">
      <c r="A575" t="str">
        <f>HYPERLINK("https://www.ebi.ac.uk/ols/ontologies/fbbt/terms?iri=http://purl.obolibrary.org/obo/FBbt_00002294","FBbt:00002294")</f>
        <v>FBbt:00002294</v>
      </c>
      <c r="B575" t="s">
        <v>1538</v>
      </c>
      <c r="C575" t="s">
        <v>8</v>
      </c>
      <c r="D575" t="s">
        <v>1539</v>
      </c>
      <c r="E575" t="s">
        <v>792</v>
      </c>
    </row>
    <row r="576" spans="1:5" x14ac:dyDescent="0.2">
      <c r="A576" t="str">
        <f>HYPERLINK("https://www.ebi.ac.uk/ols/ontologies/fbbt/terms?iri=http://purl.obolibrary.org/obo/FBbt_00047390","FBbt:00047390")</f>
        <v>FBbt:00047390</v>
      </c>
      <c r="B576" t="s">
        <v>1540</v>
      </c>
      <c r="C576" t="s">
        <v>8</v>
      </c>
      <c r="D576" t="s">
        <v>1541</v>
      </c>
      <c r="E576" t="s">
        <v>499</v>
      </c>
    </row>
    <row r="577" spans="1:5" x14ac:dyDescent="0.2">
      <c r="A577" t="str">
        <f>HYPERLINK("https://www.ebi.ac.uk/ols/ontologies/fbbt/terms?iri=http://purl.obolibrary.org/obo/FBbt_00002292","FBbt:00002292")</f>
        <v>FBbt:00002292</v>
      </c>
      <c r="B577" t="s">
        <v>1542</v>
      </c>
      <c r="C577" t="s">
        <v>8</v>
      </c>
      <c r="D577" t="s">
        <v>1543</v>
      </c>
      <c r="E577" t="s">
        <v>792</v>
      </c>
    </row>
    <row r="578" spans="1:5" x14ac:dyDescent="0.2">
      <c r="A578" t="str">
        <f>HYPERLINK("https://www.ebi.ac.uk/ols/ontologies/fbbt/terms?iri=http://purl.obolibrary.org/obo/FBbt_00047396","FBbt:00047396")</f>
        <v>FBbt:00047396</v>
      </c>
      <c r="B578" t="s">
        <v>1544</v>
      </c>
      <c r="C578" t="s">
        <v>8</v>
      </c>
      <c r="D578" t="s">
        <v>1545</v>
      </c>
      <c r="E578" t="s">
        <v>499</v>
      </c>
    </row>
    <row r="579" spans="1:5" x14ac:dyDescent="0.2">
      <c r="A579" t="str">
        <f>HYPERLINK("https://www.ebi.ac.uk/ols/ontologies/fbbt/terms?iri=http://purl.obolibrary.org/obo/FBbt_00002293","FBbt:00002293")</f>
        <v>FBbt:00002293</v>
      </c>
      <c r="B579" t="s">
        <v>1546</v>
      </c>
      <c r="C579" t="s">
        <v>8</v>
      </c>
      <c r="D579" t="s">
        <v>1547</v>
      </c>
      <c r="E579" t="s">
        <v>792</v>
      </c>
    </row>
    <row r="580" spans="1:5" x14ac:dyDescent="0.2">
      <c r="A580" t="str">
        <f>HYPERLINK("https://www.ebi.ac.uk/ols/ontologies/fbbt/terms?iri=http://purl.obolibrary.org/obo/FBbt_00047395","FBbt:00047395")</f>
        <v>FBbt:00047395</v>
      </c>
      <c r="B580" t="s">
        <v>1548</v>
      </c>
      <c r="C580" t="s">
        <v>8</v>
      </c>
      <c r="D580" t="s">
        <v>1549</v>
      </c>
      <c r="E580" t="s">
        <v>499</v>
      </c>
    </row>
    <row r="581" spans="1:5" x14ac:dyDescent="0.2">
      <c r="A581" t="str">
        <f>HYPERLINK("https://www.ebi.ac.uk/ols/ontologies/fbbt/terms?iri=http://purl.obolibrary.org/obo/FBbt_00047394","FBbt:00047394")</f>
        <v>FBbt:00047394</v>
      </c>
      <c r="B581" t="s">
        <v>1550</v>
      </c>
      <c r="C581" t="s">
        <v>8</v>
      </c>
      <c r="D581" t="s">
        <v>1551</v>
      </c>
      <c r="E581" t="s">
        <v>499</v>
      </c>
    </row>
    <row r="582" spans="1:5" x14ac:dyDescent="0.2">
      <c r="A582" t="str">
        <f>HYPERLINK("https://www.ebi.ac.uk/ols/ontologies/fbbt/terms?iri=http://purl.obolibrary.org/obo/FBbt_00002290","FBbt:00002290")</f>
        <v>FBbt:00002290</v>
      </c>
      <c r="B582" t="s">
        <v>1552</v>
      </c>
      <c r="C582" t="s">
        <v>8</v>
      </c>
      <c r="D582" t="s">
        <v>1553</v>
      </c>
      <c r="E582" t="s">
        <v>792</v>
      </c>
    </row>
    <row r="583" spans="1:5" x14ac:dyDescent="0.2">
      <c r="A583" t="str">
        <f>HYPERLINK("https://www.ebi.ac.uk/ols/ontologies/fbbt/terms?iri=http://purl.obolibrary.org/obo/FBbt_00047393","FBbt:00047393")</f>
        <v>FBbt:00047393</v>
      </c>
      <c r="B583" t="s">
        <v>1554</v>
      </c>
      <c r="C583" t="s">
        <v>8</v>
      </c>
      <c r="D583" t="s">
        <v>1555</v>
      </c>
      <c r="E583" t="s">
        <v>1274</v>
      </c>
    </row>
    <row r="584" spans="1:5" x14ac:dyDescent="0.2">
      <c r="A584" t="str">
        <f>HYPERLINK("https://www.ebi.ac.uk/ols/ontologies/fbbt/terms?iri=http://purl.obolibrary.org/obo/FBbt_00002291","FBbt:00002291")</f>
        <v>FBbt:00002291</v>
      </c>
      <c r="B584" t="s">
        <v>1556</v>
      </c>
      <c r="C584" t="s">
        <v>8</v>
      </c>
      <c r="D584" t="s">
        <v>1557</v>
      </c>
      <c r="E584" t="s">
        <v>792</v>
      </c>
    </row>
    <row r="585" spans="1:5" x14ac:dyDescent="0.2">
      <c r="A585" t="str">
        <f>HYPERLINK("https://www.ebi.ac.uk/ols/ontologies/fbbt/terms?iri=http://purl.obolibrary.org/obo/FBbt_00001275","FBbt:00001275")</f>
        <v>FBbt:00001275</v>
      </c>
      <c r="B585" t="s">
        <v>1558</v>
      </c>
      <c r="C585" t="s">
        <v>1559</v>
      </c>
      <c r="D585" t="s">
        <v>1560</v>
      </c>
      <c r="E585" t="s">
        <v>152</v>
      </c>
    </row>
    <row r="586" spans="1:5" x14ac:dyDescent="0.2">
      <c r="A586" t="str">
        <f>HYPERLINK("https://www.ebi.ac.uk/ols/ontologies/fbbt/terms?iri=http://purl.obolibrary.org/obo/FBbt_00047344","FBbt:00047344")</f>
        <v>FBbt:00047344</v>
      </c>
      <c r="B586" t="s">
        <v>1561</v>
      </c>
      <c r="C586" t="s">
        <v>1562</v>
      </c>
      <c r="D586" t="s">
        <v>1563</v>
      </c>
      <c r="E586" t="s">
        <v>1419</v>
      </c>
    </row>
    <row r="587" spans="1:5" x14ac:dyDescent="0.2">
      <c r="A587" t="str">
        <f>HYPERLINK("https://www.ebi.ac.uk/ols/ontologies/fbbt/terms?iri=http://purl.obolibrary.org/obo/FBbt_00001274","FBbt:00001274")</f>
        <v>FBbt:00001274</v>
      </c>
      <c r="B587" t="s">
        <v>1564</v>
      </c>
      <c r="C587" t="s">
        <v>1565</v>
      </c>
      <c r="D587" t="s">
        <v>1566</v>
      </c>
      <c r="E587" t="s">
        <v>152</v>
      </c>
    </row>
    <row r="588" spans="1:5" x14ac:dyDescent="0.2">
      <c r="A588" t="str">
        <f>HYPERLINK("https://www.ebi.ac.uk/ols/ontologies/fbbt/terms?iri=http://purl.obolibrary.org/obo/FBbt_00047341","FBbt:00047341")</f>
        <v>FBbt:00047341</v>
      </c>
      <c r="B588" t="s">
        <v>1567</v>
      </c>
      <c r="C588" t="s">
        <v>1568</v>
      </c>
      <c r="D588" t="s">
        <v>1569</v>
      </c>
      <c r="E588" t="s">
        <v>1419</v>
      </c>
    </row>
    <row r="589" spans="1:5" x14ac:dyDescent="0.2">
      <c r="A589" t="str">
        <f>HYPERLINK("https://www.ebi.ac.uk/ols/ontologies/fbbt/terms?iri=http://purl.obolibrary.org/obo/FBbt_00001271","FBbt:00001271")</f>
        <v>FBbt:00001271</v>
      </c>
      <c r="B589" t="s">
        <v>1570</v>
      </c>
      <c r="C589" t="s">
        <v>1571</v>
      </c>
      <c r="D589" t="s">
        <v>1572</v>
      </c>
      <c r="E589" t="s">
        <v>152</v>
      </c>
    </row>
    <row r="590" spans="1:5" x14ac:dyDescent="0.2">
      <c r="A590" t="str">
        <f>HYPERLINK("https://www.ebi.ac.uk/ols/ontologies/fbbt/terms?iri=http://purl.obolibrary.org/obo/FBbt_00047340","FBbt:00047340")</f>
        <v>FBbt:00047340</v>
      </c>
      <c r="B590" t="s">
        <v>1573</v>
      </c>
      <c r="C590" t="s">
        <v>1574</v>
      </c>
      <c r="D590" t="s">
        <v>1575</v>
      </c>
      <c r="E590" t="s">
        <v>1419</v>
      </c>
    </row>
    <row r="591" spans="1:5" x14ac:dyDescent="0.2">
      <c r="A591" t="str">
        <f>HYPERLINK("https://www.ebi.ac.uk/ols/ontologies/fbbt/terms?iri=http://purl.obolibrary.org/obo/FBbt_00001270","FBbt:00001270")</f>
        <v>FBbt:00001270</v>
      </c>
      <c r="B591" t="s">
        <v>1576</v>
      </c>
      <c r="C591" t="s">
        <v>1577</v>
      </c>
      <c r="D591" t="s">
        <v>1578</v>
      </c>
      <c r="E591" t="s">
        <v>152</v>
      </c>
    </row>
    <row r="592" spans="1:5" x14ac:dyDescent="0.2">
      <c r="A592" t="str">
        <f>HYPERLINK("https://www.ebi.ac.uk/ols/ontologies/fbbt/terms?iri=http://purl.obolibrary.org/obo/FBbt_00002297","FBbt:00002297")</f>
        <v>FBbt:00002297</v>
      </c>
      <c r="B592" t="s">
        <v>1579</v>
      </c>
      <c r="C592" t="s">
        <v>8</v>
      </c>
      <c r="D592" t="s">
        <v>1580</v>
      </c>
      <c r="E592" t="s">
        <v>792</v>
      </c>
    </row>
    <row r="593" spans="1:5" x14ac:dyDescent="0.2">
      <c r="A593" t="str">
        <f>HYPERLINK("https://www.ebi.ac.uk/ols/ontologies/fbbt/terms?iri=http://purl.obolibrary.org/obo/FBbt_00047343","FBbt:00047343")</f>
        <v>FBbt:00047343</v>
      </c>
      <c r="B593" t="s">
        <v>1581</v>
      </c>
      <c r="C593" t="s">
        <v>1582</v>
      </c>
      <c r="D593" t="s">
        <v>1583</v>
      </c>
      <c r="E593" t="s">
        <v>1419</v>
      </c>
    </row>
    <row r="594" spans="1:5" x14ac:dyDescent="0.2">
      <c r="A594" t="str">
        <f>HYPERLINK("https://www.ebi.ac.uk/ols/ontologies/fbbt/terms?iri=http://purl.obolibrary.org/obo/FBbt_00002298","FBbt:00002298")</f>
        <v>FBbt:00002298</v>
      </c>
      <c r="B594" t="s">
        <v>1584</v>
      </c>
      <c r="C594" t="s">
        <v>8</v>
      </c>
      <c r="D594" t="s">
        <v>1585</v>
      </c>
      <c r="E594" t="s">
        <v>792</v>
      </c>
    </row>
    <row r="595" spans="1:5" x14ac:dyDescent="0.2">
      <c r="A595" t="str">
        <f>HYPERLINK("https://www.ebi.ac.uk/ols/ontologies/fbbt/terms?iri=http://purl.obolibrary.org/obo/FBbt_00001273","FBbt:00001273")</f>
        <v>FBbt:00001273</v>
      </c>
      <c r="B595" t="s">
        <v>1586</v>
      </c>
      <c r="C595" t="s">
        <v>1587</v>
      </c>
      <c r="D595" t="s">
        <v>1588</v>
      </c>
      <c r="E595" t="s">
        <v>152</v>
      </c>
    </row>
    <row r="596" spans="1:5" x14ac:dyDescent="0.2">
      <c r="A596" t="str">
        <f>HYPERLINK("https://www.ebi.ac.uk/ols/ontologies/fbbt/terms?iri=http://purl.obolibrary.org/obo/FBbt_00047342","FBbt:00047342")</f>
        <v>FBbt:00047342</v>
      </c>
      <c r="B596" t="s">
        <v>1589</v>
      </c>
      <c r="C596" t="s">
        <v>1590</v>
      </c>
      <c r="D596" t="s">
        <v>1591</v>
      </c>
      <c r="E596" t="s">
        <v>1419</v>
      </c>
    </row>
    <row r="597" spans="1:5" x14ac:dyDescent="0.2">
      <c r="A597" t="str">
        <f>HYPERLINK("https://www.ebi.ac.uk/ols/ontologies/fbbt/terms?iri=http://purl.obolibrary.org/obo/FBbt_00002299","FBbt:00002299")</f>
        <v>FBbt:00002299</v>
      </c>
      <c r="B597" t="s">
        <v>1592</v>
      </c>
      <c r="C597" t="s">
        <v>8</v>
      </c>
      <c r="D597" t="s">
        <v>1593</v>
      </c>
      <c r="E597" t="s">
        <v>792</v>
      </c>
    </row>
    <row r="598" spans="1:5" x14ac:dyDescent="0.2">
      <c r="A598" t="str">
        <f>HYPERLINK("https://www.ebi.ac.uk/ols/ontologies/fbbt/terms?iri=http://purl.obolibrary.org/obo/FBbt_00001272","FBbt:00001272")</f>
        <v>FBbt:00001272</v>
      </c>
      <c r="B598" t="s">
        <v>1594</v>
      </c>
      <c r="C598" t="s">
        <v>1595</v>
      </c>
      <c r="D598" t="s">
        <v>1596</v>
      </c>
      <c r="E598" t="s">
        <v>152</v>
      </c>
    </row>
    <row r="599" spans="1:5" x14ac:dyDescent="0.2">
      <c r="A599" t="str">
        <f>HYPERLINK("https://www.ebi.ac.uk/ols/ontologies/fbbt/terms?iri=http://purl.obolibrary.org/obo/FBbt_00002238","FBbt:00002238")</f>
        <v>FBbt:00002238</v>
      </c>
      <c r="B599" t="s">
        <v>1597</v>
      </c>
      <c r="C599" t="s">
        <v>1598</v>
      </c>
      <c r="D599" t="s">
        <v>1599</v>
      </c>
      <c r="E599" t="s">
        <v>1600</v>
      </c>
    </row>
    <row r="600" spans="1:5" x14ac:dyDescent="0.2">
      <c r="A600" t="str">
        <f>HYPERLINK("https://www.ebi.ac.uk/ols/ontologies/fbbt/terms?iri=http://purl.obolibrary.org/obo/FBbt_00002236","FBbt:00002236")</f>
        <v>FBbt:00002236</v>
      </c>
      <c r="B600" t="s">
        <v>1601</v>
      </c>
      <c r="C600" t="s">
        <v>1602</v>
      </c>
      <c r="D600" t="s">
        <v>1603</v>
      </c>
      <c r="E600" t="s">
        <v>1600</v>
      </c>
    </row>
    <row r="601" spans="1:5" x14ac:dyDescent="0.2">
      <c r="A601" t="str">
        <f>HYPERLINK("https://www.ebi.ac.uk/ols/ontologies/fbbt/terms?iri=http://purl.obolibrary.org/obo/FBbt_00002237","FBbt:00002237")</f>
        <v>FBbt:00002237</v>
      </c>
      <c r="B601" t="s">
        <v>1604</v>
      </c>
      <c r="C601" t="s">
        <v>1605</v>
      </c>
      <c r="D601" t="s">
        <v>1606</v>
      </c>
      <c r="E601" t="s">
        <v>1600</v>
      </c>
    </row>
    <row r="602" spans="1:5" x14ac:dyDescent="0.2">
      <c r="A602" t="str">
        <f>HYPERLINK("https://www.ebi.ac.uk/ols/ontologies/fbbt/terms?iri=http://purl.obolibrary.org/obo/FBbt_00002234","FBbt:00002234")</f>
        <v>FBbt:00002234</v>
      </c>
      <c r="B602" t="s">
        <v>1607</v>
      </c>
      <c r="C602" t="s">
        <v>1608</v>
      </c>
      <c r="D602" t="s">
        <v>1609</v>
      </c>
      <c r="E602" t="s">
        <v>1600</v>
      </c>
    </row>
    <row r="603" spans="1:5" x14ac:dyDescent="0.2">
      <c r="A603" t="str">
        <f>HYPERLINK("https://www.ebi.ac.uk/ols/ontologies/fbbt/terms?iri=http://purl.obolibrary.org/obo/FBbt_00002235","FBbt:00002235")</f>
        <v>FBbt:00002235</v>
      </c>
      <c r="B603" t="s">
        <v>1610</v>
      </c>
      <c r="C603" t="s">
        <v>1611</v>
      </c>
      <c r="D603" t="s">
        <v>1612</v>
      </c>
      <c r="E603" t="s">
        <v>1600</v>
      </c>
    </row>
    <row r="604" spans="1:5" x14ac:dyDescent="0.2">
      <c r="A604" t="str">
        <f>HYPERLINK("https://www.ebi.ac.uk/ols/ontologies/fbbt/terms?iri=http://purl.obolibrary.org/obo/FBbt_00002228","FBbt:00002228")</f>
        <v>FBbt:00002228</v>
      </c>
      <c r="B604" t="s">
        <v>1613</v>
      </c>
      <c r="C604" t="s">
        <v>1614</v>
      </c>
      <c r="D604" t="s">
        <v>1615</v>
      </c>
      <c r="E604" t="s">
        <v>1600</v>
      </c>
    </row>
    <row r="605" spans="1:5" x14ac:dyDescent="0.2">
      <c r="A605" t="str">
        <f>HYPERLINK("https://www.ebi.ac.uk/ols/ontologies/fbbt/terms?iri=http://purl.obolibrary.org/obo/FBbt_00002229","FBbt:00002229")</f>
        <v>FBbt:00002229</v>
      </c>
      <c r="B605" t="s">
        <v>1616</v>
      </c>
      <c r="C605" t="s">
        <v>1617</v>
      </c>
      <c r="D605" t="s">
        <v>1618</v>
      </c>
      <c r="E605" t="s">
        <v>1600</v>
      </c>
    </row>
    <row r="606" spans="1:5" x14ac:dyDescent="0.2">
      <c r="A606" t="str">
        <f>HYPERLINK("https://www.ebi.ac.uk/ols/ontologies/fbbt/terms?iri=http://purl.obolibrary.org/obo/FBbt_00002226","FBbt:00002226")</f>
        <v>FBbt:00002226</v>
      </c>
      <c r="B606" t="s">
        <v>1619</v>
      </c>
      <c r="C606" t="s">
        <v>1620</v>
      </c>
      <c r="D606" t="s">
        <v>1621</v>
      </c>
      <c r="E606" t="s">
        <v>1622</v>
      </c>
    </row>
    <row r="607" spans="1:5" x14ac:dyDescent="0.2">
      <c r="A607" t="str">
        <f>HYPERLINK("https://www.ebi.ac.uk/ols/ontologies/fbbt/terms?iri=http://purl.obolibrary.org/obo/FBbt_00002227","FBbt:00002227")</f>
        <v>FBbt:00002227</v>
      </c>
      <c r="B607" t="s">
        <v>1623</v>
      </c>
      <c r="C607" t="s">
        <v>1624</v>
      </c>
      <c r="D607" t="s">
        <v>1625</v>
      </c>
      <c r="E607" t="s">
        <v>1622</v>
      </c>
    </row>
    <row r="608" spans="1:5" x14ac:dyDescent="0.2">
      <c r="A608" t="str">
        <f>HYPERLINK("https://www.ebi.ac.uk/ols/ontologies/fbbt/terms?iri=http://purl.obolibrary.org/obo/FBbt_00002224","FBbt:00002224")</f>
        <v>FBbt:00002224</v>
      </c>
      <c r="B608" t="s">
        <v>1626</v>
      </c>
      <c r="C608" t="s">
        <v>1627</v>
      </c>
      <c r="D608" t="s">
        <v>1628</v>
      </c>
      <c r="E608" t="s">
        <v>1622</v>
      </c>
    </row>
    <row r="609" spans="1:5" x14ac:dyDescent="0.2">
      <c r="A609" t="str">
        <f>HYPERLINK("https://www.ebi.ac.uk/ols/ontologies/fbbt/terms?iri=http://purl.obolibrary.org/obo/FBbt_00002225","FBbt:00002225")</f>
        <v>FBbt:00002225</v>
      </c>
      <c r="B609" t="s">
        <v>1629</v>
      </c>
      <c r="C609" t="s">
        <v>1630</v>
      </c>
      <c r="D609" t="s">
        <v>1631</v>
      </c>
      <c r="E609" t="s">
        <v>1622</v>
      </c>
    </row>
    <row r="610" spans="1:5" x14ac:dyDescent="0.2">
      <c r="A610" t="str">
        <f>HYPERLINK("https://www.ebi.ac.uk/ols/ontologies/fbbt/terms?iri=http://purl.obolibrary.org/obo/FBbt_00002222","FBbt:00002222")</f>
        <v>FBbt:00002222</v>
      </c>
      <c r="B610" t="s">
        <v>1632</v>
      </c>
      <c r="C610" t="s">
        <v>1633</v>
      </c>
      <c r="D610" t="s">
        <v>1634</v>
      </c>
      <c r="E610" t="s">
        <v>1600</v>
      </c>
    </row>
    <row r="611" spans="1:5" x14ac:dyDescent="0.2">
      <c r="A611" t="str">
        <f>HYPERLINK("https://www.ebi.ac.uk/ols/ontologies/fbbt/terms?iri=http://purl.obolibrary.org/obo/FBbt_00110973","FBbt:00110973")</f>
        <v>FBbt:00110973</v>
      </c>
      <c r="B611" t="s">
        <v>1635</v>
      </c>
      <c r="C611" t="s">
        <v>1636</v>
      </c>
      <c r="D611" t="s">
        <v>1637</v>
      </c>
      <c r="E611" t="s">
        <v>1210</v>
      </c>
    </row>
    <row r="612" spans="1:5" x14ac:dyDescent="0.2">
      <c r="A612" t="str">
        <f>HYPERLINK("https://www.ebi.ac.uk/ols/ontologies/fbbt/terms?iri=http://purl.obolibrary.org/obo/FBbt_00110974","FBbt:00110974")</f>
        <v>FBbt:00110974</v>
      </c>
      <c r="B612" t="s">
        <v>1638</v>
      </c>
      <c r="C612" t="s">
        <v>1639</v>
      </c>
      <c r="D612" t="s">
        <v>1640</v>
      </c>
      <c r="E612" t="s">
        <v>1210</v>
      </c>
    </row>
    <row r="613" spans="1:5" x14ac:dyDescent="0.2">
      <c r="A613" t="str">
        <f>HYPERLINK("https://www.ebi.ac.uk/ols/ontologies/fbbt/terms?iri=http://purl.obolibrary.org/obo/FBbt_00002232","FBbt:00002232")</f>
        <v>FBbt:00002232</v>
      </c>
      <c r="B613" t="s">
        <v>1641</v>
      </c>
      <c r="C613" t="s">
        <v>1642</v>
      </c>
      <c r="D613" t="s">
        <v>1643</v>
      </c>
      <c r="E613" t="s">
        <v>1600</v>
      </c>
    </row>
    <row r="614" spans="1:5" x14ac:dyDescent="0.2">
      <c r="A614" t="str">
        <f>HYPERLINK("https://www.ebi.ac.uk/ols/ontologies/fbbt/terms?iri=http://purl.obolibrary.org/obo/FBbt_00002233","FBbt:00002233")</f>
        <v>FBbt:00002233</v>
      </c>
      <c r="B614" t="s">
        <v>1644</v>
      </c>
      <c r="C614" t="s">
        <v>1645</v>
      </c>
      <c r="D614" t="s">
        <v>1646</v>
      </c>
      <c r="E614" t="s">
        <v>1600</v>
      </c>
    </row>
    <row r="615" spans="1:5" x14ac:dyDescent="0.2">
      <c r="A615" t="str">
        <f>HYPERLINK("https://www.ebi.ac.uk/ols/ontologies/fbbt/terms?iri=http://purl.obolibrary.org/obo/FBbt_00002230","FBbt:00002230")</f>
        <v>FBbt:00002230</v>
      </c>
      <c r="B615" t="s">
        <v>1647</v>
      </c>
      <c r="C615" t="s">
        <v>1648</v>
      </c>
      <c r="D615" t="s">
        <v>1649</v>
      </c>
      <c r="E615" t="s">
        <v>1600</v>
      </c>
    </row>
    <row r="616" spans="1:5" x14ac:dyDescent="0.2">
      <c r="A616" t="str">
        <f>HYPERLINK("https://www.ebi.ac.uk/ols/ontologies/fbbt/terms?iri=http://purl.obolibrary.org/obo/FBbt_00111616","FBbt:00111616")</f>
        <v>FBbt:00111616</v>
      </c>
      <c r="B616" t="s">
        <v>1650</v>
      </c>
      <c r="C616" t="s">
        <v>1651</v>
      </c>
      <c r="D616" t="s">
        <v>1652</v>
      </c>
      <c r="E616" t="s">
        <v>1653</v>
      </c>
    </row>
    <row r="617" spans="1:5" x14ac:dyDescent="0.2">
      <c r="A617" t="str">
        <f>HYPERLINK("https://www.ebi.ac.uk/ols/ontologies/fbbt/terms?iri=http://purl.obolibrary.org/obo/FBbt_00001604","FBbt:00001604")</f>
        <v>FBbt:00001604</v>
      </c>
      <c r="B617" t="s">
        <v>1654</v>
      </c>
      <c r="C617" t="s">
        <v>1655</v>
      </c>
      <c r="D617" t="s">
        <v>1656</v>
      </c>
      <c r="E617" t="s">
        <v>1657</v>
      </c>
    </row>
    <row r="618" spans="1:5" x14ac:dyDescent="0.2">
      <c r="A618" t="str">
        <f>HYPERLINK("https://www.ebi.ac.uk/ols/ontologies/fbbt/terms?iri=http://purl.obolibrary.org/obo/FBbt_00110181","FBbt:00110181")</f>
        <v>FBbt:00110181</v>
      </c>
      <c r="B618" t="s">
        <v>1658</v>
      </c>
      <c r="C618" t="s">
        <v>1659</v>
      </c>
      <c r="D618" t="s">
        <v>1660</v>
      </c>
      <c r="E618" t="s">
        <v>1661</v>
      </c>
    </row>
    <row r="619" spans="1:5" x14ac:dyDescent="0.2">
      <c r="A619" t="str">
        <f>HYPERLINK("https://www.ebi.ac.uk/ols/ontologies/fbbt/terms?iri=http://purl.obolibrary.org/obo/FBbt_00047475","FBbt:00047475")</f>
        <v>FBbt:00047475</v>
      </c>
      <c r="B619" t="s">
        <v>1662</v>
      </c>
      <c r="C619" t="s">
        <v>8</v>
      </c>
      <c r="D619" t="s">
        <v>1663</v>
      </c>
      <c r="E619" t="s">
        <v>144</v>
      </c>
    </row>
    <row r="620" spans="1:5" x14ac:dyDescent="0.2">
      <c r="A620" t="str">
        <f>HYPERLINK("https://www.ebi.ac.uk/ols/ontologies/fbbt/terms?iri=http://purl.obolibrary.org/obo/FBbt_00110182","FBbt:00110182")</f>
        <v>FBbt:00110182</v>
      </c>
      <c r="B620" t="s">
        <v>1664</v>
      </c>
      <c r="C620" t="s">
        <v>1665</v>
      </c>
      <c r="D620" t="s">
        <v>1666</v>
      </c>
      <c r="E620" t="s">
        <v>1667</v>
      </c>
    </row>
    <row r="621" spans="1:5" x14ac:dyDescent="0.2">
      <c r="A621" t="str">
        <f>HYPERLINK("https://www.ebi.ac.uk/ols/ontologies/fbbt/terms?iri=http://purl.obolibrary.org/obo/FBbt_00047474","FBbt:00047474")</f>
        <v>FBbt:00047474</v>
      </c>
      <c r="B621" t="s">
        <v>1668</v>
      </c>
      <c r="C621" t="s">
        <v>8</v>
      </c>
      <c r="D621" t="s">
        <v>1669</v>
      </c>
      <c r="E621" t="s">
        <v>144</v>
      </c>
    </row>
    <row r="622" spans="1:5" x14ac:dyDescent="0.2">
      <c r="A622" t="str">
        <f>HYPERLINK("https://www.ebi.ac.uk/ols/ontologies/fbbt/terms?iri=http://purl.obolibrary.org/obo/FBbt_00047473","FBbt:00047473")</f>
        <v>FBbt:00047473</v>
      </c>
      <c r="B622" t="s">
        <v>1670</v>
      </c>
      <c r="C622" t="s">
        <v>8</v>
      </c>
      <c r="D622" t="s">
        <v>1671</v>
      </c>
      <c r="E622" t="s">
        <v>144</v>
      </c>
    </row>
    <row r="623" spans="1:5" x14ac:dyDescent="0.2">
      <c r="A623" t="str">
        <f>HYPERLINK("https://www.ebi.ac.uk/ols/ontologies/fbbt/terms?iri=http://purl.obolibrary.org/obo/FBbt_00047472","FBbt:00047472")</f>
        <v>FBbt:00047472</v>
      </c>
      <c r="B623" t="s">
        <v>1672</v>
      </c>
      <c r="C623" t="s">
        <v>8</v>
      </c>
      <c r="D623" t="s">
        <v>1673</v>
      </c>
      <c r="E623" t="s">
        <v>144</v>
      </c>
    </row>
    <row r="624" spans="1:5" x14ac:dyDescent="0.2">
      <c r="A624" t="str">
        <f>HYPERLINK("https://www.ebi.ac.uk/ols/ontologies/fbbt/terms?iri=http://purl.obolibrary.org/obo/FBbt_00047330","FBbt:00047330")</f>
        <v>FBbt:00047330</v>
      </c>
      <c r="B624" t="s">
        <v>1674</v>
      </c>
      <c r="C624" t="s">
        <v>1675</v>
      </c>
      <c r="D624" t="s">
        <v>1676</v>
      </c>
      <c r="E624" t="s">
        <v>1677</v>
      </c>
    </row>
    <row r="625" spans="1:5" x14ac:dyDescent="0.2">
      <c r="A625" t="str">
        <f>HYPERLINK("https://www.ebi.ac.uk/ols/ontologies/fbbt/terms?iri=http://purl.obolibrary.org/obo/FBbt_00110869","FBbt:00110869")</f>
        <v>FBbt:00110869</v>
      </c>
      <c r="B625" t="s">
        <v>1678</v>
      </c>
      <c r="C625" t="s">
        <v>1679</v>
      </c>
      <c r="D625" t="s">
        <v>1680</v>
      </c>
      <c r="E625" t="s">
        <v>1681</v>
      </c>
    </row>
    <row r="626" spans="1:5" x14ac:dyDescent="0.2">
      <c r="A626" t="str">
        <f>HYPERLINK("https://www.ebi.ac.uk/ols/ontologies/fbbt/terms?iri=http://purl.obolibrary.org/obo/FBbt_00047484","FBbt:00047484")</f>
        <v>FBbt:00047484</v>
      </c>
      <c r="B626" t="s">
        <v>1682</v>
      </c>
      <c r="C626" t="s">
        <v>8</v>
      </c>
      <c r="D626" t="s">
        <v>1683</v>
      </c>
      <c r="E626" t="s">
        <v>144</v>
      </c>
    </row>
    <row r="627" spans="1:5" x14ac:dyDescent="0.2">
      <c r="A627" t="str">
        <f>HYPERLINK("https://www.ebi.ac.uk/ols/ontologies/fbbt/terms?iri=http://purl.obolibrary.org/obo/FBbt_00047419","FBbt:00047419")</f>
        <v>FBbt:00047419</v>
      </c>
      <c r="B627" t="s">
        <v>1684</v>
      </c>
      <c r="C627" t="s">
        <v>8</v>
      </c>
      <c r="D627" t="s">
        <v>1685</v>
      </c>
      <c r="E627" t="s">
        <v>144</v>
      </c>
    </row>
    <row r="628" spans="1:5" x14ac:dyDescent="0.2">
      <c r="A628" t="str">
        <f>HYPERLINK("https://www.ebi.ac.uk/ols/ontologies/fbbt/terms?iri=http://purl.obolibrary.org/obo/FBbt_00047418","FBbt:00047418")</f>
        <v>FBbt:00047418</v>
      </c>
      <c r="B628" t="s">
        <v>1686</v>
      </c>
      <c r="C628" t="s">
        <v>8</v>
      </c>
      <c r="D628" t="s">
        <v>1687</v>
      </c>
      <c r="E628" t="s">
        <v>144</v>
      </c>
    </row>
    <row r="629" spans="1:5" x14ac:dyDescent="0.2">
      <c r="A629" t="str">
        <f>HYPERLINK("https://www.ebi.ac.uk/ols/ontologies/fbbt/terms?iri=http://purl.obolibrary.org/obo/FBbt_00047416","FBbt:00047416")</f>
        <v>FBbt:00047416</v>
      </c>
      <c r="B629" t="s">
        <v>1688</v>
      </c>
      <c r="C629" t="s">
        <v>8</v>
      </c>
      <c r="D629" t="s">
        <v>1689</v>
      </c>
      <c r="E629" t="s">
        <v>144</v>
      </c>
    </row>
    <row r="630" spans="1:5" x14ac:dyDescent="0.2">
      <c r="A630" t="str">
        <f>HYPERLINK("https://www.ebi.ac.uk/ols/ontologies/fbbt/terms?iri=http://purl.obolibrary.org/obo/FBbt_00047417","FBbt:00047417")</f>
        <v>FBbt:00047417</v>
      </c>
      <c r="B630" t="s">
        <v>1690</v>
      </c>
      <c r="C630" t="s">
        <v>8</v>
      </c>
      <c r="D630" t="s">
        <v>1691</v>
      </c>
      <c r="E630" t="s">
        <v>144</v>
      </c>
    </row>
    <row r="631" spans="1:5" x14ac:dyDescent="0.2">
      <c r="A631" t="str">
        <f>HYPERLINK("https://www.ebi.ac.uk/ols/ontologies/fbbt/terms?iri=http://purl.obolibrary.org/obo/FBbt_00002200","FBbt:00002200")</f>
        <v>FBbt:00002200</v>
      </c>
      <c r="B631" t="s">
        <v>1692</v>
      </c>
      <c r="C631" t="s">
        <v>1693</v>
      </c>
      <c r="D631" t="s">
        <v>1694</v>
      </c>
      <c r="E631" t="s">
        <v>1695</v>
      </c>
    </row>
    <row r="632" spans="1:5" x14ac:dyDescent="0.2">
      <c r="A632" t="str">
        <f>HYPERLINK("https://www.ebi.ac.uk/ols/ontologies/fbbt/terms?iri=http://purl.obolibrary.org/obo/FBbt_00002201","FBbt:00002201")</f>
        <v>FBbt:00002201</v>
      </c>
      <c r="B632" t="s">
        <v>1696</v>
      </c>
      <c r="C632" t="s">
        <v>1697</v>
      </c>
      <c r="D632" t="s">
        <v>1698</v>
      </c>
      <c r="E632" t="s">
        <v>1695</v>
      </c>
    </row>
    <row r="633" spans="1:5" x14ac:dyDescent="0.2">
      <c r="A633" t="str">
        <f>HYPERLINK("https://www.ebi.ac.uk/ols/ontologies/fbbt/terms?iri=http://purl.obolibrary.org/obo/FBbt_00002206","FBbt:00002206")</f>
        <v>FBbt:00002206</v>
      </c>
      <c r="B633" t="s">
        <v>1699</v>
      </c>
      <c r="C633" t="s">
        <v>1700</v>
      </c>
      <c r="D633" t="s">
        <v>1701</v>
      </c>
      <c r="E633" t="s">
        <v>1702</v>
      </c>
    </row>
    <row r="634" spans="1:5" x14ac:dyDescent="0.2">
      <c r="A634" t="str">
        <f>HYPERLINK("https://www.ebi.ac.uk/ols/ontologies/fbbt/terms?iri=http://purl.obolibrary.org/obo/FBbt_00002204","FBbt:00002204")</f>
        <v>FBbt:00002204</v>
      </c>
      <c r="B634" t="s">
        <v>1703</v>
      </c>
      <c r="C634" t="s">
        <v>1704</v>
      </c>
      <c r="D634" t="s">
        <v>1705</v>
      </c>
      <c r="E634" t="s">
        <v>1702</v>
      </c>
    </row>
    <row r="635" spans="1:5" x14ac:dyDescent="0.2">
      <c r="A635" t="str">
        <f>HYPERLINK("https://www.ebi.ac.uk/ols/ontologies/fbbt/terms?iri=http://purl.obolibrary.org/obo/FBbt_00110871","FBbt:00110871")</f>
        <v>FBbt:00110871</v>
      </c>
      <c r="B635" t="s">
        <v>1706</v>
      </c>
      <c r="C635" t="s">
        <v>1707</v>
      </c>
      <c r="D635" t="s">
        <v>1708</v>
      </c>
      <c r="E635" t="s">
        <v>1681</v>
      </c>
    </row>
    <row r="636" spans="1:5" x14ac:dyDescent="0.2">
      <c r="A636" t="str">
        <f>HYPERLINK("https://www.ebi.ac.uk/ols/ontologies/fbbt/terms?iri=http://purl.obolibrary.org/obo/FBbt_00002205","FBbt:00002205")</f>
        <v>FBbt:00002205</v>
      </c>
      <c r="B636" t="s">
        <v>1709</v>
      </c>
      <c r="C636" t="s">
        <v>1710</v>
      </c>
      <c r="D636" t="s">
        <v>1711</v>
      </c>
      <c r="E636" t="s">
        <v>1702</v>
      </c>
    </row>
    <row r="637" spans="1:5" x14ac:dyDescent="0.2">
      <c r="A637" t="str">
        <f>HYPERLINK("https://www.ebi.ac.uk/ols/ontologies/fbbt/terms?iri=http://purl.obolibrary.org/obo/FBbt_00110872","FBbt:00110872")</f>
        <v>FBbt:00110872</v>
      </c>
      <c r="B637" t="s">
        <v>1712</v>
      </c>
      <c r="C637" t="s">
        <v>1713</v>
      </c>
      <c r="D637" t="s">
        <v>1714</v>
      </c>
      <c r="E637" t="s">
        <v>1715</v>
      </c>
    </row>
    <row r="638" spans="1:5" x14ac:dyDescent="0.2">
      <c r="A638" t="str">
        <f>HYPERLINK("https://www.ebi.ac.uk/ols/ontologies/fbbt/terms?iri=http://purl.obolibrary.org/obo/FBbt_00002202","FBbt:00002202")</f>
        <v>FBbt:00002202</v>
      </c>
      <c r="B638" t="s">
        <v>1716</v>
      </c>
      <c r="C638" t="s">
        <v>1717</v>
      </c>
      <c r="D638" t="s">
        <v>1718</v>
      </c>
      <c r="E638" t="s">
        <v>1695</v>
      </c>
    </row>
    <row r="639" spans="1:5" x14ac:dyDescent="0.2">
      <c r="A639" t="str">
        <f>HYPERLINK("https://www.ebi.ac.uk/ols/ontologies/fbbt/terms?iri=http://purl.obolibrary.org/obo/FBbt_00002203","FBbt:00002203")</f>
        <v>FBbt:00002203</v>
      </c>
      <c r="B639" t="s">
        <v>1719</v>
      </c>
      <c r="C639" t="s">
        <v>1720</v>
      </c>
      <c r="D639" t="s">
        <v>1721</v>
      </c>
      <c r="E639" t="s">
        <v>1695</v>
      </c>
    </row>
    <row r="640" spans="1:5" x14ac:dyDescent="0.2">
      <c r="A640" t="str">
        <f>HYPERLINK("https://www.ebi.ac.uk/ols/ontologies/fbbt/terms?iri=http://purl.obolibrary.org/obo/FBbt_00110870","FBbt:00110870")</f>
        <v>FBbt:00110870</v>
      </c>
      <c r="B640" t="s">
        <v>1722</v>
      </c>
      <c r="C640" t="s">
        <v>1723</v>
      </c>
      <c r="D640" t="s">
        <v>1724</v>
      </c>
      <c r="E640" t="s">
        <v>1681</v>
      </c>
    </row>
    <row r="641" spans="1:5" x14ac:dyDescent="0.2">
      <c r="A641" t="str">
        <f>HYPERLINK("https://www.ebi.ac.uk/ols/ontologies/fbbt/terms?iri=http://purl.obolibrary.org/obo/FBbt_00047423","FBbt:00047423")</f>
        <v>FBbt:00047423</v>
      </c>
      <c r="B641" t="s">
        <v>1725</v>
      </c>
      <c r="C641" t="s">
        <v>8</v>
      </c>
      <c r="D641" t="s">
        <v>1726</v>
      </c>
      <c r="E641" t="s">
        <v>144</v>
      </c>
    </row>
    <row r="642" spans="1:5" x14ac:dyDescent="0.2">
      <c r="A642" t="str">
        <f>HYPERLINK("https://www.ebi.ac.uk/ols/ontologies/fbbt/terms?iri=http://purl.obolibrary.org/obo/FBbt_00047422","FBbt:00047422")</f>
        <v>FBbt:00047422</v>
      </c>
      <c r="B642" t="s">
        <v>1727</v>
      </c>
      <c r="C642" t="s">
        <v>8</v>
      </c>
      <c r="D642" t="s">
        <v>1728</v>
      </c>
      <c r="E642" t="s">
        <v>144</v>
      </c>
    </row>
    <row r="643" spans="1:5" x14ac:dyDescent="0.2">
      <c r="A643" t="str">
        <f>HYPERLINK("https://www.ebi.ac.uk/ols/ontologies/fbbt/terms?iri=http://purl.obolibrary.org/obo/FBbt_00047421","FBbt:00047421")</f>
        <v>FBbt:00047421</v>
      </c>
      <c r="B643" t="s">
        <v>1729</v>
      </c>
      <c r="C643" t="s">
        <v>8</v>
      </c>
      <c r="D643" t="s">
        <v>1730</v>
      </c>
      <c r="E643" t="s">
        <v>144</v>
      </c>
    </row>
    <row r="644" spans="1:5" x14ac:dyDescent="0.2">
      <c r="A644" t="str">
        <f>HYPERLINK("https://www.ebi.ac.uk/ols/ontologies/fbbt/terms?iri=http://purl.obolibrary.org/obo/FBbt_00047420","FBbt:00047420")</f>
        <v>FBbt:00047420</v>
      </c>
      <c r="B644" t="s">
        <v>1731</v>
      </c>
      <c r="C644" t="s">
        <v>8</v>
      </c>
      <c r="D644" t="s">
        <v>1732</v>
      </c>
      <c r="E644" t="s">
        <v>144</v>
      </c>
    </row>
    <row r="645" spans="1:5" x14ac:dyDescent="0.2">
      <c r="A645" t="str">
        <f>HYPERLINK("https://www.ebi.ac.uk/ols/ontologies/fbbt/terms?iri=http://purl.obolibrary.org/obo/FBbt_00002216","FBbt:00002216")</f>
        <v>FBbt:00002216</v>
      </c>
      <c r="B645" t="s">
        <v>1733</v>
      </c>
      <c r="C645" t="s">
        <v>1734</v>
      </c>
      <c r="D645" t="s">
        <v>1735</v>
      </c>
      <c r="E645" t="s">
        <v>1622</v>
      </c>
    </row>
    <row r="646" spans="1:5" x14ac:dyDescent="0.2">
      <c r="A646" t="str">
        <f>HYPERLINK("https://www.ebi.ac.uk/ols/ontologies/fbbt/terms?iri=http://purl.obolibrary.org/obo/FBbt_00002217","FBbt:00002217")</f>
        <v>FBbt:00002217</v>
      </c>
      <c r="B646" t="s">
        <v>1736</v>
      </c>
      <c r="C646" t="s">
        <v>1737</v>
      </c>
      <c r="D646" t="s">
        <v>1738</v>
      </c>
      <c r="E646" t="s">
        <v>1622</v>
      </c>
    </row>
    <row r="647" spans="1:5" x14ac:dyDescent="0.2">
      <c r="A647" t="str">
        <f>HYPERLINK("https://www.ebi.ac.uk/ols/ontologies/fbbt/terms?iri=http://purl.obolibrary.org/obo/FBbt_00002214","FBbt:00002214")</f>
        <v>FBbt:00002214</v>
      </c>
      <c r="B647" t="s">
        <v>1739</v>
      </c>
      <c r="C647" t="s">
        <v>1740</v>
      </c>
      <c r="D647" t="s">
        <v>1741</v>
      </c>
      <c r="E647" t="s">
        <v>1702</v>
      </c>
    </row>
    <row r="648" spans="1:5" x14ac:dyDescent="0.2">
      <c r="A648" t="str">
        <f>HYPERLINK("https://www.ebi.ac.uk/ols/ontologies/fbbt/terms?iri=http://purl.obolibrary.org/obo/FBbt_00002212","FBbt:00002212")</f>
        <v>FBbt:00002212</v>
      </c>
      <c r="B648" t="s">
        <v>1742</v>
      </c>
      <c r="C648" t="s">
        <v>1743</v>
      </c>
      <c r="D648" t="s">
        <v>1744</v>
      </c>
      <c r="E648" t="s">
        <v>1702</v>
      </c>
    </row>
    <row r="649" spans="1:5" x14ac:dyDescent="0.2">
      <c r="A649" t="str">
        <f>HYPERLINK("https://www.ebi.ac.uk/ols/ontologies/fbbt/terms?iri=http://purl.obolibrary.org/obo/FBbt_00002213","FBbt:00002213")</f>
        <v>FBbt:00002213</v>
      </c>
      <c r="B649" t="s">
        <v>1745</v>
      </c>
      <c r="C649" t="s">
        <v>1746</v>
      </c>
      <c r="D649" t="s">
        <v>1747</v>
      </c>
      <c r="E649" t="s">
        <v>1702</v>
      </c>
    </row>
    <row r="650" spans="1:5" x14ac:dyDescent="0.2">
      <c r="A650" t="str">
        <f>HYPERLINK("https://www.ebi.ac.uk/ols/ontologies/fbbt/terms?iri=http://purl.obolibrary.org/obo/FBbt_00002210","FBbt:00002210")</f>
        <v>FBbt:00002210</v>
      </c>
      <c r="B650" t="s">
        <v>1748</v>
      </c>
      <c r="C650" t="s">
        <v>1749</v>
      </c>
      <c r="D650" t="s">
        <v>1750</v>
      </c>
      <c r="E650" t="s">
        <v>1702</v>
      </c>
    </row>
    <row r="651" spans="1:5" x14ac:dyDescent="0.2">
      <c r="A651" t="str">
        <f>HYPERLINK("https://www.ebi.ac.uk/ols/ontologies/fbbt/terms?iri=http://purl.obolibrary.org/obo/FBbt_00002211","FBbt:00002211")</f>
        <v>FBbt:00002211</v>
      </c>
      <c r="B651" t="s">
        <v>1751</v>
      </c>
      <c r="C651" t="s">
        <v>1752</v>
      </c>
      <c r="D651" t="s">
        <v>1753</v>
      </c>
      <c r="E651" t="s">
        <v>1702</v>
      </c>
    </row>
    <row r="652" spans="1:5" x14ac:dyDescent="0.2">
      <c r="A652" t="str">
        <f>HYPERLINK("https://www.ebi.ac.uk/ols/ontologies/fbbt/terms?iri=http://purl.obolibrary.org/obo/FBbt_00002218","FBbt:00002218")</f>
        <v>FBbt:00002218</v>
      </c>
      <c r="B652" t="s">
        <v>1754</v>
      </c>
      <c r="C652" t="s">
        <v>1755</v>
      </c>
      <c r="D652" t="s">
        <v>1756</v>
      </c>
      <c r="E652" t="s">
        <v>1622</v>
      </c>
    </row>
    <row r="653" spans="1:5" x14ac:dyDescent="0.2">
      <c r="A653" t="str">
        <f>HYPERLINK("https://www.ebi.ac.uk/ols/ontologies/fbbt/terms?iri=http://purl.obolibrary.org/obo/FBbt_00002219","FBbt:00002219")</f>
        <v>FBbt:00002219</v>
      </c>
      <c r="B653" t="s">
        <v>1757</v>
      </c>
      <c r="C653" t="s">
        <v>1758</v>
      </c>
      <c r="D653" t="s">
        <v>1759</v>
      </c>
      <c r="E653" t="s">
        <v>1622</v>
      </c>
    </row>
    <row r="654" spans="1:5" x14ac:dyDescent="0.2">
      <c r="A654" t="str">
        <f>HYPERLINK("https://www.ebi.ac.uk/ols/ontologies/fbbt/terms?iri=http://purl.obolibrary.org/obo/FBbt_00001309","FBbt:00001309")</f>
        <v>FBbt:00001309</v>
      </c>
      <c r="B654" t="s">
        <v>1760</v>
      </c>
      <c r="C654" t="s">
        <v>1761</v>
      </c>
      <c r="D654" t="s">
        <v>1762</v>
      </c>
      <c r="E654" t="s">
        <v>1314</v>
      </c>
    </row>
    <row r="655" spans="1:5" x14ac:dyDescent="0.2">
      <c r="A655" t="str">
        <f>HYPERLINK("https://www.ebi.ac.uk/ols/ontologies/fbbt/terms?iri=http://purl.obolibrary.org/obo/FBbt_00001308","FBbt:00001308")</f>
        <v>FBbt:00001308</v>
      </c>
      <c r="B655" t="s">
        <v>1763</v>
      </c>
      <c r="C655" t="s">
        <v>1764</v>
      </c>
      <c r="D655" t="s">
        <v>1765</v>
      </c>
      <c r="E655" t="s">
        <v>1314</v>
      </c>
    </row>
    <row r="656" spans="1:5" x14ac:dyDescent="0.2">
      <c r="A656" t="str">
        <f>HYPERLINK("https://www.ebi.ac.uk/ols/ontologies/fbbt/terms?iri=http://purl.obolibrary.org/obo/FBbt_00001599","FBbt:00001599")</f>
        <v>FBbt:00001599</v>
      </c>
      <c r="B656" t="s">
        <v>1766</v>
      </c>
      <c r="C656" t="s">
        <v>1767</v>
      </c>
      <c r="D656" t="s">
        <v>1768</v>
      </c>
      <c r="E656" t="s">
        <v>1657</v>
      </c>
    </row>
    <row r="657" spans="1:5" x14ac:dyDescent="0.2">
      <c r="A657" t="str">
        <f>HYPERLINK("https://www.ebi.ac.uk/ols/ontologies/fbbt/terms?iri=http://purl.obolibrary.org/obo/FBbt_00002220","FBbt:00002220")</f>
        <v>FBbt:00002220</v>
      </c>
      <c r="B657" t="s">
        <v>1769</v>
      </c>
      <c r="C657" t="s">
        <v>1770</v>
      </c>
      <c r="D657" t="s">
        <v>1771</v>
      </c>
      <c r="E657" t="s">
        <v>1600</v>
      </c>
    </row>
    <row r="658" spans="1:5" x14ac:dyDescent="0.2">
      <c r="A658" t="str">
        <f>HYPERLINK("https://www.ebi.ac.uk/ols/ontologies/fbbt/terms?iri=http://purl.obolibrary.org/obo/FBbt_00002221","FBbt:00002221")</f>
        <v>FBbt:00002221</v>
      </c>
      <c r="B658" t="s">
        <v>1772</v>
      </c>
      <c r="C658" t="s">
        <v>1773</v>
      </c>
      <c r="D658" t="s">
        <v>1774</v>
      </c>
      <c r="E658" t="s">
        <v>1600</v>
      </c>
    </row>
    <row r="659" spans="1:5" x14ac:dyDescent="0.2">
      <c r="A659" t="str">
        <f>HYPERLINK("https://www.ebi.ac.uk/ols/ontologies/fbbt/terms?iri=http://purl.obolibrary.org/obo/FBbt_00002208","FBbt:00002208")</f>
        <v>FBbt:00002208</v>
      </c>
      <c r="B659" t="s">
        <v>1775</v>
      </c>
      <c r="C659" t="s">
        <v>1776</v>
      </c>
      <c r="D659" t="s">
        <v>1777</v>
      </c>
      <c r="E659" t="s">
        <v>1702</v>
      </c>
    </row>
    <row r="660" spans="1:5" x14ac:dyDescent="0.2">
      <c r="A660" t="str">
        <f>HYPERLINK("https://www.ebi.ac.uk/ols/ontologies/fbbt/terms?iri=http://purl.obolibrary.org/obo/FBbt_00002209","FBbt:00002209")</f>
        <v>FBbt:00002209</v>
      </c>
      <c r="B660" t="s">
        <v>1778</v>
      </c>
      <c r="C660" t="s">
        <v>1779</v>
      </c>
      <c r="D660" t="s">
        <v>1780</v>
      </c>
      <c r="E660" t="s">
        <v>1702</v>
      </c>
    </row>
    <row r="661" spans="1:5" x14ac:dyDescent="0.2">
      <c r="A661" t="str">
        <f>HYPERLINK("https://www.ebi.ac.uk/ols/ontologies/fbbt/terms?iri=http://purl.obolibrary.org/obo/FBbt_00001601","FBbt:00001601")</f>
        <v>FBbt:00001601</v>
      </c>
      <c r="B661" t="s">
        <v>1781</v>
      </c>
      <c r="C661" t="s">
        <v>8</v>
      </c>
      <c r="D661" t="s">
        <v>1782</v>
      </c>
      <c r="E661" t="s">
        <v>1783</v>
      </c>
    </row>
    <row r="662" spans="1:5" x14ac:dyDescent="0.2">
      <c r="A662" t="str">
        <f>HYPERLINK("https://www.ebi.ac.uk/ols/ontologies/fbbt/terms?iri=http://purl.obolibrary.org/obo/FBbt_00001600","FBbt:00001600")</f>
        <v>FBbt:00001600</v>
      </c>
      <c r="B662" t="s">
        <v>1784</v>
      </c>
      <c r="C662" t="s">
        <v>1785</v>
      </c>
      <c r="D662" t="s">
        <v>1786</v>
      </c>
      <c r="E662" t="s">
        <v>1787</v>
      </c>
    </row>
    <row r="663" spans="1:5" x14ac:dyDescent="0.2">
      <c r="A663" t="str">
        <f>HYPERLINK("https://www.ebi.ac.uk/ols/ontologies/fbbt/terms?iri=http://purl.obolibrary.org/obo/FBbt_00100777","FBbt:00100777")</f>
        <v>FBbt:00100777</v>
      </c>
      <c r="B663" t="s">
        <v>1788</v>
      </c>
      <c r="C663" t="s">
        <v>1789</v>
      </c>
      <c r="D663" t="s">
        <v>1790</v>
      </c>
      <c r="E663" t="s">
        <v>1791</v>
      </c>
    </row>
    <row r="664" spans="1:5" x14ac:dyDescent="0.2">
      <c r="A664" t="str">
        <f>HYPERLINK("https://www.ebi.ac.uk/ols/ontologies/fbbt/terms?iri=http://purl.obolibrary.org/obo/FBbt_00110308","FBbt:00110308")</f>
        <v>FBbt:00110308</v>
      </c>
      <c r="B664" t="s">
        <v>1792</v>
      </c>
      <c r="C664" t="s">
        <v>1793</v>
      </c>
      <c r="D664" t="s">
        <v>1794</v>
      </c>
      <c r="E664" t="s">
        <v>1795</v>
      </c>
    </row>
    <row r="665" spans="1:5" x14ac:dyDescent="0.2">
      <c r="A665" t="str">
        <f>HYPERLINK("https://www.ebi.ac.uk/ols/ontologies/fbbt/terms?iri=http://purl.obolibrary.org/obo/FBbt_00100779","FBbt:00100779")</f>
        <v>FBbt:00100779</v>
      </c>
      <c r="B665" t="s">
        <v>1796</v>
      </c>
      <c r="C665" t="s">
        <v>1797</v>
      </c>
      <c r="D665" t="s">
        <v>1798</v>
      </c>
      <c r="E665" t="s">
        <v>1791</v>
      </c>
    </row>
    <row r="666" spans="1:5" x14ac:dyDescent="0.2">
      <c r="A666" t="str">
        <f>HYPERLINK("https://www.ebi.ac.uk/ols/ontologies/fbbt/terms?iri=http://purl.obolibrary.org/obo/FBbt_00100778","FBbt:00100778")</f>
        <v>FBbt:00100778</v>
      </c>
      <c r="B666" t="s">
        <v>1799</v>
      </c>
      <c r="C666" t="s">
        <v>1800</v>
      </c>
      <c r="D666" t="s">
        <v>1801</v>
      </c>
      <c r="E666" t="s">
        <v>1791</v>
      </c>
    </row>
    <row r="667" spans="1:5" x14ac:dyDescent="0.2">
      <c r="A667" t="str">
        <f>HYPERLINK("https://www.ebi.ac.uk/ols/ontologies/fbbt/terms?iri=http://purl.obolibrary.org/obo/FBbt_00110295","FBbt:00110295")</f>
        <v>FBbt:00110295</v>
      </c>
      <c r="B667" t="s">
        <v>1802</v>
      </c>
      <c r="C667" t="s">
        <v>1803</v>
      </c>
      <c r="D667" t="s">
        <v>1804</v>
      </c>
      <c r="E667" t="s">
        <v>1795</v>
      </c>
    </row>
    <row r="668" spans="1:5" x14ac:dyDescent="0.2">
      <c r="A668" t="str">
        <f>HYPERLINK("https://www.ebi.ac.uk/ols/ontologies/fbbt/terms?iri=http://purl.obolibrary.org/obo/FBbt_00047567","FBbt:00047567")</f>
        <v>FBbt:00047567</v>
      </c>
      <c r="B668" t="s">
        <v>1805</v>
      </c>
      <c r="C668" t="s">
        <v>1806</v>
      </c>
      <c r="D668" t="s">
        <v>1807</v>
      </c>
      <c r="E668" t="s">
        <v>593</v>
      </c>
    </row>
    <row r="669" spans="1:5" x14ac:dyDescent="0.2">
      <c r="A669" t="str">
        <f>HYPERLINK("https://www.ebi.ac.uk/ols/ontologies/fbbt/terms?iri=http://purl.obolibrary.org/obo/FBbt_00047566","FBbt:00047566")</f>
        <v>FBbt:00047566</v>
      </c>
      <c r="B669" t="s">
        <v>1808</v>
      </c>
      <c r="C669" t="s">
        <v>1809</v>
      </c>
      <c r="D669" t="s">
        <v>1810</v>
      </c>
      <c r="E669" t="s">
        <v>593</v>
      </c>
    </row>
    <row r="670" spans="1:5" x14ac:dyDescent="0.2">
      <c r="A670" t="str">
        <f>HYPERLINK("https://www.ebi.ac.uk/ols/ontologies/fbbt/terms?iri=http://purl.obolibrary.org/obo/FBbt_00047565","FBbt:00047565")</f>
        <v>FBbt:00047565</v>
      </c>
      <c r="B670" t="s">
        <v>1811</v>
      </c>
      <c r="C670" t="s">
        <v>1812</v>
      </c>
      <c r="D670" t="s">
        <v>1813</v>
      </c>
      <c r="E670" t="s">
        <v>593</v>
      </c>
    </row>
    <row r="671" spans="1:5" x14ac:dyDescent="0.2">
      <c r="A671" t="str">
        <f>HYPERLINK("https://www.ebi.ac.uk/ols/ontologies/fbbt/terms?iri=http://purl.obolibrary.org/obo/FBbt_00110297","FBbt:00110297")</f>
        <v>FBbt:00110297</v>
      </c>
      <c r="B671" t="s">
        <v>1814</v>
      </c>
      <c r="C671" t="s">
        <v>1815</v>
      </c>
      <c r="D671" t="s">
        <v>1816</v>
      </c>
      <c r="E671" t="s">
        <v>1795</v>
      </c>
    </row>
    <row r="672" spans="1:5" x14ac:dyDescent="0.2">
      <c r="A672" t="str">
        <f>HYPERLINK("https://www.ebi.ac.uk/ols/ontologies/fbbt/terms?iri=http://purl.obolibrary.org/obo/FBbt_00001598","FBbt:00001598")</f>
        <v>FBbt:00001598</v>
      </c>
      <c r="B672" t="s">
        <v>1817</v>
      </c>
      <c r="C672" t="s">
        <v>1818</v>
      </c>
      <c r="D672" t="s">
        <v>1819</v>
      </c>
      <c r="E672" t="s">
        <v>1667</v>
      </c>
    </row>
    <row r="673" spans="1:5" x14ac:dyDescent="0.2">
      <c r="A673" t="str">
        <f>HYPERLINK("https://www.ebi.ac.uk/ols/ontologies/fbbt/terms?iri=http://purl.obolibrary.org/obo/FBbt_00001597","FBbt:00001597")</f>
        <v>FBbt:00001597</v>
      </c>
      <c r="B673" t="s">
        <v>1820</v>
      </c>
      <c r="C673" t="s">
        <v>1821</v>
      </c>
      <c r="D673" t="s">
        <v>1819</v>
      </c>
      <c r="E673" t="s">
        <v>1667</v>
      </c>
    </row>
    <row r="674" spans="1:5" x14ac:dyDescent="0.2">
      <c r="A674" t="str">
        <f>HYPERLINK("https://www.ebi.ac.uk/ols/ontologies/fbbt/terms?iri=http://purl.obolibrary.org/obo/FBbt_00001596","FBbt:00001596")</f>
        <v>FBbt:00001596</v>
      </c>
      <c r="B674" t="s">
        <v>1822</v>
      </c>
      <c r="C674" t="s">
        <v>1823</v>
      </c>
      <c r="D674" t="s">
        <v>1819</v>
      </c>
      <c r="E674" t="s">
        <v>1667</v>
      </c>
    </row>
    <row r="675" spans="1:5" x14ac:dyDescent="0.2">
      <c r="A675" t="str">
        <f>HYPERLINK("https://www.ebi.ac.uk/ols/ontologies/fbbt/terms?iri=http://purl.obolibrary.org/obo/FBbt_00002255","FBbt:00002255")</f>
        <v>FBbt:00002255</v>
      </c>
      <c r="B675" t="s">
        <v>1824</v>
      </c>
      <c r="C675" t="s">
        <v>1825</v>
      </c>
      <c r="D675" t="s">
        <v>1826</v>
      </c>
      <c r="E675" t="s">
        <v>1827</v>
      </c>
    </row>
    <row r="676" spans="1:5" x14ac:dyDescent="0.2">
      <c r="A676" t="str">
        <f>HYPERLINK("https://www.ebi.ac.uk/ols/ontologies/fbbt/terms?iri=http://purl.obolibrary.org/obo/FBbt_00002247","FBbt:00002247")</f>
        <v>FBbt:00002247</v>
      </c>
      <c r="B676" t="s">
        <v>1828</v>
      </c>
      <c r="C676" t="s">
        <v>1829</v>
      </c>
      <c r="D676" t="s">
        <v>1830</v>
      </c>
      <c r="E676" t="s">
        <v>1827</v>
      </c>
    </row>
    <row r="677" spans="1:5" x14ac:dyDescent="0.2">
      <c r="A677" t="str">
        <f>HYPERLINK("https://www.ebi.ac.uk/ols/ontologies/fbbt/terms?iri=http://purl.obolibrary.org/obo/FBbt_00002239","FBbt:00002239")</f>
        <v>FBbt:00002239</v>
      </c>
      <c r="B677" t="s">
        <v>1831</v>
      </c>
      <c r="C677" t="s">
        <v>1832</v>
      </c>
      <c r="D677" t="s">
        <v>1833</v>
      </c>
      <c r="E677" t="s">
        <v>1834</v>
      </c>
    </row>
    <row r="678" spans="1:5" x14ac:dyDescent="0.2">
      <c r="A678" t="str">
        <f>HYPERLINK("https://www.ebi.ac.uk/ols/ontologies/fbbt/terms?iri=http://purl.obolibrary.org/obo/FBbt_00002244","FBbt:00002244")</f>
        <v>FBbt:00002244</v>
      </c>
      <c r="B678" t="s">
        <v>1835</v>
      </c>
      <c r="C678" t="s">
        <v>1836</v>
      </c>
      <c r="D678" t="s">
        <v>1837</v>
      </c>
      <c r="E678" t="s">
        <v>1834</v>
      </c>
    </row>
    <row r="679" spans="1:5" x14ac:dyDescent="0.2">
      <c r="A679" t="str">
        <f>HYPERLINK("https://www.ebi.ac.uk/ols/ontologies/fbbt/terms?iri=http://purl.obolibrary.org/obo/FBbt_00002245","FBbt:00002245")</f>
        <v>FBbt:00002245</v>
      </c>
      <c r="B679" t="s">
        <v>1838</v>
      </c>
      <c r="C679" t="s">
        <v>1839</v>
      </c>
      <c r="D679" t="s">
        <v>1840</v>
      </c>
      <c r="E679" t="s">
        <v>1834</v>
      </c>
    </row>
    <row r="680" spans="1:5" x14ac:dyDescent="0.2">
      <c r="A680" t="str">
        <f>HYPERLINK("https://www.ebi.ac.uk/ols/ontologies/fbbt/terms?iri=http://purl.obolibrary.org/obo/FBbt_00002242","FBbt:00002242")</f>
        <v>FBbt:00002242</v>
      </c>
      <c r="B680" t="s">
        <v>1841</v>
      </c>
      <c r="C680" t="s">
        <v>1842</v>
      </c>
      <c r="D680" t="s">
        <v>1843</v>
      </c>
      <c r="E680" t="s">
        <v>1834</v>
      </c>
    </row>
    <row r="681" spans="1:5" x14ac:dyDescent="0.2">
      <c r="A681" t="str">
        <f>HYPERLINK("https://www.ebi.ac.uk/ols/ontologies/fbbt/terms?iri=http://purl.obolibrary.org/obo/FBbt_00002243","FBbt:00002243")</f>
        <v>FBbt:00002243</v>
      </c>
      <c r="B681" t="s">
        <v>1844</v>
      </c>
      <c r="C681" t="s">
        <v>1845</v>
      </c>
      <c r="D681" t="s">
        <v>1846</v>
      </c>
      <c r="E681" t="s">
        <v>1834</v>
      </c>
    </row>
    <row r="682" spans="1:5" x14ac:dyDescent="0.2">
      <c r="A682" t="str">
        <f>HYPERLINK("https://www.ebi.ac.uk/ols/ontologies/fbbt/terms?iri=http://purl.obolibrary.org/obo/FBbt_00002240","FBbt:00002240")</f>
        <v>FBbt:00002240</v>
      </c>
      <c r="B682" t="s">
        <v>1847</v>
      </c>
      <c r="C682" t="s">
        <v>1848</v>
      </c>
      <c r="D682" t="s">
        <v>1849</v>
      </c>
      <c r="E682" t="s">
        <v>1834</v>
      </c>
    </row>
    <row r="683" spans="1:5" x14ac:dyDescent="0.2">
      <c r="A683" t="str">
        <f>HYPERLINK("https://www.ebi.ac.uk/ols/ontologies/fbbt/terms?iri=http://purl.obolibrary.org/obo/FBbt_00002241","FBbt:00002241")</f>
        <v>FBbt:00002241</v>
      </c>
      <c r="B683" t="s">
        <v>1850</v>
      </c>
      <c r="C683" t="s">
        <v>1851</v>
      </c>
      <c r="D683" t="s">
        <v>1852</v>
      </c>
      <c r="E683" t="s">
        <v>1834</v>
      </c>
    </row>
    <row r="684" spans="1:5" x14ac:dyDescent="0.2">
      <c r="A684" t="str">
        <f>HYPERLINK("https://www.ebi.ac.uk/ols/ontologies/fbbt/terms?iri=http://purl.obolibrary.org/obo/FBbt_00002258","FBbt:00002258")</f>
        <v>FBbt:00002258</v>
      </c>
      <c r="B684" t="s">
        <v>1853</v>
      </c>
      <c r="C684" t="s">
        <v>1854</v>
      </c>
      <c r="D684" t="s">
        <v>1855</v>
      </c>
      <c r="E684" t="s">
        <v>1827</v>
      </c>
    </row>
    <row r="685" spans="1:5" x14ac:dyDescent="0.2">
      <c r="A685" t="str">
        <f>HYPERLINK("https://www.ebi.ac.uk/ols/ontologies/fbbt/terms?iri=http://purl.obolibrary.org/obo/FBbt_00002259","FBbt:00002259")</f>
        <v>FBbt:00002259</v>
      </c>
      <c r="B685" t="s">
        <v>1856</v>
      </c>
      <c r="C685" t="s">
        <v>1857</v>
      </c>
      <c r="D685" t="s">
        <v>1858</v>
      </c>
      <c r="E685" t="s">
        <v>1827</v>
      </c>
    </row>
    <row r="686" spans="1:5" x14ac:dyDescent="0.2">
      <c r="A686" t="str">
        <f>HYPERLINK("https://www.ebi.ac.uk/ols/ontologies/fbbt/terms?iri=http://purl.obolibrary.org/obo/FBbt_00002260","FBbt:00002260")</f>
        <v>FBbt:00002260</v>
      </c>
      <c r="B686" t="s">
        <v>1859</v>
      </c>
      <c r="C686" t="s">
        <v>1860</v>
      </c>
      <c r="D686" t="s">
        <v>1861</v>
      </c>
      <c r="E686" t="s">
        <v>1827</v>
      </c>
    </row>
    <row r="687" spans="1:5" x14ac:dyDescent="0.2">
      <c r="A687" t="str">
        <f>HYPERLINK("https://www.ebi.ac.uk/ols/ontologies/fbbt/terms?iri=http://purl.obolibrary.org/obo/FBbt_00002261","FBbt:00002261")</f>
        <v>FBbt:00002261</v>
      </c>
      <c r="B687" t="s">
        <v>1862</v>
      </c>
      <c r="C687" t="s">
        <v>1863</v>
      </c>
      <c r="D687" t="s">
        <v>1864</v>
      </c>
      <c r="E687" t="s">
        <v>1827</v>
      </c>
    </row>
    <row r="688" spans="1:5" x14ac:dyDescent="0.2">
      <c r="A688" t="str">
        <f>HYPERLINK("https://www.ebi.ac.uk/ols/ontologies/fbbt/terms?iri=http://purl.obolibrary.org/obo/FBbt_00002262","FBbt:00002262")</f>
        <v>FBbt:00002262</v>
      </c>
      <c r="B688" t="s">
        <v>1865</v>
      </c>
      <c r="C688" t="s">
        <v>1866</v>
      </c>
      <c r="D688" t="s">
        <v>1867</v>
      </c>
      <c r="E688" t="s">
        <v>1827</v>
      </c>
    </row>
    <row r="689" spans="1:5" x14ac:dyDescent="0.2">
      <c r="A689" t="str">
        <f>HYPERLINK("https://www.ebi.ac.uk/ols/ontologies/fbbt/terms?iri=http://purl.obolibrary.org/obo/FBbt_00002248","FBbt:00002248")</f>
        <v>FBbt:00002248</v>
      </c>
      <c r="B689" t="s">
        <v>1868</v>
      </c>
      <c r="C689" t="s">
        <v>1869</v>
      </c>
      <c r="D689" t="s">
        <v>1870</v>
      </c>
      <c r="E689" t="s">
        <v>1827</v>
      </c>
    </row>
    <row r="690" spans="1:5" x14ac:dyDescent="0.2">
      <c r="A690" t="str">
        <f>HYPERLINK("https://www.ebi.ac.uk/ols/ontologies/fbbt/terms?iri=http://purl.obolibrary.org/obo/FBbt_00002249","FBbt:00002249")</f>
        <v>FBbt:00002249</v>
      </c>
      <c r="B690" t="s">
        <v>1871</v>
      </c>
      <c r="C690" t="s">
        <v>1872</v>
      </c>
      <c r="D690" t="s">
        <v>1873</v>
      </c>
      <c r="E690" t="s">
        <v>1827</v>
      </c>
    </row>
    <row r="691" spans="1:5" x14ac:dyDescent="0.2">
      <c r="A691" t="str">
        <f>HYPERLINK("https://www.ebi.ac.uk/ols/ontologies/fbbt/terms?iri=http://purl.obolibrary.org/obo/FBbt_00002246","FBbt:00002246")</f>
        <v>FBbt:00002246</v>
      </c>
      <c r="B691" t="s">
        <v>1874</v>
      </c>
      <c r="C691" t="s">
        <v>1875</v>
      </c>
      <c r="D691" t="s">
        <v>1876</v>
      </c>
      <c r="E691" t="s">
        <v>1834</v>
      </c>
    </row>
    <row r="692" spans="1:5" x14ac:dyDescent="0.2">
      <c r="A692" t="str">
        <f>HYPERLINK("https://www.ebi.ac.uk/ols/ontologies/fbbt/terms?iri=http://purl.obolibrary.org/obo/FBbt_00002256","FBbt:00002256")</f>
        <v>FBbt:00002256</v>
      </c>
      <c r="B692" t="s">
        <v>1877</v>
      </c>
      <c r="C692" t="s">
        <v>1878</v>
      </c>
      <c r="D692" t="s">
        <v>1879</v>
      </c>
      <c r="E692" t="s">
        <v>1827</v>
      </c>
    </row>
    <row r="693" spans="1:5" x14ac:dyDescent="0.2">
      <c r="A693" t="str">
        <f>HYPERLINK("https://www.ebi.ac.uk/ols/ontologies/fbbt/terms?iri=http://purl.obolibrary.org/obo/FBbt_00002257","FBbt:00002257")</f>
        <v>FBbt:00002257</v>
      </c>
      <c r="B693" t="s">
        <v>1880</v>
      </c>
      <c r="C693" t="s">
        <v>1881</v>
      </c>
      <c r="D693" t="s">
        <v>1882</v>
      </c>
      <c r="E693" t="s">
        <v>1827</v>
      </c>
    </row>
    <row r="694" spans="1:5" x14ac:dyDescent="0.2">
      <c r="A694" t="str">
        <f>HYPERLINK("https://www.ebi.ac.uk/ols/ontologies/fbbt/terms?iri=http://purl.obolibrary.org/obo/FBbt_00002254","FBbt:00002254")</f>
        <v>FBbt:00002254</v>
      </c>
      <c r="B694" t="s">
        <v>1883</v>
      </c>
      <c r="C694" t="s">
        <v>1884</v>
      </c>
      <c r="D694" t="s">
        <v>1885</v>
      </c>
      <c r="E694" t="s">
        <v>1827</v>
      </c>
    </row>
    <row r="695" spans="1:5" x14ac:dyDescent="0.2">
      <c r="A695" t="str">
        <f>HYPERLINK("https://www.ebi.ac.uk/ols/ontologies/fbbt/terms?iri=http://purl.obolibrary.org/obo/FBbt_00002252","FBbt:00002252")</f>
        <v>FBbt:00002252</v>
      </c>
      <c r="B695" t="s">
        <v>1886</v>
      </c>
      <c r="C695" t="s">
        <v>1887</v>
      </c>
      <c r="D695" t="s">
        <v>1888</v>
      </c>
      <c r="E695" t="s">
        <v>1827</v>
      </c>
    </row>
    <row r="696" spans="1:5" x14ac:dyDescent="0.2">
      <c r="A696" t="str">
        <f>HYPERLINK("https://www.ebi.ac.uk/ols/ontologies/fbbt/terms?iri=http://purl.obolibrary.org/obo/FBbt_00002253","FBbt:00002253")</f>
        <v>FBbt:00002253</v>
      </c>
      <c r="B696" t="s">
        <v>1889</v>
      </c>
      <c r="C696" t="s">
        <v>1890</v>
      </c>
      <c r="D696" t="s">
        <v>1891</v>
      </c>
      <c r="E696" t="s">
        <v>1827</v>
      </c>
    </row>
    <row r="697" spans="1:5" x14ac:dyDescent="0.2">
      <c r="A697" t="str">
        <f>HYPERLINK("https://www.ebi.ac.uk/ols/ontologies/fbbt/terms?iri=http://purl.obolibrary.org/obo/FBbt_00002250","FBbt:00002250")</f>
        <v>FBbt:00002250</v>
      </c>
      <c r="B697" t="s">
        <v>1892</v>
      </c>
      <c r="C697" t="s">
        <v>1893</v>
      </c>
      <c r="D697" t="s">
        <v>1894</v>
      </c>
      <c r="E697" t="s">
        <v>1827</v>
      </c>
    </row>
    <row r="698" spans="1:5" x14ac:dyDescent="0.2">
      <c r="A698" t="str">
        <f>HYPERLINK("https://www.ebi.ac.uk/ols/ontologies/fbbt/terms?iri=http://purl.obolibrary.org/obo/FBbt_00002251","FBbt:00002251")</f>
        <v>FBbt:00002251</v>
      </c>
      <c r="B698" t="s">
        <v>1895</v>
      </c>
      <c r="C698" t="s">
        <v>1896</v>
      </c>
      <c r="D698" t="s">
        <v>1897</v>
      </c>
      <c r="E698" t="s">
        <v>1827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2019-11-05T13:02:24Z</dcterms:created>
  <dcterms:modified xsi:type="dcterms:W3CDTF">2019-11-05T15:34:01Z</dcterms:modified>
</cp:coreProperties>
</file>